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1445" windowHeight="11760" firstSheet="7" activeTab="15"/>
  </bookViews>
  <sheets>
    <sheet name="COS 1" sheetId="19" r:id="rId1"/>
    <sheet name="F 1-2" sheetId="1" r:id="rId2"/>
    <sheet name="F 2 B" sheetId="2" r:id="rId3"/>
    <sheet name="F 3-4" sheetId="4" r:id="rId4"/>
    <sheet name="F 3B 4B" sheetId="5" r:id="rId5"/>
    <sheet name="F 5" sheetId="6" r:id="rId6"/>
    <sheet name="F 5B" sheetId="7" r:id="rId7"/>
    <sheet name="F6" sheetId="8" r:id="rId8"/>
    <sheet name="F7-9" sheetId="9" r:id="rId9"/>
    <sheet name="Meters" sheetId="13" r:id="rId10"/>
    <sheet name="F10-11" sheetId="11" r:id="rId11"/>
    <sheet name="F12-13" sheetId="10" r:id="rId12"/>
    <sheet name="F 14-20" sheetId="12" r:id="rId13"/>
    <sheet name="SCH-D" sheetId="28" r:id="rId14"/>
    <sheet name="Fire" sheetId="16" r:id="rId15"/>
    <sheet name="cust charge" sheetId="29" r:id="rId16"/>
    <sheet name="SCH-A" sheetId="27" r:id="rId17"/>
  </sheets>
  <definedNames>
    <definedName name="comp">'COS 1'!$X$323:$AM$323</definedName>
    <definedName name="CUST">'F 1-2'!$D$55:$M$72</definedName>
    <definedName name="ds">'COS 1'!$H$182</definedName>
    <definedName name="fact">#REF!</definedName>
    <definedName name="FACT3" localSheetId="3">'F 3-4'!$A$1:$FL$1321</definedName>
    <definedName name="FACT3A" localSheetId="1">'F 1-2'!$Z$14:$BE$259</definedName>
    <definedName name="FACT3A" localSheetId="2">'F 2 B'!$W$14:$BB$265</definedName>
    <definedName name="FACT3A" localSheetId="3">'F 3-4'!$W$14:$BB$231</definedName>
    <definedName name="factor">'COS 1'!$Y$323:$AM$328</definedName>
    <definedName name="Factors">'COS 1'!$I$329:$X$364</definedName>
    <definedName name="FIRE" localSheetId="1">'F 1-2'!$AC$72:$EU$906</definedName>
    <definedName name="FIRE" localSheetId="2">'F 2 B'!$Z$78:$ER$912</definedName>
    <definedName name="FIRE" localSheetId="3">'F 3-4'!$Z$69:$ER$878</definedName>
    <definedName name="func">'COS 1'!$AF$333:$AS$354</definedName>
    <definedName name="_xlnm.Print_Area" localSheetId="0">'COS 1'!$B$1:$V$303,'COS 1'!$Y$6:$AS$303</definedName>
    <definedName name="_xlnm.Print_Area" localSheetId="15">'cust charge'!$A$1:$F$26</definedName>
    <definedName name="_xlnm.Print_Area" localSheetId="1">'F 1-2'!$B$1:$M$50</definedName>
    <definedName name="_xlnm.Print_Area" localSheetId="2">'F 2 B'!$A$1:$J$41</definedName>
    <definedName name="_xlnm.Print_Area" localSheetId="3">'F 3-4'!$A$1:$P$28,'F 3-4'!$A$31:$R$59</definedName>
    <definedName name="_xlnm.Print_Area" localSheetId="4">'F 3B 4B'!$A$1:$K$72</definedName>
    <definedName name="_xlnm.Print_Area" localSheetId="6">'F 5B'!$A$1:$J$46</definedName>
    <definedName name="_xlnm.Print_Area" localSheetId="10">'F10-11'!$A$1:$G$71</definedName>
    <definedName name="_xlnm.Print_Area" localSheetId="11">'F12-13'!$A$1:$G$42</definedName>
    <definedName name="_xlnm.Print_Area" localSheetId="7">'F6'!$A$1:$P$38</definedName>
    <definedName name="_xlnm.Print_Area" localSheetId="8">'F7-9'!$A$1:$G$60</definedName>
    <definedName name="_xlnm.Print_Area" localSheetId="14">Fire!$C$1:$O$34</definedName>
    <definedName name="_xlnm.Print_Area" localSheetId="9">Meters!$A$1:$AA$32,Meters!$A$36:$AE$66</definedName>
    <definedName name="_xlnm.Print_Area" localSheetId="16">'SCH-A'!$B$6:$R$33,'SCH-A'!#REF!</definedName>
    <definedName name="_xlnm.Print_Area" localSheetId="13">'SCH-D'!$A$1:$H$30</definedName>
    <definedName name="_xlnm.Print_Titles" localSheetId="0">'COS 1'!$1:$9</definedName>
  </definedNames>
  <calcPr calcId="145621" iterate="1"/>
</workbook>
</file>

<file path=xl/calcChain.xml><?xml version="1.0" encoding="utf-8"?>
<calcChain xmlns="http://schemas.openxmlformats.org/spreadsheetml/2006/main">
  <c r="X299" i="19" l="1"/>
  <c r="X300" i="19"/>
  <c r="X302" i="19"/>
  <c r="AE143" i="19" l="1"/>
  <c r="AC143" i="19"/>
  <c r="AQ143" i="19" l="1"/>
  <c r="AM143" i="19"/>
  <c r="AO143" i="19"/>
  <c r="AK143" i="19"/>
  <c r="AC291" i="19" l="1"/>
  <c r="AC292" i="19"/>
  <c r="AC293" i="19"/>
  <c r="AC294" i="19"/>
  <c r="AC296" i="19"/>
  <c r="AC297" i="19"/>
  <c r="AE296" i="19"/>
  <c r="AE291" i="19"/>
  <c r="AM296" i="19" l="1"/>
  <c r="AO296" i="19"/>
  <c r="AK296" i="19"/>
  <c r="AE292" i="19"/>
  <c r="AM292" i="19" s="1"/>
  <c r="AQ296" i="19"/>
  <c r="AQ292" i="19" l="1"/>
  <c r="AO292" i="19"/>
  <c r="AS292" i="19"/>
  <c r="AK292" i="19"/>
  <c r="AI292" i="19"/>
  <c r="AG292" i="19"/>
  <c r="AC238" i="19"/>
  <c r="AE238" i="19" l="1"/>
  <c r="K30" i="16"/>
  <c r="W14" i="13"/>
  <c r="S14" i="13"/>
  <c r="O14" i="13"/>
  <c r="K14" i="13"/>
  <c r="G14" i="13"/>
  <c r="AA14" i="13" l="1"/>
  <c r="Y14" i="13"/>
  <c r="AM238" i="19"/>
  <c r="AO238" i="19"/>
  <c r="AK238" i="19"/>
  <c r="AQ238" i="19"/>
  <c r="AC118" i="19" l="1"/>
  <c r="AC74" i="19"/>
  <c r="AE74" i="19" l="1"/>
  <c r="AE118" i="19" l="1"/>
  <c r="AM74" i="19"/>
  <c r="AO74" i="19"/>
  <c r="AQ74" i="19"/>
  <c r="AI74" i="19"/>
  <c r="G27" i="28" l="1"/>
  <c r="G26" i="28"/>
  <c r="G28" i="28" l="1"/>
  <c r="U46" i="13"/>
  <c r="F295" i="19" l="1"/>
  <c r="AE295" i="19"/>
  <c r="AC295" i="19" l="1"/>
  <c r="AM295" i="19" l="1"/>
  <c r="AO295" i="19"/>
  <c r="AQ295" i="19"/>
  <c r="AI295" i="19"/>
  <c r="X288" i="19" l="1"/>
  <c r="X289" i="19"/>
  <c r="G24" i="28" l="1"/>
  <c r="G25" i="28"/>
  <c r="I46" i="13" l="1"/>
  <c r="AC15" i="19" l="1"/>
  <c r="AE15" i="19" l="1"/>
  <c r="AM15" i="19" s="1"/>
  <c r="AO15" i="19" l="1"/>
  <c r="AQ15" i="19"/>
  <c r="AK15" i="19"/>
  <c r="AE197" i="19"/>
  <c r="AE198" i="19"/>
  <c r="AE201" i="19"/>
  <c r="AE204" i="19"/>
  <c r="AE205" i="19"/>
  <c r="AE113" i="19"/>
  <c r="AE116" i="19"/>
  <c r="AE125" i="19"/>
  <c r="AE98" i="19"/>
  <c r="H21" i="19"/>
  <c r="AE21" i="19" s="1"/>
  <c r="AE137" i="19"/>
  <c r="AE138" i="19"/>
  <c r="AE139" i="19"/>
  <c r="AE140" i="19"/>
  <c r="AE141" i="19"/>
  <c r="AE142" i="19"/>
  <c r="AE145" i="19"/>
  <c r="AE147" i="19"/>
  <c r="AE148" i="19"/>
  <c r="AE149" i="19"/>
  <c r="AE151" i="19"/>
  <c r="AE152" i="19"/>
  <c r="AE153" i="19"/>
  <c r="AE154" i="19"/>
  <c r="AE155" i="19"/>
  <c r="AE156" i="19"/>
  <c r="AE157" i="19"/>
  <c r="AE158" i="19"/>
  <c r="AE160" i="19"/>
  <c r="AE164" i="19"/>
  <c r="AE165" i="19"/>
  <c r="AE166" i="19"/>
  <c r="AE167" i="19"/>
  <c r="AE168" i="19"/>
  <c r="AE169" i="19"/>
  <c r="AE170" i="19"/>
  <c r="AE172" i="19"/>
  <c r="AE173" i="19"/>
  <c r="AE174" i="19"/>
  <c r="AE175" i="19"/>
  <c r="AE176" i="19"/>
  <c r="E17" i="5"/>
  <c r="S19" i="8"/>
  <c r="C64" i="13"/>
  <c r="M46" i="13"/>
  <c r="M50" i="13"/>
  <c r="M52" i="13"/>
  <c r="M56" i="13"/>
  <c r="M58" i="13"/>
  <c r="M62" i="13"/>
  <c r="Q46" i="13"/>
  <c r="U56" i="13"/>
  <c r="D27" i="7"/>
  <c r="D29" i="7" s="1"/>
  <c r="C12" i="7"/>
  <c r="F38" i="7"/>
  <c r="F39" i="7"/>
  <c r="F40" i="7"/>
  <c r="F41" i="7"/>
  <c r="F42" i="7"/>
  <c r="AE227" i="19"/>
  <c r="AE228" i="19"/>
  <c r="AE229" i="19"/>
  <c r="AE230" i="19"/>
  <c r="AE231" i="19"/>
  <c r="AE232" i="19"/>
  <c r="AE233" i="19"/>
  <c r="AE234" i="19"/>
  <c r="AE235" i="19"/>
  <c r="AE236" i="19"/>
  <c r="AE237" i="19"/>
  <c r="AE239" i="19"/>
  <c r="AE240" i="19"/>
  <c r="AE241" i="19"/>
  <c r="AE242" i="19"/>
  <c r="AE243" i="19"/>
  <c r="AE244" i="19"/>
  <c r="AE245" i="19"/>
  <c r="AE247" i="19"/>
  <c r="AE248" i="19"/>
  <c r="AE249" i="19"/>
  <c r="AE250" i="19"/>
  <c r="AE255" i="19"/>
  <c r="AE256" i="19"/>
  <c r="AE259" i="19"/>
  <c r="AE260" i="19"/>
  <c r="AE261" i="19"/>
  <c r="AE262" i="19"/>
  <c r="AE263" i="19"/>
  <c r="AE264" i="19"/>
  <c r="AE265" i="19"/>
  <c r="AE266" i="19"/>
  <c r="AE268" i="19"/>
  <c r="AE269" i="19"/>
  <c r="AE270" i="19"/>
  <c r="AE271" i="19"/>
  <c r="AE225" i="19"/>
  <c r="AE293" i="19"/>
  <c r="AE294" i="19"/>
  <c r="AE297" i="19"/>
  <c r="AC226" i="19"/>
  <c r="AC227" i="19"/>
  <c r="AC228" i="19"/>
  <c r="AC229" i="19"/>
  <c r="AC230" i="19"/>
  <c r="AC231" i="19"/>
  <c r="AC232" i="19"/>
  <c r="AC233" i="19"/>
  <c r="AC234" i="19"/>
  <c r="AC235" i="19"/>
  <c r="AC236" i="19"/>
  <c r="AC237" i="19"/>
  <c r="AC239" i="19"/>
  <c r="AC240" i="19"/>
  <c r="AC241" i="19"/>
  <c r="AC242" i="19"/>
  <c r="AC243" i="19"/>
  <c r="AC244" i="19"/>
  <c r="AC245" i="19"/>
  <c r="AC246" i="19"/>
  <c r="AC247" i="19"/>
  <c r="AC248" i="19"/>
  <c r="AC249" i="19"/>
  <c r="AC250" i="19"/>
  <c r="AC251" i="19"/>
  <c r="AC252" i="19"/>
  <c r="AC253" i="19"/>
  <c r="AC254" i="19"/>
  <c r="AC255" i="19"/>
  <c r="AC256" i="19"/>
  <c r="AC257" i="19"/>
  <c r="AC258" i="19"/>
  <c r="AC21" i="19"/>
  <c r="AC22" i="19"/>
  <c r="AC14" i="19"/>
  <c r="AC16" i="19"/>
  <c r="AC29" i="19"/>
  <c r="AC30" i="19"/>
  <c r="AC31" i="19"/>
  <c r="AC32" i="19"/>
  <c r="AC33" i="19"/>
  <c r="AC34" i="19"/>
  <c r="AC35" i="19"/>
  <c r="AC36" i="19"/>
  <c r="AC37" i="19"/>
  <c r="AC38" i="19"/>
  <c r="AC39" i="19"/>
  <c r="AC40" i="19"/>
  <c r="AC44" i="19"/>
  <c r="AC45" i="19"/>
  <c r="AC46" i="19"/>
  <c r="AC47" i="19"/>
  <c r="AC54" i="19"/>
  <c r="AC55" i="19"/>
  <c r="AC56" i="19"/>
  <c r="AC57" i="19"/>
  <c r="AC58" i="19"/>
  <c r="AC59" i="19"/>
  <c r="AC60" i="19"/>
  <c r="AC61" i="19"/>
  <c r="AC67" i="19"/>
  <c r="AC68" i="19"/>
  <c r="AC69" i="19"/>
  <c r="AC70" i="19"/>
  <c r="AC71" i="19"/>
  <c r="AC72" i="19"/>
  <c r="AC73" i="19"/>
  <c r="AC78" i="19"/>
  <c r="AC79" i="19"/>
  <c r="AC80" i="19"/>
  <c r="AC81" i="19"/>
  <c r="AC66" i="19"/>
  <c r="AC75" i="19"/>
  <c r="AC76" i="19"/>
  <c r="AC77" i="19"/>
  <c r="AC82" i="19"/>
  <c r="AC83" i="19"/>
  <c r="AC89" i="19"/>
  <c r="AC90" i="19"/>
  <c r="AC91" i="19"/>
  <c r="AC92" i="19"/>
  <c r="AC93" i="19"/>
  <c r="AC94" i="19"/>
  <c r="AC95" i="19"/>
  <c r="AC96" i="19"/>
  <c r="AC97" i="19"/>
  <c r="AC98" i="19"/>
  <c r="AC99" i="19"/>
  <c r="AC100" i="19"/>
  <c r="AC101" i="19"/>
  <c r="AC102" i="19"/>
  <c r="AC103" i="19"/>
  <c r="AC259" i="19"/>
  <c r="AC260" i="19"/>
  <c r="AC261" i="19"/>
  <c r="AC262" i="19"/>
  <c r="AC263" i="19"/>
  <c r="AC264" i="19"/>
  <c r="AC265" i="19"/>
  <c r="AC266" i="19"/>
  <c r="AC267" i="19"/>
  <c r="AC268" i="19"/>
  <c r="AC269" i="19"/>
  <c r="AC270" i="19"/>
  <c r="AC271" i="19"/>
  <c r="AC108" i="19"/>
  <c r="AS340" i="19"/>
  <c r="AU340" i="19" s="1"/>
  <c r="AE298" i="19"/>
  <c r="AE279" i="19"/>
  <c r="AE280" i="19"/>
  <c r="AE281" i="19"/>
  <c r="AE282" i="19"/>
  <c r="AE286" i="19"/>
  <c r="AC204" i="19"/>
  <c r="AC203" i="19"/>
  <c r="AC213" i="19"/>
  <c r="AA64" i="13"/>
  <c r="AC109" i="19"/>
  <c r="AC110" i="19"/>
  <c r="AC111" i="19"/>
  <c r="AC112" i="19"/>
  <c r="AC113" i="19"/>
  <c r="AC114" i="19"/>
  <c r="AC115" i="19"/>
  <c r="AC116" i="19"/>
  <c r="AC117" i="19"/>
  <c r="AC119" i="19"/>
  <c r="AC120" i="19"/>
  <c r="AC121" i="19"/>
  <c r="AC122" i="19"/>
  <c r="AC123" i="19"/>
  <c r="AC124" i="19"/>
  <c r="AC126" i="19"/>
  <c r="AC127" i="19"/>
  <c r="AE135" i="19"/>
  <c r="AC135" i="19"/>
  <c r="AC136" i="19"/>
  <c r="AC137" i="19"/>
  <c r="AC138" i="19"/>
  <c r="AC139" i="19"/>
  <c r="AC140" i="19"/>
  <c r="AC141" i="19"/>
  <c r="AC142" i="19"/>
  <c r="AE144" i="19"/>
  <c r="AC144" i="19"/>
  <c r="AC145" i="19"/>
  <c r="AC146" i="19"/>
  <c r="AC147" i="19"/>
  <c r="AC148" i="19"/>
  <c r="AC149" i="19"/>
  <c r="AC150" i="19"/>
  <c r="AC151" i="19"/>
  <c r="AC152" i="19"/>
  <c r="AC153" i="19"/>
  <c r="AC154" i="19"/>
  <c r="AC155" i="19"/>
  <c r="AC156" i="19"/>
  <c r="AC157" i="19"/>
  <c r="AC158" i="19"/>
  <c r="AC159" i="19"/>
  <c r="AC160" i="19"/>
  <c r="AC161" i="19"/>
  <c r="AC162" i="19"/>
  <c r="AC163" i="19"/>
  <c r="AC164" i="19"/>
  <c r="AC165" i="19"/>
  <c r="AC166" i="19"/>
  <c r="AC167" i="19"/>
  <c r="AC168" i="19"/>
  <c r="AC169" i="19"/>
  <c r="AC170" i="19"/>
  <c r="AE171" i="19"/>
  <c r="AC171" i="19"/>
  <c r="AC172" i="19"/>
  <c r="AC173" i="19"/>
  <c r="AC174" i="19"/>
  <c r="AC175" i="19"/>
  <c r="AC176" i="19"/>
  <c r="AC225" i="19"/>
  <c r="AC290" i="19"/>
  <c r="AC276" i="19"/>
  <c r="AC277" i="19"/>
  <c r="AC278" i="19"/>
  <c r="AC279" i="19"/>
  <c r="AC280" i="19"/>
  <c r="AC281" i="19"/>
  <c r="AC282" i="19"/>
  <c r="AC286" i="19"/>
  <c r="V8" i="19"/>
  <c r="Y64" i="13"/>
  <c r="E54" i="13"/>
  <c r="G54" i="13" s="1"/>
  <c r="E56" i="13"/>
  <c r="E58" i="13"/>
  <c r="E60" i="13"/>
  <c r="U48" i="13"/>
  <c r="U50" i="13"/>
  <c r="U52" i="13"/>
  <c r="U54" i="13"/>
  <c r="W54" i="13" s="1"/>
  <c r="U60" i="13"/>
  <c r="W12" i="13"/>
  <c r="AC182" i="19"/>
  <c r="AC183" i="19"/>
  <c r="AC180" i="19"/>
  <c r="X283" i="19"/>
  <c r="X285" i="19"/>
  <c r="X287" i="19"/>
  <c r="G21" i="5"/>
  <c r="AC298" i="19"/>
  <c r="AG343" i="19"/>
  <c r="AI343" i="19"/>
  <c r="AK343" i="19"/>
  <c r="AM343" i="19"/>
  <c r="AO343" i="19"/>
  <c r="AQ343" i="19"/>
  <c r="AS343" i="19"/>
  <c r="X272" i="19"/>
  <c r="X274" i="19"/>
  <c r="B30" i="16"/>
  <c r="A30" i="16"/>
  <c r="I30" i="16" s="1"/>
  <c r="K24" i="16"/>
  <c r="G12" i="28"/>
  <c r="G13" i="28"/>
  <c r="G14" i="28"/>
  <c r="G15" i="28"/>
  <c r="G16" i="28"/>
  <c r="G17" i="28"/>
  <c r="G18" i="28"/>
  <c r="G19" i="28"/>
  <c r="G20" i="28"/>
  <c r="G21" i="28"/>
  <c r="G22" i="28"/>
  <c r="G23" i="28"/>
  <c r="B15" i="28"/>
  <c r="B16" i="28" s="1"/>
  <c r="B17" i="28"/>
  <c r="B18" i="28" s="1"/>
  <c r="B19" i="28" s="1"/>
  <c r="B20" i="28" s="1"/>
  <c r="B21" i="28" s="1"/>
  <c r="B22" i="28" s="1"/>
  <c r="B23" i="28" s="1"/>
  <c r="B24" i="28" s="1"/>
  <c r="B25" i="28" s="1"/>
  <c r="B26" i="28" s="1"/>
  <c r="B27" i="28" s="1"/>
  <c r="B28" i="28" s="1"/>
  <c r="F37" i="2"/>
  <c r="H33" i="2" s="1"/>
  <c r="I15" i="16"/>
  <c r="M15" i="16" s="1"/>
  <c r="I16" i="16"/>
  <c r="M16" i="16" s="1"/>
  <c r="I17" i="16"/>
  <c r="M17" i="16" s="1"/>
  <c r="I18" i="16"/>
  <c r="M18" i="16" s="1"/>
  <c r="I19" i="16"/>
  <c r="M19" i="16"/>
  <c r="I20" i="16"/>
  <c r="M20" i="16" s="1"/>
  <c r="I21" i="16"/>
  <c r="M21" i="16" s="1"/>
  <c r="AC202" i="19"/>
  <c r="AE202" i="19"/>
  <c r="H12" i="7"/>
  <c r="X179" i="19"/>
  <c r="X181" i="19"/>
  <c r="X185" i="19"/>
  <c r="X186" i="19"/>
  <c r="AE180" i="19"/>
  <c r="AC198" i="19"/>
  <c r="AC200" i="19"/>
  <c r="AC201" i="19"/>
  <c r="AE199" i="19"/>
  <c r="AC199" i="19"/>
  <c r="AC205" i="19"/>
  <c r="AC197" i="19"/>
  <c r="X42" i="19"/>
  <c r="X43" i="19"/>
  <c r="X49" i="19"/>
  <c r="X51" i="19"/>
  <c r="X52" i="19"/>
  <c r="X53" i="19"/>
  <c r="X63" i="19"/>
  <c r="X64" i="19"/>
  <c r="X65" i="19"/>
  <c r="X85" i="19"/>
  <c r="X87" i="19"/>
  <c r="X88" i="19"/>
  <c r="X104" i="19"/>
  <c r="X106" i="19"/>
  <c r="X107" i="19"/>
  <c r="X128" i="19"/>
  <c r="X130" i="19"/>
  <c r="X133" i="19"/>
  <c r="X134" i="19"/>
  <c r="X177" i="19"/>
  <c r="X18" i="19"/>
  <c r="X19" i="19"/>
  <c r="X20" i="19"/>
  <c r="X24" i="19"/>
  <c r="X26" i="19"/>
  <c r="X27" i="19"/>
  <c r="X28" i="19"/>
  <c r="AC188" i="19"/>
  <c r="AC187" i="19"/>
  <c r="AC125" i="19"/>
  <c r="AU353" i="19"/>
  <c r="AH352" i="19"/>
  <c r="AJ352" i="19"/>
  <c r="AL352" i="19"/>
  <c r="AN352" i="19"/>
  <c r="AP352" i="19"/>
  <c r="AR352" i="19"/>
  <c r="AH351" i="19"/>
  <c r="AJ351" i="19"/>
  <c r="AL351" i="19"/>
  <c r="AN351" i="19"/>
  <c r="AP351" i="19"/>
  <c r="AR351" i="19"/>
  <c r="AH350" i="19"/>
  <c r="AJ350" i="19"/>
  <c r="AL350" i="19"/>
  <c r="AN350" i="19"/>
  <c r="AP350" i="19"/>
  <c r="AR350" i="19"/>
  <c r="AH349" i="19"/>
  <c r="AJ349" i="19"/>
  <c r="AL349" i="19"/>
  <c r="AN349" i="19"/>
  <c r="AP349" i="19"/>
  <c r="AR349" i="19"/>
  <c r="AH347" i="19"/>
  <c r="AJ347" i="19"/>
  <c r="AL347" i="19"/>
  <c r="AN347" i="19"/>
  <c r="AP347" i="19"/>
  <c r="AR347" i="19"/>
  <c r="AH344" i="19"/>
  <c r="AJ344" i="19"/>
  <c r="AL344" i="19"/>
  <c r="AN344" i="19"/>
  <c r="AP344" i="19"/>
  <c r="AR344" i="19"/>
  <c r="AH343" i="19"/>
  <c r="AJ343" i="19"/>
  <c r="AL343" i="19"/>
  <c r="AN343" i="19"/>
  <c r="AP343" i="19"/>
  <c r="AR343" i="19"/>
  <c r="AU341" i="19"/>
  <c r="A10" i="29"/>
  <c r="A12" i="29" s="1"/>
  <c r="A14" i="29" s="1"/>
  <c r="A16" i="29" s="1"/>
  <c r="A18" i="29" s="1"/>
  <c r="A20" i="29" s="1"/>
  <c r="A22" i="29" s="1"/>
  <c r="A24" i="29" s="1"/>
  <c r="A26" i="29" s="1"/>
  <c r="S350" i="19"/>
  <c r="S349" i="19"/>
  <c r="S347" i="19"/>
  <c r="X340" i="19"/>
  <c r="F21" i="11"/>
  <c r="F22" i="11"/>
  <c r="F23" i="11"/>
  <c r="F24" i="11"/>
  <c r="F19" i="11"/>
  <c r="F20" i="11"/>
  <c r="F18" i="11"/>
  <c r="D18" i="11"/>
  <c r="D24" i="11"/>
  <c r="D23" i="11"/>
  <c r="D22" i="11"/>
  <c r="D21" i="11"/>
  <c r="D20" i="11"/>
  <c r="D19" i="11"/>
  <c r="X211" i="19"/>
  <c r="X212" i="19"/>
  <c r="X214" i="19"/>
  <c r="X191" i="19"/>
  <c r="X195" i="19"/>
  <c r="X208" i="19"/>
  <c r="X209" i="19"/>
  <c r="X224" i="19"/>
  <c r="E19" i="5"/>
  <c r="E48" i="5"/>
  <c r="D50" i="11"/>
  <c r="F42" i="11" s="1"/>
  <c r="F17" i="9"/>
  <c r="AO74" i="9"/>
  <c r="P167" i="9"/>
  <c r="T167" i="9"/>
  <c r="X167" i="9"/>
  <c r="AB167" i="9"/>
  <c r="AF167" i="9"/>
  <c r="AJ167" i="9"/>
  <c r="AL167" i="9"/>
  <c r="P169" i="9"/>
  <c r="T169" i="9"/>
  <c r="X169" i="9"/>
  <c r="AB169" i="9"/>
  <c r="AF169" i="9"/>
  <c r="AJ169" i="9"/>
  <c r="AL169" i="9"/>
  <c r="P171" i="9"/>
  <c r="T171" i="9"/>
  <c r="X171" i="9"/>
  <c r="AB171" i="9"/>
  <c r="AF171" i="9"/>
  <c r="AJ171" i="9"/>
  <c r="AL171" i="9"/>
  <c r="P173" i="9"/>
  <c r="T173" i="9"/>
  <c r="X173" i="9"/>
  <c r="AB173" i="9"/>
  <c r="AF173" i="9"/>
  <c r="AJ173" i="9"/>
  <c r="AL173" i="9"/>
  <c r="P175" i="9"/>
  <c r="T175" i="9"/>
  <c r="X175" i="9"/>
  <c r="AB175" i="9"/>
  <c r="AF175" i="9"/>
  <c r="AJ175" i="9"/>
  <c r="AL175" i="9"/>
  <c r="P177" i="9"/>
  <c r="AN177" i="9" s="1"/>
  <c r="T177" i="9"/>
  <c r="X177" i="9"/>
  <c r="AB177" i="9"/>
  <c r="AF177" i="9"/>
  <c r="AJ177" i="9"/>
  <c r="AL177" i="9"/>
  <c r="P179" i="9"/>
  <c r="T179" i="9"/>
  <c r="X179" i="9"/>
  <c r="AB179" i="9"/>
  <c r="AF179" i="9"/>
  <c r="AJ179" i="9"/>
  <c r="AL179" i="9"/>
  <c r="P181" i="9"/>
  <c r="T181" i="9"/>
  <c r="X181" i="9"/>
  <c r="AB181" i="9"/>
  <c r="AF181" i="9"/>
  <c r="AJ181" i="9"/>
  <c r="AL181" i="9"/>
  <c r="P183" i="9"/>
  <c r="T183" i="9"/>
  <c r="X183" i="9"/>
  <c r="AB183" i="9"/>
  <c r="AF183" i="9"/>
  <c r="AJ183" i="9"/>
  <c r="AL183" i="9"/>
  <c r="P185" i="9"/>
  <c r="T185" i="9"/>
  <c r="X185" i="9"/>
  <c r="AB185" i="9"/>
  <c r="AF185" i="9"/>
  <c r="AJ185" i="9"/>
  <c r="AL185" i="9"/>
  <c r="N187" i="9"/>
  <c r="R187" i="9"/>
  <c r="V187" i="9"/>
  <c r="Z187" i="9"/>
  <c r="AD187" i="9"/>
  <c r="AH187" i="9"/>
  <c r="AE213" i="19"/>
  <c r="X196" i="19"/>
  <c r="X132" i="19"/>
  <c r="E46" i="13"/>
  <c r="F46" i="11"/>
  <c r="F47" i="11"/>
  <c r="F48" i="11"/>
  <c r="F43" i="11"/>
  <c r="F45" i="11"/>
  <c r="AE277" i="19"/>
  <c r="F44" i="11"/>
  <c r="Q54" i="13"/>
  <c r="S54" i="13" s="1"/>
  <c r="H38" i="8"/>
  <c r="N36" i="8" s="1"/>
  <c r="L16" i="8" s="1"/>
  <c r="AE67" i="19" l="1"/>
  <c r="AQ67" i="19" s="1"/>
  <c r="P16" i="6"/>
  <c r="F15" i="7"/>
  <c r="H15" i="7" s="1"/>
  <c r="AN175" i="9"/>
  <c r="AN183" i="9"/>
  <c r="H35" i="2"/>
  <c r="AI334" i="19" s="1"/>
  <c r="AI15" i="19" s="1"/>
  <c r="AO294" i="19"/>
  <c r="AM294" i="19"/>
  <c r="AI294" i="19"/>
  <c r="AQ294" i="19"/>
  <c r="AQ213" i="19"/>
  <c r="AQ241" i="19"/>
  <c r="AK158" i="19"/>
  <c r="AQ232" i="19"/>
  <c r="AE95" i="19"/>
  <c r="AK95" i="19" s="1"/>
  <c r="AE38" i="19"/>
  <c r="K37" i="1"/>
  <c r="AO213" i="19"/>
  <c r="AQ135" i="19"/>
  <c r="AG213" i="19"/>
  <c r="AB187" i="9"/>
  <c r="AI213" i="19"/>
  <c r="AN179" i="9"/>
  <c r="AN173" i="9"/>
  <c r="X187" i="9"/>
  <c r="AK213" i="19"/>
  <c r="F50" i="11"/>
  <c r="AM172" i="19"/>
  <c r="AK154" i="19"/>
  <c r="AO243" i="19"/>
  <c r="AK149" i="19"/>
  <c r="AK256" i="19"/>
  <c r="AM248" i="19"/>
  <c r="AQ239" i="19"/>
  <c r="AM157" i="19"/>
  <c r="AO144" i="19"/>
  <c r="AK255" i="19"/>
  <c r="AO147" i="19"/>
  <c r="AO236" i="19"/>
  <c r="AM228" i="19"/>
  <c r="AO155" i="19"/>
  <c r="AQ145" i="19"/>
  <c r="O62" i="13"/>
  <c r="AM147" i="19"/>
  <c r="AG255" i="19"/>
  <c r="O56" i="13"/>
  <c r="AM255" i="19"/>
  <c r="G56" i="13"/>
  <c r="W56" i="13"/>
  <c r="AO145" i="19"/>
  <c r="AO135" i="19"/>
  <c r="I56" i="13"/>
  <c r="K56" i="13" s="1"/>
  <c r="O12" i="13"/>
  <c r="O46" i="13"/>
  <c r="M48" i="13"/>
  <c r="E50" i="13"/>
  <c r="Q52" i="13"/>
  <c r="S46" i="13"/>
  <c r="S12" i="13"/>
  <c r="I52" i="13"/>
  <c r="O58" i="13"/>
  <c r="G12" i="13"/>
  <c r="E32" i="13"/>
  <c r="I60" i="13"/>
  <c r="G60" i="13"/>
  <c r="AM286" i="19"/>
  <c r="AQ286" i="19"/>
  <c r="AO286" i="19"/>
  <c r="AI286" i="19"/>
  <c r="AK242" i="19"/>
  <c r="AQ242" i="19"/>
  <c r="AE161" i="19"/>
  <c r="AM161" i="19" s="1"/>
  <c r="AI157" i="19"/>
  <c r="W60" i="13"/>
  <c r="N34" i="8"/>
  <c r="AQ279" i="19"/>
  <c r="AM279" i="19"/>
  <c r="AK279" i="19"/>
  <c r="AO279" i="19"/>
  <c r="AK156" i="19"/>
  <c r="AO156" i="19"/>
  <c r="AM156" i="19"/>
  <c r="AQ156" i="19"/>
  <c r="AI198" i="19"/>
  <c r="AQ198" i="19"/>
  <c r="AS198" i="19"/>
  <c r="AM198" i="19"/>
  <c r="AK198" i="19"/>
  <c r="AO137" i="19"/>
  <c r="AM137" i="19"/>
  <c r="AM135" i="19"/>
  <c r="AQ147" i="19"/>
  <c r="AK147" i="19"/>
  <c r="AO239" i="19"/>
  <c r="AK135" i="19"/>
  <c r="AE162" i="19"/>
  <c r="AG162" i="19" s="1"/>
  <c r="D26" i="11"/>
  <c r="AG198" i="19"/>
  <c r="F26" i="11"/>
  <c r="AE258" i="19"/>
  <c r="AQ258" i="19" s="1"/>
  <c r="AQ256" i="19"/>
  <c r="AE119" i="19"/>
  <c r="AE97" i="19"/>
  <c r="AM97" i="19" s="1"/>
  <c r="AE188" i="19"/>
  <c r="AE112" i="19"/>
  <c r="AE187" i="19"/>
  <c r="AO21" i="19"/>
  <c r="AK21" i="19"/>
  <c r="AM21" i="19"/>
  <c r="AQ21" i="19"/>
  <c r="AE121" i="19"/>
  <c r="AE114" i="19"/>
  <c r="AE126" i="19"/>
  <c r="AG126" i="19" s="1"/>
  <c r="AQ160" i="19"/>
  <c r="AK160" i="19"/>
  <c r="AI160" i="19"/>
  <c r="AM160" i="19"/>
  <c r="AO160" i="19"/>
  <c r="AS160" i="19"/>
  <c r="AG160" i="19"/>
  <c r="AO244" i="19"/>
  <c r="AQ244" i="19"/>
  <c r="AQ153" i="19"/>
  <c r="AM153" i="19"/>
  <c r="AM231" i="19"/>
  <c r="AK231" i="19"/>
  <c r="AQ250" i="19"/>
  <c r="AM250" i="19"/>
  <c r="AO250" i="19"/>
  <c r="AI250" i="19"/>
  <c r="AQ229" i="19"/>
  <c r="AO229" i="19"/>
  <c r="AM229" i="19"/>
  <c r="AK229" i="19"/>
  <c r="AI256" i="19"/>
  <c r="AS256" i="19"/>
  <c r="AQ157" i="19"/>
  <c r="AO157" i="19"/>
  <c r="AO256" i="19"/>
  <c r="AM256" i="19"/>
  <c r="AI248" i="19"/>
  <c r="AI158" i="19"/>
  <c r="AM242" i="19"/>
  <c r="AQ154" i="19"/>
  <c r="AG256" i="19"/>
  <c r="AQ248" i="19"/>
  <c r="AO242" i="19"/>
  <c r="AE253" i="19"/>
  <c r="AQ253" i="19" s="1"/>
  <c r="AQ137" i="19"/>
  <c r="AK144" i="19"/>
  <c r="AQ144" i="19"/>
  <c r="AK137" i="19"/>
  <c r="AM144" i="19"/>
  <c r="AE80" i="19"/>
  <c r="AK230" i="19"/>
  <c r="AQ230" i="19"/>
  <c r="AO230" i="19"/>
  <c r="AM230" i="19"/>
  <c r="AE252" i="19"/>
  <c r="M54" i="13"/>
  <c r="AE267" i="19"/>
  <c r="AE257" i="19"/>
  <c r="AE251" i="19"/>
  <c r="AO251" i="19" s="1"/>
  <c r="AE110" i="19"/>
  <c r="AG281" i="19"/>
  <c r="AO281" i="19"/>
  <c r="AQ281" i="19"/>
  <c r="AS281" i="19"/>
  <c r="AM281" i="19"/>
  <c r="AI281" i="19"/>
  <c r="AK281" i="19"/>
  <c r="AO237" i="19"/>
  <c r="AQ237" i="19"/>
  <c r="AK237" i="19"/>
  <c r="AM237" i="19"/>
  <c r="AE124" i="19"/>
  <c r="AE200" i="19"/>
  <c r="AQ200" i="19" s="1"/>
  <c r="AM232" i="19"/>
  <c r="AQ245" i="19"/>
  <c r="Q48" i="13"/>
  <c r="AN167" i="9"/>
  <c r="AJ187" i="9"/>
  <c r="M30" i="16"/>
  <c r="M32" i="16" s="1"/>
  <c r="I22" i="16"/>
  <c r="M22" i="16" s="1"/>
  <c r="AU343" i="19"/>
  <c r="Y28" i="13"/>
  <c r="AE73" i="19"/>
  <c r="AE146" i="19"/>
  <c r="AK146" i="19" s="1"/>
  <c r="AO235" i="19"/>
  <c r="AQ235" i="19"/>
  <c r="AM235" i="19"/>
  <c r="H37" i="2"/>
  <c r="G37" i="1"/>
  <c r="AE278" i="19"/>
  <c r="AK278" i="19" s="1"/>
  <c r="AK98" i="19"/>
  <c r="AI98" i="19"/>
  <c r="AM98" i="19"/>
  <c r="AG98" i="19"/>
  <c r="AO98" i="19"/>
  <c r="AI155" i="19"/>
  <c r="AQ155" i="19"/>
  <c r="AE150" i="19"/>
  <c r="G46" i="13"/>
  <c r="AE72" i="19"/>
  <c r="AI72" i="19" s="1"/>
  <c r="AK243" i="19"/>
  <c r="AQ243" i="19"/>
  <c r="AM243" i="19"/>
  <c r="AK236" i="19"/>
  <c r="AI236" i="19"/>
  <c r="AQ236" i="19"/>
  <c r="AM236" i="19"/>
  <c r="AO149" i="19"/>
  <c r="AQ149" i="19"/>
  <c r="AM149" i="19"/>
  <c r="AM227" i="19"/>
  <c r="AQ227" i="19"/>
  <c r="AK227" i="19"/>
  <c r="AO227" i="19"/>
  <c r="M60" i="13"/>
  <c r="O60" i="13" s="1"/>
  <c r="AE122" i="19"/>
  <c r="AE120" i="19"/>
  <c r="AE111" i="19"/>
  <c r="Q60" i="13"/>
  <c r="S60" i="13" s="1"/>
  <c r="AQ142" i="19"/>
  <c r="AM142" i="19"/>
  <c r="AO142" i="19"/>
  <c r="AK142" i="19"/>
  <c r="H284" i="19"/>
  <c r="AE276" i="19"/>
  <c r="AK276" i="19" s="1"/>
  <c r="AM247" i="19"/>
  <c r="AQ247" i="19"/>
  <c r="AK247" i="19"/>
  <c r="AO247" i="19"/>
  <c r="AK241" i="19"/>
  <c r="AM241" i="19"/>
  <c r="AO241" i="19"/>
  <c r="AK232" i="19"/>
  <c r="AO232" i="19"/>
  <c r="AE290" i="19"/>
  <c r="AE301" i="19" s="1"/>
  <c r="H301" i="19"/>
  <c r="M24" i="16"/>
  <c r="AI277" i="19"/>
  <c r="AO277" i="19"/>
  <c r="AQ277" i="19"/>
  <c r="AM277" i="19"/>
  <c r="AQ255" i="19"/>
  <c r="AI255" i="19"/>
  <c r="AS255" i="19"/>
  <c r="AO255" i="19"/>
  <c r="AI151" i="19"/>
  <c r="AM151" i="19"/>
  <c r="AQ151" i="19"/>
  <c r="AO151" i="19"/>
  <c r="AK140" i="19"/>
  <c r="AO140" i="19"/>
  <c r="V18" i="8"/>
  <c r="V15" i="8"/>
  <c r="F24" i="7"/>
  <c r="F27" i="7"/>
  <c r="H27" i="7" s="1"/>
  <c r="L16" i="6" s="1"/>
  <c r="AK337" i="19" s="1"/>
  <c r="AO248" i="19"/>
  <c r="AK244" i="19"/>
  <c r="AM244" i="19"/>
  <c r="AL187" i="9"/>
  <c r="AM158" i="19"/>
  <c r="AG158" i="19"/>
  <c r="AQ158" i="19"/>
  <c r="AO153" i="19"/>
  <c r="AI153" i="19"/>
  <c r="AO148" i="19"/>
  <c r="AK148" i="19"/>
  <c r="AM148" i="19"/>
  <c r="AQ148" i="19"/>
  <c r="Q62" i="13"/>
  <c r="S62" i="13" s="1"/>
  <c r="Y30" i="13"/>
  <c r="I62" i="13"/>
  <c r="AM240" i="19"/>
  <c r="AQ240" i="19"/>
  <c r="AO240" i="19"/>
  <c r="AK240" i="19"/>
  <c r="AQ231" i="19"/>
  <c r="AO231" i="19"/>
  <c r="H273" i="19"/>
  <c r="M32" i="13"/>
  <c r="Y12" i="13"/>
  <c r="E52" i="13"/>
  <c r="Y20" i="13"/>
  <c r="AE81" i="19"/>
  <c r="Q58" i="13"/>
  <c r="S58" i="13" s="1"/>
  <c r="AI245" i="19"/>
  <c r="AM245" i="19"/>
  <c r="AO245" i="19"/>
  <c r="AM239" i="19"/>
  <c r="AK239" i="19"/>
  <c r="AO249" i="19"/>
  <c r="AM249" i="19"/>
  <c r="AQ249" i="19"/>
  <c r="AK249" i="19"/>
  <c r="AK228" i="19"/>
  <c r="AO228" i="19"/>
  <c r="AQ228" i="19"/>
  <c r="AQ141" i="19"/>
  <c r="AO141" i="19"/>
  <c r="AE136" i="19"/>
  <c r="H178" i="19"/>
  <c r="AF187" i="9"/>
  <c r="AN169" i="9"/>
  <c r="W46" i="13"/>
  <c r="AK141" i="19"/>
  <c r="AO154" i="19"/>
  <c r="AM154" i="19"/>
  <c r="AE115" i="19"/>
  <c r="AN181" i="9"/>
  <c r="K32" i="16"/>
  <c r="K34" i="16" s="1"/>
  <c r="AK152" i="19"/>
  <c r="AQ152" i="19"/>
  <c r="AO152" i="19"/>
  <c r="AM152" i="19"/>
  <c r="AE159" i="19"/>
  <c r="AE123" i="19"/>
  <c r="G58" i="13"/>
  <c r="AI280" i="19"/>
  <c r="AM280" i="19"/>
  <c r="T187" i="9"/>
  <c r="AO280" i="19"/>
  <c r="AQ280" i="19"/>
  <c r="AK172" i="19"/>
  <c r="AO172" i="19"/>
  <c r="AQ172" i="19"/>
  <c r="AM140" i="19"/>
  <c r="AQ140" i="19"/>
  <c r="AE254" i="19"/>
  <c r="AE163" i="19"/>
  <c r="AN185" i="9"/>
  <c r="P187" i="9"/>
  <c r="AK145" i="19"/>
  <c r="AM145" i="19"/>
  <c r="AN171" i="9"/>
  <c r="AM155" i="19"/>
  <c r="AE226" i="19"/>
  <c r="AO226" i="19" s="1"/>
  <c r="AO198" i="19"/>
  <c r="AM141" i="19"/>
  <c r="AI230" i="19" l="1"/>
  <c r="AI140" i="19"/>
  <c r="AI141" i="19"/>
  <c r="AI142" i="19"/>
  <c r="AI237" i="19"/>
  <c r="AI231" i="19"/>
  <c r="AI243" i="19"/>
  <c r="AI38" i="19"/>
  <c r="AI148" i="19"/>
  <c r="AI227" i="19"/>
  <c r="AI229" i="19"/>
  <c r="AI172" i="19"/>
  <c r="AI149" i="19"/>
  <c r="AI279" i="19"/>
  <c r="AI296" i="19"/>
  <c r="AI135" i="19"/>
  <c r="AI21" i="19"/>
  <c r="AI244" i="19"/>
  <c r="AE44" i="19"/>
  <c r="AQ44" i="19" s="1"/>
  <c r="H318" i="19"/>
  <c r="AM67" i="19"/>
  <c r="AO67" i="19"/>
  <c r="AQ38" i="19"/>
  <c r="AK294" i="19"/>
  <c r="AK295" i="19"/>
  <c r="AK151" i="19"/>
  <c r="AK74" i="19"/>
  <c r="AE70" i="19"/>
  <c r="AO70" i="19" s="1"/>
  <c r="AE75" i="19"/>
  <c r="AK38" i="19"/>
  <c r="AO38" i="19"/>
  <c r="AM38" i="19"/>
  <c r="AG95" i="19"/>
  <c r="AE127" i="19"/>
  <c r="AE39" i="19"/>
  <c r="AQ39" i="19" s="1"/>
  <c r="AE16" i="19"/>
  <c r="AM16" i="19" s="1"/>
  <c r="AE35" i="19"/>
  <c r="AI35" i="19" s="1"/>
  <c r="AE36" i="19"/>
  <c r="AK36" i="19" s="1"/>
  <c r="AI95" i="19"/>
  <c r="AM95" i="19"/>
  <c r="AO95" i="19"/>
  <c r="E48" i="13"/>
  <c r="E66" i="13" s="1"/>
  <c r="AG258" i="19"/>
  <c r="AK253" i="19"/>
  <c r="AI253" i="19"/>
  <c r="AG253" i="19"/>
  <c r="AO162" i="19"/>
  <c r="AI161" i="19"/>
  <c r="Y16" i="13"/>
  <c r="I50" i="13"/>
  <c r="I48" i="13"/>
  <c r="I58" i="13"/>
  <c r="K58" i="13" s="1"/>
  <c r="AI162" i="19"/>
  <c r="AK161" i="19"/>
  <c r="AQ161" i="19"/>
  <c r="AG161" i="19"/>
  <c r="AM276" i="19"/>
  <c r="H16" i="8"/>
  <c r="N38" i="8"/>
  <c r="AM162" i="19"/>
  <c r="AO161" i="19"/>
  <c r="AO276" i="19"/>
  <c r="AQ162" i="19"/>
  <c r="AK162" i="19"/>
  <c r="AS161" i="19"/>
  <c r="AQ278" i="19"/>
  <c r="AS258" i="19"/>
  <c r="AO258" i="19"/>
  <c r="AM258" i="19"/>
  <c r="AI258" i="19"/>
  <c r="AO278" i="19"/>
  <c r="AS162" i="19"/>
  <c r="AK258" i="19"/>
  <c r="AK97" i="19"/>
  <c r="AI97" i="19"/>
  <c r="AO97" i="19"/>
  <c r="H22" i="19"/>
  <c r="AE22" i="19" s="1"/>
  <c r="AK22" i="19" s="1"/>
  <c r="AK23" i="19" s="1"/>
  <c r="AG97" i="19"/>
  <c r="AE90" i="19"/>
  <c r="AE190" i="19"/>
  <c r="AE69" i="19"/>
  <c r="AS69" i="19" s="1"/>
  <c r="H190" i="19"/>
  <c r="AQ72" i="19"/>
  <c r="AE101" i="19"/>
  <c r="AM101" i="19" s="1"/>
  <c r="H310" i="19"/>
  <c r="AO126" i="19"/>
  <c r="AK72" i="19"/>
  <c r="AM72" i="19"/>
  <c r="AE89" i="19"/>
  <c r="AI126" i="19"/>
  <c r="AK126" i="19"/>
  <c r="AG72" i="19"/>
  <c r="AM126" i="19"/>
  <c r="AO72" i="19"/>
  <c r="AK251" i="19"/>
  <c r="AM253" i="19"/>
  <c r="AQ251" i="19"/>
  <c r="AK226" i="19"/>
  <c r="AE78" i="19"/>
  <c r="AK254" i="19"/>
  <c r="AM254" i="19"/>
  <c r="AQ254" i="19"/>
  <c r="AI254" i="19"/>
  <c r="I54" i="13"/>
  <c r="Y22" i="13"/>
  <c r="K62" i="13"/>
  <c r="AA62" i="13" s="1"/>
  <c r="Y62" i="13"/>
  <c r="AE60" i="19"/>
  <c r="AE32" i="19"/>
  <c r="AG254" i="19"/>
  <c r="AE45" i="19"/>
  <c r="AK245" i="19"/>
  <c r="AE37" i="19"/>
  <c r="AM278" i="19"/>
  <c r="AS72" i="19"/>
  <c r="AK73" i="19"/>
  <c r="AM73" i="19"/>
  <c r="AQ73" i="19"/>
  <c r="AO73" i="19"/>
  <c r="AG73" i="19"/>
  <c r="AS73" i="19"/>
  <c r="AI73" i="19"/>
  <c r="AN187" i="9"/>
  <c r="AE30" i="19"/>
  <c r="AM200" i="19"/>
  <c r="AO200" i="19"/>
  <c r="AK200" i="19"/>
  <c r="AI200" i="19"/>
  <c r="AM251" i="19"/>
  <c r="AE59" i="19"/>
  <c r="AE57" i="19"/>
  <c r="Q50" i="13"/>
  <c r="Y18" i="13"/>
  <c r="AE79" i="19"/>
  <c r="U58" i="13"/>
  <c r="U32" i="13"/>
  <c r="Q32" i="13"/>
  <c r="O54" i="13"/>
  <c r="M66" i="13"/>
  <c r="AK280" i="19"/>
  <c r="K60" i="13"/>
  <c r="AA60" i="13" s="1"/>
  <c r="Y60" i="13"/>
  <c r="H24" i="7"/>
  <c r="F29" i="7"/>
  <c r="AE82" i="19"/>
  <c r="AE77" i="19"/>
  <c r="D36" i="10"/>
  <c r="AI226" i="19"/>
  <c r="AQ226" i="19"/>
  <c r="AM226" i="19"/>
  <c r="AE76" i="19"/>
  <c r="Q56" i="13"/>
  <c r="Y24" i="13"/>
  <c r="AE102" i="19"/>
  <c r="AE178" i="19"/>
  <c r="AI136" i="19"/>
  <c r="AM136" i="19"/>
  <c r="AO136" i="19"/>
  <c r="AQ136" i="19"/>
  <c r="AK136" i="19"/>
  <c r="AI81" i="19"/>
  <c r="AM81" i="19"/>
  <c r="AG81" i="19"/>
  <c r="AK81" i="19"/>
  <c r="AQ81" i="19"/>
  <c r="I32" i="13"/>
  <c r="K12" i="13"/>
  <c r="AE246" i="19"/>
  <c r="AE318" i="19" s="1"/>
  <c r="AE117" i="19"/>
  <c r="AE284" i="19"/>
  <c r="AQ276" i="19"/>
  <c r="AQ146" i="19"/>
  <c r="AM146" i="19"/>
  <c r="AO146" i="19"/>
  <c r="AG257" i="19"/>
  <c r="AO257" i="19"/>
  <c r="AS257" i="19"/>
  <c r="AQ257" i="19"/>
  <c r="AM257" i="19"/>
  <c r="AI257" i="19"/>
  <c r="AK257" i="19"/>
  <c r="AE34" i="19"/>
  <c r="AE71" i="19"/>
  <c r="AE182" i="19"/>
  <c r="AQ267" i="19"/>
  <c r="AM267" i="19"/>
  <c r="AO267" i="19"/>
  <c r="AI267" i="19"/>
  <c r="AK267" i="19"/>
  <c r="AI252" i="19"/>
  <c r="AO252" i="19"/>
  <c r="AQ252" i="19"/>
  <c r="G17" i="5"/>
  <c r="G44" i="5"/>
  <c r="AE61" i="19"/>
  <c r="AO163" i="19"/>
  <c r="AK163" i="19"/>
  <c r="AQ163" i="19"/>
  <c r="AS163" i="19"/>
  <c r="AM163" i="19"/>
  <c r="AG163" i="19"/>
  <c r="AI163" i="19"/>
  <c r="Y26" i="13"/>
  <c r="Y52" i="13"/>
  <c r="AE96" i="19"/>
  <c r="AI150" i="19"/>
  <c r="AO150" i="19"/>
  <c r="AQ150" i="19"/>
  <c r="AM150" i="19"/>
  <c r="AK150" i="19"/>
  <c r="H303" i="19"/>
  <c r="H320" i="19" s="1"/>
  <c r="AE103" i="19"/>
  <c r="AE55" i="19"/>
  <c r="AQ159" i="19"/>
  <c r="AI159" i="19"/>
  <c r="AK159" i="19"/>
  <c r="AM159" i="19"/>
  <c r="AG159" i="19"/>
  <c r="AM252" i="19"/>
  <c r="M34" i="16"/>
  <c r="O24" i="16" s="1"/>
  <c r="AE58" i="19"/>
  <c r="AE56" i="19"/>
  <c r="AO80" i="19"/>
  <c r="AM80" i="19"/>
  <c r="AQ80" i="19"/>
  <c r="AE108" i="19"/>
  <c r="O32" i="16" l="1"/>
  <c r="AE83" i="19"/>
  <c r="H316" i="19"/>
  <c r="H129" i="19"/>
  <c r="AM70" i="19"/>
  <c r="AQ70" i="19"/>
  <c r="AI44" i="19"/>
  <c r="AK44" i="19"/>
  <c r="AQ36" i="19"/>
  <c r="AO36" i="19"/>
  <c r="AM44" i="19"/>
  <c r="AM36" i="19"/>
  <c r="AM39" i="19"/>
  <c r="AI36" i="19"/>
  <c r="AK16" i="19"/>
  <c r="AO16" i="19"/>
  <c r="AI39" i="19"/>
  <c r="AO39" i="19"/>
  <c r="AI16" i="19"/>
  <c r="AK39" i="19"/>
  <c r="AE46" i="19"/>
  <c r="AO46" i="19" s="1"/>
  <c r="AM35" i="19"/>
  <c r="AE40" i="19"/>
  <c r="AK40" i="19" s="1"/>
  <c r="AO35" i="19"/>
  <c r="AQ16" i="19"/>
  <c r="AQ35" i="19"/>
  <c r="AK35" i="19"/>
  <c r="AO44" i="19"/>
  <c r="AE109" i="19"/>
  <c r="AE129" i="19" s="1"/>
  <c r="AE29" i="19"/>
  <c r="Q66" i="13"/>
  <c r="Y48" i="13"/>
  <c r="Y32" i="13"/>
  <c r="T19" i="8"/>
  <c r="T15" i="8"/>
  <c r="AG101" i="19"/>
  <c r="AO101" i="19"/>
  <c r="AK101" i="19"/>
  <c r="AI101" i="19"/>
  <c r="H48" i="19"/>
  <c r="AM69" i="19"/>
  <c r="AI22" i="19"/>
  <c r="AI23" i="19" s="1"/>
  <c r="AO22" i="19"/>
  <c r="AO23" i="19" s="1"/>
  <c r="AE23" i="19"/>
  <c r="AQ22" i="19"/>
  <c r="AQ23" i="19" s="1"/>
  <c r="AM22" i="19"/>
  <c r="AM23" i="19" s="1"/>
  <c r="H23" i="19"/>
  <c r="AE91" i="19"/>
  <c r="AI91" i="19" s="1"/>
  <c r="AE68" i="19"/>
  <c r="AG69" i="19"/>
  <c r="AO69" i="19"/>
  <c r="AK69" i="19"/>
  <c r="AQ69" i="19"/>
  <c r="AI69" i="19"/>
  <c r="H17" i="19"/>
  <c r="AE14" i="19"/>
  <c r="H62" i="19"/>
  <c r="AE54" i="19"/>
  <c r="AG89" i="19"/>
  <c r="AK89" i="19"/>
  <c r="AM89" i="19"/>
  <c r="AI89" i="19"/>
  <c r="AO89" i="19"/>
  <c r="H84" i="19"/>
  <c r="D23" i="6"/>
  <c r="D54" i="4"/>
  <c r="AM56" i="19"/>
  <c r="AO56" i="19"/>
  <c r="AQ56" i="19"/>
  <c r="AE183" i="19"/>
  <c r="AE184" i="19" s="1"/>
  <c r="AK79" i="19"/>
  <c r="AO79" i="19"/>
  <c r="AI79" i="19"/>
  <c r="AQ79" i="19"/>
  <c r="AM79" i="19"/>
  <c r="AK30" i="19"/>
  <c r="AM30" i="19"/>
  <c r="AQ30" i="19"/>
  <c r="AI30" i="19"/>
  <c r="AO30" i="19"/>
  <c r="AE31" i="19"/>
  <c r="AI32" i="19"/>
  <c r="AK32" i="19"/>
  <c r="AO32" i="19"/>
  <c r="AM32" i="19"/>
  <c r="AQ32" i="19"/>
  <c r="AM96" i="19"/>
  <c r="AO96" i="19"/>
  <c r="AG96" i="19"/>
  <c r="AK96" i="19"/>
  <c r="AI96" i="19"/>
  <c r="D37" i="10"/>
  <c r="AO45" i="19"/>
  <c r="AQ45" i="19"/>
  <c r="AM45" i="19"/>
  <c r="AK45" i="19"/>
  <c r="AI45" i="19"/>
  <c r="AK71" i="19"/>
  <c r="AM71" i="19"/>
  <c r="AQ71" i="19"/>
  <c r="AG71" i="19"/>
  <c r="AI71" i="19"/>
  <c r="W58" i="13"/>
  <c r="U66" i="13"/>
  <c r="Y58" i="13"/>
  <c r="Y54" i="13"/>
  <c r="K54" i="13"/>
  <c r="AA54" i="13" s="1"/>
  <c r="AO58" i="19"/>
  <c r="AM58" i="19"/>
  <c r="AQ58" i="19"/>
  <c r="AE92" i="19"/>
  <c r="AE33" i="19"/>
  <c r="D34" i="10"/>
  <c r="D22" i="10"/>
  <c r="N55" i="4"/>
  <c r="L25" i="4"/>
  <c r="N24" i="6"/>
  <c r="P24" i="6" s="1"/>
  <c r="AO60" i="19"/>
  <c r="AQ60" i="19"/>
  <c r="AM60" i="19"/>
  <c r="AE66" i="19"/>
  <c r="AE100" i="19"/>
  <c r="AO246" i="19"/>
  <c r="AM246" i="19"/>
  <c r="AK246" i="19"/>
  <c r="AQ246" i="19"/>
  <c r="AI246" i="19"/>
  <c r="K46" i="13"/>
  <c r="I66" i="13"/>
  <c r="Y46" i="13"/>
  <c r="AE273" i="19"/>
  <c r="AE303" i="19" s="1"/>
  <c r="AE320" i="19" s="1"/>
  <c r="AE94" i="19"/>
  <c r="AQ57" i="19"/>
  <c r="AO57" i="19"/>
  <c r="AM57" i="19"/>
  <c r="AO59" i="19"/>
  <c r="AQ59" i="19"/>
  <c r="AM59" i="19"/>
  <c r="AI34" i="19"/>
  <c r="AM34" i="19"/>
  <c r="AQ34" i="19"/>
  <c r="AO34" i="19"/>
  <c r="AK34" i="19"/>
  <c r="AA12" i="13"/>
  <c r="AM102" i="19"/>
  <c r="AG102" i="19"/>
  <c r="AI102" i="19"/>
  <c r="AO102" i="19"/>
  <c r="AK102" i="19"/>
  <c r="S56" i="13"/>
  <c r="AA56" i="13" s="1"/>
  <c r="Y56" i="13"/>
  <c r="AE93" i="19"/>
  <c r="Y50" i="13"/>
  <c r="H105" i="19"/>
  <c r="AE47" i="19"/>
  <c r="H184" i="19"/>
  <c r="D35" i="10"/>
  <c r="H16" i="6"/>
  <c r="H29" i="7"/>
  <c r="AQ37" i="19"/>
  <c r="AM37" i="19"/>
  <c r="AK37" i="19"/>
  <c r="AO37" i="19"/>
  <c r="AI37" i="19"/>
  <c r="AO103" i="19"/>
  <c r="AI103" i="19"/>
  <c r="AK103" i="19"/>
  <c r="AG103" i="19"/>
  <c r="AM103" i="19"/>
  <c r="G46" i="5"/>
  <c r="G48" i="5" s="1"/>
  <c r="G19" i="5"/>
  <c r="AO55" i="19"/>
  <c r="AQ55" i="19"/>
  <c r="AI55" i="19"/>
  <c r="AM55" i="19"/>
  <c r="AK55" i="19"/>
  <c r="H41" i="19"/>
  <c r="AE99" i="19"/>
  <c r="N23" i="6"/>
  <c r="O34" i="16"/>
  <c r="L24" i="4"/>
  <c r="N54" i="4"/>
  <c r="AQ61" i="19"/>
  <c r="AO61" i="19"/>
  <c r="AM61" i="19"/>
  <c r="D38" i="10"/>
  <c r="AO78" i="19"/>
  <c r="AK78" i="19"/>
  <c r="AI78" i="19"/>
  <c r="AM78" i="19"/>
  <c r="AQ78" i="19"/>
  <c r="AQ90" i="19"/>
  <c r="AM90" i="19"/>
  <c r="AK90" i="19"/>
  <c r="AS90" i="19"/>
  <c r="AO90" i="19"/>
  <c r="AI90" i="19"/>
  <c r="AG90" i="19"/>
  <c r="F18" i="10" l="1"/>
  <c r="P345" i="19" s="1"/>
  <c r="F15" i="10"/>
  <c r="AQ29" i="19"/>
  <c r="AE316" i="19"/>
  <c r="AI68" i="19"/>
  <c r="AE310" i="19"/>
  <c r="AM40" i="19"/>
  <c r="AI46" i="19"/>
  <c r="AM46" i="19"/>
  <c r="AE48" i="19"/>
  <c r="AI40" i="19"/>
  <c r="AO40" i="19"/>
  <c r="AQ40" i="19"/>
  <c r="AQ46" i="19"/>
  <c r="AK46" i="19"/>
  <c r="AI29" i="19"/>
  <c r="AO29" i="19"/>
  <c r="AM29" i="19"/>
  <c r="AK29" i="19"/>
  <c r="F19" i="10"/>
  <c r="R345" i="19" s="1"/>
  <c r="F16" i="10"/>
  <c r="L345" i="19" s="1"/>
  <c r="AE84" i="19"/>
  <c r="AS91" i="19"/>
  <c r="H50" i="19"/>
  <c r="AQ91" i="19"/>
  <c r="AM91" i="19"/>
  <c r="AQ68" i="19"/>
  <c r="AK91" i="19"/>
  <c r="H25" i="19"/>
  <c r="H322" i="19" s="1"/>
  <c r="AK68" i="19"/>
  <c r="AG91" i="19"/>
  <c r="AG68" i="19"/>
  <c r="AO91" i="19"/>
  <c r="AM68" i="19"/>
  <c r="AI14" i="19"/>
  <c r="AI17" i="19" s="1"/>
  <c r="AI25" i="19" s="1"/>
  <c r="AE17" i="19"/>
  <c r="AE25" i="19" s="1"/>
  <c r="AM14" i="19"/>
  <c r="AM17" i="19" s="1"/>
  <c r="AM25" i="19" s="1"/>
  <c r="AQ14" i="19"/>
  <c r="AQ17" i="19" s="1"/>
  <c r="AQ25" i="19" s="1"/>
  <c r="AK14" i="19"/>
  <c r="AK17" i="19" s="1"/>
  <c r="AK25" i="19" s="1"/>
  <c r="AO14" i="19"/>
  <c r="AO17" i="19" s="1"/>
  <c r="AO25" i="19" s="1"/>
  <c r="H86" i="19"/>
  <c r="AQ54" i="19"/>
  <c r="AQ62" i="19" s="1"/>
  <c r="AO54" i="19"/>
  <c r="AO62" i="19" s="1"/>
  <c r="AM54" i="19"/>
  <c r="AM62" i="19" s="1"/>
  <c r="AE62" i="19"/>
  <c r="AE41" i="19"/>
  <c r="G52" i="5"/>
  <c r="I46" i="5" s="1"/>
  <c r="L47" i="4" s="1"/>
  <c r="D40" i="10"/>
  <c r="F36" i="10" s="1"/>
  <c r="AK94" i="19"/>
  <c r="AG94" i="19"/>
  <c r="AM94" i="19"/>
  <c r="AI94" i="19"/>
  <c r="AO94" i="19"/>
  <c r="L27" i="4"/>
  <c r="AA46" i="13"/>
  <c r="N57" i="4"/>
  <c r="AG99" i="19"/>
  <c r="AI99" i="19"/>
  <c r="AM99" i="19"/>
  <c r="AK99" i="19"/>
  <c r="AO99" i="19"/>
  <c r="G23" i="5"/>
  <c r="D24" i="6"/>
  <c r="D55" i="4"/>
  <c r="AO33" i="19"/>
  <c r="AI33" i="19"/>
  <c r="AM33" i="19"/>
  <c r="AQ33" i="19"/>
  <c r="AK33" i="19"/>
  <c r="AM93" i="19"/>
  <c r="AK93" i="19"/>
  <c r="AO93" i="19"/>
  <c r="AI93" i="19"/>
  <c r="AG93" i="19"/>
  <c r="AI31" i="19"/>
  <c r="AM31" i="19"/>
  <c r="AQ31" i="19"/>
  <c r="AO31" i="19"/>
  <c r="AK31" i="19"/>
  <c r="F17" i="10"/>
  <c r="N345" i="19" s="1"/>
  <c r="AK100" i="19"/>
  <c r="AO100" i="19"/>
  <c r="AI100" i="19"/>
  <c r="AG100" i="19"/>
  <c r="AM100" i="19"/>
  <c r="AE105" i="19"/>
  <c r="AK92" i="19"/>
  <c r="AG92" i="19"/>
  <c r="AI92" i="19"/>
  <c r="AO92" i="19"/>
  <c r="AM92" i="19"/>
  <c r="P23" i="6"/>
  <c r="P26" i="6" s="1"/>
  <c r="N26" i="6"/>
  <c r="AM47" i="19"/>
  <c r="AQ47" i="19"/>
  <c r="AK47" i="19"/>
  <c r="AO47" i="19"/>
  <c r="AO48" i="19" s="1"/>
  <c r="AI47" i="19"/>
  <c r="Y66" i="13"/>
  <c r="AA58" i="13"/>
  <c r="H312" i="19" l="1"/>
  <c r="AQ310" i="19"/>
  <c r="AQ311" i="19" s="1"/>
  <c r="AQ344" i="19" s="1"/>
  <c r="AM310" i="19"/>
  <c r="AM311" i="19" s="1"/>
  <c r="AM344" i="19" s="1"/>
  <c r="AM48" i="19"/>
  <c r="AE50" i="19"/>
  <c r="AI48" i="19"/>
  <c r="AQ48" i="19"/>
  <c r="AK48" i="19"/>
  <c r="H131" i="19"/>
  <c r="F34" i="10"/>
  <c r="F37" i="10"/>
  <c r="AE86" i="19"/>
  <c r="AK105" i="19"/>
  <c r="AK41" i="19"/>
  <c r="AQ41" i="19"/>
  <c r="AM41" i="19"/>
  <c r="AI41" i="19"/>
  <c r="AI105" i="19"/>
  <c r="AO105" i="19"/>
  <c r="AO41" i="19"/>
  <c r="AO50" i="19" s="1"/>
  <c r="AS345" i="19"/>
  <c r="T345" i="19"/>
  <c r="I21" i="5"/>
  <c r="N17" i="4" s="1"/>
  <c r="I15" i="5"/>
  <c r="I17" i="5"/>
  <c r="J17" i="4" s="1"/>
  <c r="AG105" i="19"/>
  <c r="J345" i="19"/>
  <c r="F22" i="10"/>
  <c r="AM105" i="19"/>
  <c r="F35" i="10"/>
  <c r="AK336" i="19"/>
  <c r="U19" i="8"/>
  <c r="V19" i="8" s="1"/>
  <c r="Y19" i="8" s="1"/>
  <c r="AK339" i="19" s="1"/>
  <c r="F38" i="10"/>
  <c r="I50" i="5"/>
  <c r="P47" i="4" s="1"/>
  <c r="I44" i="5"/>
  <c r="H314" i="19" l="1"/>
  <c r="AE322" i="19"/>
  <c r="AM66" i="19"/>
  <c r="AM83" i="19"/>
  <c r="AM77" i="19"/>
  <c r="AM76" i="19"/>
  <c r="AM82" i="19"/>
  <c r="AM75" i="19"/>
  <c r="AQ66" i="19"/>
  <c r="AQ82" i="19"/>
  <c r="AQ76" i="19"/>
  <c r="AQ75" i="19"/>
  <c r="AQ77" i="19"/>
  <c r="AQ83" i="19"/>
  <c r="AQ50" i="19"/>
  <c r="AM50" i="19"/>
  <c r="AE312" i="19"/>
  <c r="AI50" i="19"/>
  <c r="AK50" i="19"/>
  <c r="AE131" i="19"/>
  <c r="AE194" i="19" s="1"/>
  <c r="F40" i="10"/>
  <c r="H194" i="19"/>
  <c r="AK70" i="19"/>
  <c r="AK235" i="19"/>
  <c r="AK67" i="19"/>
  <c r="AK54" i="19"/>
  <c r="AK80" i="19"/>
  <c r="AK56" i="19"/>
  <c r="AK57" i="19"/>
  <c r="AK61" i="19"/>
  <c r="AK60" i="19"/>
  <c r="AK58" i="19"/>
  <c r="AK59" i="19"/>
  <c r="X345" i="19"/>
  <c r="AI335" i="19"/>
  <c r="S18" i="8"/>
  <c r="T18" i="8" s="1"/>
  <c r="Y18" i="8" s="1"/>
  <c r="AI339" i="19" s="1"/>
  <c r="N24" i="4"/>
  <c r="N25" i="4"/>
  <c r="H47" i="4"/>
  <c r="I48" i="5"/>
  <c r="I52" i="5" s="1"/>
  <c r="AK250" i="19"/>
  <c r="AK286" i="19"/>
  <c r="AK157" i="19"/>
  <c r="AK153" i="19"/>
  <c r="AK155" i="19"/>
  <c r="AK248" i="19"/>
  <c r="AK277" i="19"/>
  <c r="AK252" i="19"/>
  <c r="P55" i="4"/>
  <c r="P54" i="4"/>
  <c r="F17" i="4"/>
  <c r="I19" i="5"/>
  <c r="I23" i="5" s="1"/>
  <c r="AS97" i="19"/>
  <c r="AS95" i="19"/>
  <c r="AS126" i="19"/>
  <c r="AQ345" i="19"/>
  <c r="AS89" i="19"/>
  <c r="AS98" i="19"/>
  <c r="AS101" i="19"/>
  <c r="AS103" i="19"/>
  <c r="AS96" i="19"/>
  <c r="AS102" i="19"/>
  <c r="AS94" i="19"/>
  <c r="AS92" i="19"/>
  <c r="AS93" i="19"/>
  <c r="AS99" i="19"/>
  <c r="AS100" i="19"/>
  <c r="AI238" i="19" l="1"/>
  <c r="AI143" i="19"/>
  <c r="AQ84" i="19"/>
  <c r="AQ86" i="19" s="1"/>
  <c r="AM84" i="19"/>
  <c r="AM86" i="19" s="1"/>
  <c r="AM312" i="19" s="1"/>
  <c r="AM313" i="19" s="1"/>
  <c r="AM347" i="19" s="1"/>
  <c r="AK310" i="19"/>
  <c r="AK311" i="19" s="1"/>
  <c r="AK344" i="19" s="1"/>
  <c r="AE314" i="19"/>
  <c r="P57" i="4"/>
  <c r="N27" i="4"/>
  <c r="AS105" i="19"/>
  <c r="AK62" i="19"/>
  <c r="AI145" i="19"/>
  <c r="AI152" i="19"/>
  <c r="AI144" i="19"/>
  <c r="AI154" i="19"/>
  <c r="AI147" i="19"/>
  <c r="AI242" i="19"/>
  <c r="AI247" i="19"/>
  <c r="AI249" i="19"/>
  <c r="AI137" i="19"/>
  <c r="AI156" i="19"/>
  <c r="AI241" i="19"/>
  <c r="AI239" i="19"/>
  <c r="AI240" i="19"/>
  <c r="AI232" i="19"/>
  <c r="AI228" i="19"/>
  <c r="AI276" i="19"/>
  <c r="AI278" i="19"/>
  <c r="AI146" i="19"/>
  <c r="AI251" i="19"/>
  <c r="AU345" i="19"/>
  <c r="AQ97" i="19"/>
  <c r="AQ95" i="19"/>
  <c r="AQ126" i="19"/>
  <c r="AQ89" i="19"/>
  <c r="AQ98" i="19"/>
  <c r="AQ101" i="19"/>
  <c r="AQ96" i="19"/>
  <c r="AQ102" i="19"/>
  <c r="AQ103" i="19"/>
  <c r="AQ99" i="19"/>
  <c r="AQ92" i="19"/>
  <c r="AQ93" i="19"/>
  <c r="AQ94" i="19"/>
  <c r="AQ100" i="19"/>
  <c r="AI70" i="19"/>
  <c r="AI67" i="19"/>
  <c r="AI235" i="19"/>
  <c r="AI54" i="19"/>
  <c r="AI80" i="19"/>
  <c r="AI59" i="19"/>
  <c r="AI61" i="19"/>
  <c r="AI58" i="19"/>
  <c r="AI60" i="19"/>
  <c r="AI56" i="19"/>
  <c r="AI57" i="19"/>
  <c r="AM233" i="19" l="1"/>
  <c r="AM234" i="19"/>
  <c r="AI310" i="19"/>
  <c r="AI311" i="19" s="1"/>
  <c r="AI344" i="19" s="1"/>
  <c r="AM171" i="19"/>
  <c r="AM291" i="19"/>
  <c r="AM293" i="19"/>
  <c r="AM268" i="19"/>
  <c r="AM113" i="19"/>
  <c r="AM265" i="19"/>
  <c r="AM115" i="19"/>
  <c r="AM174" i="19"/>
  <c r="AM118" i="19"/>
  <c r="AM111" i="19"/>
  <c r="AM121" i="19"/>
  <c r="AM108" i="19"/>
  <c r="AM282" i="19"/>
  <c r="AM284" i="19" s="1"/>
  <c r="AM176" i="19"/>
  <c r="AM165" i="19"/>
  <c r="AM271" i="19"/>
  <c r="AM173" i="19"/>
  <c r="AM266" i="19"/>
  <c r="AM263" i="19"/>
  <c r="AM167" i="19"/>
  <c r="AM262" i="19"/>
  <c r="AM114" i="19"/>
  <c r="AM201" i="19"/>
  <c r="AM164" i="19"/>
  <c r="AM139" i="19"/>
  <c r="AM123" i="19"/>
  <c r="AM112" i="19"/>
  <c r="AM170" i="19"/>
  <c r="AM270" i="19"/>
  <c r="AM169" i="19"/>
  <c r="AM138" i="19"/>
  <c r="AM117" i="19"/>
  <c r="AM124" i="19"/>
  <c r="AM120" i="19"/>
  <c r="AM175" i="19"/>
  <c r="AM166" i="19"/>
  <c r="AM264" i="19"/>
  <c r="AM261" i="19"/>
  <c r="AM269" i="19"/>
  <c r="AM127" i="19"/>
  <c r="AM260" i="19"/>
  <c r="AM259" i="19"/>
  <c r="AM110" i="19"/>
  <c r="AM119" i="19"/>
  <c r="AM168" i="19"/>
  <c r="AQ105" i="19"/>
  <c r="AK66" i="19"/>
  <c r="AK83" i="19"/>
  <c r="AK77" i="19"/>
  <c r="AK76" i="19"/>
  <c r="AK82" i="19"/>
  <c r="AK75" i="19"/>
  <c r="AI62" i="19"/>
  <c r="AM316" i="19" l="1"/>
  <c r="AM317" i="19" s="1"/>
  <c r="AM349" i="19" s="1"/>
  <c r="AM178" i="19"/>
  <c r="AM318" i="19"/>
  <c r="AM319" i="19" s="1"/>
  <c r="AM350" i="19" s="1"/>
  <c r="AK84" i="19"/>
  <c r="AK86" i="19" s="1"/>
  <c r="AK312" i="19" s="1"/>
  <c r="AK313" i="19" s="1"/>
  <c r="AK347" i="19" s="1"/>
  <c r="AQ312" i="19"/>
  <c r="AQ313" i="19" s="1"/>
  <c r="AQ347" i="19" s="1"/>
  <c r="AI66" i="19"/>
  <c r="AI75" i="19"/>
  <c r="AI83" i="19"/>
  <c r="AI77" i="19"/>
  <c r="AI76" i="19"/>
  <c r="AI82" i="19"/>
  <c r="AQ233" i="19" l="1"/>
  <c r="AQ234" i="19"/>
  <c r="AK233" i="19"/>
  <c r="AK234" i="19"/>
  <c r="AM109" i="19"/>
  <c r="AM188" i="19"/>
  <c r="AM122" i="19"/>
  <c r="AM116" i="19"/>
  <c r="AK118" i="19"/>
  <c r="AK291" i="19"/>
  <c r="AK293" i="19"/>
  <c r="AQ118" i="19"/>
  <c r="AQ291" i="19"/>
  <c r="AQ293" i="19"/>
  <c r="AM225" i="19"/>
  <c r="AM273" i="19" s="1"/>
  <c r="AM297" i="19"/>
  <c r="AM290" i="19"/>
  <c r="AQ270" i="19"/>
  <c r="AQ121" i="19"/>
  <c r="AQ111" i="19"/>
  <c r="AQ167" i="19"/>
  <c r="AQ175" i="19"/>
  <c r="AQ123" i="19"/>
  <c r="AQ261" i="19"/>
  <c r="AQ110" i="19"/>
  <c r="AQ113" i="19"/>
  <c r="AQ115" i="19"/>
  <c r="AQ127" i="19"/>
  <c r="AQ264" i="19"/>
  <c r="AQ174" i="19"/>
  <c r="AQ268" i="19"/>
  <c r="AQ165" i="19"/>
  <c r="AQ201" i="19"/>
  <c r="AQ119" i="19"/>
  <c r="AQ108" i="19"/>
  <c r="AQ265" i="19"/>
  <c r="AQ166" i="19"/>
  <c r="AQ282" i="19"/>
  <c r="AQ284" i="19" s="1"/>
  <c r="AQ269" i="19"/>
  <c r="AQ120" i="19"/>
  <c r="AQ124" i="19"/>
  <c r="AQ259" i="19"/>
  <c r="AQ164" i="19"/>
  <c r="AQ171" i="19"/>
  <c r="AQ139" i="19"/>
  <c r="AQ170" i="19"/>
  <c r="AQ176" i="19"/>
  <c r="AQ138" i="19"/>
  <c r="AQ112" i="19"/>
  <c r="AQ114" i="19"/>
  <c r="AQ168" i="19"/>
  <c r="AQ169" i="19"/>
  <c r="AQ262" i="19"/>
  <c r="AQ117" i="19"/>
  <c r="AQ260" i="19"/>
  <c r="AQ263" i="19"/>
  <c r="AQ266" i="19"/>
  <c r="AQ173" i="19"/>
  <c r="AQ271" i="19"/>
  <c r="AI84" i="19"/>
  <c r="AI86" i="19" s="1"/>
  <c r="AI312" i="19" s="1"/>
  <c r="AI313" i="19" s="1"/>
  <c r="AI347" i="19" s="1"/>
  <c r="AK265" i="19"/>
  <c r="AK271" i="19"/>
  <c r="AK113" i="19"/>
  <c r="AK127" i="19"/>
  <c r="AK108" i="19"/>
  <c r="AK124" i="19"/>
  <c r="AK268" i="19"/>
  <c r="AK173" i="19"/>
  <c r="AK110" i="19"/>
  <c r="AK166" i="19"/>
  <c r="AK266" i="19"/>
  <c r="AK169" i="19"/>
  <c r="AK269" i="19"/>
  <c r="AK260" i="19"/>
  <c r="AK164" i="19"/>
  <c r="AK174" i="19"/>
  <c r="AK165" i="19"/>
  <c r="AK168" i="19"/>
  <c r="AK175" i="19"/>
  <c r="AK262" i="19"/>
  <c r="AK121" i="19"/>
  <c r="AK115" i="19"/>
  <c r="AK117" i="19"/>
  <c r="AK119" i="19"/>
  <c r="AK114" i="19"/>
  <c r="AK111" i="19"/>
  <c r="AK167" i="19"/>
  <c r="AK264" i="19"/>
  <c r="AK171" i="19"/>
  <c r="AK123" i="19"/>
  <c r="AK201" i="19"/>
  <c r="AK112" i="19"/>
  <c r="AK282" i="19"/>
  <c r="AK284" i="19" s="1"/>
  <c r="AK120" i="19"/>
  <c r="AK138" i="19"/>
  <c r="AK259" i="19"/>
  <c r="AK139" i="19"/>
  <c r="AK170" i="19"/>
  <c r="AK263" i="19"/>
  <c r="AK176" i="19"/>
  <c r="AK261" i="19"/>
  <c r="AK270" i="19"/>
  <c r="AI233" i="19" l="1"/>
  <c r="AI234" i="19"/>
  <c r="AK316" i="19"/>
  <c r="AK317" i="19" s="1"/>
  <c r="AK349" i="19" s="1"/>
  <c r="AQ316" i="19"/>
  <c r="AQ317" i="19" s="1"/>
  <c r="AQ349" i="19" s="1"/>
  <c r="AI118" i="19"/>
  <c r="AI293" i="19"/>
  <c r="AI291" i="19"/>
  <c r="AK178" i="19"/>
  <c r="AI113" i="19"/>
  <c r="AI261" i="19"/>
  <c r="AI268" i="19"/>
  <c r="AI165" i="19"/>
  <c r="AI170" i="19"/>
  <c r="AI269" i="19"/>
  <c r="AI174" i="19"/>
  <c r="AI121" i="19"/>
  <c r="AI168" i="19"/>
  <c r="AI114" i="19"/>
  <c r="AI282" i="19"/>
  <c r="AI284" i="19" s="1"/>
  <c r="AI112" i="19"/>
  <c r="AI266" i="19"/>
  <c r="AI262" i="19"/>
  <c r="AI260" i="19"/>
  <c r="AI108" i="19"/>
  <c r="AI173" i="19"/>
  <c r="AI171" i="19"/>
  <c r="AI138" i="19"/>
  <c r="AI164" i="19"/>
  <c r="AI123" i="19"/>
  <c r="AI111" i="19"/>
  <c r="AI117" i="19"/>
  <c r="AI127" i="19"/>
  <c r="AI110" i="19"/>
  <c r="AI115" i="19"/>
  <c r="AI265" i="19"/>
  <c r="AI263" i="19"/>
  <c r="AI124" i="19"/>
  <c r="AI169" i="19"/>
  <c r="AI120" i="19"/>
  <c r="AI139" i="19"/>
  <c r="AI119" i="19"/>
  <c r="AI270" i="19"/>
  <c r="AI166" i="19"/>
  <c r="AI176" i="19"/>
  <c r="AI201" i="19"/>
  <c r="AI264" i="19"/>
  <c r="AI259" i="19"/>
  <c r="AI167" i="19"/>
  <c r="AI175" i="19"/>
  <c r="AI271" i="19"/>
  <c r="AQ318" i="19"/>
  <c r="AQ319" i="19" s="1"/>
  <c r="AQ350" i="19" s="1"/>
  <c r="AQ297" i="19" s="1"/>
  <c r="AQ178" i="19"/>
  <c r="AK318" i="19"/>
  <c r="AK319" i="19" s="1"/>
  <c r="AK350" i="19" s="1"/>
  <c r="AK297" i="19" s="1"/>
  <c r="AQ109" i="19" l="1"/>
  <c r="AQ122" i="19"/>
  <c r="AQ116" i="19"/>
  <c r="AQ188" i="19"/>
  <c r="AK116" i="19"/>
  <c r="AK188" i="19"/>
  <c r="AK122" i="19"/>
  <c r="AK109" i="19"/>
  <c r="AI316" i="19"/>
  <c r="AI317" i="19" s="1"/>
  <c r="AI349" i="19" s="1"/>
  <c r="AK290" i="19"/>
  <c r="AK225" i="19"/>
  <c r="AK273" i="19" s="1"/>
  <c r="AQ225" i="19"/>
  <c r="AQ273" i="19" s="1"/>
  <c r="AQ290" i="19"/>
  <c r="AI178" i="19"/>
  <c r="AI318" i="19"/>
  <c r="AI319" i="19" s="1"/>
  <c r="AI350" i="19" s="1"/>
  <c r="AI297" i="19" s="1"/>
  <c r="AI188" i="19" l="1"/>
  <c r="AI116" i="19"/>
  <c r="AI109" i="19"/>
  <c r="AI122" i="19"/>
  <c r="AI225" i="19"/>
  <c r="AI273" i="19" s="1"/>
  <c r="AI290" i="19"/>
  <c r="K26" i="13" l="1"/>
  <c r="K22" i="13"/>
  <c r="K24" i="13"/>
  <c r="C30" i="13"/>
  <c r="K20" i="13"/>
  <c r="W16" i="13"/>
  <c r="W20" i="13"/>
  <c r="W18" i="13"/>
  <c r="O18" i="13"/>
  <c r="G18" i="13"/>
  <c r="K18" i="13"/>
  <c r="S18" i="13"/>
  <c r="S26" i="13" l="1"/>
  <c r="W26" i="13"/>
  <c r="O22" i="13"/>
  <c r="S20" i="13"/>
  <c r="W22" i="13"/>
  <c r="G26" i="13"/>
  <c r="O26" i="13"/>
  <c r="G22" i="13"/>
  <c r="S24" i="13"/>
  <c r="S22" i="13"/>
  <c r="G20" i="13"/>
  <c r="W28" i="13"/>
  <c r="O28" i="13"/>
  <c r="G28" i="13"/>
  <c r="O24" i="13"/>
  <c r="G24" i="13"/>
  <c r="G16" i="13"/>
  <c r="O16" i="13"/>
  <c r="W48" i="13"/>
  <c r="S28" i="13"/>
  <c r="W24" i="13"/>
  <c r="O20" i="13"/>
  <c r="K28" i="13"/>
  <c r="K50" i="13"/>
  <c r="K16" i="13"/>
  <c r="S16" i="13"/>
  <c r="S52" i="13"/>
  <c r="G30" i="13"/>
  <c r="S30" i="13"/>
  <c r="O30" i="13"/>
  <c r="K30" i="13"/>
  <c r="AA18" i="13"/>
  <c r="AA22" i="13" l="1"/>
  <c r="S50" i="13"/>
  <c r="W50" i="13"/>
  <c r="AA26" i="13"/>
  <c r="W32" i="13"/>
  <c r="D33" i="9" s="1"/>
  <c r="S48" i="13"/>
  <c r="K48" i="13"/>
  <c r="O48" i="13"/>
  <c r="G48" i="13"/>
  <c r="AA20" i="13"/>
  <c r="AA24" i="13"/>
  <c r="S32" i="13"/>
  <c r="D32" i="9" s="1"/>
  <c r="AA16" i="13"/>
  <c r="K32" i="13"/>
  <c r="D157" i="12" s="1"/>
  <c r="O32" i="13"/>
  <c r="D158" i="12" s="1"/>
  <c r="G32" i="13"/>
  <c r="D156" i="12" s="1"/>
  <c r="G52" i="13"/>
  <c r="AA28" i="13"/>
  <c r="W52" i="13"/>
  <c r="K52" i="13"/>
  <c r="O52" i="13"/>
  <c r="G50" i="13"/>
  <c r="O50" i="13"/>
  <c r="AA30" i="13"/>
  <c r="W66" i="13" l="1"/>
  <c r="D56" i="9" s="1"/>
  <c r="S66" i="13"/>
  <c r="D55" i="9" s="1"/>
  <c r="AA48" i="13"/>
  <c r="D159" i="12"/>
  <c r="D162" i="12" s="1"/>
  <c r="F158" i="12" s="1"/>
  <c r="N353" i="19" s="1"/>
  <c r="D30" i="9"/>
  <c r="AA52" i="13"/>
  <c r="D31" i="9"/>
  <c r="AA32" i="13"/>
  <c r="C10" i="29" s="1"/>
  <c r="D29" i="9"/>
  <c r="G66" i="13"/>
  <c r="D52" i="9" s="1"/>
  <c r="O66" i="13"/>
  <c r="D54" i="9" s="1"/>
  <c r="K66" i="13"/>
  <c r="D53" i="9" s="1"/>
  <c r="AA50" i="13"/>
  <c r="F156" i="12" l="1"/>
  <c r="AA66" i="13"/>
  <c r="C16" i="29" s="1"/>
  <c r="D36" i="9"/>
  <c r="F29" i="9" s="1"/>
  <c r="J341" i="19" s="1"/>
  <c r="D59" i="9"/>
  <c r="F52" i="9" s="1"/>
  <c r="F159" i="12"/>
  <c r="P353" i="19" s="1"/>
  <c r="F157" i="12"/>
  <c r="L353" i="19" s="1"/>
  <c r="F160" i="12"/>
  <c r="T353" i="19" s="1"/>
  <c r="F57" i="9" l="1"/>
  <c r="T342" i="19" s="1"/>
  <c r="F30" i="9"/>
  <c r="L341" i="19" s="1"/>
  <c r="F55" i="9"/>
  <c r="P342" i="19" s="1"/>
  <c r="F33" i="9"/>
  <c r="R341" i="19" s="1"/>
  <c r="F34" i="9"/>
  <c r="T341" i="19" s="1"/>
  <c r="F56" i="9"/>
  <c r="R342" i="19" s="1"/>
  <c r="F32" i="9"/>
  <c r="P341" i="19" s="1"/>
  <c r="F54" i="9"/>
  <c r="N342" i="19" s="1"/>
  <c r="F31" i="9"/>
  <c r="N341" i="19" s="1"/>
  <c r="F53" i="9"/>
  <c r="L342" i="19" s="1"/>
  <c r="J342" i="19"/>
  <c r="F162" i="12"/>
  <c r="J353" i="19"/>
  <c r="X353" i="19" s="1"/>
  <c r="AS342" i="19" l="1"/>
  <c r="AO342" i="19" s="1"/>
  <c r="AO71" i="19" s="1"/>
  <c r="X342" i="19"/>
  <c r="X341" i="19"/>
  <c r="F36" i="9"/>
  <c r="F59" i="9"/>
  <c r="AS254" i="19" l="1"/>
  <c r="AU342" i="19"/>
  <c r="AO158" i="19"/>
  <c r="AS159" i="19"/>
  <c r="AO68" i="19"/>
  <c r="AS71" i="19"/>
  <c r="AO159" i="19"/>
  <c r="AS158" i="19"/>
  <c r="AO254" i="19"/>
  <c r="AS253" i="19"/>
  <c r="AO81" i="19"/>
  <c r="AS81" i="19"/>
  <c r="AO253" i="19"/>
  <c r="AS68" i="19"/>
  <c r="AO310" i="19" l="1"/>
  <c r="AO311" i="19" s="1"/>
  <c r="AO344" i="19" l="1"/>
  <c r="AO83" i="19" l="1"/>
  <c r="AO77" i="19"/>
  <c r="AO66" i="19"/>
  <c r="AO75" i="19"/>
  <c r="AO76" i="19"/>
  <c r="AO82" i="19"/>
  <c r="AO84" i="19" l="1"/>
  <c r="AO86" i="19" l="1"/>
  <c r="AO312" i="19" l="1"/>
  <c r="AO313" i="19" l="1"/>
  <c r="AO347" i="19" l="1"/>
  <c r="AO233" i="19" l="1"/>
  <c r="AO234" i="19"/>
  <c r="AO118" i="19"/>
  <c r="AO291" i="19"/>
  <c r="AO293" i="19"/>
  <c r="AO112" i="19"/>
  <c r="AO264" i="19"/>
  <c r="AO270" i="19"/>
  <c r="AO269" i="19"/>
  <c r="AO164" i="19"/>
  <c r="AO117" i="19"/>
  <c r="AO138" i="19"/>
  <c r="AO170" i="19"/>
  <c r="AO175" i="19"/>
  <c r="AO171" i="19"/>
  <c r="AO271" i="19"/>
  <c r="AO174" i="19"/>
  <c r="AO111" i="19"/>
  <c r="AO266" i="19"/>
  <c r="AO165" i="19"/>
  <c r="AO110" i="19"/>
  <c r="AO113" i="19"/>
  <c r="AO263" i="19"/>
  <c r="AO262" i="19"/>
  <c r="AO282" i="19"/>
  <c r="AO260" i="19"/>
  <c r="AO201" i="19"/>
  <c r="AO124" i="19"/>
  <c r="AO115" i="19"/>
  <c r="AO139" i="19"/>
  <c r="AO176" i="19"/>
  <c r="AO265" i="19"/>
  <c r="AO121" i="19"/>
  <c r="AO261" i="19"/>
  <c r="AO169" i="19"/>
  <c r="AO120" i="19"/>
  <c r="AO119" i="19"/>
  <c r="AO268" i="19"/>
  <c r="AO123" i="19"/>
  <c r="AO167" i="19"/>
  <c r="AO168" i="19"/>
  <c r="AO114" i="19"/>
  <c r="AO259" i="19"/>
  <c r="AO166" i="19"/>
  <c r="AO127" i="19"/>
  <c r="AO173" i="19"/>
  <c r="AO108" i="19"/>
  <c r="AO316" i="19" s="1"/>
  <c r="AO318" i="19" l="1"/>
  <c r="AO178" i="19"/>
  <c r="AO284" i="19"/>
  <c r="AO317" i="19" l="1"/>
  <c r="AO319" i="19"/>
  <c r="AO350" i="19" l="1"/>
  <c r="AO297" i="19" s="1"/>
  <c r="AO349" i="19"/>
  <c r="AO122" i="19" l="1"/>
  <c r="AO109" i="19"/>
  <c r="AO188" i="19"/>
  <c r="AO116" i="19"/>
  <c r="AO225" i="19"/>
  <c r="AO290" i="19"/>
  <c r="AO273" i="19" l="1"/>
  <c r="D20" i="2" l="1"/>
  <c r="H20" i="2" s="1"/>
  <c r="D21" i="6"/>
  <c r="D41" i="7" s="1"/>
  <c r="H41" i="7" s="1"/>
  <c r="D52" i="4"/>
  <c r="E65" i="5" s="1"/>
  <c r="I65" i="5" s="1"/>
  <c r="D18" i="2"/>
  <c r="H18" i="2" s="1"/>
  <c r="D50" i="4"/>
  <c r="E63" i="5" s="1"/>
  <c r="I63" i="5" s="1"/>
  <c r="D19" i="6"/>
  <c r="D39" i="7" s="1"/>
  <c r="H39" i="7" s="1"/>
  <c r="D51" i="4"/>
  <c r="E64" i="5" s="1"/>
  <c r="I64" i="5" s="1"/>
  <c r="D19" i="2"/>
  <c r="H19" i="2" s="1"/>
  <c r="D20" i="6"/>
  <c r="D40" i="7" s="1"/>
  <c r="H40" i="7" s="1"/>
  <c r="D53" i="4"/>
  <c r="E66" i="5" s="1"/>
  <c r="I66" i="5" s="1"/>
  <c r="D21" i="2"/>
  <c r="H21" i="2" s="1"/>
  <c r="D22" i="6"/>
  <c r="D42" i="7" s="1"/>
  <c r="H42" i="7" s="1"/>
  <c r="D49" i="4" l="1"/>
  <c r="D18" i="6"/>
  <c r="D17" i="2"/>
  <c r="G24" i="1"/>
  <c r="K16" i="1" s="1"/>
  <c r="K22" i="1" l="1"/>
  <c r="K17" i="1"/>
  <c r="K20" i="1"/>
  <c r="K19" i="1"/>
  <c r="K18" i="1"/>
  <c r="K21" i="1"/>
  <c r="D23" i="2"/>
  <c r="H17" i="2"/>
  <c r="D38" i="7"/>
  <c r="D26" i="6"/>
  <c r="F18" i="6" s="1"/>
  <c r="E62" i="5"/>
  <c r="D57" i="4"/>
  <c r="F49" i="4" s="1"/>
  <c r="H49" i="4" s="1"/>
  <c r="H23" i="2" l="1"/>
  <c r="E44" i="1"/>
  <c r="G44" i="1" s="1"/>
  <c r="D24" i="4"/>
  <c r="F24" i="4" s="1"/>
  <c r="T333" i="19"/>
  <c r="AS333" i="19"/>
  <c r="K24" i="1"/>
  <c r="E39" i="1"/>
  <c r="G39" i="1" s="1"/>
  <c r="D19" i="4"/>
  <c r="F19" i="4" s="1"/>
  <c r="J333" i="19"/>
  <c r="I62" i="5"/>
  <c r="E68" i="5"/>
  <c r="F24" i="6"/>
  <c r="H24" i="6" s="1"/>
  <c r="R24" i="6" s="1"/>
  <c r="V337" i="19" s="1"/>
  <c r="F19" i="6"/>
  <c r="H19" i="6" s="1"/>
  <c r="F21" i="6"/>
  <c r="H21" i="6" s="1"/>
  <c r="F23" i="6"/>
  <c r="H23" i="6" s="1"/>
  <c r="F22" i="6"/>
  <c r="H22" i="6" s="1"/>
  <c r="F20" i="6"/>
  <c r="H20" i="6" s="1"/>
  <c r="R333" i="19"/>
  <c r="E43" i="1"/>
  <c r="G43" i="1" s="1"/>
  <c r="D23" i="4"/>
  <c r="F23" i="4" s="1"/>
  <c r="F52" i="4"/>
  <c r="H52" i="4" s="1"/>
  <c r="F51" i="4"/>
  <c r="H51" i="4" s="1"/>
  <c r="F50" i="4"/>
  <c r="H50" i="4" s="1"/>
  <c r="F54" i="4"/>
  <c r="H54" i="4" s="1"/>
  <c r="F53" i="4"/>
  <c r="H53" i="4" s="1"/>
  <c r="F55" i="4"/>
  <c r="H55" i="4" s="1"/>
  <c r="R55" i="4" s="1"/>
  <c r="E42" i="1"/>
  <c r="G42" i="1" s="1"/>
  <c r="D22" i="4"/>
  <c r="F22" i="4" s="1"/>
  <c r="P333" i="19"/>
  <c r="H38" i="7"/>
  <c r="D44" i="7"/>
  <c r="D20" i="4"/>
  <c r="F20" i="4" s="1"/>
  <c r="E40" i="1"/>
  <c r="G40" i="1" s="1"/>
  <c r="L333" i="19"/>
  <c r="E41" i="1"/>
  <c r="G41" i="1" s="1"/>
  <c r="D21" i="4"/>
  <c r="F21" i="4" s="1"/>
  <c r="N333" i="19"/>
  <c r="E45" i="1"/>
  <c r="G45" i="1" s="1"/>
  <c r="M45" i="1" s="1"/>
  <c r="V334" i="19" s="1"/>
  <c r="D25" i="4"/>
  <c r="F25" i="4" s="1"/>
  <c r="P25" i="4" s="1"/>
  <c r="V333" i="19"/>
  <c r="AG335" i="19" l="1"/>
  <c r="S17" i="8"/>
  <c r="P24" i="4"/>
  <c r="E47" i="1"/>
  <c r="H44" i="7"/>
  <c r="J38" i="7" s="1"/>
  <c r="F24" i="8"/>
  <c r="H24" i="8" s="1"/>
  <c r="V335" i="19"/>
  <c r="S21" i="8"/>
  <c r="T21" i="8" s="1"/>
  <c r="V336" i="19"/>
  <c r="U21" i="8"/>
  <c r="V21" i="8" s="1"/>
  <c r="J24" i="8"/>
  <c r="L24" i="8" s="1"/>
  <c r="I68" i="5"/>
  <c r="AS334" i="19"/>
  <c r="M44" i="1"/>
  <c r="T334" i="19" s="1"/>
  <c r="R23" i="6"/>
  <c r="AG337" i="19"/>
  <c r="F57" i="4"/>
  <c r="X333" i="19"/>
  <c r="J21" i="2"/>
  <c r="J19" i="2"/>
  <c r="J18" i="2"/>
  <c r="J20" i="2"/>
  <c r="AS31" i="19"/>
  <c r="AS55" i="19"/>
  <c r="AS33" i="19"/>
  <c r="AG333" i="19"/>
  <c r="AS14" i="19"/>
  <c r="AS32" i="19"/>
  <c r="AS37" i="19"/>
  <c r="H18" i="6"/>
  <c r="F26" i="6"/>
  <c r="R54" i="4"/>
  <c r="AG336" i="19"/>
  <c r="U17" i="8"/>
  <c r="F27" i="4"/>
  <c r="D27" i="4"/>
  <c r="J17" i="2"/>
  <c r="K62" i="5" l="1"/>
  <c r="AG143" i="19"/>
  <c r="AG154" i="19"/>
  <c r="AG251" i="19"/>
  <c r="AG247" i="19"/>
  <c r="AG241" i="19"/>
  <c r="AG276" i="19"/>
  <c r="AG240" i="19"/>
  <c r="AG238" i="19"/>
  <c r="AG228" i="19"/>
  <c r="AG278" i="19"/>
  <c r="AG232" i="19"/>
  <c r="AG144" i="19"/>
  <c r="AG145" i="19"/>
  <c r="AG152" i="19"/>
  <c r="AG156" i="19"/>
  <c r="AG249" i="19"/>
  <c r="AG239" i="19"/>
  <c r="AG242" i="19"/>
  <c r="AG146" i="19"/>
  <c r="AG137" i="19"/>
  <c r="AG147" i="19"/>
  <c r="AS35" i="19"/>
  <c r="AS38" i="19"/>
  <c r="AS230" i="19"/>
  <c r="AS22" i="19"/>
  <c r="AS47" i="19"/>
  <c r="AS21" i="19"/>
  <c r="AS34" i="19"/>
  <c r="AG334" i="19"/>
  <c r="AS135" i="19"/>
  <c r="AS46" i="19"/>
  <c r="AS296" i="19"/>
  <c r="AS140" i="19"/>
  <c r="AS36" i="19"/>
  <c r="AS267" i="19"/>
  <c r="AS40" i="19"/>
  <c r="AS29" i="19"/>
  <c r="AS141" i="19"/>
  <c r="AS148" i="19"/>
  <c r="AS15" i="19"/>
  <c r="AS16" i="19"/>
  <c r="AS243" i="19"/>
  <c r="AS226" i="19"/>
  <c r="AS231" i="19"/>
  <c r="AS244" i="19"/>
  <c r="AS39" i="19"/>
  <c r="AS200" i="19"/>
  <c r="AS136" i="19"/>
  <c r="AS237" i="19"/>
  <c r="AS279" i="19"/>
  <c r="AS149" i="19"/>
  <c r="AS142" i="19"/>
  <c r="AS44" i="19"/>
  <c r="AS30" i="19"/>
  <c r="AS229" i="19"/>
  <c r="AS236" i="19"/>
  <c r="AS45" i="19"/>
  <c r="AS172" i="19"/>
  <c r="AS227" i="19"/>
  <c r="V17" i="8"/>
  <c r="K65" i="5"/>
  <c r="J52" i="4" s="1"/>
  <c r="L52" i="4" s="1"/>
  <c r="R52" i="4" s="1"/>
  <c r="K64" i="5"/>
  <c r="J51" i="4" s="1"/>
  <c r="L51" i="4" s="1"/>
  <c r="R51" i="4" s="1"/>
  <c r="K63" i="5"/>
  <c r="J50" i="4" s="1"/>
  <c r="L50" i="4" s="1"/>
  <c r="R50" i="4" s="1"/>
  <c r="K66" i="5"/>
  <c r="J53" i="4" s="1"/>
  <c r="L53" i="4" s="1"/>
  <c r="R53" i="4" s="1"/>
  <c r="J42" i="7"/>
  <c r="J22" i="6" s="1"/>
  <c r="L22" i="6" s="1"/>
  <c r="R22" i="6" s="1"/>
  <c r="R337" i="19" s="1"/>
  <c r="J39" i="7"/>
  <c r="J19" i="6" s="1"/>
  <c r="L19" i="6" s="1"/>
  <c r="R19" i="6" s="1"/>
  <c r="L337" i="19" s="1"/>
  <c r="J41" i="7"/>
  <c r="J21" i="6" s="1"/>
  <c r="L21" i="6" s="1"/>
  <c r="R21" i="6" s="1"/>
  <c r="P337" i="19" s="1"/>
  <c r="J40" i="7"/>
  <c r="J20" i="6" s="1"/>
  <c r="L20" i="6" s="1"/>
  <c r="R20" i="6" s="1"/>
  <c r="N337" i="19" s="1"/>
  <c r="T336" i="19"/>
  <c r="AS336" i="19"/>
  <c r="AU336" i="19" s="1"/>
  <c r="J23" i="8"/>
  <c r="L23" i="8" s="1"/>
  <c r="U20" i="8"/>
  <c r="V20" i="8" s="1"/>
  <c r="H23" i="4"/>
  <c r="J23" i="4" s="1"/>
  <c r="P23" i="4" s="1"/>
  <c r="I43" i="1"/>
  <c r="K43" i="1" s="1"/>
  <c r="M43" i="1" s="1"/>
  <c r="R334" i="19" s="1"/>
  <c r="H57" i="4"/>
  <c r="N24" i="8"/>
  <c r="V339" i="19" s="1"/>
  <c r="G47" i="1"/>
  <c r="AG153" i="19"/>
  <c r="AG277" i="19"/>
  <c r="AG252" i="19"/>
  <c r="AG155" i="19"/>
  <c r="AG248" i="19"/>
  <c r="AG250" i="19"/>
  <c r="AG286" i="19"/>
  <c r="AG157" i="19"/>
  <c r="H21" i="4"/>
  <c r="J21" i="4" s="1"/>
  <c r="P21" i="4" s="1"/>
  <c r="I41" i="1"/>
  <c r="K41" i="1" s="1"/>
  <c r="M41" i="1" s="1"/>
  <c r="N334" i="19" s="1"/>
  <c r="Y21" i="8"/>
  <c r="I39" i="1"/>
  <c r="K39" i="1" s="1"/>
  <c r="H19" i="4"/>
  <c r="J23" i="2"/>
  <c r="AG74" i="19"/>
  <c r="AG245" i="19"/>
  <c r="AG78" i="19"/>
  <c r="AG151" i="19"/>
  <c r="AG294" i="19"/>
  <c r="AG150" i="19"/>
  <c r="AG246" i="19"/>
  <c r="AG295" i="19"/>
  <c r="AG79" i="19"/>
  <c r="AG280" i="19"/>
  <c r="T335" i="19"/>
  <c r="AS335" i="19"/>
  <c r="AU335" i="19" s="1"/>
  <c r="F23" i="8"/>
  <c r="H23" i="8" s="1"/>
  <c r="S20" i="8"/>
  <c r="T20" i="8" s="1"/>
  <c r="H20" i="4"/>
  <c r="J20" i="4" s="1"/>
  <c r="P20" i="4" s="1"/>
  <c r="I40" i="1"/>
  <c r="K40" i="1" s="1"/>
  <c r="M40" i="1" s="1"/>
  <c r="L334" i="19" s="1"/>
  <c r="AG31" i="19"/>
  <c r="AG33" i="19"/>
  <c r="AU333" i="19"/>
  <c r="AG14" i="19"/>
  <c r="AG32" i="19"/>
  <c r="AG55" i="19"/>
  <c r="AG37" i="19"/>
  <c r="J18" i="6"/>
  <c r="H26" i="6"/>
  <c r="I42" i="1"/>
  <c r="K42" i="1" s="1"/>
  <c r="M42" i="1" s="1"/>
  <c r="P334" i="19" s="1"/>
  <c r="H22" i="4"/>
  <c r="J22" i="4" s="1"/>
  <c r="P22" i="4" s="1"/>
  <c r="AS337" i="19"/>
  <c r="AU337" i="19" s="1"/>
  <c r="T337" i="19"/>
  <c r="T17" i="8"/>
  <c r="S22" i="8" l="1"/>
  <c r="AS17" i="19"/>
  <c r="N23" i="8"/>
  <c r="T339" i="19" s="1"/>
  <c r="Y20" i="8"/>
  <c r="AS339" i="19" s="1"/>
  <c r="AS80" i="19" s="1"/>
  <c r="J20" i="8"/>
  <c r="L20" i="8" s="1"/>
  <c r="N336" i="19"/>
  <c r="AG141" i="19"/>
  <c r="AG140" i="19"/>
  <c r="AG172" i="19"/>
  <c r="AG136" i="19"/>
  <c r="AG40" i="19"/>
  <c r="AG15" i="19"/>
  <c r="AG231" i="19"/>
  <c r="AG230" i="19"/>
  <c r="AG267" i="19"/>
  <c r="AG38" i="19"/>
  <c r="AG135" i="19"/>
  <c r="AG236" i="19"/>
  <c r="AG22" i="19"/>
  <c r="AG35" i="19"/>
  <c r="AG200" i="19"/>
  <c r="AG296" i="19"/>
  <c r="AG142" i="19"/>
  <c r="AG226" i="19"/>
  <c r="AG34" i="19"/>
  <c r="AG45" i="19"/>
  <c r="AG21" i="19"/>
  <c r="AG279" i="19"/>
  <c r="AG39" i="19"/>
  <c r="AG29" i="19"/>
  <c r="AG148" i="19"/>
  <c r="AG30" i="19"/>
  <c r="AG227" i="19"/>
  <c r="AG46" i="19"/>
  <c r="AG244" i="19"/>
  <c r="AG149" i="19"/>
  <c r="AG36" i="19"/>
  <c r="AG237" i="19"/>
  <c r="AG44" i="19"/>
  <c r="AG47" i="19"/>
  <c r="AG243" i="19"/>
  <c r="AU334" i="19"/>
  <c r="AG16" i="19"/>
  <c r="AG229" i="19"/>
  <c r="J21" i="8"/>
  <c r="L21" i="8" s="1"/>
  <c r="P336" i="19"/>
  <c r="N335" i="19"/>
  <c r="F20" i="8"/>
  <c r="H20" i="8" s="1"/>
  <c r="J49" i="4"/>
  <c r="L49" i="4" s="1"/>
  <c r="K68" i="5"/>
  <c r="AS23" i="19"/>
  <c r="I47" i="1"/>
  <c r="F19" i="8"/>
  <c r="H19" i="8" s="1"/>
  <c r="L335" i="19"/>
  <c r="F22" i="8"/>
  <c r="H22" i="8" s="1"/>
  <c r="R335" i="19"/>
  <c r="Y17" i="8"/>
  <c r="T22" i="8"/>
  <c r="L18" i="6"/>
  <c r="J26" i="6"/>
  <c r="R336" i="19"/>
  <c r="J22" i="8"/>
  <c r="L22" i="8" s="1"/>
  <c r="U22" i="8"/>
  <c r="AS41" i="19"/>
  <c r="F21" i="8"/>
  <c r="H21" i="8" s="1"/>
  <c r="P335" i="19"/>
  <c r="J44" i="7"/>
  <c r="AS245" i="19"/>
  <c r="AS74" i="19"/>
  <c r="AS79" i="19"/>
  <c r="AS150" i="19"/>
  <c r="AS246" i="19"/>
  <c r="AS78" i="19"/>
  <c r="AS294" i="19"/>
  <c r="AS295" i="19"/>
  <c r="AS151" i="19"/>
  <c r="AS280" i="19"/>
  <c r="AS238" i="19"/>
  <c r="AS228" i="19"/>
  <c r="AS241" i="19"/>
  <c r="AS251" i="19"/>
  <c r="AS154" i="19"/>
  <c r="AS147" i="19"/>
  <c r="AS143" i="19"/>
  <c r="AS247" i="19"/>
  <c r="AS145" i="19"/>
  <c r="AS146" i="19"/>
  <c r="AS242" i="19"/>
  <c r="AS232" i="19"/>
  <c r="AS276" i="19"/>
  <c r="AS240" i="19"/>
  <c r="AS137" i="19"/>
  <c r="AS278" i="19"/>
  <c r="AS249" i="19"/>
  <c r="AS156" i="19"/>
  <c r="AS144" i="19"/>
  <c r="AS152" i="19"/>
  <c r="AS239" i="19"/>
  <c r="J19" i="4"/>
  <c r="H27" i="4"/>
  <c r="AS153" i="19"/>
  <c r="AS277" i="19"/>
  <c r="AS157" i="19"/>
  <c r="AS286" i="19"/>
  <c r="AS155" i="19"/>
  <c r="AS252" i="19"/>
  <c r="AS250" i="19"/>
  <c r="AS248" i="19"/>
  <c r="J19" i="8"/>
  <c r="L19" i="8" s="1"/>
  <c r="L336" i="19"/>
  <c r="V22" i="8"/>
  <c r="AS48" i="19"/>
  <c r="AS25" i="19" l="1"/>
  <c r="AG17" i="19"/>
  <c r="N21" i="8"/>
  <c r="P339" i="19" s="1"/>
  <c r="AS61" i="19"/>
  <c r="N20" i="8"/>
  <c r="N339" i="19" s="1"/>
  <c r="AS50" i="19"/>
  <c r="AS56" i="19"/>
  <c r="AS54" i="19"/>
  <c r="AS58" i="19"/>
  <c r="AS67" i="19"/>
  <c r="H28" i="27"/>
  <c r="J18" i="27" s="1"/>
  <c r="AS235" i="19"/>
  <c r="AS59" i="19"/>
  <c r="AS57" i="19"/>
  <c r="AS70" i="19"/>
  <c r="AS60" i="19"/>
  <c r="K47" i="1"/>
  <c r="M39" i="1"/>
  <c r="L26" i="6"/>
  <c r="R18" i="6"/>
  <c r="AG23" i="19"/>
  <c r="Y22" i="8"/>
  <c r="AG339" i="19"/>
  <c r="J57" i="4"/>
  <c r="N22" i="8"/>
  <c r="R339" i="19" s="1"/>
  <c r="N19" i="8"/>
  <c r="L339" i="19" s="1"/>
  <c r="AG48" i="19"/>
  <c r="AG41" i="19"/>
  <c r="J27" i="4"/>
  <c r="P19" i="4"/>
  <c r="J20" i="27" l="1"/>
  <c r="AS62" i="19"/>
  <c r="AS310" i="19"/>
  <c r="AS311" i="19" s="1"/>
  <c r="AS344" i="19" s="1"/>
  <c r="AS83" i="19" s="1"/>
  <c r="J24" i="27"/>
  <c r="J26" i="27"/>
  <c r="J22" i="27"/>
  <c r="J335" i="19"/>
  <c r="F18" i="8"/>
  <c r="P27" i="4"/>
  <c r="L57" i="4"/>
  <c r="R49" i="4"/>
  <c r="R26" i="6"/>
  <c r="J337" i="19"/>
  <c r="AG25" i="19"/>
  <c r="AG67" i="19"/>
  <c r="AG60" i="19"/>
  <c r="AG70" i="19"/>
  <c r="AG59" i="19"/>
  <c r="AG80" i="19"/>
  <c r="AG57" i="19"/>
  <c r="AG58" i="19"/>
  <c r="AG54" i="19"/>
  <c r="AG56" i="19"/>
  <c r="AU339" i="19"/>
  <c r="AG235" i="19"/>
  <c r="AG61" i="19"/>
  <c r="AG50" i="19"/>
  <c r="M47" i="1"/>
  <c r="J334" i="19"/>
  <c r="J28" i="27" l="1"/>
  <c r="AS82" i="19"/>
  <c r="AS66" i="19"/>
  <c r="AS75" i="19"/>
  <c r="AS76" i="19"/>
  <c r="AS77" i="19"/>
  <c r="X334" i="19"/>
  <c r="X337" i="19"/>
  <c r="H18" i="8"/>
  <c r="F26" i="8"/>
  <c r="X335" i="19"/>
  <c r="AG62" i="19"/>
  <c r="AG310" i="19"/>
  <c r="J18" i="8"/>
  <c r="J336" i="19"/>
  <c r="R57" i="4"/>
  <c r="AS84" i="19" l="1"/>
  <c r="AS86" i="19" s="1"/>
  <c r="AS312" i="19" s="1"/>
  <c r="AS313" i="19" s="1"/>
  <c r="AS347" i="19" s="1"/>
  <c r="AS234" i="19" s="1"/>
  <c r="H26" i="8"/>
  <c r="AG311" i="19"/>
  <c r="AU310" i="19"/>
  <c r="X336" i="19"/>
  <c r="L18" i="8"/>
  <c r="L26" i="8" s="1"/>
  <c r="J26" i="8"/>
  <c r="AS174" i="19" l="1"/>
  <c r="AS233" i="19"/>
  <c r="AS176" i="19"/>
  <c r="AS139" i="19"/>
  <c r="AS138" i="19"/>
  <c r="AS282" i="19"/>
  <c r="AS284" i="19" s="1"/>
  <c r="AS169" i="19"/>
  <c r="AS268" i="19"/>
  <c r="AS166" i="19"/>
  <c r="AS108" i="19"/>
  <c r="AS316" i="19" s="1"/>
  <c r="AS317" i="19" s="1"/>
  <c r="AS349" i="19" s="1"/>
  <c r="AS116" i="19" s="1"/>
  <c r="AS118" i="19"/>
  <c r="AS201" i="19"/>
  <c r="AS270" i="19"/>
  <c r="AS260" i="19"/>
  <c r="AS164" i="19"/>
  <c r="AS119" i="19"/>
  <c r="AS264" i="19"/>
  <c r="AS165" i="19"/>
  <c r="AS111" i="19"/>
  <c r="AS121" i="19"/>
  <c r="AS261" i="19"/>
  <c r="AS291" i="19"/>
  <c r="AS269" i="19"/>
  <c r="AS259" i="19"/>
  <c r="AS124" i="19"/>
  <c r="AS266" i="19"/>
  <c r="AS167" i="19"/>
  <c r="AS110" i="19"/>
  <c r="AS115" i="19"/>
  <c r="AS262" i="19"/>
  <c r="AS120" i="19"/>
  <c r="AS127" i="19"/>
  <c r="AS271" i="19"/>
  <c r="AS171" i="19"/>
  <c r="AS263" i="19"/>
  <c r="AS113" i="19"/>
  <c r="AS170" i="19"/>
  <c r="AS173" i="19"/>
  <c r="AS265" i="19"/>
  <c r="AS117" i="19"/>
  <c r="AS293" i="19"/>
  <c r="AS112" i="19"/>
  <c r="AS175" i="19"/>
  <c r="AS168" i="19"/>
  <c r="AS123" i="19"/>
  <c r="AS114" i="19"/>
  <c r="AG344" i="19"/>
  <c r="AU311" i="19"/>
  <c r="N18" i="8"/>
  <c r="AS122" i="19" l="1"/>
  <c r="AS188" i="19"/>
  <c r="AS109" i="19"/>
  <c r="AS318" i="19"/>
  <c r="AS319" i="19" s="1"/>
  <c r="AS350" i="19" s="1"/>
  <c r="AS297" i="19" s="1"/>
  <c r="AS178" i="19"/>
  <c r="N26" i="8"/>
  <c r="J339" i="19"/>
  <c r="AG82" i="19"/>
  <c r="AG66" i="19"/>
  <c r="AG75" i="19"/>
  <c r="AG76" i="19"/>
  <c r="AG83" i="19"/>
  <c r="AG77" i="19"/>
  <c r="AU344" i="19"/>
  <c r="AS225" i="19" l="1"/>
  <c r="AS273" i="19" s="1"/>
  <c r="AS290" i="19"/>
  <c r="X339" i="19"/>
  <c r="AG84" i="19"/>
  <c r="AG86" i="19" l="1"/>
  <c r="AG312" i="19" l="1"/>
  <c r="AG313" i="19" l="1"/>
  <c r="AU312" i="19"/>
  <c r="AG347" i="19" l="1"/>
  <c r="AU313" i="19"/>
  <c r="AG233" i="19" l="1"/>
  <c r="AG234" i="19"/>
  <c r="AG118" i="19"/>
  <c r="AG168" i="19"/>
  <c r="AG173" i="19"/>
  <c r="AG261" i="19"/>
  <c r="AG264" i="19"/>
  <c r="AG271" i="19"/>
  <c r="AG119" i="19"/>
  <c r="AG112" i="19"/>
  <c r="AG175" i="19"/>
  <c r="AG117" i="19"/>
  <c r="AG138" i="19"/>
  <c r="AG114" i="19"/>
  <c r="AG269" i="19"/>
  <c r="AG262" i="19"/>
  <c r="AG293" i="19"/>
  <c r="AG260" i="19"/>
  <c r="AG120" i="19"/>
  <c r="AG268" i="19"/>
  <c r="AG170" i="19"/>
  <c r="AG124" i="19"/>
  <c r="AG266" i="19"/>
  <c r="AG108" i="19"/>
  <c r="AG121" i="19"/>
  <c r="AG166" i="19"/>
  <c r="AG259" i="19"/>
  <c r="AG282" i="19"/>
  <c r="AG110" i="19"/>
  <c r="AG113" i="19"/>
  <c r="AG291" i="19"/>
  <c r="AG123" i="19"/>
  <c r="AG169" i="19"/>
  <c r="AG164" i="19"/>
  <c r="AG201" i="19"/>
  <c r="AG165" i="19"/>
  <c r="AG127" i="19"/>
  <c r="AG270" i="19"/>
  <c r="AG167" i="19"/>
  <c r="AG174" i="19"/>
  <c r="AG265" i="19"/>
  <c r="AG111" i="19"/>
  <c r="AG176" i="19"/>
  <c r="AG115" i="19"/>
  <c r="AG139" i="19"/>
  <c r="AG171" i="19"/>
  <c r="AG263" i="19"/>
  <c r="AU347" i="19"/>
  <c r="AG178" i="19" l="1"/>
  <c r="AG316" i="19"/>
  <c r="AG318" i="19"/>
  <c r="AG284" i="19"/>
  <c r="AG317" i="19" l="1"/>
  <c r="AU316" i="19"/>
  <c r="AG319" i="19"/>
  <c r="AU318" i="19"/>
  <c r="AG350" i="19" l="1"/>
  <c r="AU319" i="19"/>
  <c r="AG349" i="19"/>
  <c r="AU317" i="19"/>
  <c r="AG297" i="19" l="1"/>
  <c r="AG225" i="19"/>
  <c r="AG290" i="19"/>
  <c r="AU350" i="19"/>
  <c r="AG188" i="19"/>
  <c r="AG122" i="19"/>
  <c r="AG109" i="19"/>
  <c r="AG116" i="19"/>
  <c r="AU349" i="19"/>
  <c r="AG273" i="19" l="1"/>
  <c r="P18" i="27" l="1"/>
  <c r="R18" i="27" s="1"/>
  <c r="P20" i="27"/>
  <c r="R20" i="27" s="1"/>
  <c r="P22" i="27"/>
  <c r="R22" i="27" s="1"/>
  <c r="P24" i="27"/>
  <c r="R24" i="27" s="1"/>
  <c r="P26" i="27"/>
  <c r="L28" i="27"/>
  <c r="N18" i="27" s="1"/>
  <c r="P28" i="27" l="1"/>
  <c r="R28" i="27" s="1"/>
  <c r="R26" i="27"/>
  <c r="N20" i="27"/>
  <c r="N24" i="27"/>
  <c r="H206" i="19"/>
  <c r="N26" i="27"/>
  <c r="N22" i="27"/>
  <c r="N28" i="27" l="1"/>
  <c r="AE203" i="19"/>
  <c r="D30" i="27"/>
  <c r="H210" i="19"/>
  <c r="H215" i="19" s="1"/>
  <c r="AE206" i="19" l="1"/>
  <c r="AE210" i="19" s="1"/>
  <c r="L30" i="27"/>
  <c r="H30" i="27"/>
  <c r="H32" i="27" l="1"/>
  <c r="AE215" i="19"/>
  <c r="L32" i="27"/>
  <c r="P30" i="27"/>
  <c r="R30" i="27" l="1"/>
  <c r="P32" i="27"/>
  <c r="R32" i="27" s="1"/>
  <c r="J14" i="19" l="1"/>
  <c r="L14" i="19"/>
  <c r="N14" i="19"/>
  <c r="P14" i="19"/>
  <c r="R14" i="19"/>
  <c r="T14" i="19"/>
  <c r="V14" i="19"/>
  <c r="J15" i="19"/>
  <c r="L15" i="19"/>
  <c r="N15" i="19"/>
  <c r="P15" i="19"/>
  <c r="R15" i="19"/>
  <c r="T15" i="19"/>
  <c r="V15" i="19"/>
  <c r="J16" i="19"/>
  <c r="L16" i="19"/>
  <c r="N16" i="19"/>
  <c r="P16" i="19"/>
  <c r="R16" i="19"/>
  <c r="T16" i="19"/>
  <c r="V16" i="19"/>
  <c r="J21" i="19"/>
  <c r="L21" i="19"/>
  <c r="N21" i="19"/>
  <c r="P21" i="19"/>
  <c r="R21" i="19"/>
  <c r="T21" i="19"/>
  <c r="V21" i="19"/>
  <c r="J22" i="19"/>
  <c r="L22" i="19"/>
  <c r="N22" i="19"/>
  <c r="P22" i="19"/>
  <c r="R22" i="19"/>
  <c r="T22" i="19"/>
  <c r="V22" i="19"/>
  <c r="J29" i="19"/>
  <c r="L29" i="19"/>
  <c r="N29" i="19"/>
  <c r="P29" i="19"/>
  <c r="R29" i="19"/>
  <c r="T29" i="19"/>
  <c r="V29" i="19"/>
  <c r="J30" i="19"/>
  <c r="L30" i="19"/>
  <c r="N30" i="19"/>
  <c r="P30" i="19"/>
  <c r="R30" i="19"/>
  <c r="T30" i="19"/>
  <c r="V30" i="19"/>
  <c r="J31" i="19"/>
  <c r="L31" i="19"/>
  <c r="N31" i="19"/>
  <c r="P31" i="19"/>
  <c r="R31" i="19"/>
  <c r="T31" i="19"/>
  <c r="V31" i="19"/>
  <c r="J32" i="19"/>
  <c r="L32" i="19"/>
  <c r="N32" i="19"/>
  <c r="P32" i="19"/>
  <c r="R32" i="19"/>
  <c r="T32" i="19"/>
  <c r="V32" i="19"/>
  <c r="J33" i="19"/>
  <c r="L33" i="19"/>
  <c r="N33" i="19"/>
  <c r="P33" i="19"/>
  <c r="R33" i="19"/>
  <c r="T33" i="19"/>
  <c r="V33" i="19"/>
  <c r="J34" i="19"/>
  <c r="L34" i="19"/>
  <c r="N34" i="19"/>
  <c r="P34" i="19"/>
  <c r="R34" i="19"/>
  <c r="T34" i="19"/>
  <c r="V34" i="19"/>
  <c r="J35" i="19"/>
  <c r="L35" i="19"/>
  <c r="N35" i="19"/>
  <c r="P35" i="19"/>
  <c r="R35" i="19"/>
  <c r="T35" i="19"/>
  <c r="V35" i="19"/>
  <c r="J36" i="19"/>
  <c r="L36" i="19"/>
  <c r="N36" i="19"/>
  <c r="P36" i="19"/>
  <c r="R36" i="19"/>
  <c r="T36" i="19"/>
  <c r="V36" i="19"/>
  <c r="J37" i="19"/>
  <c r="L37" i="19"/>
  <c r="N37" i="19"/>
  <c r="P37" i="19"/>
  <c r="R37" i="19"/>
  <c r="T37" i="19"/>
  <c r="V37" i="19"/>
  <c r="J38" i="19"/>
  <c r="L38" i="19"/>
  <c r="N38" i="19"/>
  <c r="P38" i="19"/>
  <c r="R38" i="19"/>
  <c r="T38" i="19"/>
  <c r="V38" i="19"/>
  <c r="J39" i="19"/>
  <c r="L39" i="19"/>
  <c r="N39" i="19"/>
  <c r="P39" i="19"/>
  <c r="R39" i="19"/>
  <c r="T39" i="19"/>
  <c r="V39" i="19"/>
  <c r="J40" i="19"/>
  <c r="L40" i="19"/>
  <c r="N40" i="19"/>
  <c r="P40" i="19"/>
  <c r="R40" i="19"/>
  <c r="T40" i="19"/>
  <c r="V40" i="19"/>
  <c r="J44" i="19"/>
  <c r="L44" i="19"/>
  <c r="N44" i="19"/>
  <c r="P44" i="19"/>
  <c r="R44" i="19"/>
  <c r="T44" i="19"/>
  <c r="V44" i="19"/>
  <c r="J45" i="19"/>
  <c r="L45" i="19"/>
  <c r="N45" i="19"/>
  <c r="P45" i="19"/>
  <c r="R45" i="19"/>
  <c r="T45" i="19"/>
  <c r="V45" i="19"/>
  <c r="J46" i="19"/>
  <c r="L46" i="19"/>
  <c r="N46" i="19"/>
  <c r="P46" i="19"/>
  <c r="R46" i="19"/>
  <c r="T46" i="19"/>
  <c r="V46" i="19"/>
  <c r="J47" i="19"/>
  <c r="L47" i="19"/>
  <c r="N47" i="19"/>
  <c r="P47" i="19"/>
  <c r="R47" i="19"/>
  <c r="T47" i="19"/>
  <c r="V47" i="19"/>
  <c r="J54" i="19"/>
  <c r="L54" i="19"/>
  <c r="N54" i="19"/>
  <c r="P54" i="19"/>
  <c r="R54" i="19"/>
  <c r="T54" i="19"/>
  <c r="V54" i="19"/>
  <c r="J55" i="19"/>
  <c r="L55" i="19"/>
  <c r="N55" i="19"/>
  <c r="P55" i="19"/>
  <c r="R55" i="19"/>
  <c r="T55" i="19"/>
  <c r="V55" i="19"/>
  <c r="J56" i="19"/>
  <c r="L56" i="19"/>
  <c r="N56" i="19"/>
  <c r="P56" i="19"/>
  <c r="R56" i="19"/>
  <c r="T56" i="19"/>
  <c r="V56" i="19"/>
  <c r="J57" i="19"/>
  <c r="L57" i="19"/>
  <c r="N57" i="19"/>
  <c r="P57" i="19"/>
  <c r="R57" i="19"/>
  <c r="T57" i="19"/>
  <c r="V57" i="19"/>
  <c r="J58" i="19"/>
  <c r="L58" i="19"/>
  <c r="N58" i="19"/>
  <c r="P58" i="19"/>
  <c r="R58" i="19"/>
  <c r="T58" i="19"/>
  <c r="V58" i="19"/>
  <c r="J59" i="19"/>
  <c r="L59" i="19"/>
  <c r="N59" i="19"/>
  <c r="P59" i="19"/>
  <c r="R59" i="19"/>
  <c r="T59" i="19"/>
  <c r="V59" i="19"/>
  <c r="J60" i="19"/>
  <c r="L60" i="19"/>
  <c r="N60" i="19"/>
  <c r="P60" i="19"/>
  <c r="R60" i="19"/>
  <c r="T60" i="19"/>
  <c r="V60" i="19"/>
  <c r="J61" i="19"/>
  <c r="L61" i="19"/>
  <c r="N61" i="19"/>
  <c r="P61" i="19"/>
  <c r="R61" i="19"/>
  <c r="T61" i="19"/>
  <c r="V61" i="19"/>
  <c r="J67" i="19"/>
  <c r="L67" i="19"/>
  <c r="N67" i="19"/>
  <c r="P67" i="19"/>
  <c r="R67" i="19"/>
  <c r="T67" i="19"/>
  <c r="V67" i="19"/>
  <c r="J68" i="19"/>
  <c r="L68" i="19"/>
  <c r="N68" i="19"/>
  <c r="P68" i="19"/>
  <c r="R68" i="19"/>
  <c r="T68" i="19"/>
  <c r="V68" i="19"/>
  <c r="J69" i="19"/>
  <c r="L69" i="19"/>
  <c r="N69" i="19"/>
  <c r="P69" i="19"/>
  <c r="R69" i="19"/>
  <c r="T69" i="19"/>
  <c r="V69" i="19"/>
  <c r="J70" i="19"/>
  <c r="L70" i="19"/>
  <c r="N70" i="19"/>
  <c r="P70" i="19"/>
  <c r="R70" i="19"/>
  <c r="T70" i="19"/>
  <c r="V70" i="19"/>
  <c r="J71" i="19"/>
  <c r="L71" i="19"/>
  <c r="N71" i="19"/>
  <c r="P71" i="19"/>
  <c r="R71" i="19"/>
  <c r="T71" i="19"/>
  <c r="V71" i="19"/>
  <c r="J72" i="19"/>
  <c r="L72" i="19"/>
  <c r="N72" i="19"/>
  <c r="P72" i="19"/>
  <c r="R72" i="19"/>
  <c r="T72" i="19"/>
  <c r="V72" i="19"/>
  <c r="J73" i="19"/>
  <c r="L73" i="19"/>
  <c r="N73" i="19"/>
  <c r="P73" i="19"/>
  <c r="R73" i="19"/>
  <c r="T73" i="19"/>
  <c r="V73" i="19"/>
  <c r="J74" i="19"/>
  <c r="L74" i="19"/>
  <c r="N74" i="19"/>
  <c r="P74" i="19"/>
  <c r="R74" i="19"/>
  <c r="T74" i="19"/>
  <c r="V74" i="19"/>
  <c r="J78" i="19"/>
  <c r="L78" i="19"/>
  <c r="N78" i="19"/>
  <c r="P78" i="19"/>
  <c r="R78" i="19"/>
  <c r="T78" i="19"/>
  <c r="V78" i="19"/>
  <c r="J79" i="19"/>
  <c r="L79" i="19"/>
  <c r="N79" i="19"/>
  <c r="P79" i="19"/>
  <c r="R79" i="19"/>
  <c r="T79" i="19"/>
  <c r="V79" i="19"/>
  <c r="J80" i="19"/>
  <c r="L80" i="19"/>
  <c r="N80" i="19"/>
  <c r="P80" i="19"/>
  <c r="R80" i="19"/>
  <c r="T80" i="19"/>
  <c r="V80" i="19"/>
  <c r="J81" i="19"/>
  <c r="L81" i="19"/>
  <c r="N81" i="19"/>
  <c r="P81" i="19"/>
  <c r="R81" i="19"/>
  <c r="T81" i="19"/>
  <c r="V81" i="19"/>
  <c r="J89" i="19"/>
  <c r="L89" i="19"/>
  <c r="N89" i="19"/>
  <c r="P89" i="19"/>
  <c r="R89" i="19"/>
  <c r="T89" i="19"/>
  <c r="V89" i="19"/>
  <c r="J90" i="19"/>
  <c r="L90" i="19"/>
  <c r="N90" i="19"/>
  <c r="P90" i="19"/>
  <c r="R90" i="19"/>
  <c r="T90" i="19"/>
  <c r="V90" i="19"/>
  <c r="J91" i="19"/>
  <c r="L91" i="19"/>
  <c r="N91" i="19"/>
  <c r="P91" i="19"/>
  <c r="R91" i="19"/>
  <c r="T91" i="19"/>
  <c r="V91" i="19"/>
  <c r="J92" i="19"/>
  <c r="L92" i="19"/>
  <c r="N92" i="19"/>
  <c r="P92" i="19"/>
  <c r="R92" i="19"/>
  <c r="T92" i="19"/>
  <c r="V92" i="19"/>
  <c r="J93" i="19"/>
  <c r="L93" i="19"/>
  <c r="N93" i="19"/>
  <c r="P93" i="19"/>
  <c r="R93" i="19"/>
  <c r="T93" i="19"/>
  <c r="V93" i="19"/>
  <c r="J94" i="19"/>
  <c r="L94" i="19"/>
  <c r="N94" i="19"/>
  <c r="P94" i="19"/>
  <c r="R94" i="19"/>
  <c r="T94" i="19"/>
  <c r="V94" i="19"/>
  <c r="J95" i="19"/>
  <c r="L95" i="19"/>
  <c r="N95" i="19"/>
  <c r="P95" i="19"/>
  <c r="R95" i="19"/>
  <c r="T95" i="19"/>
  <c r="V95" i="19"/>
  <c r="J96" i="19"/>
  <c r="L96" i="19"/>
  <c r="N96" i="19"/>
  <c r="P96" i="19"/>
  <c r="R96" i="19"/>
  <c r="T96" i="19"/>
  <c r="V96" i="19"/>
  <c r="J97" i="19"/>
  <c r="L97" i="19"/>
  <c r="N97" i="19"/>
  <c r="P97" i="19"/>
  <c r="R97" i="19"/>
  <c r="T97" i="19"/>
  <c r="V97" i="19"/>
  <c r="J98" i="19"/>
  <c r="L98" i="19"/>
  <c r="N98" i="19"/>
  <c r="P98" i="19"/>
  <c r="R98" i="19"/>
  <c r="T98" i="19"/>
  <c r="V98" i="19"/>
  <c r="J99" i="19"/>
  <c r="L99" i="19"/>
  <c r="N99" i="19"/>
  <c r="P99" i="19"/>
  <c r="R99" i="19"/>
  <c r="T99" i="19"/>
  <c r="V99" i="19"/>
  <c r="J100" i="19"/>
  <c r="L100" i="19"/>
  <c r="N100" i="19"/>
  <c r="P100" i="19"/>
  <c r="R100" i="19"/>
  <c r="T100" i="19"/>
  <c r="V100" i="19"/>
  <c r="J101" i="19"/>
  <c r="L101" i="19"/>
  <c r="N101" i="19"/>
  <c r="P101" i="19"/>
  <c r="R101" i="19"/>
  <c r="T101" i="19"/>
  <c r="V101" i="19"/>
  <c r="J102" i="19"/>
  <c r="L102" i="19"/>
  <c r="N102" i="19"/>
  <c r="P102" i="19"/>
  <c r="R102" i="19"/>
  <c r="T102" i="19"/>
  <c r="V102" i="19"/>
  <c r="J103" i="19"/>
  <c r="L103" i="19"/>
  <c r="N103" i="19"/>
  <c r="P103" i="19"/>
  <c r="R103" i="19"/>
  <c r="T103" i="19"/>
  <c r="V103" i="19"/>
  <c r="J126" i="19"/>
  <c r="L126" i="19"/>
  <c r="N126" i="19"/>
  <c r="P126" i="19"/>
  <c r="R126" i="19"/>
  <c r="T126" i="19"/>
  <c r="V126" i="19"/>
  <c r="J135" i="19"/>
  <c r="L135" i="19"/>
  <c r="N135" i="19"/>
  <c r="P135" i="19"/>
  <c r="R135" i="19"/>
  <c r="T135" i="19"/>
  <c r="V135" i="19"/>
  <c r="J136" i="19"/>
  <c r="L136" i="19"/>
  <c r="N136" i="19"/>
  <c r="P136" i="19"/>
  <c r="R136" i="19"/>
  <c r="T136" i="19"/>
  <c r="V136" i="19"/>
  <c r="J137" i="19"/>
  <c r="L137" i="19"/>
  <c r="N137" i="19"/>
  <c r="P137" i="19"/>
  <c r="R137" i="19"/>
  <c r="T137" i="19"/>
  <c r="V137" i="19"/>
  <c r="J140" i="19"/>
  <c r="L140" i="19"/>
  <c r="N140" i="19"/>
  <c r="P140" i="19"/>
  <c r="R140" i="19"/>
  <c r="T140" i="19"/>
  <c r="V140" i="19"/>
  <c r="J141" i="19"/>
  <c r="L141" i="19"/>
  <c r="N141" i="19"/>
  <c r="P141" i="19"/>
  <c r="R141" i="19"/>
  <c r="T141" i="19"/>
  <c r="V141" i="19"/>
  <c r="J142" i="19"/>
  <c r="L142" i="19"/>
  <c r="N142" i="19"/>
  <c r="P142" i="19"/>
  <c r="R142" i="19"/>
  <c r="T142" i="19"/>
  <c r="V142" i="19"/>
  <c r="J143" i="19"/>
  <c r="L143" i="19"/>
  <c r="N143" i="19"/>
  <c r="P143" i="19"/>
  <c r="R143" i="19"/>
  <c r="T143" i="19"/>
  <c r="V143" i="19"/>
  <c r="J144" i="19"/>
  <c r="L144" i="19"/>
  <c r="N144" i="19"/>
  <c r="P144" i="19"/>
  <c r="R144" i="19"/>
  <c r="T144" i="19"/>
  <c r="V144" i="19"/>
  <c r="J145" i="19"/>
  <c r="L145" i="19"/>
  <c r="N145" i="19"/>
  <c r="P145" i="19"/>
  <c r="R145" i="19"/>
  <c r="T145" i="19"/>
  <c r="V145" i="19"/>
  <c r="J146" i="19"/>
  <c r="L146" i="19"/>
  <c r="N146" i="19"/>
  <c r="P146" i="19"/>
  <c r="R146" i="19"/>
  <c r="T146" i="19"/>
  <c r="V146" i="19"/>
  <c r="J147" i="19"/>
  <c r="L147" i="19"/>
  <c r="N147" i="19"/>
  <c r="P147" i="19"/>
  <c r="R147" i="19"/>
  <c r="T147" i="19"/>
  <c r="V147" i="19"/>
  <c r="J148" i="19"/>
  <c r="L148" i="19"/>
  <c r="N148" i="19"/>
  <c r="P148" i="19"/>
  <c r="R148" i="19"/>
  <c r="T148" i="19"/>
  <c r="V148" i="19"/>
  <c r="J149" i="19"/>
  <c r="L149" i="19"/>
  <c r="N149" i="19"/>
  <c r="P149" i="19"/>
  <c r="R149" i="19"/>
  <c r="T149" i="19"/>
  <c r="V149" i="19"/>
  <c r="J150" i="19"/>
  <c r="L150" i="19"/>
  <c r="N150" i="19"/>
  <c r="P150" i="19"/>
  <c r="R150" i="19"/>
  <c r="T150" i="19"/>
  <c r="V150" i="19"/>
  <c r="J151" i="19"/>
  <c r="L151" i="19"/>
  <c r="N151" i="19"/>
  <c r="P151" i="19"/>
  <c r="R151" i="19"/>
  <c r="T151" i="19"/>
  <c r="V151" i="19"/>
  <c r="J152" i="19"/>
  <c r="L152" i="19"/>
  <c r="N152" i="19"/>
  <c r="P152" i="19"/>
  <c r="R152" i="19"/>
  <c r="T152" i="19"/>
  <c r="V152" i="19"/>
  <c r="J153" i="19"/>
  <c r="L153" i="19"/>
  <c r="N153" i="19"/>
  <c r="P153" i="19"/>
  <c r="R153" i="19"/>
  <c r="T153" i="19"/>
  <c r="V153" i="19"/>
  <c r="J154" i="19"/>
  <c r="L154" i="19"/>
  <c r="N154" i="19"/>
  <c r="P154" i="19"/>
  <c r="R154" i="19"/>
  <c r="T154" i="19"/>
  <c r="V154" i="19"/>
  <c r="J155" i="19"/>
  <c r="L155" i="19"/>
  <c r="N155" i="19"/>
  <c r="P155" i="19"/>
  <c r="R155" i="19"/>
  <c r="T155" i="19"/>
  <c r="V155" i="19"/>
  <c r="J156" i="19"/>
  <c r="L156" i="19"/>
  <c r="N156" i="19"/>
  <c r="P156" i="19"/>
  <c r="R156" i="19"/>
  <c r="T156" i="19"/>
  <c r="V156" i="19"/>
  <c r="J157" i="19"/>
  <c r="L157" i="19"/>
  <c r="N157" i="19"/>
  <c r="P157" i="19"/>
  <c r="R157" i="19"/>
  <c r="T157" i="19"/>
  <c r="V157" i="19"/>
  <c r="J158" i="19"/>
  <c r="L158" i="19"/>
  <c r="N158" i="19"/>
  <c r="P158" i="19"/>
  <c r="R158" i="19"/>
  <c r="T158" i="19"/>
  <c r="V158" i="19"/>
  <c r="J159" i="19"/>
  <c r="L159" i="19"/>
  <c r="N159" i="19"/>
  <c r="P159" i="19"/>
  <c r="R159" i="19"/>
  <c r="T159" i="19"/>
  <c r="V159" i="19"/>
  <c r="J160" i="19"/>
  <c r="L160" i="19"/>
  <c r="N160" i="19"/>
  <c r="P160" i="19"/>
  <c r="R160" i="19"/>
  <c r="T160" i="19"/>
  <c r="V160" i="19"/>
  <c r="J161" i="19"/>
  <c r="L161" i="19"/>
  <c r="N161" i="19"/>
  <c r="P161" i="19"/>
  <c r="R161" i="19"/>
  <c r="T161" i="19"/>
  <c r="V161" i="19"/>
  <c r="J162" i="19"/>
  <c r="L162" i="19"/>
  <c r="N162" i="19"/>
  <c r="P162" i="19"/>
  <c r="R162" i="19"/>
  <c r="T162" i="19"/>
  <c r="V162" i="19"/>
  <c r="J163" i="19"/>
  <c r="L163" i="19"/>
  <c r="N163" i="19"/>
  <c r="P163" i="19"/>
  <c r="R163" i="19"/>
  <c r="T163" i="19"/>
  <c r="V163" i="19"/>
  <c r="J172" i="19"/>
  <c r="L172" i="19"/>
  <c r="N172" i="19"/>
  <c r="P172" i="19"/>
  <c r="R172" i="19"/>
  <c r="T172" i="19"/>
  <c r="V172" i="19"/>
  <c r="J198" i="19"/>
  <c r="L198" i="19"/>
  <c r="N198" i="19"/>
  <c r="P198" i="19"/>
  <c r="R198" i="19"/>
  <c r="T198" i="19"/>
  <c r="V198" i="19"/>
  <c r="J200" i="19"/>
  <c r="L200" i="19"/>
  <c r="N200" i="19"/>
  <c r="P200" i="19"/>
  <c r="R200" i="19"/>
  <c r="T200" i="19"/>
  <c r="V200" i="19"/>
  <c r="J226" i="19"/>
  <c r="L226" i="19"/>
  <c r="N226" i="19"/>
  <c r="P226" i="19"/>
  <c r="R226" i="19"/>
  <c r="T226" i="19"/>
  <c r="V226" i="19"/>
  <c r="J227" i="19"/>
  <c r="L227" i="19"/>
  <c r="N227" i="19"/>
  <c r="P227" i="19"/>
  <c r="R227" i="19"/>
  <c r="T227" i="19"/>
  <c r="V227" i="19"/>
  <c r="J228" i="19"/>
  <c r="L228" i="19"/>
  <c r="N228" i="19"/>
  <c r="P228" i="19"/>
  <c r="R228" i="19"/>
  <c r="T228" i="19"/>
  <c r="V228" i="19"/>
  <c r="J229" i="19"/>
  <c r="L229" i="19"/>
  <c r="N229" i="19"/>
  <c r="P229" i="19"/>
  <c r="R229" i="19"/>
  <c r="T229" i="19"/>
  <c r="V229" i="19"/>
  <c r="J230" i="19"/>
  <c r="L230" i="19"/>
  <c r="N230" i="19"/>
  <c r="P230" i="19"/>
  <c r="R230" i="19"/>
  <c r="T230" i="19"/>
  <c r="V230" i="19"/>
  <c r="J231" i="19"/>
  <c r="L231" i="19"/>
  <c r="N231" i="19"/>
  <c r="P231" i="19"/>
  <c r="R231" i="19"/>
  <c r="T231" i="19"/>
  <c r="V231" i="19"/>
  <c r="J232" i="19"/>
  <c r="L232" i="19"/>
  <c r="N232" i="19"/>
  <c r="P232" i="19"/>
  <c r="R232" i="19"/>
  <c r="T232" i="19"/>
  <c r="V232" i="19"/>
  <c r="J235" i="19"/>
  <c r="L235" i="19"/>
  <c r="N235" i="19"/>
  <c r="P235" i="19"/>
  <c r="R235" i="19"/>
  <c r="T235" i="19"/>
  <c r="V235" i="19"/>
  <c r="J236" i="19"/>
  <c r="L236" i="19"/>
  <c r="N236" i="19"/>
  <c r="P236" i="19"/>
  <c r="R236" i="19"/>
  <c r="T236" i="19"/>
  <c r="V236" i="19"/>
  <c r="J237" i="19"/>
  <c r="L237" i="19"/>
  <c r="N237" i="19"/>
  <c r="P237" i="19"/>
  <c r="R237" i="19"/>
  <c r="T237" i="19"/>
  <c r="V237" i="19"/>
  <c r="J238" i="19"/>
  <c r="L238" i="19"/>
  <c r="N238" i="19"/>
  <c r="P238" i="19"/>
  <c r="R238" i="19"/>
  <c r="T238" i="19"/>
  <c r="V238" i="19"/>
  <c r="J239" i="19"/>
  <c r="L239" i="19"/>
  <c r="N239" i="19"/>
  <c r="P239" i="19"/>
  <c r="R239" i="19"/>
  <c r="T239" i="19"/>
  <c r="V239" i="19"/>
  <c r="J240" i="19"/>
  <c r="L240" i="19"/>
  <c r="N240" i="19"/>
  <c r="P240" i="19"/>
  <c r="R240" i="19"/>
  <c r="T240" i="19"/>
  <c r="V240" i="19"/>
  <c r="J241" i="19"/>
  <c r="L241" i="19"/>
  <c r="N241" i="19"/>
  <c r="P241" i="19"/>
  <c r="R241" i="19"/>
  <c r="T241" i="19"/>
  <c r="V241" i="19"/>
  <c r="J242" i="19"/>
  <c r="L242" i="19"/>
  <c r="N242" i="19"/>
  <c r="P242" i="19"/>
  <c r="R242" i="19"/>
  <c r="T242" i="19"/>
  <c r="V242" i="19"/>
  <c r="J243" i="19"/>
  <c r="L243" i="19"/>
  <c r="N243" i="19"/>
  <c r="P243" i="19"/>
  <c r="R243" i="19"/>
  <c r="T243" i="19"/>
  <c r="V243" i="19"/>
  <c r="J244" i="19"/>
  <c r="L244" i="19"/>
  <c r="N244" i="19"/>
  <c r="P244" i="19"/>
  <c r="R244" i="19"/>
  <c r="T244" i="19"/>
  <c r="V244" i="19"/>
  <c r="J245" i="19"/>
  <c r="L245" i="19"/>
  <c r="N245" i="19"/>
  <c r="P245" i="19"/>
  <c r="R245" i="19"/>
  <c r="T245" i="19"/>
  <c r="V245" i="19"/>
  <c r="J246" i="19"/>
  <c r="L246" i="19"/>
  <c r="N246" i="19"/>
  <c r="P246" i="19"/>
  <c r="R246" i="19"/>
  <c r="T246" i="19"/>
  <c r="V246" i="19"/>
  <c r="J247" i="19"/>
  <c r="L247" i="19"/>
  <c r="N247" i="19"/>
  <c r="P247" i="19"/>
  <c r="R247" i="19"/>
  <c r="T247" i="19"/>
  <c r="V247" i="19"/>
  <c r="J248" i="19"/>
  <c r="L248" i="19"/>
  <c r="N248" i="19"/>
  <c r="P248" i="19"/>
  <c r="R248" i="19"/>
  <c r="T248" i="19"/>
  <c r="V248" i="19"/>
  <c r="J249" i="19"/>
  <c r="L249" i="19"/>
  <c r="N249" i="19"/>
  <c r="P249" i="19"/>
  <c r="R249" i="19"/>
  <c r="T249" i="19"/>
  <c r="V249" i="19"/>
  <c r="J250" i="19"/>
  <c r="L250" i="19"/>
  <c r="N250" i="19"/>
  <c r="P250" i="19"/>
  <c r="R250" i="19"/>
  <c r="T250" i="19"/>
  <c r="V250" i="19"/>
  <c r="J251" i="19"/>
  <c r="L251" i="19"/>
  <c r="N251" i="19"/>
  <c r="P251" i="19"/>
  <c r="R251" i="19"/>
  <c r="T251" i="19"/>
  <c r="V251" i="19"/>
  <c r="J252" i="19"/>
  <c r="L252" i="19"/>
  <c r="N252" i="19"/>
  <c r="P252" i="19"/>
  <c r="R252" i="19"/>
  <c r="T252" i="19"/>
  <c r="V252" i="19"/>
  <c r="J253" i="19"/>
  <c r="L253" i="19"/>
  <c r="N253" i="19"/>
  <c r="P253" i="19"/>
  <c r="R253" i="19"/>
  <c r="T253" i="19"/>
  <c r="V253" i="19"/>
  <c r="J254" i="19"/>
  <c r="L254" i="19"/>
  <c r="N254" i="19"/>
  <c r="P254" i="19"/>
  <c r="R254" i="19"/>
  <c r="T254" i="19"/>
  <c r="V254" i="19"/>
  <c r="J255" i="19"/>
  <c r="L255" i="19"/>
  <c r="N255" i="19"/>
  <c r="P255" i="19"/>
  <c r="R255" i="19"/>
  <c r="T255" i="19"/>
  <c r="V255" i="19"/>
  <c r="J256" i="19"/>
  <c r="L256" i="19"/>
  <c r="N256" i="19"/>
  <c r="P256" i="19"/>
  <c r="R256" i="19"/>
  <c r="T256" i="19"/>
  <c r="V256" i="19"/>
  <c r="J257" i="19"/>
  <c r="L257" i="19"/>
  <c r="N257" i="19"/>
  <c r="P257" i="19"/>
  <c r="R257" i="19"/>
  <c r="T257" i="19"/>
  <c r="V257" i="19"/>
  <c r="J258" i="19"/>
  <c r="L258" i="19"/>
  <c r="N258" i="19"/>
  <c r="P258" i="19"/>
  <c r="R258" i="19"/>
  <c r="T258" i="19"/>
  <c r="V258" i="19"/>
  <c r="J267" i="19"/>
  <c r="L267" i="19"/>
  <c r="N267" i="19"/>
  <c r="P267" i="19"/>
  <c r="R267" i="19"/>
  <c r="T267" i="19"/>
  <c r="V267" i="19"/>
  <c r="J276" i="19"/>
  <c r="L276" i="19"/>
  <c r="N276" i="19"/>
  <c r="P276" i="19"/>
  <c r="R276" i="19"/>
  <c r="T276" i="19"/>
  <c r="V276" i="19"/>
  <c r="J277" i="19"/>
  <c r="L277" i="19"/>
  <c r="N277" i="19"/>
  <c r="P277" i="19"/>
  <c r="R277" i="19"/>
  <c r="T277" i="19"/>
  <c r="V277" i="19"/>
  <c r="J278" i="19"/>
  <c r="L278" i="19"/>
  <c r="N278" i="19"/>
  <c r="P278" i="19"/>
  <c r="R278" i="19"/>
  <c r="T278" i="19"/>
  <c r="V278" i="19"/>
  <c r="J279" i="19"/>
  <c r="L279" i="19"/>
  <c r="N279" i="19"/>
  <c r="P279" i="19"/>
  <c r="R279" i="19"/>
  <c r="T279" i="19"/>
  <c r="V279" i="19"/>
  <c r="J280" i="19"/>
  <c r="L280" i="19"/>
  <c r="N280" i="19"/>
  <c r="P280" i="19"/>
  <c r="R280" i="19"/>
  <c r="T280" i="19"/>
  <c r="V280" i="19"/>
  <c r="J281" i="19"/>
  <c r="L281" i="19"/>
  <c r="N281" i="19"/>
  <c r="P281" i="19"/>
  <c r="R281" i="19"/>
  <c r="T281" i="19"/>
  <c r="V281" i="19"/>
  <c r="J286" i="19"/>
  <c r="L286" i="19"/>
  <c r="N286" i="19"/>
  <c r="P286" i="19"/>
  <c r="R286" i="19"/>
  <c r="T286" i="19"/>
  <c r="V286" i="19"/>
  <c r="J292" i="19"/>
  <c r="L292" i="19"/>
  <c r="N292" i="19"/>
  <c r="P292" i="19"/>
  <c r="R292" i="19"/>
  <c r="T292" i="19"/>
  <c r="V292" i="19"/>
  <c r="J294" i="19"/>
  <c r="L294" i="19"/>
  <c r="N294" i="19"/>
  <c r="P294" i="19"/>
  <c r="R294" i="19"/>
  <c r="T294" i="19"/>
  <c r="V294" i="19"/>
  <c r="J295" i="19"/>
  <c r="L295" i="19"/>
  <c r="N295" i="19"/>
  <c r="P295" i="19"/>
  <c r="R295" i="19"/>
  <c r="T295" i="19"/>
  <c r="V295" i="19"/>
  <c r="J296" i="19"/>
  <c r="L296" i="19"/>
  <c r="N296" i="19"/>
  <c r="P296" i="19"/>
  <c r="R296" i="19"/>
  <c r="T296" i="19"/>
  <c r="V296" i="19"/>
  <c r="V17" i="19" l="1"/>
  <c r="T17" i="19"/>
  <c r="N17" i="19"/>
  <c r="P23" i="19"/>
  <c r="N23" i="19"/>
  <c r="N25" i="19" s="1"/>
  <c r="P17" i="19"/>
  <c r="P25" i="19" s="1"/>
  <c r="N48" i="19"/>
  <c r="V23" i="19"/>
  <c r="V25" i="19" s="1"/>
  <c r="P105" i="19"/>
  <c r="X22" i="19"/>
  <c r="P310" i="19"/>
  <c r="P311" i="19" s="1"/>
  <c r="F66" i="11" s="1"/>
  <c r="R41" i="19"/>
  <c r="T23" i="19"/>
  <c r="T25" i="19" s="1"/>
  <c r="X30" i="19"/>
  <c r="R23" i="19"/>
  <c r="R310" i="19"/>
  <c r="R311" i="19" s="1"/>
  <c r="F67" i="11" s="1"/>
  <c r="X254" i="19"/>
  <c r="X98" i="19"/>
  <c r="N105" i="19"/>
  <c r="L105" i="19"/>
  <c r="J105" i="19"/>
  <c r="V105" i="19"/>
  <c r="X90" i="19"/>
  <c r="R105" i="19"/>
  <c r="X79" i="19"/>
  <c r="N310" i="19"/>
  <c r="D65" i="11" s="1"/>
  <c r="N41" i="19"/>
  <c r="R48" i="19"/>
  <c r="R50" i="19" s="1"/>
  <c r="L41" i="19"/>
  <c r="X14" i="19"/>
  <c r="V310" i="19"/>
  <c r="D69" i="11" s="1"/>
  <c r="R62" i="19"/>
  <c r="P62" i="19"/>
  <c r="N62" i="19"/>
  <c r="L62" i="19"/>
  <c r="X56" i="19"/>
  <c r="V62" i="19"/>
  <c r="P48" i="19"/>
  <c r="P41" i="19"/>
  <c r="J41" i="19"/>
  <c r="L17" i="19"/>
  <c r="X238" i="19"/>
  <c r="V41" i="19"/>
  <c r="X246" i="19"/>
  <c r="X231" i="19"/>
  <c r="L48" i="19"/>
  <c r="J48" i="19"/>
  <c r="V48" i="19"/>
  <c r="X232" i="19"/>
  <c r="X256" i="19"/>
  <c r="X248" i="19"/>
  <c r="X240" i="19"/>
  <c r="X92" i="19"/>
  <c r="X241" i="19"/>
  <c r="X33" i="19"/>
  <c r="X29" i="19"/>
  <c r="X242" i="19"/>
  <c r="X227" i="19"/>
  <c r="X126" i="19"/>
  <c r="X94" i="19"/>
  <c r="R17" i="19"/>
  <c r="R25" i="19" s="1"/>
  <c r="X253" i="19"/>
  <c r="X245" i="19"/>
  <c r="X237" i="19"/>
  <c r="X230" i="19"/>
  <c r="X97" i="19"/>
  <c r="X89" i="19"/>
  <c r="X74" i="19"/>
  <c r="T310" i="19"/>
  <c r="D68" i="11" s="1"/>
  <c r="X55" i="19"/>
  <c r="X45" i="19"/>
  <c r="X21" i="19"/>
  <c r="X80" i="19"/>
  <c r="X68" i="19"/>
  <c r="X198" i="19"/>
  <c r="X100" i="19"/>
  <c r="X81" i="19"/>
  <c r="X258" i="19"/>
  <c r="X151" i="19"/>
  <c r="X102" i="19"/>
  <c r="X267" i="19"/>
  <c r="X251" i="19"/>
  <c r="X243" i="19"/>
  <c r="X228" i="19"/>
  <c r="X103" i="19"/>
  <c r="X95" i="19"/>
  <c r="X61" i="19"/>
  <c r="T62" i="19"/>
  <c r="X35" i="19"/>
  <c r="X31" i="19"/>
  <c r="X255" i="19"/>
  <c r="X247" i="19"/>
  <c r="X239" i="19"/>
  <c r="X99" i="19"/>
  <c r="X91" i="19"/>
  <c r="X57" i="19"/>
  <c r="X16" i="19"/>
  <c r="X39" i="19"/>
  <c r="X257" i="19"/>
  <c r="X249" i="19"/>
  <c r="X101" i="19"/>
  <c r="X93" i="19"/>
  <c r="T48" i="19"/>
  <c r="X40" i="19"/>
  <c r="X250" i="19"/>
  <c r="X159" i="19"/>
  <c r="X143" i="19"/>
  <c r="X34" i="19"/>
  <c r="X252" i="19"/>
  <c r="X244" i="19"/>
  <c r="X236" i="19"/>
  <c r="X229" i="19"/>
  <c r="X135" i="19"/>
  <c r="X96" i="19"/>
  <c r="J62" i="19"/>
  <c r="X54" i="19"/>
  <c r="X44" i="19"/>
  <c r="X32" i="19"/>
  <c r="L23" i="19"/>
  <c r="X78" i="19"/>
  <c r="L310" i="19"/>
  <c r="X294" i="19"/>
  <c r="X292" i="19"/>
  <c r="X281" i="19"/>
  <c r="J17" i="19"/>
  <c r="X67" i="19"/>
  <c r="J310" i="19"/>
  <c r="X235" i="19"/>
  <c r="X226" i="19"/>
  <c r="X200" i="19"/>
  <c r="T105" i="19"/>
  <c r="X295" i="19"/>
  <c r="X276" i="19"/>
  <c r="X277" i="19"/>
  <c r="X280" i="19"/>
  <c r="X163" i="19"/>
  <c r="X155" i="19"/>
  <c r="X147" i="19"/>
  <c r="X73" i="19"/>
  <c r="X60" i="19"/>
  <c r="X160" i="19"/>
  <c r="X152" i="19"/>
  <c r="J23" i="19"/>
  <c r="X286" i="19"/>
  <c r="X278" i="19"/>
  <c r="X161" i="19"/>
  <c r="X153" i="19"/>
  <c r="X145" i="19"/>
  <c r="X58" i="19"/>
  <c r="X46" i="19"/>
  <c r="T41" i="19"/>
  <c r="X37" i="19"/>
  <c r="X296" i="19"/>
  <c r="X144" i="19"/>
  <c r="X36" i="19"/>
  <c r="X279" i="19"/>
  <c r="X72" i="19"/>
  <c r="X59" i="19"/>
  <c r="X47" i="19"/>
  <c r="X38" i="19"/>
  <c r="X158" i="19"/>
  <c r="X150" i="19"/>
  <c r="X142" i="19"/>
  <c r="X71" i="19"/>
  <c r="X69" i="19"/>
  <c r="X70" i="19"/>
  <c r="X172" i="19"/>
  <c r="X156" i="19"/>
  <c r="X148" i="19"/>
  <c r="X140" i="19"/>
  <c r="X136" i="19"/>
  <c r="X157" i="19"/>
  <c r="X149" i="19"/>
  <c r="X141" i="19"/>
  <c r="X137" i="19"/>
  <c r="X162" i="19"/>
  <c r="X154" i="19"/>
  <c r="X146" i="19"/>
  <c r="V311" i="19" l="1"/>
  <c r="X62" i="19"/>
  <c r="V50" i="19"/>
  <c r="D66" i="11"/>
  <c r="N50" i="19"/>
  <c r="D67" i="11"/>
  <c r="L25" i="19"/>
  <c r="P344" i="19"/>
  <c r="P83" i="19" s="1"/>
  <c r="X48" i="19"/>
  <c r="P50" i="19"/>
  <c r="T50" i="19"/>
  <c r="X17" i="19"/>
  <c r="L50" i="19"/>
  <c r="X105" i="19"/>
  <c r="N311" i="19"/>
  <c r="F65" i="11" s="1"/>
  <c r="P75" i="19"/>
  <c r="J50" i="19"/>
  <c r="R344" i="19"/>
  <c r="R82" i="19" s="1"/>
  <c r="T311" i="19"/>
  <c r="T344" i="19" s="1"/>
  <c r="X23" i="19"/>
  <c r="J25" i="19"/>
  <c r="D64" i="11"/>
  <c r="L311" i="19"/>
  <c r="V344" i="19"/>
  <c r="F69" i="11"/>
  <c r="R66" i="19"/>
  <c r="X41" i="19"/>
  <c r="J311" i="19"/>
  <c r="X310" i="19"/>
  <c r="D63" i="11"/>
  <c r="F68" i="11"/>
  <c r="R76" i="19" l="1"/>
  <c r="R75" i="19"/>
  <c r="R77" i="19"/>
  <c r="X50" i="19"/>
  <c r="R83" i="19"/>
  <c r="P66" i="19"/>
  <c r="P77" i="19"/>
  <c r="P82" i="19"/>
  <c r="P76" i="19"/>
  <c r="N344" i="19"/>
  <c r="N76" i="19" s="1"/>
  <c r="D71" i="11"/>
  <c r="N82" i="19"/>
  <c r="N83" i="19"/>
  <c r="N66" i="19"/>
  <c r="N77" i="19"/>
  <c r="N75" i="19"/>
  <c r="T82" i="19"/>
  <c r="T83" i="19"/>
  <c r="T76" i="19"/>
  <c r="T77" i="19"/>
  <c r="T75" i="19"/>
  <c r="T66" i="19"/>
  <c r="R84" i="19"/>
  <c r="R86" i="19" s="1"/>
  <c r="J344" i="19"/>
  <c r="X311" i="19"/>
  <c r="F63" i="11"/>
  <c r="X25" i="19"/>
  <c r="V66" i="19"/>
  <c r="V83" i="19"/>
  <c r="V76" i="19"/>
  <c r="V82" i="19"/>
  <c r="V77" i="19"/>
  <c r="V75" i="19"/>
  <c r="L344" i="19"/>
  <c r="F64" i="11"/>
  <c r="P84" i="19" l="1"/>
  <c r="P86" i="19" s="1"/>
  <c r="P312" i="19" s="1"/>
  <c r="N84" i="19"/>
  <c r="N86" i="19" s="1"/>
  <c r="N312" i="19" s="1"/>
  <c r="V84" i="19"/>
  <c r="V86" i="19" s="1"/>
  <c r="T84" i="19"/>
  <c r="T86" i="19" s="1"/>
  <c r="L75" i="19"/>
  <c r="L76" i="19"/>
  <c r="L66" i="19"/>
  <c r="L82" i="19"/>
  <c r="L83" i="19"/>
  <c r="L77" i="19"/>
  <c r="P313" i="19"/>
  <c r="D21" i="12"/>
  <c r="R312" i="19"/>
  <c r="F71" i="11"/>
  <c r="N313" i="19"/>
  <c r="D20" i="12"/>
  <c r="J82" i="19"/>
  <c r="J66" i="19"/>
  <c r="J77" i="19"/>
  <c r="X77" i="19" s="1"/>
  <c r="J76" i="19"/>
  <c r="X344" i="19"/>
  <c r="J83" i="19"/>
  <c r="X83" i="19" s="1"/>
  <c r="J75" i="19"/>
  <c r="X75" i="19" s="1"/>
  <c r="F20" i="12" l="1"/>
  <c r="N347" i="19"/>
  <c r="L84" i="19"/>
  <c r="L86" i="19" s="1"/>
  <c r="R313" i="19"/>
  <c r="D22" i="12"/>
  <c r="J84" i="19"/>
  <c r="X66" i="19"/>
  <c r="T312" i="19"/>
  <c r="X76" i="19"/>
  <c r="F21" i="12"/>
  <c r="P347" i="19"/>
  <c r="X82" i="19"/>
  <c r="V312" i="19"/>
  <c r="P233" i="19" l="1"/>
  <c r="P234" i="19"/>
  <c r="N233" i="19"/>
  <c r="N234" i="19"/>
  <c r="F22" i="12"/>
  <c r="R347" i="19"/>
  <c r="D23" i="12"/>
  <c r="T313" i="19"/>
  <c r="L312" i="19"/>
  <c r="D24" i="12"/>
  <c r="V313" i="19"/>
  <c r="X84" i="19"/>
  <c r="J86" i="19"/>
  <c r="P108" i="19"/>
  <c r="P110" i="19"/>
  <c r="P111" i="19"/>
  <c r="P112" i="19"/>
  <c r="P113" i="19"/>
  <c r="P114" i="19"/>
  <c r="P115" i="19"/>
  <c r="P117" i="19"/>
  <c r="P118" i="19"/>
  <c r="P119" i="19"/>
  <c r="P120" i="19"/>
  <c r="P121" i="19"/>
  <c r="P123" i="19"/>
  <c r="P124" i="19"/>
  <c r="P127" i="19"/>
  <c r="P165" i="19"/>
  <c r="P173" i="19"/>
  <c r="P168" i="19"/>
  <c r="P176" i="19"/>
  <c r="P167" i="19"/>
  <c r="P175" i="19"/>
  <c r="P139" i="19"/>
  <c r="P174" i="19"/>
  <c r="P262" i="19"/>
  <c r="P169" i="19"/>
  <c r="P171" i="19"/>
  <c r="P170" i="19"/>
  <c r="P259" i="19"/>
  <c r="P261" i="19"/>
  <c r="P293" i="19"/>
  <c r="P263" i="19"/>
  <c r="P271" i="19"/>
  <c r="P266" i="19"/>
  <c r="P268" i="19"/>
  <c r="P282" i="19"/>
  <c r="P284" i="19" s="1"/>
  <c r="P291" i="19"/>
  <c r="P138" i="19"/>
  <c r="P201" i="19"/>
  <c r="P270" i="19"/>
  <c r="P166" i="19"/>
  <c r="P164" i="19"/>
  <c r="P260" i="19"/>
  <c r="P269" i="19"/>
  <c r="P265" i="19"/>
  <c r="P264" i="19"/>
  <c r="N108" i="19"/>
  <c r="N110" i="19"/>
  <c r="N111" i="19"/>
  <c r="N112" i="19"/>
  <c r="N113" i="19"/>
  <c r="N114" i="19"/>
  <c r="N115" i="19"/>
  <c r="N117" i="19"/>
  <c r="N118" i="19"/>
  <c r="N119" i="19"/>
  <c r="N120" i="19"/>
  <c r="N121" i="19"/>
  <c r="N123" i="19"/>
  <c r="N124" i="19"/>
  <c r="N164" i="19"/>
  <c r="N201" i="19"/>
  <c r="N167" i="19"/>
  <c r="N175" i="19"/>
  <c r="N138" i="19"/>
  <c r="N166" i="19"/>
  <c r="N174" i="19"/>
  <c r="N169" i="19"/>
  <c r="N171" i="19"/>
  <c r="N127" i="19"/>
  <c r="N176" i="19"/>
  <c r="N261" i="19"/>
  <c r="N139" i="19"/>
  <c r="N271" i="19"/>
  <c r="N263" i="19"/>
  <c r="N266" i="19"/>
  <c r="N291" i="19"/>
  <c r="N165" i="19"/>
  <c r="N270" i="19"/>
  <c r="N260" i="19"/>
  <c r="N265" i="19"/>
  <c r="N170" i="19"/>
  <c r="N259" i="19"/>
  <c r="N293" i="19"/>
  <c r="N168" i="19"/>
  <c r="N173" i="19"/>
  <c r="N269" i="19"/>
  <c r="N264" i="19"/>
  <c r="N282" i="19"/>
  <c r="N284" i="19" s="1"/>
  <c r="N262" i="19"/>
  <c r="N268" i="19"/>
  <c r="R233" i="19" l="1"/>
  <c r="R234" i="19"/>
  <c r="P318" i="19"/>
  <c r="D90" i="12" s="1"/>
  <c r="N316" i="19"/>
  <c r="V347" i="19"/>
  <c r="F24" i="12"/>
  <c r="P178" i="19"/>
  <c r="P319" i="19"/>
  <c r="L313" i="19"/>
  <c r="D19" i="12"/>
  <c r="N178" i="19"/>
  <c r="X86" i="19"/>
  <c r="J312" i="19"/>
  <c r="R127" i="19"/>
  <c r="R108" i="19"/>
  <c r="R110" i="19"/>
  <c r="R111" i="19"/>
  <c r="R112" i="19"/>
  <c r="R113" i="19"/>
  <c r="R114" i="19"/>
  <c r="R115" i="19"/>
  <c r="R117" i="19"/>
  <c r="R118" i="19"/>
  <c r="R119" i="19"/>
  <c r="R120" i="19"/>
  <c r="R121" i="19"/>
  <c r="R123" i="19"/>
  <c r="R124" i="19"/>
  <c r="R138" i="19"/>
  <c r="R166" i="19"/>
  <c r="R174" i="19"/>
  <c r="R139" i="19"/>
  <c r="R169" i="19"/>
  <c r="R168" i="19"/>
  <c r="R176" i="19"/>
  <c r="R167" i="19"/>
  <c r="R262" i="19"/>
  <c r="R165" i="19"/>
  <c r="R268" i="19"/>
  <c r="R282" i="19"/>
  <c r="R284" i="19" s="1"/>
  <c r="R171" i="19"/>
  <c r="R271" i="19"/>
  <c r="R263" i="19"/>
  <c r="R170" i="19"/>
  <c r="R259" i="19"/>
  <c r="R261" i="19"/>
  <c r="R293" i="19"/>
  <c r="R175" i="19"/>
  <c r="R164" i="19"/>
  <c r="R264" i="19"/>
  <c r="R266" i="19"/>
  <c r="R291" i="19"/>
  <c r="R173" i="19"/>
  <c r="R270" i="19"/>
  <c r="R201" i="19"/>
  <c r="R260" i="19"/>
  <c r="R269" i="19"/>
  <c r="R265" i="19"/>
  <c r="N318" i="19"/>
  <c r="F23" i="12"/>
  <c r="T347" i="19"/>
  <c r="P316" i="19"/>
  <c r="V233" i="19" l="1"/>
  <c r="V234" i="19"/>
  <c r="T233" i="19"/>
  <c r="T234" i="19"/>
  <c r="R316" i="19"/>
  <c r="D68" i="12"/>
  <c r="P317" i="19"/>
  <c r="R318" i="19"/>
  <c r="R178" i="19"/>
  <c r="J313" i="19"/>
  <c r="D18" i="12"/>
  <c r="D26" i="12" s="1"/>
  <c r="X312" i="19"/>
  <c r="D89" i="12"/>
  <c r="N319" i="19"/>
  <c r="D67" i="12"/>
  <c r="N317" i="19"/>
  <c r="P350" i="19"/>
  <c r="F90" i="12"/>
  <c r="T127" i="19"/>
  <c r="T138" i="19"/>
  <c r="T139" i="19"/>
  <c r="T112" i="19"/>
  <c r="T120" i="19"/>
  <c r="T167" i="19"/>
  <c r="T175" i="19"/>
  <c r="T113" i="19"/>
  <c r="T121" i="19"/>
  <c r="T170" i="19"/>
  <c r="T259" i="19"/>
  <c r="T260" i="19"/>
  <c r="T261" i="19"/>
  <c r="T262" i="19"/>
  <c r="T263" i="19"/>
  <c r="T110" i="19"/>
  <c r="T118" i="19"/>
  <c r="T169" i="19"/>
  <c r="T111" i="19"/>
  <c r="T165" i="19"/>
  <c r="T114" i="19"/>
  <c r="T119" i="19"/>
  <c r="T124" i="19"/>
  <c r="T174" i="19"/>
  <c r="T108" i="19"/>
  <c r="T164" i="19"/>
  <c r="T264" i="19"/>
  <c r="T171" i="19"/>
  <c r="T271" i="19"/>
  <c r="T117" i="19"/>
  <c r="T268" i="19"/>
  <c r="T282" i="19"/>
  <c r="T284" i="19" s="1"/>
  <c r="T168" i="19"/>
  <c r="T269" i="19"/>
  <c r="T293" i="19"/>
  <c r="T115" i="19"/>
  <c r="T173" i="19"/>
  <c r="T176" i="19"/>
  <c r="T166" i="19"/>
  <c r="T123" i="19"/>
  <c r="T265" i="19"/>
  <c r="T270" i="19"/>
  <c r="T201" i="19"/>
  <c r="T266" i="19"/>
  <c r="T291" i="19"/>
  <c r="V138" i="19"/>
  <c r="V139" i="19"/>
  <c r="V115" i="19"/>
  <c r="V123" i="19"/>
  <c r="V168" i="19"/>
  <c r="V176" i="19"/>
  <c r="V108" i="19"/>
  <c r="V124" i="19"/>
  <c r="V171" i="19"/>
  <c r="V113" i="19"/>
  <c r="V121" i="19"/>
  <c r="V170" i="19"/>
  <c r="V259" i="19"/>
  <c r="V260" i="19"/>
  <c r="V261" i="19"/>
  <c r="V262" i="19"/>
  <c r="V263" i="19"/>
  <c r="V111" i="19"/>
  <c r="V165" i="19"/>
  <c r="V167" i="19"/>
  <c r="V112" i="19"/>
  <c r="V120" i="19"/>
  <c r="V269" i="19"/>
  <c r="V164" i="19"/>
  <c r="V264" i="19"/>
  <c r="V117" i="19"/>
  <c r="V175" i="19"/>
  <c r="V293" i="19"/>
  <c r="V174" i="19"/>
  <c r="V265" i="19"/>
  <c r="V268" i="19"/>
  <c r="V282" i="19"/>
  <c r="V284" i="19" s="1"/>
  <c r="V270" i="19"/>
  <c r="V201" i="19"/>
  <c r="V266" i="19"/>
  <c r="V271" i="19"/>
  <c r="V118" i="19"/>
  <c r="V173" i="19"/>
  <c r="V110" i="19"/>
  <c r="V166" i="19"/>
  <c r="V291" i="19"/>
  <c r="V127" i="19"/>
  <c r="V169" i="19"/>
  <c r="V119" i="19"/>
  <c r="V114" i="19"/>
  <c r="F19" i="12"/>
  <c r="L347" i="19"/>
  <c r="L233" i="19" l="1"/>
  <c r="L234" i="19"/>
  <c r="J347" i="19"/>
  <c r="F18" i="12"/>
  <c r="F26" i="12" s="1"/>
  <c r="X313" i="19"/>
  <c r="P225" i="19"/>
  <c r="P273" i="19" s="1"/>
  <c r="P290" i="19"/>
  <c r="P297" i="19"/>
  <c r="V178" i="19"/>
  <c r="N349" i="19"/>
  <c r="F67" i="12"/>
  <c r="D91" i="12"/>
  <c r="R319" i="19"/>
  <c r="V316" i="19"/>
  <c r="F89" i="12"/>
  <c r="N350" i="19"/>
  <c r="T318" i="19"/>
  <c r="V318" i="19"/>
  <c r="T178" i="19"/>
  <c r="R317" i="19"/>
  <c r="D69" i="12"/>
  <c r="F68" i="12"/>
  <c r="P349" i="19"/>
  <c r="L117" i="19"/>
  <c r="L171" i="19"/>
  <c r="L110" i="19"/>
  <c r="L118" i="19"/>
  <c r="L138" i="19"/>
  <c r="L166" i="19"/>
  <c r="L174" i="19"/>
  <c r="L115" i="19"/>
  <c r="L123" i="19"/>
  <c r="L165" i="19"/>
  <c r="L173" i="19"/>
  <c r="L114" i="19"/>
  <c r="L119" i="19"/>
  <c r="L124" i="19"/>
  <c r="L127" i="19"/>
  <c r="L176" i="19"/>
  <c r="L261" i="19"/>
  <c r="L164" i="19"/>
  <c r="L111" i="19"/>
  <c r="L121" i="19"/>
  <c r="L167" i="19"/>
  <c r="L169" i="19"/>
  <c r="L263" i="19"/>
  <c r="L266" i="19"/>
  <c r="L291" i="19"/>
  <c r="L201" i="19"/>
  <c r="L108" i="19"/>
  <c r="L168" i="19"/>
  <c r="L175" i="19"/>
  <c r="L270" i="19"/>
  <c r="L260" i="19"/>
  <c r="L269" i="19"/>
  <c r="L112" i="19"/>
  <c r="L120" i="19"/>
  <c r="L271" i="19"/>
  <c r="L265" i="19"/>
  <c r="L113" i="19"/>
  <c r="L170" i="19"/>
  <c r="L139" i="19"/>
  <c r="L268" i="19"/>
  <c r="L264" i="19"/>
  <c r="L282" i="19"/>
  <c r="L284" i="19" s="1"/>
  <c r="L262" i="19"/>
  <c r="L293" i="19"/>
  <c r="L259" i="19"/>
  <c r="T316" i="19"/>
  <c r="J233" i="19" l="1"/>
  <c r="X233" i="19" s="1"/>
  <c r="J234" i="19"/>
  <c r="X234" i="19" s="1"/>
  <c r="N225" i="19"/>
  <c r="N273" i="19" s="1"/>
  <c r="N290" i="19"/>
  <c r="N297" i="19"/>
  <c r="N109" i="19"/>
  <c r="N116" i="19"/>
  <c r="N122" i="19"/>
  <c r="N188" i="19"/>
  <c r="D70" i="12"/>
  <c r="T317" i="19"/>
  <c r="P109" i="19"/>
  <c r="P116" i="19"/>
  <c r="P122" i="19"/>
  <c r="P188" i="19"/>
  <c r="L178" i="19"/>
  <c r="F69" i="12"/>
  <c r="R349" i="19"/>
  <c r="F91" i="12"/>
  <c r="R350" i="19"/>
  <c r="L316" i="19"/>
  <c r="D93" i="12"/>
  <c r="V319" i="19"/>
  <c r="D71" i="12"/>
  <c r="V317" i="19"/>
  <c r="L318" i="19"/>
  <c r="D92" i="12"/>
  <c r="T319" i="19"/>
  <c r="J114" i="19"/>
  <c r="X114" i="19" s="1"/>
  <c r="J127" i="19"/>
  <c r="X127" i="19" s="1"/>
  <c r="J170" i="19"/>
  <c r="X170" i="19" s="1"/>
  <c r="J115" i="19"/>
  <c r="X115" i="19" s="1"/>
  <c r="J123" i="19"/>
  <c r="X123" i="19" s="1"/>
  <c r="J165" i="19"/>
  <c r="X165" i="19" s="1"/>
  <c r="J173" i="19"/>
  <c r="X173" i="19" s="1"/>
  <c r="J112" i="19"/>
  <c r="X112" i="19" s="1"/>
  <c r="J120" i="19"/>
  <c r="X120" i="19" s="1"/>
  <c r="J164" i="19"/>
  <c r="X164" i="19" s="1"/>
  <c r="J201" i="19"/>
  <c r="X201" i="19" s="1"/>
  <c r="J117" i="19"/>
  <c r="X117" i="19" s="1"/>
  <c r="J260" i="19"/>
  <c r="X260" i="19" s="1"/>
  <c r="J264" i="19"/>
  <c r="X264" i="19" s="1"/>
  <c r="J265" i="19"/>
  <c r="X265" i="19" s="1"/>
  <c r="J266" i="19"/>
  <c r="X266" i="19" s="1"/>
  <c r="J268" i="19"/>
  <c r="X268" i="19" s="1"/>
  <c r="J269" i="19"/>
  <c r="X269" i="19" s="1"/>
  <c r="J270" i="19"/>
  <c r="X270" i="19" s="1"/>
  <c r="J271" i="19"/>
  <c r="X271" i="19" s="1"/>
  <c r="J282" i="19"/>
  <c r="J119" i="19"/>
  <c r="X119" i="19" s="1"/>
  <c r="J124" i="19"/>
  <c r="X124" i="19" s="1"/>
  <c r="J171" i="19"/>
  <c r="X171" i="19" s="1"/>
  <c r="J174" i="19"/>
  <c r="X174" i="19" s="1"/>
  <c r="J176" i="19"/>
  <c r="X176" i="19" s="1"/>
  <c r="J108" i="19"/>
  <c r="J168" i="19"/>
  <c r="X168" i="19" s="1"/>
  <c r="J175" i="19"/>
  <c r="X175" i="19" s="1"/>
  <c r="X347" i="19"/>
  <c r="J113" i="19"/>
  <c r="X113" i="19" s="1"/>
  <c r="J121" i="19"/>
  <c r="X121" i="19" s="1"/>
  <c r="J138" i="19"/>
  <c r="J167" i="19"/>
  <c r="X167" i="19" s="1"/>
  <c r="J261" i="19"/>
  <c r="X261" i="19" s="1"/>
  <c r="J263" i="19"/>
  <c r="X263" i="19" s="1"/>
  <c r="J291" i="19"/>
  <c r="X291" i="19" s="1"/>
  <c r="J166" i="19"/>
  <c r="X166" i="19" s="1"/>
  <c r="J262" i="19"/>
  <c r="X262" i="19" s="1"/>
  <c r="J139" i="19"/>
  <c r="X139" i="19" s="1"/>
  <c r="J110" i="19"/>
  <c r="X110" i="19" s="1"/>
  <c r="J118" i="19"/>
  <c r="X118" i="19" s="1"/>
  <c r="J111" i="19"/>
  <c r="X111" i="19" s="1"/>
  <c r="J169" i="19"/>
  <c r="X169" i="19" s="1"/>
  <c r="J259" i="19"/>
  <c r="J293" i="19"/>
  <c r="X293" i="19" s="1"/>
  <c r="D66" i="12" l="1"/>
  <c r="L317" i="19"/>
  <c r="D88" i="12"/>
  <c r="L319" i="19"/>
  <c r="R109" i="19"/>
  <c r="R116" i="19"/>
  <c r="R122" i="19"/>
  <c r="R188" i="19"/>
  <c r="F70" i="12"/>
  <c r="T349" i="19"/>
  <c r="X282" i="19"/>
  <c r="J284" i="19"/>
  <c r="X284" i="19" s="1"/>
  <c r="R225" i="19"/>
  <c r="R273" i="19" s="1"/>
  <c r="R297" i="19"/>
  <c r="R290" i="19"/>
  <c r="X108" i="19"/>
  <c r="J316" i="19"/>
  <c r="V350" i="19"/>
  <c r="F93" i="12"/>
  <c r="X138" i="19"/>
  <c r="J178" i="19"/>
  <c r="X178" i="19" s="1"/>
  <c r="F92" i="12"/>
  <c r="T350" i="19"/>
  <c r="V349" i="19"/>
  <c r="F71" i="12"/>
  <c r="X259" i="19"/>
  <c r="J318" i="19"/>
  <c r="X316" i="19" l="1"/>
  <c r="J317" i="19"/>
  <c r="D65" i="12"/>
  <c r="D73" i="12" s="1"/>
  <c r="F88" i="12"/>
  <c r="L350" i="19"/>
  <c r="T188" i="19"/>
  <c r="T116" i="19"/>
  <c r="T109" i="19"/>
  <c r="T122" i="19"/>
  <c r="L349" i="19"/>
  <c r="F66" i="12"/>
  <c r="V225" i="19"/>
  <c r="V273" i="19" s="1"/>
  <c r="V297" i="19"/>
  <c r="V290" i="19"/>
  <c r="T225" i="19"/>
  <c r="T273" i="19" s="1"/>
  <c r="T297" i="19"/>
  <c r="T290" i="19"/>
  <c r="V116" i="19"/>
  <c r="V109" i="19"/>
  <c r="V188" i="19"/>
  <c r="V122" i="19"/>
  <c r="X318" i="19"/>
  <c r="J319" i="19"/>
  <c r="D87" i="12"/>
  <c r="D95" i="12" s="1"/>
  <c r="L225" i="19" l="1"/>
  <c r="L273" i="19" s="1"/>
  <c r="L290" i="19"/>
  <c r="L297" i="19"/>
  <c r="L109" i="19"/>
  <c r="L122" i="19"/>
  <c r="L116" i="19"/>
  <c r="L188" i="19"/>
  <c r="X319" i="19"/>
  <c r="J350" i="19"/>
  <c r="F87" i="12"/>
  <c r="F95" i="12" s="1"/>
  <c r="X317" i="19"/>
  <c r="J349" i="19"/>
  <c r="F65" i="12"/>
  <c r="F73" i="12" s="1"/>
  <c r="J122" i="19" l="1"/>
  <c r="X122" i="19" s="1"/>
  <c r="J109" i="19"/>
  <c r="J116" i="19"/>
  <c r="X116" i="19" s="1"/>
  <c r="X349" i="19"/>
  <c r="J188" i="19"/>
  <c r="X188" i="19" s="1"/>
  <c r="J225" i="19"/>
  <c r="J290" i="19"/>
  <c r="X350" i="19"/>
  <c r="J297" i="19"/>
  <c r="X297" i="19" s="1"/>
  <c r="X109" i="19" l="1"/>
  <c r="X290" i="19"/>
  <c r="J273" i="19"/>
  <c r="X225" i="19"/>
  <c r="X273" i="19" l="1"/>
  <c r="J125" i="19"/>
  <c r="L125" i="19"/>
  <c r="N125" i="19"/>
  <c r="P125" i="19"/>
  <c r="R125" i="19"/>
  <c r="T125" i="19"/>
  <c r="V125" i="19"/>
  <c r="X125" i="19"/>
  <c r="AG125" i="19"/>
  <c r="AI125" i="19"/>
  <c r="AK125" i="19"/>
  <c r="AM125" i="19"/>
  <c r="AO125" i="19"/>
  <c r="AQ125" i="19"/>
  <c r="AS125" i="19"/>
  <c r="J129" i="19"/>
  <c r="L129" i="19"/>
  <c r="N129" i="19"/>
  <c r="P129" i="19"/>
  <c r="R129" i="19"/>
  <c r="T129" i="19"/>
  <c r="V129" i="19"/>
  <c r="X129" i="19"/>
  <c r="AG129" i="19"/>
  <c r="AI129" i="19"/>
  <c r="AK129" i="19"/>
  <c r="AM129" i="19"/>
  <c r="AO129" i="19"/>
  <c r="AQ129" i="19"/>
  <c r="AS129" i="19"/>
  <c r="J131" i="19"/>
  <c r="L131" i="19"/>
  <c r="N131" i="19"/>
  <c r="P131" i="19"/>
  <c r="R131" i="19"/>
  <c r="T131" i="19"/>
  <c r="V131" i="19"/>
  <c r="X131" i="19"/>
  <c r="AG131" i="19"/>
  <c r="AI131" i="19"/>
  <c r="AK131" i="19"/>
  <c r="AM131" i="19"/>
  <c r="AO131" i="19"/>
  <c r="AQ131" i="19"/>
  <c r="AS131" i="19"/>
  <c r="J180" i="19"/>
  <c r="L180" i="19"/>
  <c r="N180" i="19"/>
  <c r="P180" i="19"/>
  <c r="R180" i="19"/>
  <c r="T180" i="19"/>
  <c r="V180" i="19"/>
  <c r="X180" i="19"/>
  <c r="AG180" i="19"/>
  <c r="AI180" i="19"/>
  <c r="AK180" i="19"/>
  <c r="AM180" i="19"/>
  <c r="AO180" i="19"/>
  <c r="AQ180" i="19"/>
  <c r="AS180" i="19"/>
  <c r="J182" i="19"/>
  <c r="L182" i="19"/>
  <c r="N182" i="19"/>
  <c r="P182" i="19"/>
  <c r="R182" i="19"/>
  <c r="T182" i="19"/>
  <c r="V182" i="19"/>
  <c r="X182" i="19"/>
  <c r="AG182" i="19"/>
  <c r="AI182" i="19"/>
  <c r="AK182" i="19"/>
  <c r="AM182" i="19"/>
  <c r="AO182" i="19"/>
  <c r="AQ182" i="19"/>
  <c r="AS182" i="19"/>
  <c r="J183" i="19"/>
  <c r="L183" i="19"/>
  <c r="N183" i="19"/>
  <c r="P183" i="19"/>
  <c r="R183" i="19"/>
  <c r="T183" i="19"/>
  <c r="V183" i="19"/>
  <c r="X183" i="19"/>
  <c r="AG183" i="19"/>
  <c r="AI183" i="19"/>
  <c r="AK183" i="19"/>
  <c r="AM183" i="19"/>
  <c r="AO183" i="19"/>
  <c r="AQ183" i="19"/>
  <c r="AS183" i="19"/>
  <c r="J184" i="19"/>
  <c r="L184" i="19"/>
  <c r="N184" i="19"/>
  <c r="P184" i="19"/>
  <c r="R184" i="19"/>
  <c r="T184" i="19"/>
  <c r="V184" i="19"/>
  <c r="X184" i="19"/>
  <c r="AG184" i="19"/>
  <c r="AI184" i="19"/>
  <c r="AK184" i="19"/>
  <c r="AM184" i="19"/>
  <c r="AO184" i="19"/>
  <c r="AQ184" i="19"/>
  <c r="AS184" i="19"/>
  <c r="J187" i="19"/>
  <c r="L187" i="19"/>
  <c r="N187" i="19"/>
  <c r="P187" i="19"/>
  <c r="R187" i="19"/>
  <c r="T187" i="19"/>
  <c r="V187" i="19"/>
  <c r="X187" i="19"/>
  <c r="AG187" i="19"/>
  <c r="AI187" i="19"/>
  <c r="AK187" i="19"/>
  <c r="AM187" i="19"/>
  <c r="AO187" i="19"/>
  <c r="AQ187" i="19"/>
  <c r="AS187" i="19"/>
  <c r="J190" i="19"/>
  <c r="L190" i="19"/>
  <c r="N190" i="19"/>
  <c r="P190" i="19"/>
  <c r="R190" i="19"/>
  <c r="T190" i="19"/>
  <c r="V190" i="19"/>
  <c r="X190" i="19"/>
  <c r="AG190" i="19"/>
  <c r="AI190" i="19"/>
  <c r="AK190" i="19"/>
  <c r="AM190" i="19"/>
  <c r="AO190" i="19"/>
  <c r="AQ190" i="19"/>
  <c r="AS190" i="19"/>
  <c r="J194" i="19"/>
  <c r="L194" i="19"/>
  <c r="N194" i="19"/>
  <c r="P194" i="19"/>
  <c r="R194" i="19"/>
  <c r="T194" i="19"/>
  <c r="V194" i="19"/>
  <c r="AG194" i="19"/>
  <c r="AI194" i="19"/>
  <c r="AK194" i="19"/>
  <c r="AM194" i="19"/>
  <c r="AO194" i="19"/>
  <c r="AQ194" i="19"/>
  <c r="AS194" i="19"/>
  <c r="J197" i="19"/>
  <c r="L197" i="19"/>
  <c r="N197" i="19"/>
  <c r="P197" i="19"/>
  <c r="R197" i="19"/>
  <c r="T197" i="19"/>
  <c r="V197" i="19"/>
  <c r="X197" i="19"/>
  <c r="AG197" i="19"/>
  <c r="AI197" i="19"/>
  <c r="AK197" i="19"/>
  <c r="AM197" i="19"/>
  <c r="AO197" i="19"/>
  <c r="AQ197" i="19"/>
  <c r="AS197" i="19"/>
  <c r="J199" i="19"/>
  <c r="L199" i="19"/>
  <c r="N199" i="19"/>
  <c r="P199" i="19"/>
  <c r="R199" i="19"/>
  <c r="T199" i="19"/>
  <c r="V199" i="19"/>
  <c r="X199" i="19"/>
  <c r="AG199" i="19"/>
  <c r="AI199" i="19"/>
  <c r="AK199" i="19"/>
  <c r="AM199" i="19"/>
  <c r="AO199" i="19"/>
  <c r="AQ199" i="19"/>
  <c r="AS199" i="19"/>
  <c r="J202" i="19"/>
  <c r="L202" i="19"/>
  <c r="N202" i="19"/>
  <c r="P202" i="19"/>
  <c r="R202" i="19"/>
  <c r="T202" i="19"/>
  <c r="V202" i="19"/>
  <c r="X202" i="19"/>
  <c r="AG202" i="19"/>
  <c r="AI202" i="19"/>
  <c r="AK202" i="19"/>
  <c r="AM202" i="19"/>
  <c r="AO202" i="19"/>
  <c r="AQ202" i="19"/>
  <c r="AS202" i="19"/>
  <c r="J203" i="19"/>
  <c r="L203" i="19"/>
  <c r="N203" i="19"/>
  <c r="P203" i="19"/>
  <c r="R203" i="19"/>
  <c r="T203" i="19"/>
  <c r="V203" i="19"/>
  <c r="X203" i="19"/>
  <c r="AG203" i="19"/>
  <c r="AI203" i="19"/>
  <c r="AK203" i="19"/>
  <c r="AM203" i="19"/>
  <c r="AO203" i="19"/>
  <c r="AQ203" i="19"/>
  <c r="AS203" i="19"/>
  <c r="J204" i="19"/>
  <c r="L204" i="19"/>
  <c r="N204" i="19"/>
  <c r="P204" i="19"/>
  <c r="R204" i="19"/>
  <c r="T204" i="19"/>
  <c r="V204" i="19"/>
  <c r="X204" i="19"/>
  <c r="AG204" i="19"/>
  <c r="AI204" i="19"/>
  <c r="AK204" i="19"/>
  <c r="AM204" i="19"/>
  <c r="AO204" i="19"/>
  <c r="AQ204" i="19"/>
  <c r="AS204" i="19"/>
  <c r="J205" i="19"/>
  <c r="L205" i="19"/>
  <c r="N205" i="19"/>
  <c r="P205" i="19"/>
  <c r="R205" i="19"/>
  <c r="T205" i="19"/>
  <c r="V205" i="19"/>
  <c r="X205" i="19"/>
  <c r="AG205" i="19"/>
  <c r="AI205" i="19"/>
  <c r="AK205" i="19"/>
  <c r="AM205" i="19"/>
  <c r="AO205" i="19"/>
  <c r="AQ205" i="19"/>
  <c r="AS205" i="19"/>
  <c r="J206" i="19"/>
  <c r="L206" i="19"/>
  <c r="N206" i="19"/>
  <c r="P206" i="19"/>
  <c r="R206" i="19"/>
  <c r="T206" i="19"/>
  <c r="V206" i="19"/>
  <c r="AG206" i="19"/>
  <c r="AI206" i="19"/>
  <c r="AK206" i="19"/>
  <c r="AM206" i="19"/>
  <c r="AO206" i="19"/>
  <c r="AQ206" i="19"/>
  <c r="AS206" i="19"/>
  <c r="J210" i="19"/>
  <c r="L210" i="19"/>
  <c r="N210" i="19"/>
  <c r="P210" i="19"/>
  <c r="R210" i="19"/>
  <c r="T210" i="19"/>
  <c r="V210" i="19"/>
  <c r="X210" i="19"/>
  <c r="AG210" i="19"/>
  <c r="AI210" i="19"/>
  <c r="AK210" i="19"/>
  <c r="AM210" i="19"/>
  <c r="AO210" i="19"/>
  <c r="AQ210" i="19"/>
  <c r="AS210" i="19"/>
  <c r="J213" i="19"/>
  <c r="L213" i="19"/>
  <c r="N213" i="19"/>
  <c r="P213" i="19"/>
  <c r="R213" i="19"/>
  <c r="T213" i="19"/>
  <c r="V213" i="19"/>
  <c r="X213" i="19"/>
  <c r="AM213" i="19"/>
  <c r="AS213" i="19"/>
  <c r="J215" i="19"/>
  <c r="L215" i="19"/>
  <c r="N215" i="19"/>
  <c r="P215" i="19"/>
  <c r="R215" i="19"/>
  <c r="T215" i="19"/>
  <c r="V215" i="19"/>
  <c r="X215" i="19"/>
  <c r="AG215" i="19"/>
  <c r="AI215" i="19"/>
  <c r="AK215" i="19"/>
  <c r="AM215" i="19"/>
  <c r="AO215" i="19"/>
  <c r="AQ215" i="19"/>
  <c r="AS215" i="19"/>
  <c r="J298" i="19"/>
  <c r="L298" i="19"/>
  <c r="N298" i="19"/>
  <c r="P298" i="19"/>
  <c r="R298" i="19"/>
  <c r="T298" i="19"/>
  <c r="V298" i="19"/>
  <c r="X298" i="19"/>
  <c r="AG298" i="19"/>
  <c r="AI298" i="19"/>
  <c r="AK298" i="19"/>
  <c r="AM298" i="19"/>
  <c r="AO298" i="19"/>
  <c r="AQ298" i="19"/>
  <c r="AS298" i="19"/>
  <c r="J301" i="19"/>
  <c r="L301" i="19"/>
  <c r="N301" i="19"/>
  <c r="P301" i="19"/>
  <c r="R301" i="19"/>
  <c r="T301" i="19"/>
  <c r="V301" i="19"/>
  <c r="X301" i="19"/>
  <c r="AG301" i="19"/>
  <c r="AI301" i="19"/>
  <c r="AK301" i="19"/>
  <c r="AM301" i="19"/>
  <c r="AO301" i="19"/>
  <c r="AQ301" i="19"/>
  <c r="AS301" i="19"/>
  <c r="J303" i="19"/>
  <c r="L303" i="19"/>
  <c r="N303" i="19"/>
  <c r="P303" i="19"/>
  <c r="R303" i="19"/>
  <c r="T303" i="19"/>
  <c r="V303" i="19"/>
  <c r="X303" i="19"/>
  <c r="AG303" i="19"/>
  <c r="AI303" i="19"/>
  <c r="AK303" i="19"/>
  <c r="AM303" i="19"/>
  <c r="AO303" i="19"/>
  <c r="AQ303" i="19"/>
  <c r="AS303" i="19"/>
  <c r="J314" i="19"/>
  <c r="L314" i="19"/>
  <c r="N314" i="19"/>
  <c r="P314" i="19"/>
  <c r="R314" i="19"/>
  <c r="T314" i="19"/>
  <c r="V314" i="19"/>
  <c r="X314" i="19"/>
  <c r="AG314" i="19"/>
  <c r="AI314" i="19"/>
  <c r="AK314" i="19"/>
  <c r="AM314" i="19"/>
  <c r="AO314" i="19"/>
  <c r="AQ314" i="19"/>
  <c r="AS314" i="19"/>
  <c r="AU314" i="19"/>
  <c r="J315" i="19"/>
  <c r="L315" i="19"/>
  <c r="N315" i="19"/>
  <c r="P315" i="19"/>
  <c r="R315" i="19"/>
  <c r="T315" i="19"/>
  <c r="V315" i="19"/>
  <c r="X315" i="19"/>
  <c r="AG315" i="19"/>
  <c r="AI315" i="19"/>
  <c r="AK315" i="19"/>
  <c r="AM315" i="19"/>
  <c r="AO315" i="19"/>
  <c r="AQ315" i="19"/>
  <c r="AS315" i="19"/>
  <c r="AU315" i="19"/>
  <c r="J320" i="19"/>
  <c r="L320" i="19"/>
  <c r="N320" i="19"/>
  <c r="P320" i="19"/>
  <c r="R320" i="19"/>
  <c r="T320" i="19"/>
  <c r="V320" i="19"/>
  <c r="X320" i="19"/>
  <c r="AG320" i="19"/>
  <c r="AI320" i="19"/>
  <c r="AK320" i="19"/>
  <c r="AM320" i="19"/>
  <c r="AO320" i="19"/>
  <c r="AQ320" i="19"/>
  <c r="AS320" i="19"/>
  <c r="AU320" i="19"/>
  <c r="J321" i="19"/>
  <c r="L321" i="19"/>
  <c r="N321" i="19"/>
  <c r="P321" i="19"/>
  <c r="R321" i="19"/>
  <c r="T321" i="19"/>
  <c r="V321" i="19"/>
  <c r="X321" i="19"/>
  <c r="AG321" i="19"/>
  <c r="AI321" i="19"/>
  <c r="AK321" i="19"/>
  <c r="AM321" i="19"/>
  <c r="AO321" i="19"/>
  <c r="AQ321" i="19"/>
  <c r="AS321" i="19"/>
  <c r="AU321" i="19"/>
  <c r="J322" i="19"/>
  <c r="L322" i="19"/>
  <c r="N322" i="19"/>
  <c r="P322" i="19"/>
  <c r="R322" i="19"/>
  <c r="T322" i="19"/>
  <c r="V322" i="19"/>
  <c r="X322" i="19"/>
  <c r="AG322" i="19"/>
  <c r="AI322" i="19"/>
  <c r="AK322" i="19"/>
  <c r="AM322" i="19"/>
  <c r="AO322" i="19"/>
  <c r="AQ322" i="19"/>
  <c r="AS322" i="19"/>
  <c r="AU322" i="19"/>
  <c r="J323" i="19"/>
  <c r="L323" i="19"/>
  <c r="N323" i="19"/>
  <c r="P323" i="19"/>
  <c r="R323" i="19"/>
  <c r="T323" i="19"/>
  <c r="V323" i="19"/>
  <c r="X323" i="19"/>
  <c r="AG323" i="19"/>
  <c r="AI323" i="19"/>
  <c r="AK323" i="19"/>
  <c r="AM323" i="19"/>
  <c r="AO323" i="19"/>
  <c r="AQ323" i="19"/>
  <c r="AS323" i="19"/>
  <c r="AU323" i="19"/>
  <c r="J348" i="19"/>
  <c r="L348" i="19"/>
  <c r="N348" i="19"/>
  <c r="P348" i="19"/>
  <c r="R348" i="19"/>
  <c r="T348" i="19"/>
  <c r="V348" i="19"/>
  <c r="X348" i="19"/>
  <c r="AG348" i="19"/>
  <c r="AI348" i="19"/>
  <c r="AK348" i="19"/>
  <c r="AM348" i="19"/>
  <c r="AO348" i="19"/>
  <c r="AQ348" i="19"/>
  <c r="AS348" i="19"/>
  <c r="AU348" i="19"/>
  <c r="J351" i="19"/>
  <c r="L351" i="19"/>
  <c r="N351" i="19"/>
  <c r="P351" i="19"/>
  <c r="R351" i="19"/>
  <c r="T351" i="19"/>
  <c r="V351" i="19"/>
  <c r="X351" i="19"/>
  <c r="AG351" i="19"/>
  <c r="AI351" i="19"/>
  <c r="AK351" i="19"/>
  <c r="AM351" i="19"/>
  <c r="AO351" i="19"/>
  <c r="AQ351" i="19"/>
  <c r="AS351" i="19"/>
  <c r="AU351" i="19"/>
  <c r="J352" i="19"/>
  <c r="L352" i="19"/>
  <c r="N352" i="19"/>
  <c r="P352" i="19"/>
  <c r="R352" i="19"/>
  <c r="T352" i="19"/>
  <c r="V352" i="19"/>
  <c r="X352" i="19"/>
  <c r="AG352" i="19"/>
  <c r="AI352" i="19"/>
  <c r="AK352" i="19"/>
  <c r="AM352" i="19"/>
  <c r="AO352" i="19"/>
  <c r="AQ352" i="19"/>
  <c r="AS352" i="19"/>
  <c r="AU352" i="19"/>
  <c r="C8" i="29"/>
  <c r="D12" i="29"/>
  <c r="F12" i="29"/>
  <c r="C14" i="29"/>
  <c r="D18" i="29"/>
  <c r="F18" i="29"/>
  <c r="C20" i="29"/>
  <c r="D24" i="29"/>
  <c r="F24" i="29"/>
  <c r="D26" i="29"/>
  <c r="F26" i="29"/>
  <c r="D40" i="12"/>
  <c r="F40" i="12"/>
  <c r="D41" i="12"/>
  <c r="F41" i="12"/>
  <c r="D42" i="12"/>
  <c r="F42" i="12"/>
  <c r="D43" i="12"/>
  <c r="F43" i="12"/>
  <c r="D44" i="12"/>
  <c r="F44" i="12"/>
  <c r="D45" i="12"/>
  <c r="F45" i="12"/>
  <c r="D46" i="12"/>
  <c r="F46" i="12"/>
  <c r="D48" i="12"/>
  <c r="F48" i="12"/>
  <c r="D112" i="12"/>
  <c r="F112" i="12"/>
  <c r="D113" i="12"/>
  <c r="F113" i="12"/>
  <c r="D114" i="12"/>
  <c r="F114" i="12"/>
  <c r="D115" i="12"/>
  <c r="F115" i="12"/>
  <c r="D116" i="12"/>
  <c r="F116" i="12"/>
  <c r="D117" i="12"/>
  <c r="F117" i="12"/>
  <c r="D118" i="12"/>
  <c r="F118" i="12"/>
  <c r="D120" i="12"/>
  <c r="F120" i="12"/>
  <c r="D132" i="12"/>
  <c r="F132" i="12"/>
  <c r="D133" i="12"/>
  <c r="F133" i="12"/>
  <c r="D134" i="12"/>
  <c r="F134" i="12"/>
  <c r="D135" i="12"/>
  <c r="F135" i="12"/>
  <c r="D136" i="12"/>
  <c r="F136" i="12"/>
  <c r="D137" i="12"/>
  <c r="F137" i="12"/>
  <c r="D138" i="12"/>
  <c r="F138" i="12"/>
  <c r="D140" i="12"/>
  <c r="F140" i="12"/>
  <c r="D18" i="27"/>
  <c r="F18" i="27"/>
  <c r="D20" i="27"/>
  <c r="F20" i="27"/>
  <c r="D22" i="27"/>
  <c r="F22" i="27"/>
  <c r="D24" i="27"/>
  <c r="F24" i="27"/>
  <c r="D26" i="27"/>
  <c r="F26" i="27"/>
  <c r="D28" i="27"/>
  <c r="F28" i="27"/>
  <c r="D32" i="27"/>
</calcChain>
</file>

<file path=xl/sharedStrings.xml><?xml version="1.0" encoding="utf-8"?>
<sst xmlns="http://schemas.openxmlformats.org/spreadsheetml/2006/main" count="1510" uniqueCount="501">
  <si>
    <t>Factors are based on the weighting of the maximum daily consumption with fire, Factor 3, and the maximum hour consumption, Factor 4, for each customer classification, as follows:</t>
  </si>
  <si>
    <t>Factors are based on the allocation of operation and maintenance expenses including purchased water, power, chemicals and waste disposal.</t>
  </si>
  <si>
    <t>Cost Related to Meters</t>
  </si>
  <si>
    <t>Cost per Bill - Meter related</t>
  </si>
  <si>
    <t>Cost Related to Services</t>
  </si>
  <si>
    <t>Cost per Bill - Services related</t>
  </si>
  <si>
    <t>Cost Related to Billing and Collecting</t>
  </si>
  <si>
    <t>Cost per Bill - Billing and Collecting</t>
  </si>
  <si>
    <t>Labor - Meter Shop</t>
  </si>
  <si>
    <t>Contributions in Aid of Construction</t>
  </si>
  <si>
    <t>Reallocation of Fire Protection</t>
  </si>
  <si>
    <t>Source of Supply</t>
  </si>
  <si>
    <t>Puchased Power</t>
  </si>
  <si>
    <t>Utilities</t>
  </si>
  <si>
    <t>Gas</t>
  </si>
  <si>
    <t>Chemicals</t>
  </si>
  <si>
    <t>Materials and Supplies</t>
  </si>
  <si>
    <t>Materials and Supplies - Services</t>
  </si>
  <si>
    <t>Materials and Supplies - Meters</t>
  </si>
  <si>
    <t>Materials and Supplies - Hydrants</t>
  </si>
  <si>
    <t>Materials and Supplies - Mains</t>
  </si>
  <si>
    <t>Postage</t>
  </si>
  <si>
    <t>Contractual Services - Engineering</t>
  </si>
  <si>
    <t>Contract Service Accounting/Audit</t>
  </si>
  <si>
    <t>Contractual Services</t>
  </si>
  <si>
    <t>Contractual Services - Account Service</t>
  </si>
  <si>
    <t>Legal Fees</t>
  </si>
  <si>
    <t>Contractual Fees</t>
  </si>
  <si>
    <t>Contractual Service</t>
  </si>
  <si>
    <t>Contractual Services - Sludge</t>
  </si>
  <si>
    <t>Contractual Services - Laboratory</t>
  </si>
  <si>
    <t>Contractual Services - Other</t>
  </si>
  <si>
    <t>Water Tower Painting Write-off</t>
  </si>
  <si>
    <t>Contractual Services - Mains</t>
  </si>
  <si>
    <t>Contractual Services - Services</t>
  </si>
  <si>
    <t>Contractual Services - Meter Reading</t>
  </si>
  <si>
    <t>Contractual Services - Water Towers</t>
  </si>
  <si>
    <t>Contractual Services - Bill Printing/Mailing</t>
  </si>
  <si>
    <t>Contractual Services - Collections</t>
  </si>
  <si>
    <t>Contractual Services - Credit Card Processing</t>
  </si>
  <si>
    <t>Contractual Services - HR/Infor Systems</t>
  </si>
  <si>
    <t>Contractual Services - Lock Box Processing</t>
  </si>
  <si>
    <t>Rental</t>
  </si>
  <si>
    <t>Transportation Expense</t>
  </si>
  <si>
    <t>Vehicle Insurance</t>
  </si>
  <si>
    <t>General Liability Insurance</t>
  </si>
  <si>
    <t>Workers Comp Insurance</t>
  </si>
  <si>
    <t>Other Insurance</t>
  </si>
  <si>
    <t>Miscellaneous Expense</t>
  </si>
  <si>
    <t>PSC Expense- Rate Case Expense</t>
  </si>
  <si>
    <t>Employment Taxes</t>
  </si>
  <si>
    <t>NORTHERN KENTUCKY WATER DISTRICT</t>
  </si>
  <si>
    <t xml:space="preserve">   Total Operations</t>
  </si>
  <si>
    <t xml:space="preserve">  Total Maintenance</t>
  </si>
  <si>
    <t>Total Source of Supply</t>
  </si>
  <si>
    <t>Total Water Treatment</t>
  </si>
  <si>
    <t xml:space="preserve">  Total Operations</t>
  </si>
  <si>
    <t>Total Transmission and Distribution</t>
  </si>
  <si>
    <t>Total Customer Accounting</t>
  </si>
  <si>
    <t>Total Adminstrative and General</t>
  </si>
  <si>
    <t>Power and Pumping Structures - Intake</t>
  </si>
  <si>
    <t>Water Treatment Plant</t>
  </si>
  <si>
    <t>Pumping Structures</t>
  </si>
  <si>
    <t>Office Buildings</t>
  </si>
  <si>
    <t>Other Structures</t>
  </si>
  <si>
    <t>Structures - Water Treatment</t>
  </si>
  <si>
    <t>Lake, River and Other Intakes</t>
  </si>
  <si>
    <t>Power Generation Equipment</t>
  </si>
  <si>
    <t>Pumping Equipment</t>
  </si>
  <si>
    <t>Purification System</t>
  </si>
  <si>
    <t>Purification System - Equipment</t>
  </si>
  <si>
    <t>Distribution Reservoirs and Standpipes</t>
  </si>
  <si>
    <t>Distribution Reservoirs and Standpipes - Taylor Mill</t>
  </si>
  <si>
    <t>Services - Taylor Mill</t>
  </si>
  <si>
    <t>Fire Hydrants</t>
  </si>
  <si>
    <t>Fire Hydrants - Taylor Mill</t>
  </si>
  <si>
    <t>Miscellaneous Equipment</t>
  </si>
  <si>
    <t xml:space="preserve">Office Furniture and Equipment                        </t>
  </si>
  <si>
    <t xml:space="preserve">Transportation Equipment                              </t>
  </si>
  <si>
    <t xml:space="preserve">Tools,Shop and Garage Equipment                                        </t>
  </si>
  <si>
    <t xml:space="preserve">Communication Equipment                               </t>
  </si>
  <si>
    <t xml:space="preserve">Miscellaneous Equipment                               </t>
  </si>
  <si>
    <t>Land - Intake</t>
  </si>
  <si>
    <t>Land - Treatment Plant</t>
  </si>
  <si>
    <t>Land - Pump Station and Transmission</t>
  </si>
  <si>
    <t>Land - CC</t>
  </si>
  <si>
    <t xml:space="preserve">   Prepayments - Tank Cleaning/Painting</t>
  </si>
  <si>
    <t>Debt Service  Coverage</t>
  </si>
  <si>
    <t xml:space="preserve">   Other Utility Plant Acquistions/Adjustments</t>
  </si>
  <si>
    <t xml:space="preserve">   Total Debt Service Requirements</t>
  </si>
  <si>
    <t>Interest Earnings</t>
  </si>
  <si>
    <t>FACTOR 15.  NOT USED IN THE ALLOCATION</t>
  </si>
  <si>
    <t>The weighting of the factors is based on the ratio of the capacity required for a 10 hour demand of fire flow, as related to total storage capacity.</t>
  </si>
  <si>
    <t>Penalties</t>
  </si>
  <si>
    <t>Turn On Fees</t>
  </si>
  <si>
    <t>Rent</t>
  </si>
  <si>
    <t>Lab Test Fees</t>
  </si>
  <si>
    <t>Material Sold</t>
  </si>
  <si>
    <t>Subdivison Revenue</t>
  </si>
  <si>
    <t xml:space="preserve">   Total Other Water Revenues</t>
  </si>
  <si>
    <t>Miscellaneous Revenue</t>
  </si>
  <si>
    <t xml:space="preserve"> Bulk Sales</t>
  </si>
  <si>
    <t>FACTOR 12.  ALLOCATION OF BILLING AND COLLECTING COSTS AND METER READING</t>
  </si>
  <si>
    <t>FACTOR 13.  NOT USED IN THE ALLOCATION</t>
  </si>
  <si>
    <t>Wholesale</t>
  </si>
  <si>
    <t>Wholesale Customers</t>
  </si>
  <si>
    <t>Number of Bills</t>
  </si>
  <si>
    <t>Monthly</t>
  </si>
  <si>
    <t>Quarterly</t>
  </si>
  <si>
    <t>Advertising Expense</t>
  </si>
  <si>
    <t>Bad Debt Expense</t>
  </si>
  <si>
    <t>Water Treatment</t>
  </si>
  <si>
    <t>Operations</t>
  </si>
  <si>
    <t>Labor - Lab</t>
  </si>
  <si>
    <t>Labor</t>
  </si>
  <si>
    <t>Transmission and Distribution</t>
  </si>
  <si>
    <t>Labor - Services</t>
  </si>
  <si>
    <t>Labor - Mains</t>
  </si>
  <si>
    <t>Labor - Hydrants</t>
  </si>
  <si>
    <t>Account No.</t>
  </si>
  <si>
    <t>Customer Accounting</t>
  </si>
  <si>
    <t>Labor - Meter Reading</t>
  </si>
  <si>
    <t>Labor - Account Service</t>
  </si>
  <si>
    <t>Labor Field Service</t>
  </si>
  <si>
    <t>Administrative and General</t>
  </si>
  <si>
    <t>Employee Benefits</t>
  </si>
  <si>
    <t xml:space="preserve">OPERATION AND MAINTENANCE EXPENSES       </t>
  </si>
  <si>
    <t>Ref.</t>
  </si>
  <si>
    <t>Cost of</t>
  </si>
  <si>
    <t>Account</t>
  </si>
  <si>
    <t>Private</t>
  </si>
  <si>
    <t>Private Fire</t>
  </si>
  <si>
    <t>Public Fire</t>
  </si>
  <si>
    <t>RATE BASE</t>
  </si>
  <si>
    <t>Authorities</t>
  </si>
  <si>
    <t>FACTOR 4.  ALLOCATION OF COSTS ASSOCIATED WITH FACILITIES SERVING BASE AND MAXIMUM HOUR EXTRA CAPACITY FUNCTIONS.</t>
  </si>
  <si>
    <t>FACTOR 5.  ALLOCATION OF COSTS ASSOCIATED WITH STORAGE FACILITIES, cont.</t>
  </si>
  <si>
    <t xml:space="preserve">FACTOR 17.  ALLOCATION OF ORGANIZATION, FRANCHISES AND CONSENTS, </t>
  </si>
  <si>
    <t>FACTOR 19.  ALLOCATION OF REGULATORY COMMISSION EXPENSES, ASSESSMENTS AND</t>
  </si>
  <si>
    <t>FACTOR 11</t>
  </si>
  <si>
    <t>FACTOR 15</t>
  </si>
  <si>
    <t>LABOR BASIS FOR FACTOR 16</t>
  </si>
  <si>
    <t>FACTOR 16</t>
  </si>
  <si>
    <t>UPIS BASIS FOR FACTOR 17</t>
  </si>
  <si>
    <t>FACTOR 17</t>
  </si>
  <si>
    <t>FACTOR 18</t>
  </si>
  <si>
    <t>RATE BASE BASIS FOR FACTOR 18</t>
  </si>
  <si>
    <t>TOTAL COS BASIS FOR FACTOR 19</t>
  </si>
  <si>
    <t>FACTOR 19</t>
  </si>
  <si>
    <t>Costs are assigned directly to Public Fire Protection.</t>
  </si>
  <si>
    <t xml:space="preserve">           Total</t>
  </si>
  <si>
    <t xml:space="preserve">   Extra Capacity</t>
  </si>
  <si>
    <t>Factors are based on the allocation of direct labor expense.</t>
  </si>
  <si>
    <t>AND FIRE PROTECTION FUNCTIONS.</t>
  </si>
  <si>
    <t xml:space="preserve">FACTOR 3.  ALLOCATION OF COSTS ASSOCIATED WITH FACILITIES SERVING BASE, MAXIMUM DAY EXTRA CAPACITY </t>
  </si>
  <si>
    <t>AND ENGINEERING, STRUCTURES AND IMPROVEMENTS, AND OTHER EXPENSES.</t>
  </si>
  <si>
    <t xml:space="preserve"> MISCELLANEOUS INTANGIBLE PLANT AND OTHER RATE BASE ELEMENTS.</t>
  </si>
  <si>
    <t>Private Hydrants</t>
  </si>
  <si>
    <t>Organization</t>
  </si>
  <si>
    <t>Supply Mains</t>
  </si>
  <si>
    <t>Stores Equipment</t>
  </si>
  <si>
    <t>Laboratory Equipment</t>
  </si>
  <si>
    <t>Power Operated Equipment</t>
  </si>
  <si>
    <t>Total Utility Plant in Service</t>
  </si>
  <si>
    <t xml:space="preserve">  Total Operation &amp; Maintenance Expenses</t>
  </si>
  <si>
    <t xml:space="preserve">     Total Depreciation Expense</t>
  </si>
  <si>
    <t xml:space="preserve">DEPRECIATION EXPENSE                </t>
  </si>
  <si>
    <t>Taxes Other Than Income</t>
  </si>
  <si>
    <t>Utility Reg Assessment Fee</t>
  </si>
  <si>
    <t>Other Rate Base Items</t>
  </si>
  <si>
    <t>Add:</t>
  </si>
  <si>
    <t>Mains 10" and Larger</t>
  </si>
  <si>
    <t>Mains Smaller than 10"</t>
  </si>
  <si>
    <t>Mains and Accessories - 10" and larger</t>
  </si>
  <si>
    <t>Mains and Accessories - Less than 10"</t>
  </si>
  <si>
    <t xml:space="preserve">   Materials and Supplies</t>
  </si>
  <si>
    <t xml:space="preserve">   Prepayments</t>
  </si>
  <si>
    <t xml:space="preserve">   Regulatory Deferrals </t>
  </si>
  <si>
    <t>Amort-Other UP</t>
  </si>
  <si>
    <t>TO PRIVATE AND PUBLIC FIRE PROTECTION CUSTOMER CLASSIFICATIONS</t>
  </si>
  <si>
    <t>Table of Factors - Table Name "FACTORS"</t>
  </si>
  <si>
    <t>factor 3</t>
  </si>
  <si>
    <t>factor 4</t>
  </si>
  <si>
    <t xml:space="preserve">Public </t>
  </si>
  <si>
    <t>KENTUCKY-AMERICAN WATER COMPANY</t>
  </si>
  <si>
    <t/>
  </si>
  <si>
    <t>FACTORS FOR ALLOCATING COST OF SERVICE TO CUSTOMER CLASSIFICATIONS</t>
  </si>
  <si>
    <t>FACTOR 1.  ALLOCATION OF COSTS WHICH VARY WITH THE AMOUNT OF WATER CONSUMED.</t>
  </si>
  <si>
    <t>Factors are based on the pro forma test year average daily consumption for each customer classification.</t>
  </si>
  <si>
    <t>Average Daily</t>
  </si>
  <si>
    <t xml:space="preserve">Customer </t>
  </si>
  <si>
    <t>Consumption,</t>
  </si>
  <si>
    <t>Allocation</t>
  </si>
  <si>
    <t>Classification</t>
  </si>
  <si>
    <t>Factor</t>
  </si>
  <si>
    <t>(1)</t>
  </si>
  <si>
    <t xml:space="preserve">    (2)</t>
  </si>
  <si>
    <t>(3)</t>
  </si>
  <si>
    <t>Residential</t>
  </si>
  <si>
    <t>Commercial</t>
  </si>
  <si>
    <t>Industrial</t>
  </si>
  <si>
    <t>Other Public Authority</t>
  </si>
  <si>
    <t>Other Water Utilities</t>
  </si>
  <si>
    <t>Private Fire Protection</t>
  </si>
  <si>
    <t>Public Fire Protection</t>
  </si>
  <si>
    <t xml:space="preserve">   Total</t>
  </si>
  <si>
    <t>FACTOR 2.  ALLOCATION OF COSTS ASSOCIATED WITH FACILITIES SERVING BASE AND</t>
  </si>
  <si>
    <t xml:space="preserve"> MAXIMUM DAY EXTRA CAPACITY FUNCTIONS.</t>
  </si>
  <si>
    <t>Factors are based on the weighting of the factors for average daily consumption (Factor 1) and the factors derived from maximum day extra capacity demand for each customer classification, as follows:</t>
  </si>
  <si>
    <t>Maximum Day</t>
  </si>
  <si>
    <t>Consumption</t>
  </si>
  <si>
    <t>Extra Capacity</t>
  </si>
  <si>
    <t>Weighted</t>
  </si>
  <si>
    <t>Factor 1</t>
  </si>
  <si>
    <t>(2)</t>
  </si>
  <si>
    <t>(3)=(2)x</t>
  </si>
  <si>
    <t>(4)</t>
  </si>
  <si>
    <t>(5)=(4)x</t>
  </si>
  <si>
    <t>(6)=(3)+(5)</t>
  </si>
  <si>
    <t>The derivation of the maximum day extra capacity factors in column 4 and the basis for the column 3 and 5 weightings are presented on the following page.</t>
  </si>
  <si>
    <t>::</t>
  </si>
  <si>
    <t>FACTORS FOR ALLOCATING COST OF SERVICE TO CUSTOMER CLASSIFICATIONS, cont.</t>
  </si>
  <si>
    <t xml:space="preserve"> MAXIMUM DAY EXTRA CAPACITY FUNCTIONS, cont.</t>
  </si>
  <si>
    <t>Maximum Day Extra Capacity</t>
  </si>
  <si>
    <t>Rate of Flow,</t>
  </si>
  <si>
    <t>Factor*</t>
  </si>
  <si>
    <t>Per Day</t>
  </si>
  <si>
    <t>(4)=(2)x(3)</t>
  </si>
  <si>
    <t>(5)</t>
  </si>
  <si>
    <t>Maximum</t>
  </si>
  <si>
    <t>Day</t>
  </si>
  <si>
    <t>Ratio</t>
  </si>
  <si>
    <t>Weight</t>
  </si>
  <si>
    <t>Average Day</t>
  </si>
  <si>
    <t xml:space="preserve"> Extra Capacity</t>
  </si>
  <si>
    <t xml:space="preserve">  Total</t>
  </si>
  <si>
    <t>* Ratio of maximum day to average day minus 1.0.</t>
  </si>
  <si>
    <t>Factors are based on the weighting of the average daily consumption, the maximum day extra capacity demand, and the fire protection demand for each customer classification.</t>
  </si>
  <si>
    <t>Fire Protection</t>
  </si>
  <si>
    <t>Customer</t>
  </si>
  <si>
    <t>(3)=(2) X</t>
  </si>
  <si>
    <t>(5)=(4) X</t>
  </si>
  <si>
    <t>(6)</t>
  </si>
  <si>
    <t>(7)=(6) X</t>
  </si>
  <si>
    <t>(8)=(3)+(5)+(7)</t>
  </si>
  <si>
    <t>Maximum Hour</t>
  </si>
  <si>
    <t>Average Hourly Consumption</t>
  </si>
  <si>
    <t>(4)=(3) X</t>
  </si>
  <si>
    <t>(6)=(5) X</t>
  </si>
  <si>
    <t>(7)</t>
  </si>
  <si>
    <t>(8)=(7) X</t>
  </si>
  <si>
    <t>(9)=(4)+(6)+(8)</t>
  </si>
  <si>
    <t>FACTOR 3.  ALLOCATION OF COSTS ASSOCIATED WITH FACILITIES SERVING BASE, MAXIMUM</t>
  </si>
  <si>
    <t xml:space="preserve">  DAY EXTRA CAPACITY AND FIRE PROTECTION FUNCTIONS, cont.</t>
  </si>
  <si>
    <t>(GPD)</t>
  </si>
  <si>
    <t>Average Hour</t>
  </si>
  <si>
    <t xml:space="preserve">  Subtotal</t>
  </si>
  <si>
    <t>FACTOR 4.  ALLOCATION OF COSTS ASSOCIATED WITH FACILITIES SERVING BASE AND</t>
  </si>
  <si>
    <t xml:space="preserve"> MAXIMUM HOUR EXTRA CAPACITY FUNCTIONS, cont.</t>
  </si>
  <si>
    <t>(GPM)</t>
  </si>
  <si>
    <t>The maximum hour extra capacity factors in column 5 of the previous page are determined as follows:</t>
  </si>
  <si>
    <t>Average</t>
  </si>
  <si>
    <t>Hourly</t>
  </si>
  <si>
    <t>Maximum Hour Extra Capacity</t>
  </si>
  <si>
    <t>Per Hour</t>
  </si>
  <si>
    <t xml:space="preserve">     Total</t>
  </si>
  <si>
    <t>* Ratio of Maximum Hour To Average Hour Minus 1.0.</t>
  </si>
  <si>
    <t>FACTOR 5.  ALLOCATION OF COSTS ASSOCIATED WITH STORAGE FACILITIES.</t>
  </si>
  <si>
    <t>Factors are based on the weighting of the average hourly consumption, the maximum hour extra capacity demand, and the fire protection demand for each customer classification.</t>
  </si>
  <si>
    <t xml:space="preserve">     Total Other Rate Base Elements</t>
  </si>
  <si>
    <t>Total Original Cost Measure of Value</t>
  </si>
  <si>
    <t>Fire Protection Weight =</t>
  </si>
  <si>
    <t>=</t>
  </si>
  <si>
    <t>General Service Weight =</t>
  </si>
  <si>
    <t>-</t>
  </si>
  <si>
    <t>The weighting of the average hourly consumption and maximum hour extra demand for general service is based on the maximum hour ratio, as follows:</t>
  </si>
  <si>
    <t>Hour</t>
  </si>
  <si>
    <t>Percent</t>
  </si>
  <si>
    <t xml:space="preserve"> Maximum Hour</t>
  </si>
  <si>
    <t>Maximum Daily</t>
  </si>
  <si>
    <t>Maximum Hourly</t>
  </si>
  <si>
    <t>Factor 3</t>
  </si>
  <si>
    <t>Factor 4</t>
  </si>
  <si>
    <t>(3)=(2)X</t>
  </si>
  <si>
    <t>(5)=(4)X</t>
  </si>
  <si>
    <t>base</t>
  </si>
  <si>
    <t>max day</t>
  </si>
  <si>
    <t>max hour</t>
  </si>
  <si>
    <t>private fire</t>
  </si>
  <si>
    <t xml:space="preserve">  Mains and Accessories - 10" and larger</t>
  </si>
  <si>
    <t xml:space="preserve">  Mains and Accessories - Less than 10"</t>
  </si>
  <si>
    <t xml:space="preserve">  Pumps</t>
  </si>
  <si>
    <t xml:space="preserve">  Water Treatment</t>
  </si>
  <si>
    <t xml:space="preserve">  Storage</t>
  </si>
  <si>
    <t xml:space="preserve">  Metering</t>
  </si>
  <si>
    <t xml:space="preserve">  General </t>
  </si>
  <si>
    <t>Total Construction Work in Progress</t>
  </si>
  <si>
    <t xml:space="preserve">   General </t>
  </si>
  <si>
    <t xml:space="preserve">  Meters</t>
  </si>
  <si>
    <t xml:space="preserve">  Distribution Reservoirs and Standpipes</t>
  </si>
  <si>
    <t xml:space="preserve">  Water Treatment Plant</t>
  </si>
  <si>
    <t xml:space="preserve">  Pumping Equipment</t>
  </si>
  <si>
    <t>Amort of Acq. Adj.</t>
  </si>
  <si>
    <t>FACTOR 18.  ALLOCATION OF DEBT SERVICE AND ACQUISTION ADJUSTMENT</t>
  </si>
  <si>
    <t>public fire</t>
  </si>
  <si>
    <t xml:space="preserve">    Total</t>
  </si>
  <si>
    <t>The weighting of the factors is based on the total footage of mains, designated as either transmission mains or distribution mains, as follows:</t>
  </si>
  <si>
    <t>Total Footage</t>
  </si>
  <si>
    <t>of Mains</t>
  </si>
  <si>
    <t>Number of</t>
  </si>
  <si>
    <t xml:space="preserve">       Total</t>
  </si>
  <si>
    <t>Factors are based on the relative cost of meters by size and customer classification, as developed on the following page and summarized below.</t>
  </si>
  <si>
    <t>5/8" Dollar</t>
  </si>
  <si>
    <t>Equivalents</t>
  </si>
  <si>
    <t xml:space="preserve"> </t>
  </si>
  <si>
    <t>Factors are based on the relative cost of services by size and customer classification, as developed on the following page and summarized below.</t>
  </si>
  <si>
    <t>3/4" Dollar</t>
  </si>
  <si>
    <t>old 1997 study</t>
  </si>
  <si>
    <t>|...+....1....+....2....+....3....+....4....+....5....+....6....+....7....+....8....+....9....+...10....+...11....+...12....+...13....+...14....+...15....+...16....+...17....+...18....+...19....+...20....+...21....+...22....+...23....+...</t>
  </si>
  <si>
    <t>BASIS FOR ALLOCATING SERVICE COSTS TO CUSTOMER CLASSIFICATIONS</t>
  </si>
  <si>
    <t>3/4"</t>
  </si>
  <si>
    <t>Sales for Resale</t>
  </si>
  <si>
    <t>Resale</t>
  </si>
  <si>
    <t xml:space="preserve">Other Water Utilities      </t>
  </si>
  <si>
    <t>Total</t>
  </si>
  <si>
    <t>Service</t>
  </si>
  <si>
    <t>Dollar</t>
  </si>
  <si>
    <t>Size</t>
  </si>
  <si>
    <t>Equivalent</t>
  </si>
  <si>
    <t>Services</t>
  </si>
  <si>
    <t>Weighting</t>
  </si>
  <si>
    <t>(4)=(2)X(3)</t>
  </si>
  <si>
    <t>(6)=(2)X(5)</t>
  </si>
  <si>
    <t>Debt Service</t>
  </si>
  <si>
    <t>Commercial/Multi-Family</t>
  </si>
  <si>
    <t>(8)=(2)X(7)</t>
  </si>
  <si>
    <t>(10)=(2)X(9)</t>
  </si>
  <si>
    <t>CCF</t>
  </si>
  <si>
    <t>GPM X 60 Min. X 10 Hrs.</t>
  </si>
  <si>
    <t>2- 2-1/4" &amp; 1- 4 1/2"</t>
  </si>
  <si>
    <t xml:space="preserve">   Unamortized Debt Discount and Expense</t>
  </si>
  <si>
    <t>Construction Work In Progress</t>
  </si>
  <si>
    <t>Mains and Accessories - Transmission</t>
  </si>
  <si>
    <t>Mains and Accessories - Distribution</t>
  </si>
  <si>
    <t>Mains and Accessories - Taylor Mill - Transmission</t>
  </si>
  <si>
    <t>Mains and Accessories - Taylor Mill - Distribution</t>
  </si>
  <si>
    <t>CASH WORKING CAPITAL FOR FACTOR 15</t>
  </si>
  <si>
    <t>T&amp;D OP BASIS FOR FACTOR 10</t>
  </si>
  <si>
    <t>FACTOR 10</t>
  </si>
  <si>
    <t>T&amp;D Mnt BASIS FOR FACTOR 11</t>
  </si>
  <si>
    <t>A&amp;G BASIS FOR FACTOR 14</t>
  </si>
  <si>
    <t>FACTOR 14</t>
  </si>
  <si>
    <t>FACTOR 6. ALLOCATION OF COSTS ASSOCIATED WITH TRANSMISSION AND DISTRIBUTION MAINS.</t>
  </si>
  <si>
    <t>FACTOR 9.  ALLOCATION OF COSTS ASSOCIATED WITH SERVICES.</t>
  </si>
  <si>
    <t>FACTOR 8.  ALLOCATION OF COSTS ASSOCIATED WITH METERS.</t>
  </si>
  <si>
    <t>FACTOR 7. ALLOCATION OF COSTS ASSOCIATED WITH FIRE HYDRANTS.</t>
  </si>
  <si>
    <t>FACTOR 11.  ALLOCATION OF TRANSMISSION AND DISTRIBUTION MAINTENANCE SUPERVISION</t>
  </si>
  <si>
    <t>FACTOR 14.  ALLOCATION OF ADMINISTRATIVE AND GENERAL EXPENSES</t>
  </si>
  <si>
    <t>FACTOR 10.  NOT USED IN THE ALLOCATION.</t>
  </si>
  <si>
    <t>(12)=(2)X(11)</t>
  </si>
  <si>
    <t>(14)=(2)X(11)</t>
  </si>
  <si>
    <t xml:space="preserve">  3/4</t>
  </si>
  <si>
    <t xml:space="preserve">   1</t>
  </si>
  <si>
    <t xml:space="preserve"> 1-1/2</t>
  </si>
  <si>
    <t xml:space="preserve">   2</t>
  </si>
  <si>
    <t xml:space="preserve">   4</t>
  </si>
  <si>
    <t xml:space="preserve">   6</t>
  </si>
  <si>
    <t xml:space="preserve">   8</t>
  </si>
  <si>
    <t xml:space="preserve">  10</t>
  </si>
  <si>
    <t xml:space="preserve">  12</t>
  </si>
  <si>
    <t xml:space="preserve">  16</t>
  </si>
  <si>
    <t>Customers</t>
  </si>
  <si>
    <t>Factors are based on the number of metered customers.</t>
  </si>
  <si>
    <t>Total Metered</t>
  </si>
  <si>
    <t>Factors are based on transmission and distribution operation expenses other than those being allocated, as follows:</t>
  </si>
  <si>
    <t>Transmission</t>
  </si>
  <si>
    <t>and</t>
  </si>
  <si>
    <t>Distribution</t>
  </si>
  <si>
    <t>Operating</t>
  </si>
  <si>
    <t>Expenses</t>
  </si>
  <si>
    <t>ALTERNATE FACTOR 13.  ALLOCATION OF TRANSMISSION AND DISTRIBUTION MAINTENANCE SUPERVISION</t>
  </si>
  <si>
    <t xml:space="preserve"> AND ENGINEERING AND MISCELLANEOUS PLANT.</t>
  </si>
  <si>
    <t>Protection</t>
  </si>
  <si>
    <t>Factors are based on transmission and distribution maintenance expenses other than</t>
  </si>
  <si>
    <t>those being allocated, as follows:</t>
  </si>
  <si>
    <t>Maintenance</t>
  </si>
  <si>
    <t>Public</t>
  </si>
  <si>
    <t>Factors are based on transmission and distribution maintenance expenses other than those being allocated, as follows:</t>
  </si>
  <si>
    <t>Gallons</t>
  </si>
  <si>
    <t>Operation &amp;</t>
  </si>
  <si>
    <t>FACTOR 16.  ALLOCATION OF LABOR RELATED TAXES AND BENEFITS.</t>
  </si>
  <si>
    <t>Direct Labor</t>
  </si>
  <si>
    <t>Expense</t>
  </si>
  <si>
    <t>Factors are based on the allocation of the original cost less depreciation other than those items being allocated, as follows:</t>
  </si>
  <si>
    <t>Original</t>
  </si>
  <si>
    <t>Cost Less</t>
  </si>
  <si>
    <t>Depreciation</t>
  </si>
  <si>
    <t>Factors are based on the allocation of the original cost measure of value rate base as shown on the following pages and summarized below.</t>
  </si>
  <si>
    <t>Cost Measure</t>
  </si>
  <si>
    <t>of Value</t>
  </si>
  <si>
    <t xml:space="preserve"> OTHER WATER REVENUES.</t>
  </si>
  <si>
    <t>The factors are based on the allocation of the total cost of service, excluding those items being allocated.</t>
  </si>
  <si>
    <t xml:space="preserve">Total Cost </t>
  </si>
  <si>
    <t>of Service</t>
  </si>
  <si>
    <t>BASIS FOR ALLOCATING METER COSTS TO CUSTOMER CLASSIFICATIONS</t>
  </si>
  <si>
    <t>5/8"</t>
  </si>
  <si>
    <t>Meter</t>
  </si>
  <si>
    <t>Meters</t>
  </si>
  <si>
    <t>5/8</t>
  </si>
  <si>
    <t>3/4</t>
  </si>
  <si>
    <t>1</t>
  </si>
  <si>
    <t>1-1/2</t>
  </si>
  <si>
    <t>2</t>
  </si>
  <si>
    <t>3</t>
  </si>
  <si>
    <t>4</t>
  </si>
  <si>
    <t>6</t>
  </si>
  <si>
    <t>8</t>
  </si>
  <si>
    <t>BASIS FOR ALLOCATING DEMAND RELATED COSTS OF FIRE SERVICE</t>
  </si>
  <si>
    <t>Restrictive</t>
  </si>
  <si>
    <t>Diameters</t>
  </si>
  <si>
    <t>Relative</t>
  </si>
  <si>
    <t>Description</t>
  </si>
  <si>
    <t>Squared</t>
  </si>
  <si>
    <t>Quantity</t>
  </si>
  <si>
    <t>PRIVATE FIRE PROTECTION</t>
  </si>
  <si>
    <t>Hydrant</t>
  </si>
  <si>
    <t>Nozzle Sizes</t>
  </si>
  <si>
    <t>Fire Lines</t>
  </si>
  <si>
    <t>-inch</t>
  </si>
  <si>
    <t>Total Private Fire Protection</t>
  </si>
  <si>
    <t>PUBLIC FIRE PROTECTION</t>
  </si>
  <si>
    <t xml:space="preserve"> Total Fire Protection</t>
  </si>
  <si>
    <t xml:space="preserve"> Sales of Water                          </t>
  </si>
  <si>
    <t xml:space="preserve">Total Cost of Service Related to         </t>
  </si>
  <si>
    <t xml:space="preserve">Less: Other Water Revenues               </t>
  </si>
  <si>
    <t xml:space="preserve">    Total Cost of Service                </t>
  </si>
  <si>
    <t xml:space="preserve">         Total Taxes, Other Than Income  </t>
  </si>
  <si>
    <t xml:space="preserve">                                         </t>
  </si>
  <si>
    <t>Cost of Service</t>
  </si>
  <si>
    <t>Amount</t>
  </si>
  <si>
    <t>Revenues, Present Rates</t>
  </si>
  <si>
    <t>Increase</t>
  </si>
  <si>
    <t>(8)</t>
  </si>
  <si>
    <t>(9)</t>
  </si>
  <si>
    <t>Public Authority</t>
  </si>
  <si>
    <t xml:space="preserve">     Total Sales</t>
  </si>
  <si>
    <t>Other Revenues</t>
  </si>
  <si>
    <t xml:space="preserve">              Total</t>
  </si>
  <si>
    <t>Base</t>
  </si>
  <si>
    <t>Max Day</t>
  </si>
  <si>
    <t>Max Hour</t>
  </si>
  <si>
    <t>Billing &amp;</t>
  </si>
  <si>
    <t>Collecting</t>
  </si>
  <si>
    <t>Fire</t>
  </si>
  <si>
    <t>The weighting of the factors is based on the ratio of the capacity required for a 3 hour demand of fire flow, as related to total storage capacity.  The calculation is shown on the following page.</t>
  </si>
  <si>
    <t>&amp; Distribution</t>
  </si>
  <si>
    <t>Factors are based on the allocation of all other operation and maintenance expenses excluding purchased water, power, chemicals and waste disposal.</t>
  </si>
  <si>
    <t>Demand</t>
  </si>
  <si>
    <t>(Schedule B)</t>
  </si>
  <si>
    <t>SUMMARY OF AVERAGE DAILY SEND OUT AND MAXIMUM DAILY USAGE</t>
  </si>
  <si>
    <t>Maximum Daily Use</t>
  </si>
  <si>
    <t>Send out</t>
  </si>
  <si>
    <t>Ratio to</t>
  </si>
  <si>
    <t>Highest</t>
  </si>
  <si>
    <t>Year</t>
  </si>
  <si>
    <t>FACTOR 20.  REALLOCATION OF FIRE PROTECTION</t>
  </si>
  <si>
    <t>(MGD)</t>
  </si>
  <si>
    <t>MGD</t>
  </si>
  <si>
    <t>Use Day</t>
  </si>
  <si>
    <t>Consumption w/ Fire</t>
  </si>
  <si>
    <t>The maximum hour extra capacity factors in column 5 are determined on the next page.</t>
  </si>
  <si>
    <t>5 1/4 Valve</t>
  </si>
  <si>
    <t>CALCULATION OF CUSTOMER CHARGE</t>
  </si>
  <si>
    <t>Meter Equivalents X 12</t>
  </si>
  <si>
    <t>Service Equivalents X 12</t>
  </si>
  <si>
    <t>Total Customer Charge (3)+(6)+(9)</t>
  </si>
  <si>
    <t>Factors are based on the relative cost of meters by size and customer classification.</t>
  </si>
  <si>
    <t>General Expense</t>
  </si>
  <si>
    <t>Contractual Services - Customer Service</t>
  </si>
  <si>
    <t xml:space="preserve">   Prepayments - Reservoir Cleaning</t>
  </si>
  <si>
    <t>Sub-District Surcharge</t>
  </si>
  <si>
    <t>Revenues, Step 2 Rates</t>
  </si>
  <si>
    <t>Step 2 Increase</t>
  </si>
  <si>
    <t>COMPARISON OF COST OF SERVICE WITH REVENUES UNDER PRESENT AND PROPOSED RATES - STEP 2</t>
  </si>
  <si>
    <t>FOR THE YEARS 1998-2014</t>
  </si>
  <si>
    <t>Materials and Supplies - Storage Facilities</t>
  </si>
  <si>
    <t>Rental Expense</t>
  </si>
  <si>
    <t>COST OF SERVICE FOR THE TWELVE MONTHS ENDED DECEMBER 31, 2014, ALLOCATED TO CUSTOMER CLASSIFICATIONS</t>
  </si>
  <si>
    <t>COST OF SERVICE FOR THE TWELVE MONTHS ENDED DECEMBER 31, 2014, ALLOCATED TO COST FUNCTION</t>
  </si>
  <si>
    <t>FOR THE TEST YEAR ENDED DECEMBER 31, 2014</t>
  </si>
  <si>
    <t>Back Up Generator ORPS</t>
  </si>
  <si>
    <t xml:space="preserve">   Inventory - Meters</t>
  </si>
  <si>
    <t xml:space="preserve">   Prepayments - Chemicals GAC</t>
  </si>
  <si>
    <t xml:space="preserve">   Unamortized Debt Discount/Premium and Expense</t>
  </si>
  <si>
    <t xml:space="preserve">The weighting of the factors is based on the potential demand of general and fire protection service.  The bases for the potential demand of general service are the maximum day ratio of 1.60 and the average daily system sendout for 2014 of 26.4 MGD.  The system demand for fire protection is 12,000 Gallons per minute for 10 hours.    </t>
  </si>
  <si>
    <t>The weighting of the factors is based on the potential demand of general and fire protection service.  The bases for the potential demand of general service are the maximum hour ratio of 2.4 and the average daily system sendout for 2014 of 26.4 MGD.  The system demand for fire protection is 12,000 gallons per minute.</t>
  </si>
  <si>
    <t>The weighting of the factors is based on the maximum day ratio of 1.60, based on a review of maximum day ratios experienced during the period 1998 through 2014 (see Schedule D).</t>
  </si>
  <si>
    <t xml:space="preserve">             Total Public Fire Protection</t>
  </si>
  <si>
    <t>Bills</t>
  </si>
  <si>
    <t>Factors are based on the total number of bills.</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</si>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</sst>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0"/>
    <numFmt numFmtId="168" formatCode="0_);\(0\)"/>
    <numFmt numFmtId="169" formatCode="#,##0.0000_);\(#,##0.0000\)"/>
    <numFmt numFmtId="170" formatCode="#,##0.0_);\(#,##0.0\)"/>
    <numFmt numFmtId="171" formatCode="0.00000"/>
    <numFmt numFmtId="172" formatCode="&quot;$&quot;#,##0"/>
    <numFmt numFmtId="173" formatCode="_(* #,##0.0000_);_(* \(#,##0.0000\);_(* &quot;-&quot;????_);_(@_)"/>
    <numFmt numFmtId="174" formatCode="0.0%"/>
    <numFmt numFmtId="175" formatCode="0.000"/>
    <numFmt numFmtId="176" formatCode="_(* #,##0_);_(* \(#,##0\);_(* &quot;-&quot;??_);_(@_)"/>
    <numFmt numFmtId="177" formatCode="_(* #,##0.0_);_(* \(#,##0.0\);_(* &quot;-&quot;??_);_(@_)"/>
    <numFmt numFmtId="178" formatCode="#,##0;[Red]\-#,##0"/>
    <numFmt numFmtId="179" formatCode="_(&quot;$&quot;* #,##0_);_(&quot;$&quot;* \(#,##0\);_(&quot;$&quot;* &quot;-&quot;??_);_(@_)"/>
    <numFmt numFmtId="180" formatCode="_(&quot;$&quot;* #,##0.00_);_(&quot;$&quot;* \(#,##0.00\);_(&quot;$&quot;* &quot;-&quot;_);_(@_)"/>
    <numFmt numFmtId="181" formatCode="#,##0.0;[Red]\-#,##0.0"/>
    <numFmt numFmtId="182" formatCode="_(* #,##0.0000_);_(* \(#,##0.0000\);_(* &quot;-&quot;??_);_(@_)"/>
    <numFmt numFmtId="183" formatCode="_(* #,##0.00000_);_(* \(#,##0.00000\);_(* &quot;-&quot;??_);_(@_)"/>
    <numFmt numFmtId="184" formatCode="_(* #,##0.00000_);_(* \(#,##0.00000\);_(* &quot;-&quot;????_);_(@_)"/>
    <numFmt numFmtId="185" formatCode="#,##0.00000_);\(#,##0.00000\)"/>
  </numFmts>
  <fonts count="30" x14ac:knownFonts="1">
    <font>
      <sz val="12"/>
      <name val="Arial"/>
    </font>
    <font>
      <sz val="10"/>
      <name val="Arial"/>
      <family val="2"/>
    </font>
    <font>
      <sz val="10"/>
      <color indexed="8"/>
      <name val="Arial"/>
      <family val="2"/>
    </font>
    <font>
      <sz val="12"/>
      <name val="Arial"/>
      <family val="2"/>
    </font>
    <font>
      <sz val="10"/>
      <color indexed="12"/>
      <name val="Arial"/>
      <family val="2"/>
    </font>
    <font>
      <sz val="10"/>
      <color indexed="10"/>
      <name val="Arial"/>
      <family val="2"/>
    </font>
    <font>
      <sz val="10"/>
      <name val="Arial"/>
      <family val="2"/>
    </font>
    <font>
      <u/>
      <sz val="10"/>
      <name val="Arial"/>
      <family val="2"/>
    </font>
    <font>
      <sz val="12"/>
      <name val="Arial"/>
      <family val="2"/>
    </font>
    <font>
      <sz val="9"/>
      <name val="Arial"/>
      <family val="2"/>
    </font>
    <font>
      <b/>
      <sz val="10"/>
      <name val="Arial"/>
      <family val="2"/>
    </font>
    <font>
      <sz val="10"/>
      <color indexed="12"/>
      <name val="Arial"/>
      <family val="2"/>
    </font>
    <font>
      <sz val="8"/>
      <name val="Arial"/>
      <family val="2"/>
    </font>
    <font>
      <sz val="11"/>
      <name val="Arial"/>
      <family val="2"/>
    </font>
    <font>
      <b/>
      <sz val="9"/>
      <name val="Arial"/>
      <family val="2"/>
    </font>
    <font>
      <b/>
      <sz val="10"/>
      <color indexed="10"/>
      <name val="Arial"/>
      <family val="2"/>
    </font>
    <font>
      <u/>
      <sz val="12"/>
      <name val="Arial"/>
      <family val="2"/>
    </font>
    <font>
      <sz val="10"/>
      <color indexed="17"/>
      <name val="Arial"/>
      <family val="2"/>
    </font>
    <font>
      <sz val="10"/>
      <color indexed="10"/>
      <name val="Arial"/>
      <family val="2"/>
    </font>
    <font>
      <sz val="9"/>
      <name val="Arial"/>
      <family val="2"/>
    </font>
    <font>
      <sz val="12"/>
      <name val="Arial"/>
      <family val="2"/>
    </font>
    <font>
      <sz val="12"/>
      <color indexed="10"/>
      <name val="Arial"/>
      <family val="2"/>
    </font>
    <font>
      <b/>
      <sz val="12"/>
      <color indexed="10"/>
      <name val="Arial"/>
      <family val="2"/>
    </font>
    <font>
      <sz val="9"/>
      <color indexed="10"/>
      <name val="Arial"/>
      <family val="2"/>
    </font>
    <font>
      <sz val="12"/>
      <name val="Times New Roman"/>
      <family val="1"/>
    </font>
    <font>
      <sz val="8"/>
      <color indexed="10"/>
      <name val="Arial"/>
      <family val="2"/>
    </font>
    <font>
      <b/>
      <sz val="12"/>
      <name val="Arial"/>
      <family val="2"/>
    </font>
    <font>
      <sz val="10"/>
      <color rgb="FFFF0000"/>
      <name val="Arial"/>
      <family val="2"/>
    </font>
    <font>
      <sz val="12"/>
      <color rgb="FFFF0000"/>
      <name val="Arial"/>
      <family val="2"/>
    </font>
    <font>
      <sz val="12"/>
      <color rgb="FFFF0000"/>
      <name val="Times New Roman"/>
      <family val="1"/>
    </font>
  </fonts>
  <fills count="2">
    <fill>
      <patternFill patternType="none"/>
    </fill>
    <fill>
      <patternFill patternType="gray125"/>
    </fill>
  </fills>
  <borders count="7">
    <border>
      <left/>
      <right/>
      <top/>
      <bottom/>
      <diagonal/>
    </border>
    <border>
      <left/>
      <right/>
      <top style="thin">
        <color indexed="8"/>
      </top>
      <bottom/>
      <diagonal/>
    </border>
    <border>
      <left/>
      <right/>
      <top style="double">
        <color indexed="8"/>
      </top>
      <bottom/>
      <diagonal/>
    </border>
    <border>
      <left/>
      <right/>
      <top/>
      <bottom style="thin">
        <color indexed="64"/>
      </bottom>
      <diagonal/>
    </border>
    <border>
      <left/>
      <right/>
      <top/>
      <bottom style="double">
        <color indexed="64"/>
      </bottom>
      <diagonal/>
    </border>
    <border>
      <left/>
      <right/>
      <top/>
      <bottom style="thin">
        <color indexed="8"/>
      </bottom>
      <diagonal/>
    </border>
    <border>
      <left/>
      <right/>
      <top style="thin">
        <color indexed="64"/>
      </top>
      <bottom/>
      <diagonal/>
    </border>
  </borders>
  <cellStyleXfs count="13">
    <xf numFmtId="164" fontId="0" fillId="0" borderId="0"/>
    <xf numFmtId="43" fontId="13"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8" fontId="3" fillId="0" borderId="0"/>
    <xf numFmtId="0" fontId="3" fillId="0" borderId="0"/>
    <xf numFmtId="9" fontId="1" fillId="0" borderId="0" applyFont="0" applyFill="0" applyBorder="0" applyAlignment="0" applyProtection="0"/>
  </cellStyleXfs>
  <cellXfs count="649">
    <xf numFmtId="0" fontId="1" fillId="0" borderId="0" xfId="0" applyNumberFormat="1" applyFont="1" applyAlignment="1" applyProtection="1">
      <protection locked="0"/>
    </xf>
    <xf numFmtId="0" fontId="1" fillId="0" borderId="0" xfId="0" applyNumberFormat="1" applyFont="1" applyAlignment="1">
      <alignment horizontal="centerContinuous"/>
    </xf>
    <xf numFmtId="0" fontId="1" fillId="0" borderId="0" xfId="0" applyNumberFormat="1" applyFont="1" applyAlignment="1"/>
    <xf numFmtId="0" fontId="1" fillId="0" borderId="1" xfId="0" applyNumberFormat="1" applyFont="1" applyBorder="1" applyAlignment="1">
      <alignment horizontal="centerContinuous"/>
    </xf>
    <xf numFmtId="164" fontId="1" fillId="0" borderId="0" xfId="0" applyFont="1" applyAlignment="1"/>
    <xf numFmtId="3" fontId="1" fillId="0" borderId="1" xfId="0" applyNumberFormat="1" applyFont="1" applyBorder="1" applyAlignment="1"/>
    <xf numFmtId="165" fontId="1" fillId="0" borderId="1" xfId="0" applyNumberFormat="1" applyFont="1" applyBorder="1" applyAlignment="1"/>
    <xf numFmtId="3" fontId="1" fillId="0" borderId="2" xfId="0" applyNumberFormat="1" applyFont="1" applyBorder="1" applyAlignment="1"/>
    <xf numFmtId="165" fontId="1" fillId="0" borderId="2" xfId="0" applyNumberFormat="1" applyFont="1" applyBorder="1" applyAlignment="1"/>
    <xf numFmtId="3" fontId="1" fillId="0" borderId="0" xfId="0" applyNumberFormat="1" applyFont="1" applyAlignment="1"/>
    <xf numFmtId="0" fontId="1" fillId="0" borderId="1" xfId="0" applyNumberFormat="1" applyFont="1" applyBorder="1" applyAlignment="1">
      <alignment horizontal="center"/>
    </xf>
    <xf numFmtId="0" fontId="1" fillId="0" borderId="0" xfId="0" applyNumberFormat="1" applyFont="1" applyAlignment="1">
      <alignment horizontal="center"/>
    </xf>
    <xf numFmtId="0" fontId="1" fillId="0" borderId="1" xfId="0" applyNumberFormat="1" applyFont="1" applyBorder="1" applyAlignment="1"/>
    <xf numFmtId="165" fontId="1" fillId="0" borderId="0" xfId="0" applyNumberFormat="1" applyFont="1" applyAlignment="1"/>
    <xf numFmtId="0" fontId="0" fillId="0" borderId="2" xfId="0" applyNumberFormat="1" applyBorder="1"/>
    <xf numFmtId="0" fontId="0" fillId="0" borderId="0" xfId="0" applyNumberFormat="1" applyProtection="1">
      <protection locked="0"/>
    </xf>
    <xf numFmtId="0" fontId="3" fillId="0" borderId="0" xfId="6" applyNumberFormat="1" applyFont="1" applyAlignment="1">
      <alignment horizontal="centerContinuous"/>
    </xf>
    <xf numFmtId="0" fontId="1" fillId="0" borderId="0" xfId="6" applyNumberFormat="1" applyFont="1" applyAlignment="1">
      <alignment horizontal="centerContinuous"/>
    </xf>
    <xf numFmtId="0" fontId="3" fillId="0" borderId="0" xfId="6" applyAlignment="1"/>
    <xf numFmtId="0" fontId="1" fillId="0" borderId="0" xfId="6" applyNumberFormat="1" applyFont="1" applyAlignment="1"/>
    <xf numFmtId="0" fontId="1" fillId="0" borderId="0" xfId="6" applyNumberFormat="1" applyFont="1" applyAlignment="1">
      <alignment horizontal="center"/>
    </xf>
    <xf numFmtId="0" fontId="1" fillId="0" borderId="1" xfId="6" applyNumberFormat="1" applyFont="1" applyBorder="1" applyAlignment="1">
      <alignment horizontal="center"/>
    </xf>
    <xf numFmtId="0" fontId="3" fillId="0" borderId="1" xfId="6" applyNumberFormat="1" applyFont="1" applyBorder="1" applyAlignment="1">
      <alignment horizontal="center"/>
    </xf>
    <xf numFmtId="0" fontId="3" fillId="0" borderId="0" xfId="6" applyNumberFormat="1" applyFont="1" applyAlignment="1">
      <alignment horizontal="center"/>
    </xf>
    <xf numFmtId="0" fontId="1" fillId="0" borderId="1" xfId="6" applyNumberFormat="1" applyFont="1" applyBorder="1" applyAlignment="1">
      <alignment horizontal="centerContinuous"/>
    </xf>
    <xf numFmtId="2" fontId="1" fillId="0" borderId="0" xfId="6" applyNumberFormat="1" applyFont="1" applyAlignment="1"/>
    <xf numFmtId="164" fontId="2" fillId="0" borderId="0" xfId="6" applyNumberFormat="1" applyFont="1" applyAlignment="1"/>
    <xf numFmtId="164" fontId="1" fillId="0" borderId="0" xfId="6" applyNumberFormat="1" applyFont="1" applyAlignment="1"/>
    <xf numFmtId="166" fontId="1" fillId="0" borderId="0" xfId="6" applyNumberFormat="1" applyFont="1" applyAlignment="1"/>
    <xf numFmtId="164" fontId="1" fillId="0" borderId="1" xfId="6" applyNumberFormat="1" applyFont="1" applyBorder="1" applyAlignment="1"/>
    <xf numFmtId="3" fontId="1" fillId="0" borderId="2" xfId="6" applyNumberFormat="1" applyFont="1" applyBorder="1" applyAlignment="1"/>
    <xf numFmtId="164" fontId="1" fillId="0" borderId="2" xfId="6" applyNumberFormat="1" applyFont="1" applyBorder="1" applyAlignment="1"/>
    <xf numFmtId="3" fontId="1" fillId="0" borderId="0" xfId="6" applyNumberFormat="1" applyFont="1" applyAlignment="1"/>
    <xf numFmtId="0" fontId="1" fillId="0" borderId="1" xfId="6" applyNumberFormat="1" applyFont="1" applyBorder="1" applyAlignment="1"/>
    <xf numFmtId="2" fontId="1" fillId="0" borderId="1" xfId="6" applyNumberFormat="1" applyFont="1" applyBorder="1" applyAlignment="1"/>
    <xf numFmtId="0" fontId="1" fillId="0" borderId="2" xfId="6" applyNumberFormat="1" applyFont="1" applyBorder="1" applyAlignment="1"/>
    <xf numFmtId="0" fontId="3" fillId="0" borderId="0" xfId="0" applyNumberFormat="1" applyFont="1" applyAlignment="1">
      <alignment horizontal="centerContinuous"/>
    </xf>
    <xf numFmtId="0" fontId="3" fillId="0" borderId="0" xfId="0" applyNumberFormat="1" applyFont="1" applyAlignment="1" applyProtection="1">
      <protection locked="0"/>
    </xf>
    <xf numFmtId="167" fontId="1" fillId="0" borderId="0" xfId="0" applyNumberFormat="1" applyFont="1" applyAlignment="1"/>
    <xf numFmtId="167" fontId="1" fillId="0" borderId="1" xfId="0" applyNumberFormat="1" applyFont="1" applyBorder="1" applyAlignment="1"/>
    <xf numFmtId="167" fontId="1" fillId="0" borderId="2" xfId="0" applyNumberFormat="1" applyFont="1" applyBorder="1" applyAlignment="1"/>
    <xf numFmtId="0" fontId="1" fillId="0" borderId="0" xfId="0" applyNumberFormat="1" applyFont="1" applyAlignment="1">
      <alignment horizontal="right"/>
    </xf>
    <xf numFmtId="164" fontId="1" fillId="0" borderId="1" xfId="0" applyFont="1" applyBorder="1" applyAlignment="1"/>
    <xf numFmtId="164" fontId="1" fillId="0" borderId="2" xfId="0" applyFont="1" applyBorder="1" applyAlignment="1"/>
    <xf numFmtId="0" fontId="3" fillId="0" borderId="0" xfId="7" applyNumberFormat="1" applyFont="1" applyAlignment="1">
      <alignment horizontal="centerContinuous"/>
    </xf>
    <xf numFmtId="0" fontId="1" fillId="0" borderId="0" xfId="7" applyNumberFormat="1" applyFont="1" applyAlignment="1">
      <alignment horizontal="centerContinuous"/>
    </xf>
    <xf numFmtId="0" fontId="1" fillId="0" borderId="0" xfId="7" applyFont="1" applyAlignment="1"/>
    <xf numFmtId="0" fontId="1" fillId="0" borderId="0" xfId="7" applyNumberFormat="1" applyFont="1" applyAlignment="1"/>
    <xf numFmtId="0" fontId="1" fillId="0" borderId="0" xfId="7" applyNumberFormat="1" applyFont="1" applyAlignment="1">
      <alignment horizontal="center"/>
    </xf>
    <xf numFmtId="0" fontId="1" fillId="0" borderId="1" xfId="7" applyNumberFormat="1" applyFont="1" applyBorder="1" applyAlignment="1"/>
    <xf numFmtId="2" fontId="1" fillId="0" borderId="0" xfId="7" applyNumberFormat="1" applyFont="1" applyAlignment="1"/>
    <xf numFmtId="3" fontId="1" fillId="0" borderId="0" xfId="7" applyNumberFormat="1" applyFont="1" applyAlignment="1"/>
    <xf numFmtId="164" fontId="1" fillId="0" borderId="0" xfId="7" applyNumberFormat="1" applyFont="1" applyAlignment="1"/>
    <xf numFmtId="2" fontId="1" fillId="0" borderId="1" xfId="7" applyNumberFormat="1" applyFont="1" applyBorder="1" applyAlignment="1"/>
    <xf numFmtId="3" fontId="1" fillId="0" borderId="1" xfId="7" applyNumberFormat="1" applyFont="1" applyBorder="1" applyAlignment="1"/>
    <xf numFmtId="164" fontId="1" fillId="0" borderId="1" xfId="7" applyNumberFormat="1" applyFont="1" applyBorder="1" applyAlignment="1"/>
    <xf numFmtId="0" fontId="1" fillId="0" borderId="2" xfId="7" applyNumberFormat="1" applyFont="1" applyBorder="1" applyAlignment="1"/>
    <xf numFmtId="165" fontId="1" fillId="0" borderId="0" xfId="7" applyNumberFormat="1" applyFont="1" applyAlignment="1"/>
    <xf numFmtId="164" fontId="1" fillId="0" borderId="2" xfId="7" applyNumberFormat="1" applyFont="1" applyBorder="1" applyAlignment="1"/>
    <xf numFmtId="0" fontId="1" fillId="0" borderId="1" xfId="7" applyNumberFormat="1" applyFont="1" applyBorder="1" applyAlignment="1">
      <alignment horizontal="center"/>
    </xf>
    <xf numFmtId="0" fontId="1" fillId="0" borderId="1" xfId="7" applyNumberFormat="1" applyFont="1" applyBorder="1" applyAlignment="1">
      <alignment horizontal="centerContinuous"/>
    </xf>
    <xf numFmtId="165" fontId="1" fillId="0" borderId="1" xfId="7" applyNumberFormat="1" applyFont="1" applyBorder="1" applyAlignment="1"/>
    <xf numFmtId="165" fontId="1" fillId="0" borderId="2" xfId="7" applyNumberFormat="1" applyFont="1" applyBorder="1" applyAlignment="1"/>
    <xf numFmtId="0" fontId="3" fillId="0" borderId="0" xfId="3" applyNumberFormat="1" applyFont="1" applyAlignment="1">
      <alignment horizontal="centerContinuous"/>
    </xf>
    <xf numFmtId="0" fontId="1" fillId="0" borderId="0" xfId="3" applyNumberFormat="1" applyFont="1" applyAlignment="1">
      <alignment horizontal="centerContinuous"/>
    </xf>
    <xf numFmtId="0" fontId="1" fillId="0" borderId="0" xfId="3" applyNumberFormat="1" applyFont="1" applyAlignment="1"/>
    <xf numFmtId="0" fontId="3" fillId="0" borderId="0" xfId="3" applyAlignment="1"/>
    <xf numFmtId="0" fontId="1" fillId="0" borderId="1" xfId="3" applyNumberFormat="1" applyFont="1" applyBorder="1" applyAlignment="1">
      <alignment horizontal="center"/>
    </xf>
    <xf numFmtId="0" fontId="1" fillId="0" borderId="0" xfId="3" applyNumberFormat="1" applyFont="1" applyAlignment="1">
      <alignment horizontal="center"/>
    </xf>
    <xf numFmtId="0" fontId="1" fillId="0" borderId="1" xfId="3" applyNumberFormat="1" applyFont="1" applyBorder="1" applyAlignment="1">
      <alignment horizontal="centerContinuous"/>
    </xf>
    <xf numFmtId="0" fontId="1" fillId="0" borderId="1" xfId="3" applyNumberFormat="1" applyFont="1" applyBorder="1" applyAlignment="1"/>
    <xf numFmtId="164" fontId="1" fillId="0" borderId="0" xfId="3" applyNumberFormat="1" applyFont="1" applyAlignment="1"/>
    <xf numFmtId="164" fontId="2" fillId="0" borderId="0" xfId="3" applyNumberFormat="1" applyFont="1" applyAlignment="1"/>
    <xf numFmtId="164" fontId="2" fillId="0" borderId="0" xfId="3" applyNumberFormat="1" applyFont="1" applyAlignment="1" applyProtection="1">
      <protection locked="0"/>
    </xf>
    <xf numFmtId="164" fontId="1" fillId="0" borderId="1" xfId="3" applyNumberFormat="1" applyFont="1" applyBorder="1" applyAlignment="1"/>
    <xf numFmtId="164" fontId="1" fillId="0" borderId="2" xfId="3" applyNumberFormat="1" applyFont="1" applyBorder="1" applyAlignment="1"/>
    <xf numFmtId="0" fontId="3" fillId="0" borderId="0" xfId="3" applyNumberFormat="1" applyFont="1" applyAlignment="1"/>
    <xf numFmtId="0" fontId="1" fillId="0" borderId="0" xfId="8" applyNumberFormat="1" applyFont="1" applyAlignment="1">
      <alignment horizontal="centerContinuous"/>
    </xf>
    <xf numFmtId="0" fontId="1" fillId="0" borderId="0" xfId="8" applyNumberFormat="1" applyFont="1" applyAlignment="1"/>
    <xf numFmtId="0" fontId="1" fillId="0" borderId="0" xfId="8" applyNumberFormat="1" applyFont="1" applyAlignment="1">
      <alignment horizontal="center"/>
    </xf>
    <xf numFmtId="164" fontId="1" fillId="0" borderId="0" xfId="8" applyNumberFormat="1" applyFont="1" applyAlignment="1"/>
    <xf numFmtId="164" fontId="1" fillId="0" borderId="0" xfId="8" applyNumberFormat="1" applyFont="1" applyAlignment="1">
      <alignment horizontal="center"/>
    </xf>
    <xf numFmtId="0" fontId="1" fillId="0" borderId="1" xfId="8" applyNumberFormat="1" applyFont="1" applyBorder="1" applyAlignment="1"/>
    <xf numFmtId="2" fontId="1" fillId="0" borderId="0" xfId="8" applyNumberFormat="1" applyFont="1" applyAlignment="1"/>
    <xf numFmtId="2" fontId="1" fillId="0" borderId="1" xfId="8" applyNumberFormat="1" applyFont="1" applyBorder="1" applyAlignment="1"/>
    <xf numFmtId="0" fontId="1" fillId="0" borderId="2" xfId="8" applyNumberFormat="1" applyFont="1" applyBorder="1" applyAlignment="1"/>
    <xf numFmtId="0" fontId="3" fillId="0" borderId="0" xfId="4" applyNumberFormat="1" applyFont="1" applyAlignment="1">
      <alignment horizontal="centerContinuous"/>
    </xf>
    <xf numFmtId="0" fontId="1" fillId="0" borderId="0" xfId="4" applyNumberFormat="1" applyFont="1" applyAlignment="1">
      <alignment horizontal="centerContinuous"/>
    </xf>
    <xf numFmtId="0" fontId="1" fillId="0" borderId="0" xfId="4" applyNumberFormat="1" applyFont="1" applyAlignment="1"/>
    <xf numFmtId="0" fontId="1" fillId="0" borderId="1" xfId="4" applyNumberFormat="1" applyFont="1" applyBorder="1" applyAlignment="1">
      <alignment horizontal="center"/>
    </xf>
    <xf numFmtId="0" fontId="1" fillId="0" borderId="0" xfId="4" applyNumberFormat="1" applyFont="1" applyAlignment="1">
      <alignment horizontal="center"/>
    </xf>
    <xf numFmtId="0" fontId="1" fillId="0" borderId="1" xfId="4" applyNumberFormat="1" applyFont="1" applyBorder="1" applyAlignment="1">
      <alignment horizontal="centerContinuous"/>
    </xf>
    <xf numFmtId="0" fontId="1" fillId="0" borderId="1" xfId="4" applyNumberFormat="1" applyFont="1" applyBorder="1" applyAlignment="1">
      <alignment horizontal="left"/>
    </xf>
    <xf numFmtId="167" fontId="1" fillId="0" borderId="0" xfId="4" applyNumberFormat="1" applyFont="1" applyAlignment="1"/>
    <xf numFmtId="0" fontId="1" fillId="0" borderId="0" xfId="4" applyNumberFormat="1" applyFont="1" applyAlignment="1">
      <alignment horizontal="right"/>
    </xf>
    <xf numFmtId="167" fontId="1" fillId="0" borderId="1" xfId="4" applyNumberFormat="1" applyFont="1" applyBorder="1" applyAlignment="1"/>
    <xf numFmtId="0" fontId="1" fillId="0" borderId="2" xfId="4" applyNumberFormat="1" applyFont="1" applyBorder="1" applyAlignment="1"/>
    <xf numFmtId="0" fontId="1" fillId="0" borderId="1" xfId="4" applyNumberFormat="1" applyFont="1" applyBorder="1" applyAlignment="1"/>
    <xf numFmtId="0" fontId="3" fillId="0" borderId="1" xfId="4" applyNumberFormat="1" applyFont="1" applyBorder="1" applyAlignment="1">
      <alignment horizontal="centerContinuous"/>
    </xf>
    <xf numFmtId="0" fontId="3" fillId="0" borderId="0" xfId="5" applyNumberFormat="1" applyFont="1" applyAlignment="1">
      <alignment horizontal="centerContinuous"/>
    </xf>
    <xf numFmtId="0" fontId="1" fillId="0" borderId="0" xfId="5" applyNumberFormat="1" applyFont="1" applyAlignment="1">
      <alignment horizontal="centerContinuous"/>
    </xf>
    <xf numFmtId="0" fontId="3" fillId="0" borderId="0" xfId="5" applyAlignment="1"/>
    <xf numFmtId="0" fontId="1" fillId="0" borderId="0" xfId="5" applyNumberFormat="1" applyFont="1" applyAlignment="1"/>
    <xf numFmtId="0" fontId="1" fillId="0" borderId="0" xfId="5" applyNumberFormat="1" applyFont="1" applyAlignment="1">
      <alignment horizontal="center"/>
    </xf>
    <xf numFmtId="0" fontId="1" fillId="0" borderId="1" xfId="5" applyNumberFormat="1" applyFont="1" applyBorder="1" applyAlignment="1">
      <alignment horizontal="centerContinuous"/>
    </xf>
    <xf numFmtId="0" fontId="3" fillId="0" borderId="1" xfId="5" applyNumberFormat="1" applyFont="1" applyBorder="1" applyAlignment="1">
      <alignment horizontal="centerContinuous"/>
    </xf>
    <xf numFmtId="0" fontId="1" fillId="0" borderId="1" xfId="5" applyNumberFormat="1" applyFont="1" applyBorder="1" applyAlignment="1">
      <alignment horizontal="center"/>
    </xf>
    <xf numFmtId="3" fontId="1" fillId="0" borderId="0" xfId="5" applyNumberFormat="1" applyFont="1" applyAlignment="1"/>
    <xf numFmtId="164" fontId="1" fillId="0" borderId="0" xfId="5" applyNumberFormat="1" applyFont="1" applyAlignment="1"/>
    <xf numFmtId="3" fontId="1" fillId="0" borderId="1" xfId="5" applyNumberFormat="1" applyFont="1" applyBorder="1" applyAlignment="1"/>
    <xf numFmtId="3" fontId="1" fillId="0" borderId="2" xfId="5" applyNumberFormat="1" applyFont="1" applyBorder="1" applyAlignment="1"/>
    <xf numFmtId="165" fontId="1" fillId="0" borderId="0" xfId="5" applyNumberFormat="1" applyFont="1" applyAlignment="1"/>
    <xf numFmtId="0" fontId="3" fillId="0" borderId="0" xfId="5"/>
    <xf numFmtId="3" fontId="1" fillId="0" borderId="0" xfId="5" applyNumberFormat="1" applyFont="1" applyAlignment="1">
      <alignment horizontal="center"/>
    </xf>
    <xf numFmtId="4" fontId="1" fillId="0" borderId="0" xfId="5" applyNumberFormat="1" applyFont="1" applyAlignment="1"/>
    <xf numFmtId="10" fontId="1" fillId="0" borderId="0" xfId="5" applyNumberFormat="1" applyFont="1" applyAlignment="1"/>
    <xf numFmtId="10" fontId="1" fillId="0" borderId="0" xfId="5" applyNumberFormat="1" applyFont="1" applyAlignment="1" applyProtection="1">
      <protection locked="0"/>
    </xf>
    <xf numFmtId="0" fontId="3" fillId="0" borderId="0" xfId="5" applyNumberFormat="1" applyFont="1" applyAlignment="1"/>
    <xf numFmtId="3" fontId="1" fillId="0" borderId="1" xfId="5" applyNumberFormat="1" applyFont="1" applyBorder="1" applyAlignment="1">
      <alignment horizontal="center"/>
    </xf>
    <xf numFmtId="0" fontId="3" fillId="0" borderId="0" xfId="5" applyNumberFormat="1" applyProtection="1">
      <protection locked="0"/>
    </xf>
    <xf numFmtId="0" fontId="1" fillId="0" borderId="1" xfId="5" applyNumberFormat="1" applyFont="1" applyBorder="1" applyAlignment="1"/>
    <xf numFmtId="0" fontId="3" fillId="0" borderId="0" xfId="0" applyNumberFormat="1" applyFont="1" applyAlignment="1">
      <alignment horizontal="centerContinuous" vertical="top" wrapText="1"/>
    </xf>
    <xf numFmtId="3" fontId="1" fillId="0" borderId="0" xfId="0" applyNumberFormat="1" applyFont="1" applyAlignment="1">
      <alignment horizontal="center"/>
    </xf>
    <xf numFmtId="0" fontId="1" fillId="0" borderId="0" xfId="0" applyNumberFormat="1" applyFont="1" applyAlignment="1">
      <alignment horizontal="left"/>
    </xf>
    <xf numFmtId="0" fontId="3" fillId="0" borderId="1" xfId="0" applyNumberFormat="1" applyFont="1" applyBorder="1" applyAlignment="1">
      <alignment horizontal="centerContinuous"/>
    </xf>
    <xf numFmtId="164" fontId="1" fillId="0" borderId="0" xfId="0" applyNumberFormat="1" applyFont="1" applyAlignment="1"/>
    <xf numFmtId="0" fontId="5" fillId="0" borderId="0" xfId="0" applyNumberFormat="1" applyFont="1" applyAlignment="1"/>
    <xf numFmtId="0" fontId="6" fillId="0" borderId="0" xfId="0" applyNumberFormat="1" applyFont="1" applyAlignment="1" applyProtection="1">
      <protection locked="0"/>
    </xf>
    <xf numFmtId="3" fontId="1" fillId="0" borderId="1" xfId="0" quotePrefix="1" applyNumberFormat="1" applyFont="1" applyBorder="1" applyAlignment="1">
      <alignment horizontal="center"/>
    </xf>
    <xf numFmtId="0" fontId="6" fillId="0" borderId="0" xfId="0" applyNumberFormat="1" applyFont="1" applyAlignment="1" applyProtection="1">
      <alignment horizontal="center"/>
      <protection locked="0"/>
    </xf>
    <xf numFmtId="164" fontId="9" fillId="0" borderId="0" xfId="0" applyFont="1"/>
    <xf numFmtId="164" fontId="6" fillId="0" borderId="0" xfId="0" applyFont="1"/>
    <xf numFmtId="0" fontId="9" fillId="0" borderId="0" xfId="0" applyNumberFormat="1" applyFont="1" applyAlignment="1" applyProtection="1">
      <protection locked="0"/>
    </xf>
    <xf numFmtId="0" fontId="8" fillId="0" borderId="0" xfId="0" applyNumberFormat="1" applyFont="1" applyAlignment="1" applyProtection="1">
      <protection locked="0"/>
    </xf>
    <xf numFmtId="164" fontId="6" fillId="0" borderId="0" xfId="0" applyFont="1" applyAlignment="1">
      <alignment horizontal="center"/>
    </xf>
    <xf numFmtId="164" fontId="9" fillId="0" borderId="0" xfId="0" applyFont="1" applyAlignment="1">
      <alignment horizontal="center"/>
    </xf>
    <xf numFmtId="0" fontId="1" fillId="0" borderId="0" xfId="0" applyNumberFormat="1" applyFont="1" applyAlignment="1" applyProtection="1">
      <alignment horizontal="center"/>
      <protection locked="0"/>
    </xf>
    <xf numFmtId="164" fontId="6" fillId="0" borderId="3" xfId="0" applyFont="1" applyBorder="1" applyAlignment="1">
      <alignment horizontal="center"/>
    </xf>
    <xf numFmtId="37" fontId="6" fillId="0" borderId="0" xfId="0" applyNumberFormat="1" applyFont="1"/>
    <xf numFmtId="37" fontId="6" fillId="0" borderId="3" xfId="0" applyNumberFormat="1" applyFont="1" applyBorder="1"/>
    <xf numFmtId="168" fontId="6" fillId="0" borderId="0" xfId="0" applyNumberFormat="1" applyFont="1" applyBorder="1" applyAlignment="1">
      <alignment horizontal="center"/>
    </xf>
    <xf numFmtId="168" fontId="9" fillId="0" borderId="0" xfId="0" applyNumberFormat="1" applyFont="1" applyAlignment="1">
      <alignment horizontal="center"/>
    </xf>
    <xf numFmtId="168" fontId="6" fillId="0" borderId="0" xfId="0" applyNumberFormat="1" applyFont="1" applyAlignment="1">
      <alignment horizontal="center"/>
    </xf>
    <xf numFmtId="168" fontId="6" fillId="0" borderId="0" xfId="0" applyNumberFormat="1" applyFont="1" applyAlignment="1" applyProtection="1">
      <alignment horizontal="center"/>
      <protection locked="0"/>
    </xf>
    <xf numFmtId="168" fontId="1" fillId="0" borderId="0" xfId="0" applyNumberFormat="1" applyFont="1" applyAlignment="1" applyProtection="1">
      <alignment horizontal="center"/>
      <protection locked="0"/>
    </xf>
    <xf numFmtId="168" fontId="6" fillId="0" borderId="3" xfId="0" applyNumberFormat="1" applyFont="1" applyBorder="1" applyAlignment="1">
      <alignment horizontal="center"/>
    </xf>
    <xf numFmtId="37" fontId="6" fillId="0" borderId="0" xfId="0" applyNumberFormat="1" applyFont="1" applyAlignment="1" applyProtection="1">
      <protection locked="0"/>
    </xf>
    <xf numFmtId="37" fontId="6" fillId="0" borderId="0" xfId="0" applyNumberFormat="1" applyFont="1" applyAlignment="1">
      <alignment horizontal="center"/>
    </xf>
    <xf numFmtId="37" fontId="6" fillId="0" borderId="0" xfId="0" applyNumberFormat="1" applyFont="1" applyAlignment="1" applyProtection="1">
      <alignment horizontal="center"/>
      <protection locked="0"/>
    </xf>
    <xf numFmtId="37" fontId="6" fillId="0" borderId="3" xfId="0" applyNumberFormat="1" applyFont="1" applyBorder="1" applyAlignment="1" applyProtection="1">
      <alignment horizontal="center"/>
      <protection locked="0"/>
    </xf>
    <xf numFmtId="37" fontId="6" fillId="0" borderId="3" xfId="0" applyNumberFormat="1" applyFont="1" applyBorder="1" applyAlignment="1">
      <alignment horizontal="center"/>
    </xf>
    <xf numFmtId="37" fontId="1" fillId="0" borderId="0" xfId="0" applyNumberFormat="1" applyFont="1" applyAlignment="1" applyProtection="1">
      <protection locked="0"/>
    </xf>
    <xf numFmtId="37" fontId="6" fillId="0" borderId="0" xfId="0" applyNumberFormat="1" applyFont="1" applyBorder="1"/>
    <xf numFmtId="0" fontId="1" fillId="0" borderId="0" xfId="0" applyNumberFormat="1" applyFont="1" applyBorder="1" applyAlignment="1" applyProtection="1">
      <protection locked="0"/>
    </xf>
    <xf numFmtId="37" fontId="1" fillId="0" borderId="0" xfId="0" applyNumberFormat="1" applyFont="1" applyAlignment="1" applyProtection="1">
      <alignment horizontal="center"/>
      <protection locked="0"/>
    </xf>
    <xf numFmtId="165" fontId="1" fillId="0" borderId="0" xfId="0" applyNumberFormat="1" applyFont="1" applyBorder="1" applyAlignment="1"/>
    <xf numFmtId="164" fontId="1" fillId="0" borderId="4" xfId="0" applyFont="1" applyBorder="1" applyAlignment="1"/>
    <xf numFmtId="3" fontId="1" fillId="0" borderId="4" xfId="0" applyNumberFormat="1" applyFont="1" applyBorder="1" applyAlignment="1"/>
    <xf numFmtId="164" fontId="1" fillId="0" borderId="4" xfId="0" applyNumberFormat="1" applyFont="1" applyBorder="1" applyAlignment="1"/>
    <xf numFmtId="0" fontId="1" fillId="0" borderId="0" xfId="0" applyNumberFormat="1" applyFont="1" applyAlignment="1" applyProtection="1">
      <alignment horizontal="right"/>
      <protection locked="0"/>
    </xf>
    <xf numFmtId="3" fontId="1" fillId="0" borderId="0" xfId="0" applyNumberFormat="1" applyFont="1" applyBorder="1" applyAlignment="1"/>
    <xf numFmtId="164" fontId="1" fillId="0" borderId="0" xfId="0" applyNumberFormat="1" applyFont="1" applyAlignment="1" applyProtection="1">
      <alignment horizontal="right"/>
      <protection locked="0"/>
    </xf>
    <xf numFmtId="37" fontId="1" fillId="0" borderId="0" xfId="0" applyNumberFormat="1" applyFont="1" applyAlignment="1" applyProtection="1">
      <alignment horizontal="right"/>
      <protection locked="0"/>
    </xf>
    <xf numFmtId="37" fontId="1" fillId="0" borderId="1" xfId="0" applyNumberFormat="1" applyFont="1" applyBorder="1" applyAlignment="1"/>
    <xf numFmtId="37" fontId="1" fillId="0" borderId="0" xfId="6" applyNumberFormat="1" applyFont="1" applyAlignment="1"/>
    <xf numFmtId="37" fontId="1" fillId="0" borderId="1" xfId="6" applyNumberFormat="1" applyFont="1" applyBorder="1" applyAlignment="1"/>
    <xf numFmtId="164" fontId="1" fillId="0" borderId="0" xfId="0" applyFont="1" applyBorder="1" applyAlignment="1"/>
    <xf numFmtId="164" fontId="6" fillId="0" borderId="0" xfId="0" applyFont="1" applyAlignment="1"/>
    <xf numFmtId="37" fontId="1" fillId="0" borderId="1" xfId="7" applyNumberFormat="1" applyFont="1" applyBorder="1" applyAlignment="1"/>
    <xf numFmtId="0" fontId="1" fillId="0" borderId="0" xfId="7" applyNumberFormat="1" applyFont="1" applyBorder="1" applyAlignment="1"/>
    <xf numFmtId="164" fontId="1" fillId="0" borderId="4" xfId="7" applyNumberFormat="1" applyFont="1" applyBorder="1" applyAlignment="1"/>
    <xf numFmtId="166" fontId="1" fillId="0" borderId="0" xfId="7" applyNumberFormat="1" applyFont="1" applyAlignment="1"/>
    <xf numFmtId="165" fontId="6" fillId="0" borderId="0" xfId="11" applyNumberFormat="1" applyFont="1" applyAlignment="1"/>
    <xf numFmtId="37" fontId="1" fillId="0" borderId="4" xfId="0" applyNumberFormat="1" applyFont="1" applyBorder="1" applyAlignment="1"/>
    <xf numFmtId="0" fontId="3" fillId="0" borderId="0" xfId="4" applyFont="1" applyAlignment="1"/>
    <xf numFmtId="0" fontId="1" fillId="0" borderId="0" xfId="4" applyNumberFormat="1" applyFont="1" applyBorder="1" applyAlignment="1"/>
    <xf numFmtId="167" fontId="1" fillId="0" borderId="4" xfId="4" applyNumberFormat="1" applyFont="1" applyBorder="1" applyAlignment="1"/>
    <xf numFmtId="165" fontId="1" fillId="0" borderId="0" xfId="5" applyNumberFormat="1" applyFont="1" applyBorder="1" applyAlignment="1"/>
    <xf numFmtId="164" fontId="1" fillId="0" borderId="4" xfId="5" applyNumberFormat="1" applyFont="1" applyBorder="1" applyAlignment="1"/>
    <xf numFmtId="0" fontId="0" fillId="0" borderId="0" xfId="0" applyNumberFormat="1" applyBorder="1"/>
    <xf numFmtId="164" fontId="8" fillId="0" borderId="0" xfId="0" applyFont="1" applyAlignment="1">
      <alignment horizontal="center"/>
    </xf>
    <xf numFmtId="170" fontId="1" fillId="0" borderId="0" xfId="0" applyNumberFormat="1" applyFont="1" applyAlignment="1"/>
    <xf numFmtId="170" fontId="1" fillId="0" borderId="0" xfId="7" applyNumberFormat="1" applyFont="1" applyAlignment="1"/>
    <xf numFmtId="170" fontId="1" fillId="0" borderId="0" xfId="0" applyNumberFormat="1" applyFont="1" applyAlignment="1" applyProtection="1">
      <protection locked="0"/>
    </xf>
    <xf numFmtId="0" fontId="1" fillId="0" borderId="3" xfId="7" applyNumberFormat="1" applyFont="1" applyBorder="1" applyAlignment="1"/>
    <xf numFmtId="3" fontId="1" fillId="0" borderId="4" xfId="7" applyNumberFormat="1" applyFont="1" applyBorder="1" applyAlignment="1"/>
    <xf numFmtId="0" fontId="0" fillId="0" borderId="0" xfId="0" applyNumberFormat="1" applyAlignment="1">
      <alignment horizontal="centerContinuous"/>
    </xf>
    <xf numFmtId="0" fontId="6" fillId="0" borderId="0" xfId="11" applyNumberFormat="1" applyFont="1" applyAlignment="1">
      <alignment horizontal="centerContinuous"/>
    </xf>
    <xf numFmtId="0" fontId="6" fillId="0" borderId="0" xfId="11" applyFont="1" applyAlignment="1"/>
    <xf numFmtId="0" fontId="6" fillId="0" borderId="0" xfId="11" applyNumberFormat="1" applyFont="1" applyAlignment="1"/>
    <xf numFmtId="0" fontId="6" fillId="0" borderId="0" xfId="11" applyNumberFormat="1" applyFont="1" applyAlignment="1">
      <alignment horizontal="center"/>
    </xf>
    <xf numFmtId="0" fontId="6" fillId="0" borderId="1" xfId="11" applyNumberFormat="1" applyFont="1" applyBorder="1" applyAlignment="1">
      <alignment horizontal="centerContinuous"/>
    </xf>
    <xf numFmtId="0" fontId="6" fillId="0" borderId="1" xfId="11" applyNumberFormat="1" applyFont="1" applyBorder="1" applyAlignment="1">
      <alignment horizontal="center"/>
    </xf>
    <xf numFmtId="0" fontId="7" fillId="0" borderId="0" xfId="11" applyNumberFormat="1" applyFont="1" applyAlignment="1"/>
    <xf numFmtId="0" fontId="6" fillId="0" borderId="1" xfId="11" applyNumberFormat="1" applyFont="1" applyBorder="1" applyAlignment="1"/>
    <xf numFmtId="3" fontId="6" fillId="0" borderId="0" xfId="11" applyNumberFormat="1" applyFont="1" applyAlignment="1"/>
    <xf numFmtId="0" fontId="6" fillId="0" borderId="0" xfId="11" applyNumberFormat="1" applyFont="1" applyAlignment="1">
      <alignment horizontal="right"/>
    </xf>
    <xf numFmtId="3" fontId="6" fillId="0" borderId="1" xfId="11" applyNumberFormat="1" applyFont="1" applyBorder="1" applyAlignment="1"/>
    <xf numFmtId="164" fontId="6" fillId="0" borderId="0" xfId="11" applyNumberFormat="1" applyFont="1" applyAlignment="1"/>
    <xf numFmtId="0" fontId="6" fillId="0" borderId="3" xfId="11" applyNumberFormat="1" applyFont="1" applyBorder="1" applyAlignment="1">
      <alignment horizontal="center"/>
    </xf>
    <xf numFmtId="0" fontId="6" fillId="0" borderId="0" xfId="11" applyNumberFormat="1" applyFont="1" applyBorder="1" applyAlignment="1">
      <alignment horizontal="center"/>
    </xf>
    <xf numFmtId="0" fontId="6" fillId="0" borderId="0" xfId="11" applyNumberFormat="1" applyFont="1" applyBorder="1" applyAlignment="1"/>
    <xf numFmtId="37" fontId="1" fillId="0" borderId="0" xfId="6" applyNumberFormat="1" applyFont="1" applyBorder="1" applyAlignment="1"/>
    <xf numFmtId="37" fontId="1" fillId="0" borderId="4" xfId="6" applyNumberFormat="1" applyFont="1" applyBorder="1" applyAlignment="1"/>
    <xf numFmtId="0" fontId="1" fillId="0" borderId="0" xfId="8" applyNumberFormat="1" applyFont="1" applyBorder="1" applyAlignment="1"/>
    <xf numFmtId="164" fontId="1" fillId="0" borderId="4" xfId="8" applyNumberFormat="1" applyFont="1" applyBorder="1" applyAlignment="1"/>
    <xf numFmtId="2" fontId="1" fillId="0" borderId="4" xfId="7" applyNumberFormat="1" applyFont="1" applyBorder="1" applyAlignment="1"/>
    <xf numFmtId="2" fontId="1" fillId="0" borderId="0" xfId="6" applyNumberFormat="1" applyFont="1" applyBorder="1" applyAlignment="1"/>
    <xf numFmtId="2" fontId="1" fillId="0" borderId="4" xfId="6" applyNumberFormat="1" applyFont="1" applyBorder="1" applyAlignment="1"/>
    <xf numFmtId="164" fontId="9" fillId="0" borderId="0" xfId="0" applyFont="1" applyBorder="1"/>
    <xf numFmtId="164" fontId="6" fillId="0" borderId="0" xfId="0" applyFont="1" applyBorder="1"/>
    <xf numFmtId="37" fontId="6" fillId="0" borderId="0" xfId="0" applyNumberFormat="1" applyFont="1" applyBorder="1" applyAlignment="1" applyProtection="1">
      <protection locked="0"/>
    </xf>
    <xf numFmtId="42" fontId="6" fillId="0" borderId="0" xfId="0" applyNumberFormat="1" applyFont="1" applyBorder="1"/>
    <xf numFmtId="42" fontId="6" fillId="0" borderId="0" xfId="0" applyNumberFormat="1" applyFont="1"/>
    <xf numFmtId="42" fontId="6" fillId="0" borderId="0" xfId="0" applyNumberFormat="1" applyFont="1" applyAlignment="1" applyProtection="1">
      <protection locked="0"/>
    </xf>
    <xf numFmtId="42" fontId="6" fillId="0" borderId="4" xfId="0" applyNumberFormat="1" applyFont="1" applyBorder="1" applyAlignment="1" applyProtection="1">
      <protection locked="0"/>
    </xf>
    <xf numFmtId="49" fontId="6" fillId="0" borderId="0" xfId="0" applyNumberFormat="1" applyFont="1"/>
    <xf numFmtId="4" fontId="6" fillId="0" borderId="0" xfId="11" applyNumberFormat="1" applyFont="1" applyAlignment="1"/>
    <xf numFmtId="170" fontId="1" fillId="0" borderId="0" xfId="3" applyNumberFormat="1" applyFont="1" applyAlignment="1"/>
    <xf numFmtId="170" fontId="1" fillId="0" borderId="1" xfId="3" applyNumberFormat="1" applyFont="1" applyBorder="1" applyAlignment="1"/>
    <xf numFmtId="37" fontId="1" fillId="0" borderId="0" xfId="3" applyNumberFormat="1" applyFont="1" applyBorder="1" applyAlignment="1"/>
    <xf numFmtId="170" fontId="1" fillId="0" borderId="4" xfId="3" applyNumberFormat="1" applyFont="1" applyBorder="1" applyAlignment="1"/>
    <xf numFmtId="42" fontId="1" fillId="0" borderId="0" xfId="0" applyNumberFormat="1" applyFont="1" applyAlignment="1" applyProtection="1">
      <protection locked="0"/>
    </xf>
    <xf numFmtId="37" fontId="6" fillId="0" borderId="3" xfId="0" applyNumberFormat="1" applyFont="1" applyBorder="1" applyAlignment="1" applyProtection="1">
      <protection locked="0"/>
    </xf>
    <xf numFmtId="172" fontId="1" fillId="0" borderId="0" xfId="0" applyNumberFormat="1" applyFont="1" applyAlignment="1"/>
    <xf numFmtId="172" fontId="1" fillId="0" borderId="4" xfId="0" applyNumberFormat="1" applyFont="1" applyBorder="1" applyAlignment="1"/>
    <xf numFmtId="3" fontId="6" fillId="0" borderId="4" xfId="11" applyNumberFormat="1" applyFont="1" applyBorder="1" applyAlignment="1"/>
    <xf numFmtId="167" fontId="6" fillId="0" borderId="4" xfId="11" applyNumberFormat="1" applyFont="1" applyBorder="1" applyAlignment="1"/>
    <xf numFmtId="0" fontId="8" fillId="0" borderId="0" xfId="11" applyNumberFormat="1" applyFont="1" applyAlignment="1">
      <alignment horizontal="centerContinuous"/>
    </xf>
    <xf numFmtId="3" fontId="6" fillId="0" borderId="3" xfId="11" applyNumberFormat="1" applyFont="1" applyBorder="1" applyAlignment="1"/>
    <xf numFmtId="176" fontId="6" fillId="0" borderId="0" xfId="1" applyNumberFormat="1" applyFont="1"/>
    <xf numFmtId="176" fontId="1" fillId="0" borderId="0" xfId="1" applyNumberFormat="1" applyFont="1" applyAlignment="1" applyProtection="1">
      <protection locked="0"/>
    </xf>
    <xf numFmtId="176" fontId="10" fillId="0" borderId="0" xfId="1" applyNumberFormat="1" applyFont="1"/>
    <xf numFmtId="164" fontId="10" fillId="0" borderId="0" xfId="0" applyFont="1"/>
    <xf numFmtId="1" fontId="1" fillId="0" borderId="0" xfId="7" applyNumberFormat="1" applyFont="1" applyAlignment="1"/>
    <xf numFmtId="0" fontId="3" fillId="0" borderId="0" xfId="7" applyFont="1" applyAlignment="1"/>
    <xf numFmtId="3" fontId="1" fillId="0" borderId="0" xfId="8" applyNumberFormat="1" applyFont="1" applyAlignment="1">
      <alignment horizontal="left"/>
    </xf>
    <xf numFmtId="164" fontId="1" fillId="0" borderId="0" xfId="0" applyFont="1"/>
    <xf numFmtId="164" fontId="6" fillId="0" borderId="0" xfId="0" applyFont="1" applyFill="1" applyBorder="1"/>
    <xf numFmtId="49" fontId="10" fillId="0" borderId="0" xfId="0" applyNumberFormat="1" applyFont="1" applyAlignment="1" applyProtection="1">
      <protection locked="0"/>
    </xf>
    <xf numFmtId="164" fontId="14" fillId="0" borderId="0" xfId="0" applyFont="1"/>
    <xf numFmtId="0" fontId="10" fillId="0" borderId="0" xfId="0" applyNumberFormat="1" applyFont="1" applyAlignment="1" applyProtection="1">
      <protection locked="0"/>
    </xf>
    <xf numFmtId="3" fontId="1" fillId="0" borderId="3" xfId="8" applyNumberFormat="1" applyFont="1" applyBorder="1" applyAlignment="1"/>
    <xf numFmtId="0" fontId="9" fillId="0" borderId="0" xfId="0" applyNumberFormat="1" applyFont="1" applyAlignment="1" applyProtection="1">
      <alignment horizontal="right"/>
      <protection locked="0"/>
    </xf>
    <xf numFmtId="169" fontId="6" fillId="0" borderId="0" xfId="0" applyNumberFormat="1" applyFont="1" applyAlignment="1" applyProtection="1">
      <protection locked="0"/>
    </xf>
    <xf numFmtId="0" fontId="5" fillId="0" borderId="0" xfId="0" applyNumberFormat="1" applyFont="1" applyAlignment="1" applyProtection="1">
      <protection locked="0"/>
    </xf>
    <xf numFmtId="170" fontId="15" fillId="0" borderId="0" xfId="0" applyNumberFormat="1" applyFont="1" applyAlignment="1" applyProtection="1">
      <alignment horizontal="left"/>
      <protection locked="0"/>
    </xf>
    <xf numFmtId="0" fontId="5" fillId="0" borderId="0" xfId="0" applyNumberFormat="1" applyFont="1" applyAlignment="1" applyProtection="1">
      <alignment horizontal="center"/>
      <protection locked="0"/>
    </xf>
    <xf numFmtId="37" fontId="5" fillId="0" borderId="0" xfId="0" applyNumberFormat="1" applyFont="1" applyAlignment="1" applyProtection="1">
      <alignment horizontal="center"/>
      <protection locked="0"/>
    </xf>
    <xf numFmtId="37" fontId="5" fillId="0" borderId="3" xfId="0" applyNumberFormat="1" applyFont="1" applyBorder="1" applyAlignment="1" applyProtection="1">
      <alignment horizontal="center"/>
      <protection locked="0"/>
    </xf>
    <xf numFmtId="0" fontId="5" fillId="0" borderId="3" xfId="0" applyNumberFormat="1" applyFont="1" applyBorder="1" applyAlignment="1" applyProtection="1">
      <alignment horizontal="center"/>
      <protection locked="0"/>
    </xf>
    <xf numFmtId="0" fontId="5" fillId="0" borderId="0" xfId="0" applyNumberFormat="1" applyFont="1" applyBorder="1" applyAlignment="1" applyProtection="1">
      <alignment horizontal="center"/>
      <protection locked="0"/>
    </xf>
    <xf numFmtId="37" fontId="5" fillId="0" borderId="0" xfId="0" applyNumberFormat="1" applyFont="1" applyAlignment="1" applyProtection="1">
      <protection locked="0"/>
    </xf>
    <xf numFmtId="164" fontId="5" fillId="0" borderId="0" xfId="0" applyNumberFormat="1" applyFont="1" applyAlignment="1" applyProtection="1">
      <alignment horizontal="right"/>
      <protection locked="0"/>
    </xf>
    <xf numFmtId="164" fontId="5" fillId="0" borderId="0" xfId="0" applyNumberFormat="1" applyFont="1" applyAlignment="1" applyProtection="1">
      <protection locked="0"/>
    </xf>
    <xf numFmtId="173" fontId="5" fillId="0" borderId="0" xfId="0" applyNumberFormat="1" applyFont="1" applyAlignment="1" applyProtection="1">
      <alignment horizontal="right"/>
      <protection locked="0"/>
    </xf>
    <xf numFmtId="173" fontId="5" fillId="0" borderId="0" xfId="0" applyNumberFormat="1" applyFont="1" applyAlignment="1" applyProtection="1">
      <protection locked="0"/>
    </xf>
    <xf numFmtId="41" fontId="1" fillId="0" borderId="0" xfId="0" applyNumberFormat="1" applyFont="1" applyAlignment="1"/>
    <xf numFmtId="41" fontId="1" fillId="0" borderId="1" xfId="0" applyNumberFormat="1" applyFont="1" applyBorder="1" applyAlignment="1"/>
    <xf numFmtId="41" fontId="1" fillId="0" borderId="4" xfId="0" applyNumberFormat="1" applyFont="1" applyBorder="1" applyAlignment="1"/>
    <xf numFmtId="42" fontId="1" fillId="0" borderId="0" xfId="0" applyNumberFormat="1" applyFont="1" applyAlignment="1"/>
    <xf numFmtId="169" fontId="11" fillId="0" borderId="0" xfId="0" applyNumberFormat="1" applyFont="1" applyAlignment="1" applyProtection="1">
      <protection locked="0"/>
    </xf>
    <xf numFmtId="0" fontId="11" fillId="0" borderId="0" xfId="0" applyNumberFormat="1" applyFont="1" applyAlignment="1" applyProtection="1">
      <protection locked="0"/>
    </xf>
    <xf numFmtId="0" fontId="14" fillId="0" borderId="0" xfId="0" applyNumberFormat="1" applyFont="1" applyAlignment="1" applyProtection="1">
      <protection locked="0"/>
    </xf>
    <xf numFmtId="174" fontId="8" fillId="0" borderId="0" xfId="12" applyNumberFormat="1" applyFont="1" applyAlignment="1"/>
    <xf numFmtId="178" fontId="8" fillId="0" borderId="0" xfId="10" applyFont="1" applyAlignment="1">
      <alignment horizontal="center"/>
    </xf>
    <xf numFmtId="178" fontId="8" fillId="0" borderId="0" xfId="10" applyFont="1" applyAlignment="1"/>
    <xf numFmtId="178" fontId="6" fillId="0" borderId="0" xfId="10" applyFont="1" applyAlignment="1"/>
    <xf numFmtId="178" fontId="16" fillId="0" borderId="0" xfId="10" applyNumberFormat="1" applyFont="1" applyAlignment="1"/>
    <xf numFmtId="178" fontId="8" fillId="0" borderId="3" xfId="10" applyFont="1" applyBorder="1" applyAlignment="1">
      <alignment horizontal="center"/>
    </xf>
    <xf numFmtId="41" fontId="8" fillId="0" borderId="0" xfId="10" quotePrefix="1" applyNumberFormat="1" applyFont="1" applyAlignment="1">
      <alignment horizontal="center"/>
    </xf>
    <xf numFmtId="41" fontId="8" fillId="0" borderId="0" xfId="10" applyNumberFormat="1" applyFont="1" applyAlignment="1"/>
    <xf numFmtId="179" fontId="8" fillId="0" borderId="0" xfId="2" applyNumberFormat="1" applyFont="1" applyAlignment="1"/>
    <xf numFmtId="174" fontId="8" fillId="0" borderId="3" xfId="12" applyNumberFormat="1" applyFont="1" applyBorder="1" applyAlignment="1"/>
    <xf numFmtId="41" fontId="8" fillId="0" borderId="3" xfId="10" applyNumberFormat="1" applyFont="1" applyBorder="1" applyAlignment="1"/>
    <xf numFmtId="174" fontId="8" fillId="0" borderId="4" xfId="12" applyNumberFormat="1" applyFont="1" applyBorder="1" applyAlignment="1"/>
    <xf numFmtId="178" fontId="8" fillId="0" borderId="0" xfId="10" applyFont="1"/>
    <xf numFmtId="178" fontId="6" fillId="0" borderId="0" xfId="10" applyFont="1"/>
    <xf numFmtId="42" fontId="8" fillId="0" borderId="4" xfId="10" applyNumberFormat="1" applyFont="1" applyBorder="1" applyAlignment="1"/>
    <xf numFmtId="168" fontId="1" fillId="0" borderId="0" xfId="0" applyNumberFormat="1" applyFont="1" applyAlignment="1" applyProtection="1">
      <protection locked="0"/>
    </xf>
    <xf numFmtId="167" fontId="3" fillId="0" borderId="0" xfId="4" applyNumberFormat="1" applyFont="1" applyAlignment="1"/>
    <xf numFmtId="173" fontId="17" fillId="0" borderId="0" xfId="0" applyNumberFormat="1" applyFont="1" applyAlignment="1" applyProtection="1">
      <protection locked="0"/>
    </xf>
    <xf numFmtId="0" fontId="17" fillId="0" borderId="0" xfId="0" applyNumberFormat="1" applyFont="1" applyAlignment="1" applyProtection="1">
      <protection locked="0"/>
    </xf>
    <xf numFmtId="0" fontId="17" fillId="0" borderId="0" xfId="0" applyNumberFormat="1" applyFont="1" applyAlignment="1" applyProtection="1">
      <alignment horizontal="center"/>
      <protection locked="0"/>
    </xf>
    <xf numFmtId="3" fontId="1" fillId="0" borderId="0" xfId="0" applyNumberFormat="1" applyFont="1" applyAlignment="1" applyProtection="1">
      <protection locked="0"/>
    </xf>
    <xf numFmtId="2" fontId="1" fillId="0" borderId="0" xfId="0" applyNumberFormat="1" applyFont="1" applyAlignment="1" applyProtection="1">
      <protection locked="0"/>
    </xf>
    <xf numFmtId="2" fontId="4" fillId="0" borderId="0" xfId="0" applyNumberFormat="1" applyFont="1" applyAlignment="1" applyProtection="1">
      <protection locked="0"/>
    </xf>
    <xf numFmtId="176" fontId="3" fillId="0" borderId="0" xfId="1" applyNumberFormat="1" applyFont="1" applyAlignment="1" applyProtection="1">
      <protection locked="0"/>
    </xf>
    <xf numFmtId="42" fontId="3" fillId="0" borderId="0" xfId="0" applyNumberFormat="1" applyFont="1" applyAlignment="1" applyProtection="1">
      <protection locked="0"/>
    </xf>
    <xf numFmtId="176" fontId="1" fillId="0" borderId="0" xfId="1" applyNumberFormat="1" applyFont="1" applyAlignment="1"/>
    <xf numFmtId="37" fontId="3" fillId="0" borderId="0" xfId="6" applyNumberFormat="1" applyAlignment="1"/>
    <xf numFmtId="3" fontId="3" fillId="0" borderId="0" xfId="6" applyNumberFormat="1" applyAlignment="1"/>
    <xf numFmtId="164" fontId="3" fillId="0" borderId="0" xfId="6" applyNumberFormat="1" applyAlignment="1"/>
    <xf numFmtId="176" fontId="8" fillId="0" borderId="0" xfId="1" applyNumberFormat="1" applyFont="1" applyAlignment="1"/>
    <xf numFmtId="174" fontId="3" fillId="0" borderId="0" xfId="12" applyNumberFormat="1" applyFont="1" applyAlignment="1" applyProtection="1">
      <protection locked="0"/>
    </xf>
    <xf numFmtId="180" fontId="6" fillId="0" borderId="0" xfId="0" applyNumberFormat="1" applyFont="1" applyBorder="1"/>
    <xf numFmtId="176" fontId="6" fillId="0" borderId="0" xfId="1" applyNumberFormat="1" applyFont="1" applyBorder="1"/>
    <xf numFmtId="0" fontId="3" fillId="0" borderId="0" xfId="0" applyNumberFormat="1" applyFont="1" applyAlignment="1" applyProtection="1">
      <alignment horizontal="center"/>
      <protection locked="0"/>
    </xf>
    <xf numFmtId="170" fontId="1" fillId="0" borderId="4" xfId="7" applyNumberFormat="1" applyFont="1" applyBorder="1" applyAlignment="1"/>
    <xf numFmtId="178" fontId="3" fillId="0" borderId="0" xfId="10" applyFont="1" applyAlignment="1">
      <alignment horizontal="center"/>
    </xf>
    <xf numFmtId="0" fontId="3" fillId="0" borderId="3" xfId="0" applyNumberFormat="1" applyFont="1" applyBorder="1" applyAlignment="1" applyProtection="1">
      <alignment horizontal="center"/>
      <protection locked="0"/>
    </xf>
    <xf numFmtId="0" fontId="3" fillId="0" borderId="0" xfId="0" quotePrefix="1" applyNumberFormat="1" applyFont="1" applyAlignment="1" applyProtection="1">
      <alignment horizontal="center"/>
      <protection locked="0"/>
    </xf>
    <xf numFmtId="178" fontId="3" fillId="0" borderId="0" xfId="10" quotePrefix="1" applyFont="1" applyAlignment="1">
      <alignment horizontal="center"/>
    </xf>
    <xf numFmtId="178" fontId="3" fillId="0" borderId="0" xfId="10" applyFont="1" applyAlignment="1"/>
    <xf numFmtId="175" fontId="3" fillId="0" borderId="0" xfId="0" applyNumberFormat="1" applyFont="1" applyAlignment="1" applyProtection="1">
      <protection locked="0"/>
    </xf>
    <xf numFmtId="0" fontId="6" fillId="0" borderId="0" xfId="0" applyNumberFormat="1" applyFont="1" applyBorder="1" applyAlignment="1" applyProtection="1">
      <protection locked="0"/>
    </xf>
    <xf numFmtId="37" fontId="5" fillId="0" borderId="0" xfId="0" applyNumberFormat="1" applyFont="1" applyAlignment="1" applyProtection="1">
      <alignment horizontal="right"/>
      <protection locked="0"/>
    </xf>
    <xf numFmtId="164" fontId="19" fillId="0" borderId="0" xfId="0" applyFont="1"/>
    <xf numFmtId="168" fontId="1" fillId="0" borderId="0" xfId="0" applyNumberFormat="1" applyFont="1" applyAlignment="1">
      <alignment horizontal="center"/>
    </xf>
    <xf numFmtId="37" fontId="1" fillId="0" borderId="0" xfId="0" applyNumberFormat="1" applyFont="1"/>
    <xf numFmtId="0" fontId="19" fillId="0" borderId="0" xfId="0" applyNumberFormat="1" applyFont="1" applyAlignment="1" applyProtection="1">
      <protection locked="0"/>
    </xf>
    <xf numFmtId="37" fontId="18" fillId="0" borderId="0" xfId="0" applyNumberFormat="1" applyFont="1" applyAlignment="1" applyProtection="1">
      <alignment horizontal="right"/>
      <protection locked="0"/>
    </xf>
    <xf numFmtId="0" fontId="18" fillId="0" borderId="0" xfId="0" applyNumberFormat="1" applyFont="1" applyAlignment="1" applyProtection="1">
      <alignment horizontal="right"/>
      <protection locked="0"/>
    </xf>
    <xf numFmtId="167" fontId="3" fillId="0" borderId="0" xfId="4" applyNumberFormat="1" applyFont="1"/>
    <xf numFmtId="164" fontId="3" fillId="0" borderId="0" xfId="4" applyNumberFormat="1" applyFont="1" applyAlignment="1"/>
    <xf numFmtId="3" fontId="1" fillId="0" borderId="0" xfId="4" applyNumberFormat="1" applyFont="1" applyAlignment="1"/>
    <xf numFmtId="37" fontId="1" fillId="0" borderId="0" xfId="0" applyNumberFormat="1" applyFont="1" applyBorder="1" applyAlignment="1">
      <alignment horizontal="right" vertical="top"/>
    </xf>
    <xf numFmtId="37" fontId="1" fillId="0" borderId="0" xfId="0" applyNumberFormat="1" applyFont="1" applyAlignment="1"/>
    <xf numFmtId="164" fontId="1" fillId="0" borderId="0" xfId="0" applyNumberFormat="1" applyFont="1" applyAlignment="1" applyProtection="1">
      <protection locked="0"/>
    </xf>
    <xf numFmtId="0" fontId="3" fillId="0" borderId="2" xfId="0" applyNumberFormat="1" applyFont="1" applyBorder="1"/>
    <xf numFmtId="0" fontId="3" fillId="0" borderId="0" xfId="0" applyNumberFormat="1" applyFont="1" applyBorder="1"/>
    <xf numFmtId="0" fontId="3" fillId="0" borderId="0" xfId="0" applyNumberFormat="1" applyFont="1" applyProtection="1">
      <protection locked="0"/>
    </xf>
    <xf numFmtId="164" fontId="1" fillId="0" borderId="0" xfId="7" applyNumberFormat="1" applyFont="1" applyAlignment="1" applyProtection="1">
      <protection locked="0"/>
    </xf>
    <xf numFmtId="0" fontId="6" fillId="0" borderId="0" xfId="9" applyNumberFormat="1" applyFont="1" applyAlignment="1">
      <alignment horizontal="centerContinuous"/>
    </xf>
    <xf numFmtId="0" fontId="8" fillId="0" borderId="0" xfId="9" applyFont="1" applyAlignment="1"/>
    <xf numFmtId="0" fontId="6" fillId="0" borderId="0" xfId="9" applyNumberFormat="1" applyFont="1" applyAlignment="1"/>
    <xf numFmtId="0" fontId="6" fillId="0" borderId="0" xfId="9" applyNumberFormat="1" applyFont="1" applyAlignment="1">
      <alignment horizontal="center"/>
    </xf>
    <xf numFmtId="0" fontId="6" fillId="0" borderId="1" xfId="9" applyNumberFormat="1" applyFont="1" applyBorder="1" applyAlignment="1">
      <alignment horizontal="center"/>
    </xf>
    <xf numFmtId="37" fontId="6" fillId="0" borderId="1" xfId="9" applyNumberFormat="1" applyFont="1" applyBorder="1" applyAlignment="1">
      <alignment horizontal="center"/>
    </xf>
    <xf numFmtId="37" fontId="6" fillId="0" borderId="0" xfId="9" applyNumberFormat="1" applyFont="1" applyAlignment="1">
      <alignment horizontal="center"/>
    </xf>
    <xf numFmtId="3" fontId="6" fillId="0" borderId="0" xfId="9" applyNumberFormat="1" applyFont="1" applyAlignment="1">
      <alignment horizontal="center"/>
    </xf>
    <xf numFmtId="3" fontId="6" fillId="0" borderId="1" xfId="9" applyNumberFormat="1" applyFont="1" applyBorder="1" applyAlignment="1">
      <alignment horizontal="center"/>
    </xf>
    <xf numFmtId="3" fontId="6" fillId="0" borderId="0" xfId="9" applyNumberFormat="1" applyFont="1" applyAlignment="1"/>
    <xf numFmtId="0" fontId="6" fillId="0" borderId="1" xfId="9" applyNumberFormat="1" applyFont="1" applyBorder="1" applyAlignment="1"/>
    <xf numFmtId="3" fontId="6" fillId="0" borderId="4" xfId="9" applyNumberFormat="1" applyFont="1" applyBorder="1" applyAlignment="1"/>
    <xf numFmtId="0" fontId="8" fillId="0" borderId="0" xfId="9" applyFont="1" applyBorder="1" applyAlignment="1"/>
    <xf numFmtId="3" fontId="6" fillId="0" borderId="0" xfId="9" applyNumberFormat="1" applyFont="1" applyBorder="1" applyAlignment="1"/>
    <xf numFmtId="0" fontId="6" fillId="0" borderId="0" xfId="9" applyNumberFormat="1" applyFont="1" applyBorder="1" applyAlignment="1"/>
    <xf numFmtId="0" fontId="8" fillId="0" borderId="0" xfId="9" applyNumberFormat="1" applyFont="1" applyAlignment="1">
      <alignment horizontal="centerContinuous"/>
    </xf>
    <xf numFmtId="49" fontId="6" fillId="0" borderId="0" xfId="9" applyNumberFormat="1" applyFont="1" applyAlignment="1">
      <alignment horizontal="center"/>
    </xf>
    <xf numFmtId="0" fontId="6" fillId="0" borderId="0" xfId="9" applyFont="1" applyAlignment="1"/>
    <xf numFmtId="0" fontId="8" fillId="0" borderId="0" xfId="9" applyFont="1"/>
    <xf numFmtId="0" fontId="8" fillId="0" borderId="0" xfId="0" applyNumberFormat="1" applyFont="1" applyAlignment="1">
      <alignment horizontal="centerContinuous"/>
    </xf>
    <xf numFmtId="3" fontId="6" fillId="0" borderId="0" xfId="0" applyNumberFormat="1" applyFont="1"/>
    <xf numFmtId="167" fontId="1" fillId="0" borderId="0" xfId="0" applyNumberFormat="1" applyFont="1" applyAlignment="1" applyProtection="1">
      <protection locked="0"/>
    </xf>
    <xf numFmtId="0" fontId="3" fillId="0" borderId="0" xfId="0" applyNumberFormat="1" applyFont="1"/>
    <xf numFmtId="0" fontId="20" fillId="0" borderId="0" xfId="0" applyNumberFormat="1" applyFont="1" applyAlignment="1" applyProtection="1">
      <protection locked="0"/>
    </xf>
    <xf numFmtId="3" fontId="3" fillId="0" borderId="0" xfId="0" applyNumberFormat="1" applyFont="1"/>
    <xf numFmtId="0" fontId="3" fillId="0" borderId="0" xfId="8" applyFont="1" applyAlignment="1"/>
    <xf numFmtId="0" fontId="21" fillId="0" borderId="0" xfId="0" applyNumberFormat="1" applyFont="1" applyAlignment="1" applyProtection="1">
      <protection locked="0"/>
    </xf>
    <xf numFmtId="4" fontId="21" fillId="0" borderId="0" xfId="0" applyNumberFormat="1" applyFont="1" applyAlignment="1" applyProtection="1">
      <protection locked="0"/>
    </xf>
    <xf numFmtId="0" fontId="1" fillId="0" borderId="0" xfId="0" applyNumberFormat="1" applyFont="1" applyFill="1" applyAlignment="1" applyProtection="1">
      <protection locked="0"/>
    </xf>
    <xf numFmtId="176" fontId="6" fillId="0" borderId="0" xfId="1" applyNumberFormat="1" applyFont="1" applyFill="1"/>
    <xf numFmtId="0" fontId="6" fillId="0" borderId="0" xfId="0" applyNumberFormat="1" applyFont="1" applyFill="1" applyAlignment="1" applyProtection="1">
      <protection locked="0"/>
    </xf>
    <xf numFmtId="176" fontId="21" fillId="0" borderId="0" xfId="1" applyNumberFormat="1" applyFont="1" applyAlignment="1" applyProtection="1">
      <protection locked="0"/>
    </xf>
    <xf numFmtId="37" fontId="3" fillId="0" borderId="0" xfId="0" applyNumberFormat="1" applyFont="1" applyAlignment="1" applyProtection="1">
      <protection locked="0"/>
    </xf>
    <xf numFmtId="49" fontId="6" fillId="0" borderId="0" xfId="0" applyNumberFormat="1" applyFont="1" applyAlignment="1">
      <alignment horizontal="center"/>
    </xf>
    <xf numFmtId="0" fontId="22" fillId="0" borderId="0" xfId="0" applyNumberFormat="1" applyFont="1" applyAlignment="1" applyProtection="1">
      <protection locked="0"/>
    </xf>
    <xf numFmtId="0" fontId="1" fillId="0" borderId="0" xfId="0" applyNumberFormat="1" applyFont="1" applyAlignment="1" applyProtection="1">
      <alignment horizontal="centerContinuous"/>
      <protection locked="0"/>
    </xf>
    <xf numFmtId="3" fontId="1" fillId="0" borderId="4" xfId="4" applyNumberFormat="1" applyFont="1" applyBorder="1" applyAlignment="1"/>
    <xf numFmtId="0" fontId="21" fillId="0" borderId="0" xfId="4" applyFont="1" applyAlignment="1"/>
    <xf numFmtId="0" fontId="18" fillId="0" borderId="0" xfId="0" applyNumberFormat="1" applyFont="1" applyAlignment="1" applyProtection="1">
      <protection locked="0"/>
    </xf>
    <xf numFmtId="0" fontId="21" fillId="0" borderId="0" xfId="8" applyFont="1" applyAlignment="1"/>
    <xf numFmtId="176" fontId="8" fillId="0" borderId="0" xfId="1" applyNumberFormat="1" applyFont="1" applyAlignment="1" applyProtection="1">
      <protection locked="0"/>
    </xf>
    <xf numFmtId="176" fontId="6" fillId="0" borderId="0" xfId="1" applyNumberFormat="1" applyFont="1" applyAlignment="1" applyProtection="1">
      <alignment horizontal="center"/>
      <protection locked="0"/>
    </xf>
    <xf numFmtId="176" fontId="6" fillId="0" borderId="0" xfId="1" applyNumberFormat="1" applyFont="1" applyAlignment="1" applyProtection="1">
      <protection locked="0"/>
    </xf>
    <xf numFmtId="49" fontId="6" fillId="0" borderId="0" xfId="0" applyNumberFormat="1" applyFont="1" applyAlignment="1" applyProtection="1">
      <protection locked="0"/>
    </xf>
    <xf numFmtId="176" fontId="6" fillId="0" borderId="0" xfId="1" applyNumberFormat="1" applyFont="1" applyBorder="1" applyAlignment="1" applyProtection="1">
      <protection locked="0"/>
    </xf>
    <xf numFmtId="0" fontId="6" fillId="0" borderId="0" xfId="0" applyNumberFormat="1" applyFont="1" applyAlignment="1" applyProtection="1">
      <alignment horizontal="right"/>
      <protection locked="0"/>
    </xf>
    <xf numFmtId="176" fontId="3" fillId="0" borderId="0" xfId="1" applyNumberFormat="1" applyFont="1" applyAlignment="1"/>
    <xf numFmtId="0" fontId="1" fillId="0" borderId="0" xfId="5" applyNumberFormat="1" applyFont="1" applyAlignment="1">
      <alignment horizontal="justify" vertical="top" wrapText="1"/>
    </xf>
    <xf numFmtId="0" fontId="3" fillId="0" borderId="0" xfId="0" applyNumberFormat="1" applyFont="1" applyBorder="1" applyAlignment="1" applyProtection="1">
      <alignment horizontal="center"/>
      <protection locked="0"/>
    </xf>
    <xf numFmtId="43" fontId="3" fillId="0" borderId="0" xfId="1" applyFont="1" applyAlignment="1" applyProtection="1">
      <protection locked="0"/>
    </xf>
    <xf numFmtId="43" fontId="20" fillId="0" borderId="0" xfId="1" applyFont="1" applyAlignment="1" applyProtection="1">
      <protection locked="0"/>
    </xf>
    <xf numFmtId="37" fontId="6" fillId="0" borderId="0" xfId="11" applyNumberFormat="1" applyFont="1" applyAlignment="1"/>
    <xf numFmtId="164" fontId="2" fillId="0" borderId="0" xfId="5" applyNumberFormat="1" applyFont="1" applyBorder="1" applyAlignment="1"/>
    <xf numFmtId="164" fontId="2" fillId="0" borderId="3" xfId="5" applyNumberFormat="1" applyFont="1" applyBorder="1" applyAlignment="1"/>
    <xf numFmtId="0" fontId="3" fillId="0" borderId="0" xfId="5" applyBorder="1" applyAlignment="1"/>
    <xf numFmtId="3" fontId="3" fillId="0" borderId="0" xfId="5" applyNumberFormat="1" applyBorder="1" applyAlignment="1"/>
    <xf numFmtId="164" fontId="1" fillId="0" borderId="0" xfId="5" applyNumberFormat="1" applyFont="1" applyBorder="1" applyAlignment="1"/>
    <xf numFmtId="3" fontId="1" fillId="0" borderId="0" xfId="5" applyNumberFormat="1" applyFont="1" applyBorder="1" applyAlignment="1"/>
    <xf numFmtId="0" fontId="3" fillId="0" borderId="0" xfId="5" applyBorder="1"/>
    <xf numFmtId="3" fontId="1" fillId="0" borderId="4" xfId="5" applyNumberFormat="1" applyFont="1" applyBorder="1" applyAlignment="1"/>
    <xf numFmtId="37" fontId="1" fillId="0" borderId="0" xfId="0" applyNumberFormat="1" applyFont="1" applyAlignment="1">
      <alignment horizontal="left"/>
    </xf>
    <xf numFmtId="179" fontId="8" fillId="0" borderId="0" xfId="2" applyNumberFormat="1" applyFont="1" applyBorder="1" applyAlignment="1"/>
    <xf numFmtId="176" fontId="8" fillId="0" borderId="0" xfId="1" applyNumberFormat="1" applyFont="1" applyBorder="1" applyAlignment="1"/>
    <xf numFmtId="176" fontId="8" fillId="0" borderId="3" xfId="1" applyNumberFormat="1" applyFont="1" applyBorder="1" applyAlignment="1"/>
    <xf numFmtId="44" fontId="1" fillId="0" borderId="0" xfId="2" applyFont="1" applyAlignment="1" applyProtection="1">
      <protection locked="0"/>
    </xf>
    <xf numFmtId="44" fontId="1" fillId="0" borderId="3" xfId="2" applyFont="1" applyBorder="1" applyAlignment="1" applyProtection="1">
      <protection locked="0"/>
    </xf>
    <xf numFmtId="174" fontId="1" fillId="0" borderId="0" xfId="12" applyNumberFormat="1" applyFont="1" applyAlignment="1" applyProtection="1">
      <protection locked="0"/>
    </xf>
    <xf numFmtId="37" fontId="1" fillId="0" borderId="0" xfId="0" applyNumberFormat="1" applyFont="1" applyBorder="1" applyAlignment="1" applyProtection="1">
      <protection locked="0"/>
    </xf>
    <xf numFmtId="164" fontId="19" fillId="0" borderId="0" xfId="0" applyFont="1" applyBorder="1"/>
    <xf numFmtId="168" fontId="1" fillId="0" borderId="0" xfId="0" applyNumberFormat="1" applyFont="1" applyBorder="1" applyAlignment="1">
      <alignment horizontal="center"/>
    </xf>
    <xf numFmtId="164" fontId="1" fillId="0" borderId="0" xfId="0" applyFont="1" applyBorder="1"/>
    <xf numFmtId="37" fontId="1" fillId="0" borderId="0" xfId="0" applyNumberFormat="1" applyFont="1" applyBorder="1"/>
    <xf numFmtId="176" fontId="10" fillId="0" borderId="0" xfId="1" applyNumberFormat="1" applyFont="1" applyBorder="1"/>
    <xf numFmtId="0" fontId="1" fillId="0" borderId="0" xfId="0" applyNumberFormat="1" applyFont="1" applyAlignment="1" applyProtection="1">
      <alignment horizontal="left"/>
      <protection locked="0"/>
    </xf>
    <xf numFmtId="0" fontId="1" fillId="0" borderId="0" xfId="0" applyNumberFormat="1" applyFont="1" applyBorder="1" applyAlignment="1" applyProtection="1">
      <alignment horizontal="center"/>
      <protection locked="0"/>
    </xf>
    <xf numFmtId="0" fontId="6" fillId="0" borderId="0" xfId="0" applyNumberFormat="1" applyFont="1" applyBorder="1" applyAlignment="1" applyProtection="1">
      <alignment horizontal="center"/>
      <protection locked="0"/>
    </xf>
    <xf numFmtId="164" fontId="9" fillId="0" borderId="0" xfId="0" applyFont="1" applyAlignment="1">
      <alignment horizontal="left"/>
    </xf>
    <xf numFmtId="164" fontId="14" fillId="0" borderId="0" xfId="0" applyFont="1" applyAlignment="1">
      <alignment horizontal="left"/>
    </xf>
    <xf numFmtId="164" fontId="10" fillId="0" borderId="0" xfId="0" applyFont="1" applyAlignment="1">
      <alignment horizontal="left"/>
    </xf>
    <xf numFmtId="0" fontId="9" fillId="0" borderId="0" xfId="0" applyNumberFormat="1" applyFont="1" applyAlignment="1" applyProtection="1">
      <alignment horizontal="left"/>
      <protection locked="0"/>
    </xf>
    <xf numFmtId="176" fontId="10" fillId="0" borderId="0" xfId="1" applyNumberFormat="1" applyFont="1" applyBorder="1" applyAlignment="1">
      <alignment horizontal="left"/>
    </xf>
    <xf numFmtId="176" fontId="6" fillId="0" borderId="0" xfId="1" applyNumberFormat="1" applyFont="1" applyBorder="1" applyAlignment="1">
      <alignment horizontal="left"/>
    </xf>
    <xf numFmtId="3" fontId="6" fillId="0" borderId="0" xfId="0" applyNumberFormat="1" applyFont="1" applyBorder="1"/>
    <xf numFmtId="0" fontId="6" fillId="0" borderId="0" xfId="0" applyNumberFormat="1" applyFont="1" applyFill="1" applyAlignment="1"/>
    <xf numFmtId="0" fontId="6" fillId="0" borderId="0" xfId="0" applyNumberFormat="1" applyFont="1" applyFill="1" applyAlignment="1">
      <alignment horizontal="center"/>
    </xf>
    <xf numFmtId="164" fontId="23" fillId="0" borderId="0" xfId="0" applyFont="1"/>
    <xf numFmtId="176" fontId="6" fillId="0" borderId="0" xfId="1" applyNumberFormat="1" applyFont="1" applyAlignment="1">
      <alignment horizontal="center"/>
    </xf>
    <xf numFmtId="176" fontId="6" fillId="0" borderId="3" xfId="1" applyNumberFormat="1" applyFont="1" applyBorder="1" applyAlignment="1">
      <alignment horizontal="center"/>
    </xf>
    <xf numFmtId="176" fontId="1" fillId="0" borderId="0" xfId="1" applyNumberFormat="1" applyFont="1" applyBorder="1" applyAlignment="1" applyProtection="1">
      <alignment horizontal="center"/>
      <protection locked="0"/>
    </xf>
    <xf numFmtId="176" fontId="6" fillId="0" borderId="0" xfId="1" applyNumberFormat="1" applyFont="1" applyFill="1" applyAlignment="1">
      <alignment horizontal="center"/>
    </xf>
    <xf numFmtId="176" fontId="6" fillId="0" borderId="0" xfId="1" applyNumberFormat="1" applyFont="1" applyAlignment="1" applyProtection="1">
      <alignment horizontal="right"/>
      <protection locked="0"/>
    </xf>
    <xf numFmtId="176" fontId="6" fillId="0" borderId="3" xfId="1" applyNumberFormat="1" applyFont="1" applyBorder="1"/>
    <xf numFmtId="0" fontId="3" fillId="0" borderId="0" xfId="0" applyNumberFormat="1" applyFont="1" applyBorder="1" applyAlignment="1" applyProtection="1">
      <protection locked="0"/>
    </xf>
    <xf numFmtId="0" fontId="21" fillId="0" borderId="0" xfId="0" applyNumberFormat="1" applyFont="1" applyBorder="1" applyAlignment="1" applyProtection="1">
      <alignment horizontal="center"/>
      <protection locked="0"/>
    </xf>
    <xf numFmtId="0" fontId="21" fillId="0" borderId="0" xfId="0" applyNumberFormat="1" applyFont="1" applyBorder="1" applyAlignment="1" applyProtection="1">
      <protection locked="0"/>
    </xf>
    <xf numFmtId="0" fontId="20" fillId="0" borderId="0" xfId="0" applyNumberFormat="1" applyFont="1" applyBorder="1" applyAlignment="1" applyProtection="1">
      <protection locked="0"/>
    </xf>
    <xf numFmtId="4" fontId="21" fillId="0" borderId="0" xfId="0" applyNumberFormat="1" applyFont="1" applyBorder="1" applyAlignment="1" applyProtection="1">
      <protection locked="0"/>
    </xf>
    <xf numFmtId="176" fontId="3" fillId="0" borderId="0" xfId="1" applyNumberFormat="1" applyFont="1" applyBorder="1" applyAlignment="1" applyProtection="1">
      <protection locked="0"/>
    </xf>
    <xf numFmtId="176" fontId="21" fillId="0" borderId="0" xfId="1" applyNumberFormat="1" applyFont="1" applyBorder="1" applyAlignment="1" applyProtection="1">
      <protection locked="0"/>
    </xf>
    <xf numFmtId="3" fontId="6" fillId="0" borderId="3" xfId="9" applyNumberFormat="1" applyFont="1" applyBorder="1" applyAlignment="1"/>
    <xf numFmtId="0" fontId="6" fillId="0" borderId="0" xfId="9" applyFont="1" applyBorder="1" applyAlignment="1"/>
    <xf numFmtId="0" fontId="6" fillId="0" borderId="0" xfId="9" applyNumberFormat="1" applyFont="1" applyBorder="1" applyAlignment="1">
      <alignment horizontal="centerContinuous"/>
    </xf>
    <xf numFmtId="0" fontId="6" fillId="0" borderId="0" xfId="9" applyNumberFormat="1" applyFont="1" applyBorder="1" applyAlignment="1">
      <alignment horizontal="center"/>
    </xf>
    <xf numFmtId="0" fontId="6" fillId="0" borderId="0" xfId="9" applyFont="1" applyBorder="1" applyAlignment="1">
      <alignment horizontal="center"/>
    </xf>
    <xf numFmtId="2" fontId="6" fillId="0" borderId="0" xfId="9" applyNumberFormat="1" applyFont="1" applyBorder="1" applyAlignment="1"/>
    <xf numFmtId="4" fontId="6" fillId="0" borderId="0" xfId="9" applyNumberFormat="1" applyFont="1" applyBorder="1" applyAlignment="1"/>
    <xf numFmtId="2" fontId="6" fillId="0" borderId="0" xfId="9" applyNumberFormat="1" applyFont="1" applyBorder="1" applyAlignment="1">
      <alignment horizontal="right"/>
    </xf>
    <xf numFmtId="165" fontId="6" fillId="0" borderId="0" xfId="9" applyNumberFormat="1" applyFont="1" applyBorder="1" applyAlignment="1">
      <alignment horizontal="center"/>
    </xf>
    <xf numFmtId="44" fontId="6" fillId="0" borderId="0" xfId="2" applyFont="1" applyBorder="1" applyAlignment="1"/>
    <xf numFmtId="44" fontId="6" fillId="0" borderId="0" xfId="9" applyNumberFormat="1" applyFont="1" applyBorder="1" applyAlignment="1"/>
    <xf numFmtId="43" fontId="6" fillId="0" borderId="0" xfId="1" applyFont="1" applyBorder="1" applyAlignment="1"/>
    <xf numFmtId="12" fontId="6" fillId="0" borderId="1" xfId="11" applyNumberFormat="1" applyFont="1" applyBorder="1" applyAlignment="1">
      <alignment horizontal="right"/>
    </xf>
    <xf numFmtId="37" fontId="1" fillId="0" borderId="3" xfId="0" applyNumberFormat="1" applyFont="1" applyBorder="1" applyAlignment="1" applyProtection="1">
      <protection locked="0"/>
    </xf>
    <xf numFmtId="177" fontId="24" fillId="0" borderId="0" xfId="1" applyNumberFormat="1" applyFont="1" applyAlignment="1"/>
    <xf numFmtId="177" fontId="3" fillId="0" borderId="0" xfId="4" applyNumberFormat="1" applyFont="1" applyAlignment="1"/>
    <xf numFmtId="177" fontId="13" fillId="0" borderId="0" xfId="4" applyNumberFormat="1" applyFont="1" applyAlignment="1"/>
    <xf numFmtId="43" fontId="24" fillId="0" borderId="0" xfId="1" applyNumberFormat="1" applyFont="1" applyAlignment="1"/>
    <xf numFmtId="43" fontId="24" fillId="0" borderId="0" xfId="4" applyNumberFormat="1" applyFont="1" applyAlignment="1"/>
    <xf numFmtId="43" fontId="3" fillId="0" borderId="0" xfId="1" applyNumberFormat="1" applyFont="1" applyAlignment="1"/>
    <xf numFmtId="0" fontId="3" fillId="0" borderId="0" xfId="4" applyFont="1" applyAlignment="1">
      <alignment horizontal="center"/>
    </xf>
    <xf numFmtId="177" fontId="8" fillId="0" borderId="0" xfId="1" applyNumberFormat="1" applyFont="1" applyAlignment="1" applyProtection="1">
      <alignment horizontal="center"/>
      <protection locked="0"/>
    </xf>
    <xf numFmtId="177" fontId="6" fillId="0" borderId="0" xfId="1" applyNumberFormat="1" applyFont="1" applyAlignment="1" applyProtection="1">
      <alignment horizontal="center"/>
      <protection locked="0"/>
    </xf>
    <xf numFmtId="177" fontId="1" fillId="0" borderId="3" xfId="1" applyNumberFormat="1" applyFont="1" applyBorder="1" applyAlignment="1" applyProtection="1">
      <alignment horizontal="center"/>
      <protection locked="0"/>
    </xf>
    <xf numFmtId="177" fontId="1" fillId="0" borderId="0" xfId="1" applyNumberFormat="1" applyFont="1" applyAlignment="1" applyProtection="1">
      <alignment horizontal="center"/>
      <protection locked="0"/>
    </xf>
    <xf numFmtId="177" fontId="1" fillId="0" borderId="0" xfId="1" applyNumberFormat="1" applyFont="1" applyBorder="1" applyAlignment="1" applyProtection="1">
      <alignment horizontal="center"/>
      <protection locked="0"/>
    </xf>
    <xf numFmtId="177" fontId="18" fillId="0" borderId="0" xfId="1" applyNumberFormat="1" applyFont="1" applyBorder="1" applyAlignment="1" applyProtection="1">
      <alignment horizontal="center"/>
      <protection locked="0"/>
    </xf>
    <xf numFmtId="177" fontId="25" fillId="0" borderId="0" xfId="1" applyNumberFormat="1" applyFont="1" applyBorder="1" applyAlignment="1" applyProtection="1">
      <alignment horizontal="center"/>
      <protection locked="0"/>
    </xf>
    <xf numFmtId="177" fontId="6" fillId="0" borderId="0" xfId="1" applyNumberFormat="1" applyFont="1" applyBorder="1" applyAlignment="1" applyProtection="1">
      <alignment horizontal="center"/>
      <protection locked="0"/>
    </xf>
    <xf numFmtId="177" fontId="6" fillId="0" borderId="0" xfId="1" applyNumberFormat="1" applyFont="1" applyFill="1" applyAlignment="1">
      <alignment horizontal="center"/>
    </xf>
    <xf numFmtId="177" fontId="6" fillId="0" borderId="0" xfId="1" applyNumberFormat="1" applyFont="1" applyAlignment="1" applyProtection="1">
      <protection locked="0"/>
    </xf>
    <xf numFmtId="0" fontId="21" fillId="0" borderId="0" xfId="0" applyNumberFormat="1" applyFont="1" applyBorder="1" applyAlignment="1" applyProtection="1">
      <alignment horizontal="centerContinuous"/>
      <protection locked="0"/>
    </xf>
    <xf numFmtId="14" fontId="3" fillId="0" borderId="0" xfId="0" quotePrefix="1" applyNumberFormat="1" applyFont="1" applyAlignment="1" applyProtection="1">
      <alignment horizontal="center"/>
      <protection locked="0"/>
    </xf>
    <xf numFmtId="14" fontId="3" fillId="0" borderId="0" xfId="0" applyNumberFormat="1" applyFont="1" applyAlignment="1" applyProtection="1">
      <alignment horizontal="center"/>
      <protection locked="0"/>
    </xf>
    <xf numFmtId="166" fontId="3" fillId="0" borderId="0" xfId="0" applyNumberFormat="1" applyFont="1" applyAlignment="1" applyProtection="1">
      <alignment horizontal="right"/>
      <protection locked="0"/>
    </xf>
    <xf numFmtId="166" fontId="3" fillId="0" borderId="0" xfId="0" quotePrefix="1" applyNumberFormat="1" applyFont="1" applyAlignment="1" applyProtection="1">
      <alignment horizontal="right"/>
      <protection locked="0"/>
    </xf>
    <xf numFmtId="181" fontId="3" fillId="0" borderId="0" xfId="10" quotePrefix="1" applyNumberFormat="1" applyFont="1" applyAlignment="1">
      <alignment horizontal="right"/>
    </xf>
    <xf numFmtId="181" fontId="3" fillId="0" borderId="0" xfId="0" applyNumberFormat="1" applyFont="1" applyAlignment="1" applyProtection="1">
      <alignment horizontal="right"/>
      <protection locked="0"/>
    </xf>
    <xf numFmtId="37" fontId="6" fillId="0" borderId="3" xfId="11" applyNumberFormat="1" applyFont="1" applyBorder="1" applyAlignment="1"/>
    <xf numFmtId="176" fontId="9" fillId="0" borderId="0" xfId="1" applyNumberFormat="1" applyFont="1" applyAlignment="1" applyProtection="1">
      <protection locked="0"/>
    </xf>
    <xf numFmtId="43" fontId="1" fillId="0" borderId="0" xfId="0" applyNumberFormat="1" applyFont="1" applyAlignment="1" applyProtection="1">
      <protection locked="0"/>
    </xf>
    <xf numFmtId="166" fontId="6" fillId="0" borderId="0" xfId="0" applyNumberFormat="1" applyFont="1" applyFill="1" applyAlignment="1">
      <alignment horizontal="right"/>
    </xf>
    <xf numFmtId="0" fontId="1" fillId="0" borderId="3" xfId="0" applyNumberFormat="1" applyFont="1" applyBorder="1" applyAlignment="1" applyProtection="1">
      <alignment horizontal="center"/>
      <protection locked="0"/>
    </xf>
    <xf numFmtId="43" fontId="1" fillId="0" borderId="0" xfId="1" applyFont="1" applyAlignment="1" applyProtection="1">
      <protection locked="0"/>
    </xf>
    <xf numFmtId="44" fontId="1" fillId="0" borderId="0" xfId="2" applyFont="1" applyBorder="1" applyAlignment="1" applyProtection="1">
      <protection locked="0"/>
    </xf>
    <xf numFmtId="43" fontId="1" fillId="0" borderId="0" xfId="1" applyNumberFormat="1" applyFont="1" applyAlignment="1" applyProtection="1">
      <protection locked="0"/>
    </xf>
    <xf numFmtId="43" fontId="1" fillId="0" borderId="3" xfId="1" applyFont="1" applyBorder="1" applyAlignment="1" applyProtection="1">
      <protection locked="0"/>
    </xf>
    <xf numFmtId="165" fontId="6" fillId="0" borderId="0" xfId="9" applyNumberFormat="1" applyFont="1" applyAlignment="1"/>
    <xf numFmtId="4" fontId="6" fillId="0" borderId="0" xfId="9" applyNumberFormat="1" applyFont="1" applyAlignment="1"/>
    <xf numFmtId="176" fontId="6" fillId="0" borderId="3" xfId="1" applyNumberFormat="1" applyFont="1" applyBorder="1" applyAlignment="1" applyProtection="1">
      <alignment horizontal="right"/>
      <protection locked="0"/>
    </xf>
    <xf numFmtId="42" fontId="1" fillId="0" borderId="0" xfId="1" applyNumberFormat="1" applyFont="1" applyAlignment="1" applyProtection="1">
      <protection locked="0"/>
    </xf>
    <xf numFmtId="37" fontId="6" fillId="0" borderId="0" xfId="0" applyNumberFormat="1" applyFont="1" applyBorder="1" applyAlignment="1" applyProtection="1">
      <alignment horizontal="center"/>
      <protection locked="0"/>
    </xf>
    <xf numFmtId="37" fontId="1" fillId="0" borderId="0" xfId="0" applyNumberFormat="1" applyFont="1" applyFill="1" applyAlignment="1" applyProtection="1">
      <protection locked="0"/>
    </xf>
    <xf numFmtId="0" fontId="1" fillId="0" borderId="0" xfId="0" applyNumberFormat="1" applyFont="1" applyFill="1" applyBorder="1" applyAlignment="1" applyProtection="1">
      <alignment horizontal="center"/>
      <protection locked="0"/>
    </xf>
    <xf numFmtId="176" fontId="1" fillId="0" borderId="0" xfId="1" applyNumberFormat="1" applyFont="1" applyFill="1" applyAlignment="1" applyProtection="1">
      <protection locked="0"/>
    </xf>
    <xf numFmtId="0" fontId="1" fillId="0" borderId="0" xfId="0" applyNumberFormat="1" applyFont="1" applyBorder="1" applyAlignment="1" applyProtection="1">
      <alignment horizontal="centerContinuous"/>
      <protection locked="0"/>
    </xf>
    <xf numFmtId="172" fontId="1" fillId="0" borderId="0" xfId="0" applyNumberFormat="1" applyFont="1" applyBorder="1" applyAlignment="1"/>
    <xf numFmtId="164" fontId="1" fillId="0" borderId="0" xfId="0" applyNumberFormat="1" applyFont="1" applyBorder="1" applyAlignment="1"/>
    <xf numFmtId="171" fontId="1" fillId="0" borderId="0" xfId="0" applyNumberFormat="1" applyFont="1" applyAlignment="1"/>
    <xf numFmtId="171" fontId="1" fillId="0" borderId="0" xfId="0" applyNumberFormat="1" applyFont="1" applyBorder="1" applyAlignment="1"/>
    <xf numFmtId="171" fontId="1" fillId="0" borderId="3" xfId="0" applyNumberFormat="1" applyFont="1" applyBorder="1" applyAlignment="1"/>
    <xf numFmtId="0" fontId="1" fillId="0" borderId="0" xfId="0" applyNumberFormat="1" applyFont="1" applyFill="1" applyAlignment="1" applyProtection="1">
      <alignment horizontal="center"/>
      <protection locked="0"/>
    </xf>
    <xf numFmtId="176" fontId="1" fillId="0" borderId="0" xfId="0" applyNumberFormat="1" applyFont="1" applyAlignment="1" applyProtection="1">
      <protection locked="0"/>
    </xf>
    <xf numFmtId="9" fontId="1" fillId="0" borderId="0" xfId="12" applyFont="1" applyAlignment="1" applyProtection="1">
      <protection locked="0"/>
    </xf>
    <xf numFmtId="0" fontId="1" fillId="0" borderId="0" xfId="0" applyNumberFormat="1" applyFont="1" applyAlignment="1" applyProtection="1">
      <protection locked="0"/>
    </xf>
    <xf numFmtId="37" fontId="27" fillId="0" borderId="0" xfId="0" applyNumberFormat="1" applyFont="1"/>
    <xf numFmtId="37" fontId="27" fillId="0" borderId="0" xfId="0" applyNumberFormat="1" applyFont="1" applyAlignment="1" applyProtection="1">
      <protection locked="0"/>
    </xf>
    <xf numFmtId="0" fontId="28" fillId="0" borderId="0" xfId="8" applyFont="1" applyAlignment="1"/>
    <xf numFmtId="183" fontId="1" fillId="0" borderId="0" xfId="0" applyNumberFormat="1" applyFont="1" applyAlignment="1" applyProtection="1">
      <protection locked="0"/>
    </xf>
    <xf numFmtId="0" fontId="3" fillId="0" borderId="0" xfId="0" applyNumberFormat="1" applyFont="1" applyAlignment="1" applyProtection="1">
      <alignment horizontal="center"/>
      <protection locked="0"/>
    </xf>
    <xf numFmtId="0" fontId="1" fillId="0" borderId="0" xfId="0" applyNumberFormat="1" applyFont="1" applyAlignment="1" applyProtection="1">
      <protection locked="0"/>
    </xf>
    <xf numFmtId="3" fontId="1" fillId="0" borderId="1" xfId="4" applyNumberFormat="1" applyFont="1" applyBorder="1" applyAlignment="1"/>
    <xf numFmtId="182" fontId="3" fillId="0" borderId="0" xfId="1" applyNumberFormat="1" applyFont="1" applyAlignment="1"/>
    <xf numFmtId="182" fontId="3" fillId="0" borderId="0" xfId="1" applyNumberFormat="1" applyFont="1"/>
    <xf numFmtId="3" fontId="1" fillId="0" borderId="1" xfId="8" applyNumberFormat="1" applyFont="1" applyBorder="1" applyAlignment="1"/>
    <xf numFmtId="176" fontId="3" fillId="0" borderId="0" xfId="8" applyNumberFormat="1" applyFont="1" applyAlignment="1"/>
    <xf numFmtId="176" fontId="1" fillId="0" borderId="0" xfId="1" applyNumberFormat="1" applyFont="1" applyAlignment="1" applyProtection="1">
      <alignment horizontal="center"/>
      <protection locked="0"/>
    </xf>
    <xf numFmtId="177" fontId="1" fillId="0" borderId="0" xfId="1" applyNumberFormat="1" applyFont="1" applyFill="1" applyAlignment="1">
      <alignment horizontal="center"/>
    </xf>
    <xf numFmtId="0" fontId="1" fillId="0" borderId="0" xfId="0" applyNumberFormat="1" applyFont="1" applyFill="1" applyAlignment="1"/>
    <xf numFmtId="176" fontId="1" fillId="0" borderId="0" xfId="1" applyNumberFormat="1" applyFont="1"/>
    <xf numFmtId="0" fontId="1" fillId="0" borderId="0" xfId="0" applyNumberFormat="1" applyFont="1" applyFill="1" applyAlignment="1">
      <alignment horizontal="center"/>
    </xf>
    <xf numFmtId="176" fontId="1" fillId="0" borderId="0" xfId="1" applyNumberFormat="1" applyFont="1" applyAlignment="1">
      <alignment horizontal="center"/>
    </xf>
    <xf numFmtId="176" fontId="6" fillId="0" borderId="0" xfId="1" applyNumberFormat="1" applyFont="1" applyFill="1" applyAlignment="1" applyProtection="1">
      <protection locked="0"/>
    </xf>
    <xf numFmtId="0" fontId="9" fillId="0" borderId="0" xfId="0" applyNumberFormat="1" applyFont="1" applyFill="1" applyAlignment="1" applyProtection="1">
      <protection locked="0"/>
    </xf>
    <xf numFmtId="168" fontId="6" fillId="0" borderId="0" xfId="0" applyNumberFormat="1" applyFont="1" applyFill="1" applyAlignment="1" applyProtection="1">
      <alignment horizontal="center"/>
      <protection locked="0"/>
    </xf>
    <xf numFmtId="37" fontId="6" fillId="0" borderId="0" xfId="0" applyNumberFormat="1" applyFont="1" applyFill="1"/>
    <xf numFmtId="37" fontId="6" fillId="0" borderId="0" xfId="0" applyNumberFormat="1" applyFont="1" applyFill="1" applyAlignment="1" applyProtection="1">
      <protection locked="0"/>
    </xf>
    <xf numFmtId="176" fontId="6" fillId="0" borderId="0" xfId="1" applyNumberFormat="1" applyFont="1" applyFill="1" applyAlignment="1" applyProtection="1">
      <alignment horizontal="right"/>
      <protection locked="0"/>
    </xf>
    <xf numFmtId="0" fontId="27" fillId="0" borderId="0" xfId="0" applyNumberFormat="1" applyFont="1" applyAlignment="1"/>
    <xf numFmtId="176" fontId="1" fillId="0" borderId="0" xfId="1" applyNumberFormat="1" applyFont="1" applyFill="1" applyBorder="1" applyAlignment="1">
      <alignment horizontal="center"/>
    </xf>
    <xf numFmtId="177" fontId="1" fillId="0" borderId="0" xfId="1" applyNumberFormat="1" applyFont="1" applyFill="1" applyBorder="1" applyAlignment="1" applyProtection="1">
      <alignment horizontal="center"/>
      <protection locked="0"/>
    </xf>
    <xf numFmtId="176" fontId="1" fillId="0" borderId="0" xfId="1" applyNumberFormat="1" applyFont="1" applyFill="1" applyBorder="1" applyAlignment="1" applyProtection="1">
      <protection locked="0"/>
    </xf>
    <xf numFmtId="176" fontId="1" fillId="0" borderId="0" xfId="1" applyNumberFormat="1" applyFont="1" applyFill="1" applyBorder="1"/>
    <xf numFmtId="164" fontId="9" fillId="0" borderId="0" xfId="0" applyFont="1" applyFill="1" applyBorder="1"/>
    <xf numFmtId="168" fontId="1" fillId="0" borderId="0" xfId="0" applyNumberFormat="1" applyFont="1" applyFill="1" applyBorder="1" applyAlignment="1">
      <alignment horizontal="center"/>
    </xf>
    <xf numFmtId="164" fontId="1" fillId="0" borderId="0" xfId="0" applyFont="1" applyFill="1" applyBorder="1"/>
    <xf numFmtId="37" fontId="1" fillId="0" borderId="0" xfId="0" applyNumberFormat="1" applyFont="1" applyFill="1" applyBorder="1"/>
    <xf numFmtId="176" fontId="1" fillId="0" borderId="0" xfId="1" applyNumberFormat="1" applyFont="1" applyFill="1"/>
    <xf numFmtId="0" fontId="1" fillId="0" borderId="0" xfId="0" applyNumberFormat="1" applyFont="1" applyFill="1" applyBorder="1" applyAlignment="1" applyProtection="1">
      <protection locked="0"/>
    </xf>
    <xf numFmtId="37" fontId="1" fillId="0" borderId="0" xfId="0" applyNumberFormat="1" applyFont="1" applyFill="1" applyBorder="1" applyAlignment="1" applyProtection="1">
      <protection locked="0"/>
    </xf>
    <xf numFmtId="164" fontId="6" fillId="0" borderId="0" xfId="0" applyFont="1" applyFill="1"/>
    <xf numFmtId="41" fontId="1" fillId="0" borderId="0" xfId="0" applyNumberFormat="1" applyFont="1" applyAlignment="1" applyProtection="1">
      <protection locked="0"/>
    </xf>
    <xf numFmtId="0" fontId="3" fillId="0" borderId="0" xfId="0" applyNumberFormat="1" applyFont="1" applyAlignment="1" applyProtection="1">
      <alignment horizontal="center"/>
      <protection locked="0"/>
    </xf>
    <xf numFmtId="164" fontId="28" fillId="0" borderId="0" xfId="0" applyFont="1" applyAlignment="1">
      <alignment horizontal="center"/>
    </xf>
    <xf numFmtId="37" fontId="27" fillId="0" borderId="0" xfId="0" applyNumberFormat="1" applyFont="1" applyAlignment="1">
      <alignment horizontal="center"/>
    </xf>
    <xf numFmtId="37" fontId="27" fillId="0" borderId="0" xfId="0" applyNumberFormat="1" applyFont="1" applyBorder="1"/>
    <xf numFmtId="42" fontId="27" fillId="0" borderId="0" xfId="0" applyNumberFormat="1" applyFont="1" applyBorder="1"/>
    <xf numFmtId="169" fontId="27" fillId="0" borderId="0" xfId="0" applyNumberFormat="1" applyFont="1" applyAlignment="1" applyProtection="1">
      <protection locked="0"/>
    </xf>
    <xf numFmtId="0" fontId="27" fillId="0" borderId="0" xfId="0" applyNumberFormat="1" applyFont="1" applyAlignment="1" applyProtection="1">
      <protection locked="0"/>
    </xf>
    <xf numFmtId="37" fontId="27" fillId="0" borderId="0" xfId="0" applyNumberFormat="1" applyFont="1" applyAlignment="1" applyProtection="1">
      <alignment horizontal="right"/>
      <protection locked="0"/>
    </xf>
    <xf numFmtId="37" fontId="27" fillId="0" borderId="1" xfId="0" applyNumberFormat="1" applyFont="1" applyBorder="1" applyAlignment="1"/>
    <xf numFmtId="0" fontId="27" fillId="0" borderId="0" xfId="4" applyNumberFormat="1" applyFont="1" applyAlignment="1"/>
    <xf numFmtId="177" fontId="29" fillId="0" borderId="0" xfId="1" applyNumberFormat="1" applyFont="1" applyAlignment="1"/>
    <xf numFmtId="176" fontId="6" fillId="0" borderId="0" xfId="1" applyNumberFormat="1" applyFont="1" applyFill="1" applyBorder="1" applyAlignment="1" applyProtection="1">
      <protection locked="0"/>
    </xf>
    <xf numFmtId="164" fontId="9" fillId="0" borderId="0" xfId="0" applyFont="1" applyFill="1" applyAlignment="1">
      <alignment horizontal="left"/>
    </xf>
    <xf numFmtId="168" fontId="6" fillId="0" borderId="0" xfId="0" applyNumberFormat="1" applyFont="1" applyFill="1" applyBorder="1" applyAlignment="1">
      <alignment horizontal="center"/>
    </xf>
    <xf numFmtId="164" fontId="9" fillId="0" borderId="0" xfId="0" applyFont="1" applyFill="1"/>
    <xf numFmtId="37" fontId="6" fillId="0" borderId="0" xfId="0" applyNumberFormat="1" applyFont="1" applyFill="1" applyBorder="1"/>
    <xf numFmtId="37" fontId="1" fillId="0" borderId="3" xfId="0" applyNumberFormat="1" applyFont="1" applyBorder="1"/>
    <xf numFmtId="3" fontId="1" fillId="0" borderId="0" xfId="0" applyNumberFormat="1" applyFont="1"/>
    <xf numFmtId="3" fontId="1" fillId="0" borderId="3" xfId="0" applyNumberFormat="1" applyFont="1" applyBorder="1"/>
    <xf numFmtId="3" fontId="1" fillId="0" borderId="0" xfId="0" applyNumberFormat="1" applyFont="1" applyBorder="1"/>
    <xf numFmtId="176" fontId="1" fillId="0" borderId="0" xfId="1" applyNumberFormat="1" applyFont="1" applyFill="1" applyBorder="1" applyAlignment="1" applyProtection="1">
      <alignment horizontal="center"/>
      <protection locked="0"/>
    </xf>
    <xf numFmtId="43" fontId="1" fillId="0" borderId="0" xfId="1" applyNumberFormat="1" applyFont="1" applyBorder="1" applyAlignment="1" applyProtection="1">
      <alignment horizontal="center"/>
      <protection locked="0"/>
    </xf>
    <xf numFmtId="176" fontId="1" fillId="0" borderId="0" xfId="1" applyNumberFormat="1" applyFont="1" applyBorder="1" applyAlignment="1">
      <alignment horizontal="center"/>
    </xf>
    <xf numFmtId="39" fontId="1" fillId="0" borderId="0" xfId="0" applyNumberFormat="1" applyFont="1" applyBorder="1" applyAlignment="1" applyProtection="1">
      <protection locked="0"/>
    </xf>
    <xf numFmtId="176" fontId="1" fillId="0" borderId="0" xfId="1" applyNumberFormat="1" applyFont="1" applyFill="1" applyAlignment="1">
      <alignment horizontal="center"/>
    </xf>
    <xf numFmtId="177" fontId="1" fillId="0" borderId="0" xfId="1" applyNumberFormat="1" applyFont="1" applyAlignment="1" applyProtection="1">
      <protection locked="0"/>
    </xf>
    <xf numFmtId="177" fontId="1" fillId="0" borderId="0" xfId="1" applyNumberFormat="1" applyFont="1" applyFill="1" applyAlignment="1" applyProtection="1">
      <alignment horizontal="center"/>
      <protection locked="0"/>
    </xf>
    <xf numFmtId="0" fontId="1" fillId="0" borderId="0" xfId="0" applyNumberFormat="1" applyFont="1" applyAlignment="1" applyProtection="1">
      <protection locked="0"/>
    </xf>
    <xf numFmtId="16" fontId="6" fillId="0" borderId="0" xfId="9" quotePrefix="1" applyNumberFormat="1" applyFont="1" applyAlignment="1">
      <alignment horizontal="center"/>
    </xf>
    <xf numFmtId="42" fontId="1" fillId="0" borderId="0" xfId="0" applyNumberFormat="1" applyFont="1"/>
    <xf numFmtId="37" fontId="1" fillId="0" borderId="0" xfId="0" applyNumberFormat="1" applyFont="1" applyFill="1"/>
    <xf numFmtId="37" fontId="27" fillId="0" borderId="6" xfId="0" applyNumberFormat="1" applyFont="1" applyBorder="1"/>
    <xf numFmtId="37" fontId="1" fillId="0" borderId="0" xfId="0" applyNumberFormat="1" applyFont="1" applyAlignment="1">
      <alignment horizontal="center"/>
    </xf>
    <xf numFmtId="37" fontId="1" fillId="0" borderId="3" xfId="0" applyNumberFormat="1" applyFont="1" applyBorder="1" applyAlignment="1">
      <alignment horizontal="center"/>
    </xf>
    <xf numFmtId="0" fontId="1" fillId="0" borderId="0" xfId="7" applyNumberFormat="1" applyFont="1" applyAlignment="1">
      <alignment horizontal="center"/>
    </xf>
    <xf numFmtId="0" fontId="1" fillId="0" borderId="0" xfId="0" applyNumberFormat="1" applyFont="1" applyAlignment="1" applyProtection="1">
      <protection locked="0"/>
    </xf>
    <xf numFmtId="176" fontId="11" fillId="0" borderId="0" xfId="1" applyNumberFormat="1" applyFont="1" applyAlignment="1" applyProtection="1">
      <protection locked="0"/>
    </xf>
    <xf numFmtId="176" fontId="5" fillId="0" borderId="0" xfId="1" applyNumberFormat="1" applyFont="1" applyAlignment="1" applyProtection="1">
      <protection locked="0"/>
    </xf>
    <xf numFmtId="176" fontId="5" fillId="0" borderId="0" xfId="1" applyNumberFormat="1" applyFont="1" applyAlignment="1" applyProtection="1">
      <alignment horizontal="center"/>
      <protection locked="0"/>
    </xf>
    <xf numFmtId="176" fontId="5" fillId="0" borderId="3" xfId="1" applyNumberFormat="1" applyFont="1" applyBorder="1" applyAlignment="1" applyProtection="1">
      <alignment horizontal="center"/>
      <protection locked="0"/>
    </xf>
    <xf numFmtId="176" fontId="1" fillId="0" borderId="0" xfId="1" applyNumberFormat="1" applyFont="1" applyAlignment="1" applyProtection="1">
      <alignment horizontal="right"/>
      <protection locked="0"/>
    </xf>
    <xf numFmtId="182" fontId="11" fillId="0" borderId="0" xfId="1" applyNumberFormat="1" applyFont="1" applyAlignment="1" applyProtection="1">
      <protection locked="0"/>
    </xf>
    <xf numFmtId="182" fontId="5" fillId="0" borderId="0" xfId="1" applyNumberFormat="1" applyFont="1" applyAlignment="1" applyProtection="1">
      <alignment horizontal="right"/>
      <protection locked="0"/>
    </xf>
    <xf numFmtId="184" fontId="5" fillId="0" borderId="0" xfId="0" applyNumberFormat="1" applyFont="1" applyAlignment="1" applyProtection="1">
      <alignment horizontal="right"/>
      <protection locked="0"/>
    </xf>
    <xf numFmtId="184" fontId="5" fillId="0" borderId="0" xfId="1" applyNumberFormat="1" applyFont="1" applyAlignment="1" applyProtection="1">
      <alignment horizontal="right"/>
      <protection locked="0"/>
    </xf>
    <xf numFmtId="171" fontId="1" fillId="0" borderId="4" xfId="0" applyNumberFormat="1" applyFont="1" applyBorder="1" applyAlignment="1"/>
    <xf numFmtId="185" fontId="11" fillId="0" borderId="0" xfId="0" applyNumberFormat="1" applyFont="1" applyAlignment="1" applyProtection="1">
      <protection locked="0"/>
    </xf>
    <xf numFmtId="185" fontId="1" fillId="0" borderId="0" xfId="0" applyNumberFormat="1" applyFont="1" applyAlignment="1" applyProtection="1">
      <protection locked="0"/>
    </xf>
    <xf numFmtId="0" fontId="1" fillId="0" borderId="6" xfId="0" applyNumberFormat="1" applyFont="1" applyBorder="1" applyAlignment="1" applyProtection="1">
      <protection locked="0"/>
    </xf>
    <xf numFmtId="42" fontId="1" fillId="0" borderId="4" xfId="0" applyNumberFormat="1" applyFont="1" applyBorder="1" applyAlignment="1" applyProtection="1">
      <protection locked="0"/>
    </xf>
    <xf numFmtId="0" fontId="1" fillId="0" borderId="0" xfId="0" applyNumberFormat="1" applyFont="1" applyAlignment="1" applyProtection="1">
      <protection locked="0"/>
    </xf>
    <xf numFmtId="37" fontId="1" fillId="0" borderId="3" xfId="0" applyNumberFormat="1" applyFont="1" applyFill="1" applyBorder="1"/>
    <xf numFmtId="42" fontId="1" fillId="0" borderId="4" xfId="0" applyNumberFormat="1" applyFont="1" applyBorder="1"/>
    <xf numFmtId="37" fontId="1" fillId="0" borderId="4" xfId="0" applyNumberFormat="1" applyFont="1" applyBorder="1"/>
    <xf numFmtId="42" fontId="1" fillId="0" borderId="0" xfId="0" applyNumberFormat="1" applyFont="1" applyBorder="1"/>
    <xf numFmtId="41" fontId="8" fillId="0" borderId="3" xfId="10" applyNumberFormat="1" applyFont="1" applyFill="1" applyBorder="1" applyAlignment="1"/>
    <xf numFmtId="179" fontId="8" fillId="0" borderId="4" xfId="2" applyNumberFormat="1" applyFont="1" applyBorder="1" applyAlignment="1"/>
    <xf numFmtId="0" fontId="1" fillId="0" borderId="0" xfId="0" applyNumberFormat="1" applyFont="1" applyAlignment="1" applyProtection="1">
      <protection locked="0"/>
    </xf>
    <xf numFmtId="0" fontId="1" fillId="0" borderId="0" xfId="0" applyNumberFormat="1" applyFont="1" applyAlignment="1" applyProtection="1">
      <protection locked="0"/>
    </xf>
    <xf numFmtId="168" fontId="9" fillId="0" borderId="0" xfId="0" applyNumberFormat="1" applyFont="1" applyAlignment="1" applyProtection="1">
      <protection locked="0"/>
    </xf>
    <xf numFmtId="3" fontId="6" fillId="0" borderId="0" xfId="9" applyNumberFormat="1" applyFont="1" applyFill="1" applyAlignment="1"/>
    <xf numFmtId="0" fontId="1" fillId="0" borderId="0" xfId="5" applyNumberFormat="1" applyFont="1" applyFill="1" applyAlignment="1">
      <alignment horizontal="centerContinuous"/>
    </xf>
    <xf numFmtId="0" fontId="1" fillId="0" borderId="0" xfId="5" applyNumberFormat="1" applyFont="1" applyFill="1" applyAlignment="1"/>
    <xf numFmtId="0" fontId="1" fillId="0" borderId="0" xfId="5" applyNumberFormat="1" applyFont="1" applyFill="1" applyAlignment="1">
      <alignment horizontal="center"/>
    </xf>
    <xf numFmtId="0" fontId="1" fillId="0" borderId="1" xfId="5" applyNumberFormat="1" applyFont="1" applyFill="1" applyBorder="1" applyAlignment="1">
      <alignment horizontal="center"/>
    </xf>
    <xf numFmtId="164" fontId="1" fillId="0" borderId="0" xfId="5" applyNumberFormat="1" applyFont="1" applyFill="1" applyAlignment="1"/>
    <xf numFmtId="164" fontId="1" fillId="0" borderId="1" xfId="5" applyNumberFormat="1" applyFont="1" applyFill="1" applyBorder="1" applyAlignment="1"/>
    <xf numFmtId="0" fontId="1" fillId="0" borderId="2" xfId="5" applyNumberFormat="1" applyFont="1" applyFill="1" applyBorder="1" applyAlignment="1"/>
    <xf numFmtId="164" fontId="2" fillId="0" borderId="0" xfId="5" applyNumberFormat="1" applyFont="1" applyFill="1" applyAlignment="1"/>
    <xf numFmtId="165" fontId="1" fillId="0" borderId="1" xfId="5" applyNumberFormat="1" applyFont="1" applyFill="1" applyBorder="1" applyAlignment="1"/>
    <xf numFmtId="164" fontId="1" fillId="0" borderId="4" xfId="5" applyNumberFormat="1" applyFont="1" applyFill="1" applyBorder="1" applyAlignment="1"/>
    <xf numFmtId="165" fontId="1" fillId="0" borderId="0" xfId="5" applyNumberFormat="1" applyFont="1" applyFill="1" applyBorder="1" applyAlignment="1"/>
    <xf numFmtId="165" fontId="1" fillId="0" borderId="2" xfId="5" applyNumberFormat="1" applyFont="1" applyFill="1" applyBorder="1" applyAlignment="1"/>
    <xf numFmtId="0" fontId="3" fillId="0" borderId="0" xfId="5" applyFill="1" applyAlignment="1"/>
    <xf numFmtId="179" fontId="1" fillId="0" borderId="0" xfId="0" applyNumberFormat="1" applyFont="1" applyAlignment="1" applyProtection="1">
      <protection locked="0"/>
    </xf>
    <xf numFmtId="0" fontId="1" fillId="0" borderId="0" xfId="0" applyNumberFormat="1" applyFont="1" applyBorder="1" applyAlignment="1"/>
    <xf numFmtId="176" fontId="1" fillId="0" borderId="0" xfId="1" applyNumberFormat="1" applyFont="1" applyBorder="1" applyAlignment="1"/>
    <xf numFmtId="37" fontId="1" fillId="0" borderId="0" xfId="0" applyNumberFormat="1" applyFont="1" applyBorder="1" applyAlignment="1"/>
    <xf numFmtId="0" fontId="3" fillId="0" borderId="0" xfId="7" applyFont="1" applyBorder="1" applyAlignment="1"/>
    <xf numFmtId="3" fontId="3" fillId="0" borderId="0" xfId="7" applyNumberFormat="1" applyFont="1" applyBorder="1" applyAlignment="1"/>
    <xf numFmtId="164" fontId="1" fillId="0" borderId="0" xfId="7" applyNumberFormat="1" applyFont="1" applyBorder="1" applyAlignment="1"/>
    <xf numFmtId="37" fontId="1" fillId="0" borderId="0" xfId="7" applyNumberFormat="1" applyFont="1" applyBorder="1" applyAlignment="1"/>
    <xf numFmtId="170" fontId="3" fillId="0" borderId="0" xfId="7" applyNumberFormat="1" applyFont="1" applyBorder="1" applyAlignment="1"/>
    <xf numFmtId="0" fontId="8" fillId="0" borderId="0" xfId="9" applyFont="1" applyFill="1" applyAlignment="1"/>
    <xf numFmtId="0" fontId="28" fillId="0" borderId="0" xfId="9" applyFont="1" applyFill="1" applyAlignment="1"/>
    <xf numFmtId="37" fontId="27" fillId="0" borderId="0" xfId="0" applyNumberFormat="1" applyFont="1" applyFill="1" applyBorder="1"/>
    <xf numFmtId="37" fontId="27" fillId="0" borderId="0" xfId="0" applyNumberFormat="1" applyFont="1" applyFill="1" applyBorder="1" applyAlignment="1">
      <alignment horizontal="right" vertical="top"/>
    </xf>
    <xf numFmtId="37" fontId="28" fillId="0" borderId="0" xfId="9" applyNumberFormat="1" applyFont="1" applyFill="1" applyAlignment="1"/>
    <xf numFmtId="37" fontId="27" fillId="0" borderId="0" xfId="9" applyNumberFormat="1" applyFont="1" applyFill="1" applyAlignment="1"/>
    <xf numFmtId="0" fontId="27" fillId="0" borderId="0" xfId="9" applyFont="1" applyFill="1" applyAlignment="1"/>
    <xf numFmtId="178" fontId="3" fillId="0" borderId="0" xfId="10" applyFont="1" applyBorder="1" applyAlignment="1">
      <alignment horizontal="center"/>
    </xf>
    <xf numFmtId="0" fontId="3" fillId="0" borderId="0" xfId="0" quotePrefix="1" applyNumberFormat="1" applyFont="1" applyBorder="1" applyAlignment="1" applyProtection="1">
      <alignment horizontal="center"/>
      <protection locked="0"/>
    </xf>
    <xf numFmtId="175" fontId="3" fillId="0" borderId="0" xfId="0" applyNumberFormat="1" applyFont="1" applyBorder="1" applyAlignment="1" applyProtection="1">
      <protection locked="0"/>
    </xf>
    <xf numFmtId="2" fontId="3" fillId="0" borderId="0" xfId="0" applyNumberFormat="1" applyFont="1" applyBorder="1" applyAlignment="1" applyProtection="1">
      <protection locked="0"/>
    </xf>
    <xf numFmtId="177" fontId="3" fillId="0" borderId="0" xfId="1" applyNumberFormat="1" applyFont="1" applyBorder="1" applyAlignment="1" applyProtection="1">
      <protection locked="0"/>
    </xf>
    <xf numFmtId="3" fontId="2" fillId="0" borderId="6" xfId="0" applyNumberFormat="1" applyFont="1" applyBorder="1" applyAlignment="1"/>
    <xf numFmtId="0" fontId="8" fillId="0" borderId="0" xfId="0" applyNumberFormat="1" applyFont="1" applyAlignment="1" applyProtection="1">
      <alignment horizontal="center"/>
      <protection locked="0"/>
    </xf>
    <xf numFmtId="0" fontId="3" fillId="0" borderId="0" xfId="0" applyNumberFormat="1" applyFont="1" applyAlignment="1" applyProtection="1">
      <alignment horizontal="center"/>
      <protection locked="0"/>
    </xf>
    <xf numFmtId="0" fontId="6" fillId="0" borderId="0" xfId="0" applyNumberFormat="1" applyFont="1" applyAlignment="1" applyProtection="1">
      <alignment horizontal="center"/>
      <protection locked="0"/>
    </xf>
    <xf numFmtId="0" fontId="1" fillId="0" borderId="0" xfId="0" applyNumberFormat="1" applyFont="1" applyAlignment="1">
      <alignment horizontal="justify" vertical="top" wrapText="1"/>
    </xf>
    <xf numFmtId="0" fontId="1" fillId="0" borderId="0" xfId="0" applyNumberFormat="1" applyFont="1" applyAlignment="1">
      <alignment horizontal="justify" wrapText="1"/>
    </xf>
    <xf numFmtId="0" fontId="1" fillId="0" borderId="0" xfId="6" applyNumberFormat="1" applyFont="1" applyAlignment="1">
      <alignment horizontal="justify" vertical="top" wrapText="1"/>
    </xf>
    <xf numFmtId="0" fontId="1" fillId="0" borderId="0" xfId="0" applyNumberFormat="1" applyFont="1" applyAlignment="1">
      <alignment horizontal="left" wrapText="1"/>
    </xf>
    <xf numFmtId="0" fontId="1" fillId="0" borderId="0" xfId="0" applyNumberFormat="1" applyFont="1" applyAlignment="1">
      <alignment horizontal="justify"/>
    </xf>
    <xf numFmtId="0" fontId="1" fillId="0" borderId="0" xfId="7" applyNumberFormat="1" applyFont="1" applyAlignment="1">
      <alignment horizontal="justify" vertical="top" wrapText="1"/>
    </xf>
    <xf numFmtId="0" fontId="1" fillId="0" borderId="0" xfId="3" applyNumberFormat="1" applyFont="1" applyAlignment="1">
      <alignment horizontal="justify" vertical="top" wrapText="1"/>
    </xf>
    <xf numFmtId="0" fontId="1" fillId="0" borderId="0" xfId="7" applyNumberFormat="1" applyFont="1" applyAlignment="1">
      <alignment horizontal="center"/>
    </xf>
    <xf numFmtId="0" fontId="1" fillId="0" borderId="5" xfId="7" applyNumberFormat="1" applyFont="1" applyBorder="1" applyAlignment="1">
      <alignment horizontal="center"/>
    </xf>
    <xf numFmtId="0" fontId="1" fillId="0" borderId="0" xfId="8" applyNumberFormat="1" applyFont="1" applyAlignment="1">
      <alignment horizontal="justify" vertical="top" wrapText="1"/>
    </xf>
    <xf numFmtId="0" fontId="1" fillId="0" borderId="0" xfId="0" applyNumberFormat="1" applyFont="1" applyAlignment="1" applyProtection="1">
      <protection locked="0"/>
    </xf>
    <xf numFmtId="0" fontId="1" fillId="0" borderId="0" xfId="4" applyNumberFormat="1" applyFont="1" applyAlignment="1">
      <alignment horizontal="justify" vertical="top" wrapText="1"/>
    </xf>
    <xf numFmtId="0" fontId="1" fillId="0" borderId="0" xfId="5" applyNumberFormat="1" applyFont="1" applyAlignment="1">
      <alignment horizontal="justify" vertical="top" wrapText="1"/>
    </xf>
    <xf numFmtId="0" fontId="1" fillId="0" borderId="0" xfId="5" applyNumberFormat="1" applyFont="1" applyAlignment="1">
      <alignment horizontal="center"/>
    </xf>
    <xf numFmtId="0" fontId="8" fillId="0" borderId="0" xfId="0" applyNumberFormat="1" applyFont="1" applyAlignment="1">
      <alignment horizontal="center"/>
    </xf>
    <xf numFmtId="0" fontId="7" fillId="0" borderId="0" xfId="9" applyFont="1" applyBorder="1" applyAlignment="1">
      <alignment horizontal="center"/>
    </xf>
    <xf numFmtId="0" fontId="6" fillId="0" borderId="5" xfId="0" applyNumberFormat="1" applyFont="1" applyBorder="1" applyAlignment="1">
      <alignment horizontal="center"/>
    </xf>
    <xf numFmtId="178" fontId="3" fillId="0" borderId="0" xfId="10" applyFont="1" applyBorder="1" applyAlignment="1">
      <alignment horizontal="center"/>
    </xf>
    <xf numFmtId="178" fontId="3" fillId="0" borderId="3" xfId="10" applyFont="1" applyBorder="1" applyAlignment="1">
      <alignment horizontal="center"/>
    </xf>
    <xf numFmtId="178" fontId="3" fillId="0" borderId="0" xfId="10" applyFont="1" applyAlignment="1">
      <alignment horizontal="center"/>
    </xf>
    <xf numFmtId="0" fontId="6" fillId="0" borderId="5" xfId="11" applyNumberFormat="1" applyFont="1" applyBorder="1" applyAlignment="1">
      <alignment horizontal="center"/>
    </xf>
    <xf numFmtId="0" fontId="6" fillId="0" borderId="0" xfId="11" applyNumberFormat="1" applyFont="1" applyAlignment="1">
      <alignment horizontal="center"/>
    </xf>
    <xf numFmtId="178" fontId="8" fillId="0" borderId="3" xfId="10" applyFont="1" applyBorder="1" applyAlignment="1">
      <alignment horizontal="center"/>
    </xf>
    <xf numFmtId="178" fontId="8" fillId="0" borderId="0" xfId="10" applyFont="1" applyAlignment="1">
      <alignment horizontal="center"/>
    </xf>
    <xf numFmtId="178" fontId="26" fillId="0" borderId="0" xfId="10" applyFont="1" applyAlignment="1">
      <alignment horizontal="center"/>
    </xf>
    <xf numFmtId="178" fontId="8" fillId="0" borderId="0" xfId="10" applyFont="1" applyBorder="1" applyAlignment="1">
      <alignment horizontal="center"/>
    </xf>
  </cellXfs>
  <cellStyles count="13">
    <cellStyle name="Comma" xfId="1" builtinId="3"/>
    <cellStyle name="Currency" xfId="2" builtinId="4"/>
    <cellStyle name="Normal" xfId="0" builtinId="0"/>
    <cellStyle name="Normal_F   5" xfId="3"/>
    <cellStyle name="Normal_F   6   7" xfId="4"/>
    <cellStyle name="Normal_F   8  9  10" xfId="5"/>
    <cellStyle name="Normal_F 2 B" xfId="6"/>
    <cellStyle name="Normal_F 3B 4B" xfId="7"/>
    <cellStyle name="Normal_F 5B" xfId="8"/>
    <cellStyle name="Normal_MetersServices" xfId="9"/>
    <cellStyle name="Normal_Sch M" xfId="10"/>
    <cellStyle name="Normal_Sched G" xfId="11"/>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36"/>
  <sheetViews>
    <sheetView topLeftCell="A287" workbookViewId="0">
      <selection activeCell="J324" sqref="J324"/>
    </sheetView>
  </sheetViews>
  <sheetFormatPr defaultRowHeight="12.75" x14ac:dyDescent="0.2"/>
  <cols>
    <col min="1" max="1" width="10.77734375" style="498" customWidth="1"/>
    <col min="2" max="2" width="9.44140625" style="446" customWidth="1"/>
    <col min="3" max="3" width="2.33203125" style="365" customWidth="1"/>
    <col min="4" max="4" width="34.77734375" style="132" customWidth="1"/>
    <col min="5" max="5" width="1.44140625" style="132" customWidth="1"/>
    <col min="6" max="6" width="4.6640625" style="143" customWidth="1"/>
    <col min="7" max="7" width="1.44140625" style="127" customWidth="1"/>
    <col min="8" max="8" width="11.77734375" style="488" bestFit="1" customWidth="1"/>
    <col min="9" max="9" width="3.21875" style="127" customWidth="1"/>
    <col min="10" max="10" width="11.77734375" style="146" customWidth="1"/>
    <col min="11" max="11" width="1.44140625" style="146" customWidth="1"/>
    <col min="12" max="12" width="10.5546875" style="146" customWidth="1"/>
    <col min="13" max="13" width="1.44140625" style="146" customWidth="1"/>
    <col min="14" max="14" width="10.88671875" style="146" customWidth="1"/>
    <col min="15" max="15" width="1.5546875" style="146" customWidth="1"/>
    <col min="16" max="16" width="10.33203125" style="146" customWidth="1"/>
    <col min="17" max="17" width="1.44140625" style="146" customWidth="1"/>
    <col min="18" max="18" width="10" style="146" customWidth="1"/>
    <col min="19" max="19" width="1.44140625" style="146" hidden="1" customWidth="1"/>
    <col min="20" max="20" width="9.6640625" style="146" hidden="1" customWidth="1"/>
    <col min="21" max="21" width="1.5546875" style="146" customWidth="1"/>
    <col min="22" max="22" width="9.88671875" style="146" customWidth="1"/>
    <col min="23" max="23" width="2.44140625" customWidth="1"/>
    <col min="24" max="24" width="9.33203125" style="231" customWidth="1"/>
    <col min="25" max="25" width="12.33203125" customWidth="1"/>
    <col min="26" max="26" width="1.77734375" customWidth="1"/>
    <col min="27" max="27" width="33.109375" style="127" customWidth="1"/>
    <col min="28" max="28" width="1.33203125" customWidth="1"/>
    <col min="29" max="29" width="4" customWidth="1"/>
    <col min="30" max="30" width="1.6640625" customWidth="1"/>
    <col min="31" max="31" width="11.77734375" bestFit="1" customWidth="1"/>
    <col min="32" max="32" width="2.5546875" customWidth="1"/>
    <col min="33" max="33" width="11.5546875" bestFit="1" customWidth="1"/>
    <col min="34" max="34" width="1" customWidth="1"/>
    <col min="35" max="35" width="10.77734375" bestFit="1" customWidth="1"/>
    <col min="36" max="36" width="1.21875" customWidth="1"/>
    <col min="37" max="37" width="9.6640625" customWidth="1"/>
    <col min="38" max="38" width="1.21875" customWidth="1"/>
    <col min="39" max="39" width="10.109375" customWidth="1"/>
    <col min="40" max="40" width="0.88671875" customWidth="1"/>
    <col min="41" max="41" width="11.109375" customWidth="1"/>
    <col min="42" max="42" width="0.88671875" customWidth="1"/>
    <col min="43" max="43" width="10.77734375" customWidth="1"/>
    <col min="44" max="44" width="0.77734375" customWidth="1"/>
    <col min="45" max="45" width="9.77734375" customWidth="1"/>
    <col min="46" max="46" width="3.21875" customWidth="1"/>
    <col min="47" max="47" width="10.21875" customWidth="1"/>
  </cols>
  <sheetData>
    <row r="1" spans="1:47" s="133" customFormat="1" ht="15" x14ac:dyDescent="0.2">
      <c r="A1" s="498"/>
      <c r="B1" s="443"/>
      <c r="C1" s="363"/>
      <c r="D1" s="620" t="s">
        <v>51</v>
      </c>
      <c r="E1" s="620"/>
      <c r="F1" s="620"/>
      <c r="G1" s="620"/>
      <c r="H1" s="620"/>
      <c r="I1" s="620"/>
      <c r="J1" s="620"/>
      <c r="K1" s="620"/>
      <c r="L1" s="620"/>
      <c r="M1" s="620"/>
      <c r="N1" s="620"/>
      <c r="O1" s="620"/>
      <c r="P1" s="620"/>
      <c r="Q1" s="620"/>
      <c r="R1" s="620"/>
      <c r="S1" s="620"/>
      <c r="T1" s="620"/>
      <c r="U1" s="620"/>
      <c r="V1" s="620"/>
      <c r="X1" s="363"/>
      <c r="AA1" s="620" t="s">
        <v>51</v>
      </c>
      <c r="AB1" s="620"/>
      <c r="AC1" s="620"/>
      <c r="AD1" s="620"/>
      <c r="AE1" s="620"/>
      <c r="AF1" s="620"/>
      <c r="AG1" s="620"/>
      <c r="AH1" s="620"/>
      <c r="AI1" s="620"/>
      <c r="AJ1" s="620"/>
      <c r="AK1" s="620"/>
      <c r="AL1" s="620"/>
      <c r="AM1" s="620"/>
      <c r="AN1" s="620"/>
      <c r="AO1" s="620"/>
      <c r="AP1" s="620"/>
      <c r="AQ1" s="620"/>
      <c r="AR1" s="620"/>
      <c r="AS1" s="620"/>
    </row>
    <row r="2" spans="1:47" s="133" customFormat="1" ht="13.5" customHeight="1" x14ac:dyDescent="0.2">
      <c r="A2" s="498"/>
      <c r="B2" s="443"/>
      <c r="C2" s="363"/>
      <c r="D2" s="622"/>
      <c r="E2" s="622"/>
      <c r="F2" s="622"/>
      <c r="G2" s="622"/>
      <c r="H2" s="622"/>
      <c r="I2" s="622"/>
      <c r="J2" s="622"/>
      <c r="K2" s="622"/>
      <c r="L2" s="622"/>
      <c r="M2" s="622"/>
      <c r="N2" s="622"/>
      <c r="O2" s="622"/>
      <c r="P2" s="622"/>
      <c r="Q2" s="622"/>
      <c r="R2" s="622"/>
      <c r="S2" s="622"/>
      <c r="T2" s="622"/>
      <c r="U2" s="622"/>
      <c r="V2" s="622"/>
      <c r="X2" s="363"/>
      <c r="AA2" s="622"/>
      <c r="AB2" s="622"/>
      <c r="AC2" s="622"/>
      <c r="AD2" s="622"/>
      <c r="AE2" s="622"/>
      <c r="AF2" s="622"/>
      <c r="AG2" s="622"/>
      <c r="AH2" s="622"/>
      <c r="AI2" s="622"/>
      <c r="AJ2" s="622"/>
      <c r="AK2" s="622"/>
      <c r="AL2" s="622"/>
      <c r="AM2" s="622"/>
      <c r="AN2" s="622"/>
      <c r="AO2" s="622"/>
      <c r="AP2" s="622"/>
      <c r="AQ2" s="622"/>
      <c r="AR2" s="622"/>
      <c r="AS2" s="622"/>
    </row>
    <row r="3" spans="1:47" s="133" customFormat="1" ht="16.149999999999999" customHeight="1" x14ac:dyDescent="0.2">
      <c r="A3" s="498"/>
      <c r="B3" s="443"/>
      <c r="C3" s="363"/>
      <c r="D3" s="621" t="s">
        <v>487</v>
      </c>
      <c r="E3" s="621"/>
      <c r="F3" s="621"/>
      <c r="G3" s="621"/>
      <c r="H3" s="621"/>
      <c r="I3" s="621"/>
      <c r="J3" s="621"/>
      <c r="K3" s="621"/>
      <c r="L3" s="621"/>
      <c r="M3" s="621"/>
      <c r="N3" s="621"/>
      <c r="O3" s="621"/>
      <c r="P3" s="621"/>
      <c r="Q3" s="621"/>
      <c r="R3" s="621"/>
      <c r="S3" s="621"/>
      <c r="T3" s="621"/>
      <c r="U3" s="621"/>
      <c r="V3" s="621"/>
      <c r="X3" s="363"/>
      <c r="AA3" s="620" t="s">
        <v>488</v>
      </c>
      <c r="AB3" s="620"/>
      <c r="AC3" s="620"/>
      <c r="AD3" s="620"/>
      <c r="AE3" s="620"/>
      <c r="AF3" s="620"/>
      <c r="AG3" s="620"/>
      <c r="AH3" s="620"/>
      <c r="AI3" s="620"/>
      <c r="AJ3" s="620"/>
      <c r="AK3" s="620"/>
      <c r="AL3" s="620"/>
      <c r="AM3" s="620"/>
      <c r="AN3" s="620"/>
      <c r="AO3" s="620"/>
      <c r="AP3" s="620"/>
      <c r="AQ3" s="620"/>
      <c r="AR3" s="620"/>
      <c r="AS3" s="620"/>
    </row>
    <row r="4" spans="1:47" s="133" customFormat="1" ht="11.85" customHeight="1" x14ac:dyDescent="0.2">
      <c r="A4" s="498"/>
      <c r="B4" s="443"/>
      <c r="C4" s="363"/>
      <c r="D4" s="180"/>
      <c r="E4" s="180"/>
      <c r="F4" s="180"/>
      <c r="G4" s="180"/>
      <c r="H4" s="525"/>
      <c r="I4" s="180"/>
      <c r="J4" s="180"/>
      <c r="K4" s="180"/>
      <c r="L4" s="180"/>
      <c r="M4" s="180"/>
      <c r="N4" s="180"/>
      <c r="O4" s="180"/>
      <c r="P4" s="180"/>
      <c r="Q4" s="180"/>
      <c r="R4" s="180"/>
      <c r="S4" s="180"/>
      <c r="T4" s="180"/>
      <c r="U4" s="180"/>
      <c r="V4" s="180"/>
      <c r="X4" s="363"/>
    </row>
    <row r="5" spans="1:47" s="129" customFormat="1" ht="7.9" customHeight="1" x14ac:dyDescent="0.2">
      <c r="A5" s="498"/>
      <c r="B5" s="444"/>
      <c r="C5" s="364"/>
      <c r="D5" s="134"/>
      <c r="E5" s="134"/>
      <c r="F5" s="142"/>
      <c r="G5" s="134"/>
      <c r="H5" s="526"/>
      <c r="I5" s="134"/>
      <c r="J5" s="147"/>
      <c r="K5" s="148"/>
      <c r="L5"/>
      <c r="M5"/>
      <c r="N5"/>
      <c r="O5"/>
      <c r="P5"/>
      <c r="Q5"/>
      <c r="R5"/>
      <c r="S5"/>
      <c r="T5"/>
      <c r="U5"/>
      <c r="V5"/>
      <c r="X5" s="364"/>
    </row>
    <row r="6" spans="1:47" s="129" customFormat="1" ht="15" customHeight="1" x14ac:dyDescent="0.2">
      <c r="A6" s="498"/>
      <c r="B6" s="444"/>
      <c r="C6" s="364"/>
      <c r="D6" s="134"/>
      <c r="E6" s="134"/>
      <c r="F6" s="142" t="s">
        <v>194</v>
      </c>
      <c r="G6" s="134"/>
      <c r="H6" s="556" t="s">
        <v>128</v>
      </c>
      <c r="I6" s="134"/>
      <c r="J6" s="147"/>
      <c r="K6" s="148"/>
      <c r="L6"/>
      <c r="M6"/>
      <c r="N6"/>
      <c r="O6"/>
      <c r="P6" s="136" t="s">
        <v>386</v>
      </c>
      <c r="Q6" s="136"/>
      <c r="R6" s="136" t="s">
        <v>104</v>
      </c>
      <c r="S6" s="136"/>
      <c r="U6" s="397"/>
      <c r="V6" s="397" t="s">
        <v>453</v>
      </c>
      <c r="X6" s="364"/>
      <c r="AQ6" s="129" t="s">
        <v>451</v>
      </c>
      <c r="AS6" s="129" t="s">
        <v>453</v>
      </c>
    </row>
    <row r="7" spans="1:47" s="136" customFormat="1" ht="11.85" customHeight="1" x14ac:dyDescent="0.2">
      <c r="A7" s="498"/>
      <c r="B7" s="445" t="s">
        <v>119</v>
      </c>
      <c r="C7" s="364"/>
      <c r="D7" s="137" t="s">
        <v>129</v>
      </c>
      <c r="E7" s="135"/>
      <c r="F7" s="145" t="s">
        <v>127</v>
      </c>
      <c r="G7" s="134"/>
      <c r="H7" s="557" t="s">
        <v>325</v>
      </c>
      <c r="I7" s="134"/>
      <c r="J7" s="150" t="s">
        <v>198</v>
      </c>
      <c r="K7" s="148"/>
      <c r="L7" s="149" t="s">
        <v>199</v>
      </c>
      <c r="M7" s="148"/>
      <c r="N7" s="149" t="s">
        <v>200</v>
      </c>
      <c r="O7" s="148"/>
      <c r="P7" s="149" t="s">
        <v>134</v>
      </c>
      <c r="Q7" s="148"/>
      <c r="R7" s="149" t="s">
        <v>371</v>
      </c>
      <c r="S7" s="148"/>
      <c r="T7" s="149" t="s">
        <v>130</v>
      </c>
      <c r="U7" s="473"/>
      <c r="V7" s="149" t="s">
        <v>382</v>
      </c>
      <c r="X7" s="498"/>
      <c r="AA7" s="129"/>
      <c r="AB7" s="129"/>
      <c r="AC7" s="129"/>
      <c r="AD7" s="129"/>
      <c r="AE7" s="129"/>
      <c r="AF7" s="129"/>
      <c r="AG7" s="129" t="s">
        <v>448</v>
      </c>
      <c r="AH7" s="129"/>
      <c r="AI7" s="129" t="s">
        <v>449</v>
      </c>
      <c r="AJ7" s="129"/>
      <c r="AK7" s="129" t="s">
        <v>450</v>
      </c>
      <c r="AL7" s="129"/>
      <c r="AM7" s="129" t="s">
        <v>407</v>
      </c>
      <c r="AN7" s="129"/>
      <c r="AO7" s="129" t="s">
        <v>329</v>
      </c>
      <c r="AP7" s="129"/>
      <c r="AQ7" s="129" t="s">
        <v>452</v>
      </c>
      <c r="AR7" s="129"/>
      <c r="AS7" s="129" t="s">
        <v>382</v>
      </c>
    </row>
    <row r="8" spans="1:47" s="144" customFormat="1" ht="14.25" customHeight="1" x14ac:dyDescent="0.2">
      <c r="A8" s="498"/>
      <c r="B8" s="446"/>
      <c r="C8" s="364"/>
      <c r="D8" s="140">
        <v>-1</v>
      </c>
      <c r="E8" s="141"/>
      <c r="F8" s="140">
        <v>-2</v>
      </c>
      <c r="G8" s="142"/>
      <c r="H8" s="556">
        <v>-3</v>
      </c>
      <c r="I8" s="142"/>
      <c r="J8" s="147">
        <v>-4</v>
      </c>
      <c r="K8" s="148"/>
      <c r="L8" s="148">
        <v>-5</v>
      </c>
      <c r="M8" s="148"/>
      <c r="N8" s="148">
        <v>-6</v>
      </c>
      <c r="O8" s="148"/>
      <c r="P8" s="148">
        <v>-7</v>
      </c>
      <c r="Q8" s="148"/>
      <c r="R8" s="148">
        <v>-8</v>
      </c>
      <c r="S8" s="148"/>
      <c r="T8" s="148">
        <v>-9</v>
      </c>
      <c r="U8" s="148"/>
      <c r="V8" s="148">
        <f>+R8-1</f>
        <v>-9</v>
      </c>
      <c r="X8" s="498"/>
      <c r="AA8" s="143"/>
    </row>
    <row r="9" spans="1:47" s="136" customFormat="1" x14ac:dyDescent="0.2">
      <c r="A9" s="498"/>
      <c r="B9" s="446"/>
      <c r="C9" s="364"/>
      <c r="D9" s="135"/>
      <c r="E9" s="135"/>
      <c r="F9" s="140"/>
      <c r="G9" s="134"/>
      <c r="H9" s="526"/>
      <c r="I9" s="134"/>
      <c r="J9" s="147"/>
      <c r="K9" s="148"/>
      <c r="L9" s="148"/>
      <c r="M9" s="148"/>
      <c r="N9" s="148"/>
      <c r="O9" s="148"/>
      <c r="P9" s="148"/>
      <c r="Q9" s="148"/>
      <c r="R9" s="148"/>
      <c r="S9" s="148"/>
      <c r="T9" s="148"/>
      <c r="U9" s="148"/>
      <c r="V9" s="148"/>
      <c r="X9" s="498"/>
      <c r="Z9" s="364"/>
      <c r="AA9" s="135"/>
      <c r="AB9" s="135"/>
      <c r="AC9" s="140"/>
    </row>
    <row r="10" spans="1:47" x14ac:dyDescent="0.2">
      <c r="D10" s="233" t="s">
        <v>126</v>
      </c>
      <c r="E10" s="130"/>
      <c r="F10" s="142"/>
      <c r="G10" s="131"/>
      <c r="H10" s="487"/>
      <c r="I10" s="131"/>
      <c r="J10" s="138"/>
      <c r="Y10" s="136"/>
      <c r="Z10" s="365"/>
      <c r="AA10" s="233" t="s">
        <v>126</v>
      </c>
      <c r="AB10" s="130"/>
      <c r="AC10" s="142"/>
    </row>
    <row r="11" spans="1:47" x14ac:dyDescent="0.2">
      <c r="D11" s="399" t="s">
        <v>437</v>
      </c>
      <c r="E11" s="130"/>
      <c r="F11" s="142"/>
      <c r="G11" s="131"/>
      <c r="H11" s="487"/>
      <c r="I11" s="131"/>
      <c r="J11" s="138"/>
      <c r="Y11" s="136"/>
      <c r="Z11" s="365"/>
      <c r="AA11" s="399" t="s">
        <v>437</v>
      </c>
      <c r="AB11" s="130"/>
      <c r="AC11" s="142"/>
    </row>
    <row r="12" spans="1:47" x14ac:dyDescent="0.2">
      <c r="D12" s="400" t="s">
        <v>11</v>
      </c>
      <c r="E12" s="130"/>
      <c r="F12" s="142"/>
      <c r="G12" s="131"/>
      <c r="H12" s="487"/>
      <c r="I12" s="131"/>
      <c r="J12" s="138"/>
      <c r="Y12" s="136"/>
      <c r="Z12" s="365"/>
      <c r="AA12" s="400" t="s">
        <v>11</v>
      </c>
      <c r="AB12" s="130"/>
      <c r="AC12" s="142"/>
    </row>
    <row r="13" spans="1:47" x14ac:dyDescent="0.2">
      <c r="D13" s="401" t="s">
        <v>112</v>
      </c>
      <c r="E13" s="130"/>
      <c r="F13" s="142"/>
      <c r="G13" s="131"/>
      <c r="H13" s="309"/>
      <c r="I13" s="131"/>
      <c r="J13" s="138"/>
      <c r="Y13" s="136"/>
      <c r="Z13" s="365"/>
      <c r="AA13" s="401" t="s">
        <v>112</v>
      </c>
      <c r="AB13" s="130"/>
      <c r="AC13" s="142"/>
    </row>
    <row r="14" spans="1:47" x14ac:dyDescent="0.2">
      <c r="B14" s="446">
        <v>615.1</v>
      </c>
      <c r="D14" s="399" t="s">
        <v>12</v>
      </c>
      <c r="E14" s="130"/>
      <c r="F14" s="142">
        <v>1</v>
      </c>
      <c r="G14" s="131"/>
      <c r="H14" s="309">
        <v>861238.32000000007</v>
      </c>
      <c r="I14" s="131"/>
      <c r="J14" s="230">
        <f>(VLOOKUP($F14,Factors,J$329))*$H14</f>
        <v>426657.46372800006</v>
      </c>
      <c r="K14" s="365"/>
      <c r="L14" s="230">
        <f>(VLOOKUP($F14,Factors,L$329))*$H14</f>
        <v>236926.66183200004</v>
      </c>
      <c r="M14" s="365"/>
      <c r="N14" s="230">
        <f>(VLOOKUP($F14,Factors,N$329))*$H14</f>
        <v>93013.738560000013</v>
      </c>
      <c r="O14" s="365"/>
      <c r="P14" s="230">
        <f>(VLOOKUP($F14,Factors,P$329))*$H14</f>
        <v>53913.518832000009</v>
      </c>
      <c r="Q14" s="365"/>
      <c r="R14" s="230">
        <f>(VLOOKUP($F14,Factors,R$329))*$H14</f>
        <v>45559.507128000005</v>
      </c>
      <c r="S14" s="365"/>
      <c r="T14" s="230">
        <f>(VLOOKUP($F14,Factors,T$329))*$H14</f>
        <v>0</v>
      </c>
      <c r="U14" s="365"/>
      <c r="V14" s="230">
        <f>(VLOOKUP($F14,Factors,V$329))*$H14</f>
        <v>5167.4299200000005</v>
      </c>
      <c r="X14" s="231">
        <f>+H14-SUM(J14:V14)</f>
        <v>0</v>
      </c>
      <c r="Y14" s="136">
        <v>615.1</v>
      </c>
      <c r="Z14" s="365"/>
      <c r="AA14" s="399" t="s">
        <v>12</v>
      </c>
      <c r="AB14" s="130"/>
      <c r="AC14" s="409">
        <f>+F14</f>
        <v>1</v>
      </c>
      <c r="AD14" s="130"/>
      <c r="AE14" s="409">
        <f>+H14</f>
        <v>861238.32000000007</v>
      </c>
      <c r="AG14" s="152">
        <f>(VLOOKUP($AC14,func,AG$329))*$AE14</f>
        <v>856070.89008000004</v>
      </c>
      <c r="AH14" s="152"/>
      <c r="AI14" s="152">
        <f>(VLOOKUP($AC14,func,AI$329))*$AE14</f>
        <v>0</v>
      </c>
      <c r="AJ14" s="152"/>
      <c r="AK14" s="152">
        <f>(VLOOKUP($AC14,func,AK$329))*$AE14</f>
        <v>0</v>
      </c>
      <c r="AL14" s="152"/>
      <c r="AM14" s="152">
        <f>(VLOOKUP($AC14,func,AM$329))*$AE14</f>
        <v>0</v>
      </c>
      <c r="AN14" s="152"/>
      <c r="AO14" s="152">
        <f>(VLOOKUP($AC14,func,AO$329))*$AE14</f>
        <v>0</v>
      </c>
      <c r="AP14" s="152"/>
      <c r="AQ14" s="152">
        <f>(VLOOKUP($AC14,func,AQ$329))*$AE14</f>
        <v>0</v>
      </c>
      <c r="AR14" s="152"/>
      <c r="AS14" s="152">
        <f>(VLOOKUP($AC14,func,AS$329))*$AE14</f>
        <v>5167.4299200000005</v>
      </c>
      <c r="AU14" s="151"/>
    </row>
    <row r="15" spans="1:47" s="486" customFormat="1" x14ac:dyDescent="0.2">
      <c r="A15" s="498"/>
      <c r="B15" s="446">
        <v>620.1</v>
      </c>
      <c r="C15" s="365"/>
      <c r="D15" s="399" t="s">
        <v>477</v>
      </c>
      <c r="E15" s="130"/>
      <c r="F15" s="142">
        <v>2</v>
      </c>
      <c r="G15" s="131"/>
      <c r="H15" s="309">
        <v>0</v>
      </c>
      <c r="I15" s="131"/>
      <c r="J15" s="230">
        <f>(VLOOKUP($F15,Factors,J$329))*$H15</f>
        <v>0</v>
      </c>
      <c r="K15" s="365"/>
      <c r="L15" s="230">
        <f>(VLOOKUP($F15,Factors,L$329))*$H15</f>
        <v>0</v>
      </c>
      <c r="M15" s="365"/>
      <c r="N15" s="230">
        <f>(VLOOKUP($F15,Factors,N$329))*$H15</f>
        <v>0</v>
      </c>
      <c r="O15" s="365"/>
      <c r="P15" s="230">
        <f>(VLOOKUP($F15,Factors,P$329))*$H15</f>
        <v>0</v>
      </c>
      <c r="Q15" s="365"/>
      <c r="R15" s="230">
        <f>(VLOOKUP($F15,Factors,R$329))*$H15</f>
        <v>0</v>
      </c>
      <c r="S15" s="365"/>
      <c r="T15" s="230">
        <f>(VLOOKUP($F15,Factors,T$329))*$H15</f>
        <v>0</v>
      </c>
      <c r="U15" s="365"/>
      <c r="V15" s="230">
        <f>(VLOOKUP($F15,Factors,V$329))*$H15</f>
        <v>0</v>
      </c>
      <c r="X15" s="231"/>
      <c r="Y15" s="446">
        <v>620.1</v>
      </c>
      <c r="Z15" s="365"/>
      <c r="AA15" s="399" t="s">
        <v>477</v>
      </c>
      <c r="AB15" s="130"/>
      <c r="AC15" s="409">
        <f>+F15</f>
        <v>2</v>
      </c>
      <c r="AD15" s="130"/>
      <c r="AE15" s="409">
        <f>+H15</f>
        <v>0</v>
      </c>
      <c r="AG15" s="152">
        <f>(VLOOKUP($AC15,func,AG$329))*$AE15</f>
        <v>0</v>
      </c>
      <c r="AH15" s="152"/>
      <c r="AI15" s="152">
        <f>(VLOOKUP($AC15,func,AI$329))*$AE15</f>
        <v>0</v>
      </c>
      <c r="AJ15" s="152"/>
      <c r="AK15" s="152">
        <f>(VLOOKUP($AC15,func,AK$329))*$AE15</f>
        <v>0</v>
      </c>
      <c r="AL15" s="152"/>
      <c r="AM15" s="152">
        <f>(VLOOKUP($AC15,func,AM$329))*$AE15</f>
        <v>0</v>
      </c>
      <c r="AN15" s="152"/>
      <c r="AO15" s="152">
        <f>(VLOOKUP($AC15,func,AO$329))*$AE15</f>
        <v>0</v>
      </c>
      <c r="AP15" s="152"/>
      <c r="AQ15" s="152">
        <f>(VLOOKUP($AC15,func,AQ$329))*$AE15</f>
        <v>0</v>
      </c>
      <c r="AR15" s="152"/>
      <c r="AS15" s="152">
        <f>(VLOOKUP($AC15,func,AS$329))*$AE15</f>
        <v>0</v>
      </c>
      <c r="AU15" s="151"/>
    </row>
    <row r="16" spans="1:47" x14ac:dyDescent="0.2">
      <c r="B16" s="446">
        <v>635.1</v>
      </c>
      <c r="D16" s="399" t="s">
        <v>28</v>
      </c>
      <c r="E16" s="130"/>
      <c r="F16" s="142">
        <v>2</v>
      </c>
      <c r="G16" s="131"/>
      <c r="H16" s="540">
        <v>2590.85</v>
      </c>
      <c r="I16" s="131"/>
      <c r="J16" s="139">
        <f>(VLOOKUP($F16,Factors,J$329))*$H16</f>
        <v>1344.9102350000001</v>
      </c>
      <c r="L16" s="223">
        <f>(VLOOKUP($F16,Factors,L$329))*$H16</f>
        <v>690.20243999999991</v>
      </c>
      <c r="N16" s="223">
        <f>(VLOOKUP($F16,Factors,N$329))*$H16</f>
        <v>263.74853000000002</v>
      </c>
      <c r="P16" s="223">
        <f>(VLOOKUP($F16,Factors,P$329))*$H16</f>
        <v>152.86015</v>
      </c>
      <c r="R16" s="223">
        <f>(VLOOKUP($F16,Factors,R$329))*$H16</f>
        <v>129.28341499999999</v>
      </c>
      <c r="T16" s="223">
        <f>(VLOOKUP($F16,Factors,T$329))*$H16</f>
        <v>0</v>
      </c>
      <c r="V16" s="223">
        <f>(VLOOKUP($F16,Factors,V$329))*$H16</f>
        <v>9.845229999999999</v>
      </c>
      <c r="X16" s="231">
        <f t="shared" ref="X16:X63" si="0">+H16-SUM(J16:V16)</f>
        <v>0</v>
      </c>
      <c r="Y16" s="136">
        <v>635.1</v>
      </c>
      <c r="Z16" s="365"/>
      <c r="AA16" s="399" t="s">
        <v>28</v>
      </c>
      <c r="AB16" s="130"/>
      <c r="AC16" s="409">
        <f>+F16</f>
        <v>2</v>
      </c>
      <c r="AD16" s="130"/>
      <c r="AE16" s="410">
        <f>+H16</f>
        <v>2590.85</v>
      </c>
      <c r="AG16" s="139">
        <f>(VLOOKUP($AC16,func,AG$329))*$AE16</f>
        <v>1609.4360199999999</v>
      </c>
      <c r="AH16" s="152"/>
      <c r="AI16" s="139">
        <f>(VLOOKUP($AC16,func,AI$329))*$AE16</f>
        <v>971.56874999999991</v>
      </c>
      <c r="AJ16" s="152"/>
      <c r="AK16" s="139">
        <f>(VLOOKUP($AC16,func,AK$329))*$AE16</f>
        <v>0</v>
      </c>
      <c r="AL16" s="152"/>
      <c r="AM16" s="139">
        <f>(VLOOKUP($AC16,func,AM$329))*$AE16</f>
        <v>0</v>
      </c>
      <c r="AN16" s="152"/>
      <c r="AO16" s="139">
        <f>(VLOOKUP($AC16,func,AO$329))*$AE16</f>
        <v>0</v>
      </c>
      <c r="AP16" s="152"/>
      <c r="AQ16" s="139">
        <f>(VLOOKUP($AC16,func,AQ$329))*$AE16</f>
        <v>0</v>
      </c>
      <c r="AR16" s="152"/>
      <c r="AS16" s="139">
        <f>(VLOOKUP($AC16,func,AS$329))*$AE16</f>
        <v>9.845229999999999</v>
      </c>
      <c r="AU16" s="151"/>
    </row>
    <row r="17" spans="1:47" x14ac:dyDescent="0.2">
      <c r="D17" s="400" t="s">
        <v>52</v>
      </c>
      <c r="E17" s="130"/>
      <c r="F17" s="142"/>
      <c r="G17" s="131"/>
      <c r="H17" s="309">
        <f>SUM(H14:H16)</f>
        <v>863829.17</v>
      </c>
      <c r="I17" s="131"/>
      <c r="J17" s="138">
        <f>SUM(J14:J16)</f>
        <v>428002.37396300008</v>
      </c>
      <c r="K17" s="131"/>
      <c r="L17" s="138">
        <f>SUM(L14:L16)</f>
        <v>237616.86427200004</v>
      </c>
      <c r="M17" s="131"/>
      <c r="N17" s="138">
        <f>SUM(N14:N16)</f>
        <v>93277.48709000001</v>
      </c>
      <c r="O17" s="131"/>
      <c r="P17" s="138">
        <f>SUM(P14:P16)</f>
        <v>54066.378982000009</v>
      </c>
      <c r="Q17" s="131"/>
      <c r="R17" s="138">
        <f>SUM(R14:R16)</f>
        <v>45688.790543000003</v>
      </c>
      <c r="S17" s="131"/>
      <c r="T17" s="138">
        <f>SUM(T14:T16)</f>
        <v>0</v>
      </c>
      <c r="U17" s="131"/>
      <c r="V17" s="138">
        <f>SUM(V14:V16)</f>
        <v>5177.2751500000004</v>
      </c>
      <c r="X17" s="231">
        <f t="shared" si="0"/>
        <v>0</v>
      </c>
      <c r="Y17" s="136"/>
      <c r="Z17" s="365"/>
      <c r="AA17" s="400" t="s">
        <v>52</v>
      </c>
      <c r="AB17" s="130"/>
      <c r="AC17" s="142"/>
      <c r="AE17" s="138">
        <f>SUM(AE14:AE16)</f>
        <v>863829.17</v>
      </c>
      <c r="AG17" s="138">
        <f>SUM(AG14:AG16)</f>
        <v>857680.32610000006</v>
      </c>
      <c r="AI17" s="138">
        <f>SUM(AI14:AI16)</f>
        <v>971.56874999999991</v>
      </c>
      <c r="AK17" s="138">
        <f>SUM(AK14:AK16)</f>
        <v>0</v>
      </c>
      <c r="AM17" s="138">
        <f>SUM(AM14:AM16)</f>
        <v>0</v>
      </c>
      <c r="AO17" s="138">
        <f>SUM(AO14:AO16)</f>
        <v>0</v>
      </c>
      <c r="AQ17" s="138">
        <f>SUM(AQ14:AQ16)</f>
        <v>0</v>
      </c>
      <c r="AS17" s="138">
        <f>SUM(AS14:AS16)</f>
        <v>5177.2751500000004</v>
      </c>
      <c r="AU17" s="151"/>
    </row>
    <row r="18" spans="1:47" x14ac:dyDescent="0.2">
      <c r="D18" s="399"/>
      <c r="E18" s="130"/>
      <c r="F18" s="142"/>
      <c r="G18" s="131"/>
      <c r="H18" s="309"/>
      <c r="I18" s="131"/>
      <c r="J18" s="138"/>
      <c r="X18" s="231">
        <f t="shared" si="0"/>
        <v>0</v>
      </c>
      <c r="Y18" s="136"/>
      <c r="Z18" s="365"/>
      <c r="AA18" s="399"/>
      <c r="AB18" s="130"/>
      <c r="AC18" s="142"/>
      <c r="AU18" s="151"/>
    </row>
    <row r="19" spans="1:47" x14ac:dyDescent="0.2">
      <c r="D19" s="402"/>
      <c r="E19" s="130"/>
      <c r="F19" s="142"/>
      <c r="G19" s="131"/>
      <c r="H19" s="309"/>
      <c r="I19" s="131"/>
      <c r="J19" s="138"/>
      <c r="X19" s="231">
        <f t="shared" si="0"/>
        <v>0</v>
      </c>
      <c r="Y19" s="136"/>
      <c r="Z19" s="365"/>
      <c r="AA19" s="402"/>
      <c r="AB19" s="130"/>
      <c r="AC19" s="142"/>
      <c r="AU19" s="151"/>
    </row>
    <row r="20" spans="1:47" x14ac:dyDescent="0.2">
      <c r="D20" s="403" t="s">
        <v>385</v>
      </c>
      <c r="E20" s="130"/>
      <c r="F20" s="142"/>
      <c r="G20" s="131"/>
      <c r="H20" s="309"/>
      <c r="I20" s="131"/>
      <c r="J20" s="138"/>
      <c r="X20" s="231">
        <f t="shared" si="0"/>
        <v>0</v>
      </c>
      <c r="Y20" s="136"/>
      <c r="Z20" s="365"/>
      <c r="AA20" s="403" t="s">
        <v>385</v>
      </c>
      <c r="AB20" s="130"/>
      <c r="AC20" s="142"/>
      <c r="AU20" s="151"/>
    </row>
    <row r="21" spans="1:47" x14ac:dyDescent="0.2">
      <c r="B21" s="446">
        <v>620.20000000000005</v>
      </c>
      <c r="D21" s="399" t="s">
        <v>16</v>
      </c>
      <c r="E21" s="130"/>
      <c r="F21" s="142">
        <v>2</v>
      </c>
      <c r="G21" s="131"/>
      <c r="H21" s="309">
        <f>+A21</f>
        <v>0</v>
      </c>
      <c r="I21" s="131"/>
      <c r="J21" s="230">
        <f>(VLOOKUP($F21,Factors,J$329))*$H21</f>
        <v>0</v>
      </c>
      <c r="K21" s="365"/>
      <c r="L21" s="230">
        <f>(VLOOKUP($F21,Factors,L$329))*$H21</f>
        <v>0</v>
      </c>
      <c r="M21" s="365"/>
      <c r="N21" s="230">
        <f>(VLOOKUP($F21,Factors,N$329))*$H21</f>
        <v>0</v>
      </c>
      <c r="O21" s="365"/>
      <c r="P21" s="230">
        <f>(VLOOKUP($F21,Factors,P$329))*$H21</f>
        <v>0</v>
      </c>
      <c r="Q21" s="365"/>
      <c r="R21" s="230">
        <f>(VLOOKUP($F21,Factors,R$329))*$H21</f>
        <v>0</v>
      </c>
      <c r="S21" s="365"/>
      <c r="T21" s="230">
        <f>(VLOOKUP($F21,Factors,T$329))*$H21</f>
        <v>0</v>
      </c>
      <c r="U21" s="365"/>
      <c r="V21" s="230">
        <f>(VLOOKUP($F21,Factors,V$329))*$H21</f>
        <v>0</v>
      </c>
      <c r="X21" s="231">
        <f t="shared" si="0"/>
        <v>0</v>
      </c>
      <c r="Y21" s="136">
        <v>620.20000000000005</v>
      </c>
      <c r="Z21" s="365"/>
      <c r="AA21" s="399" t="s">
        <v>16</v>
      </c>
      <c r="AB21" s="130"/>
      <c r="AC21" s="409">
        <f>+F21</f>
        <v>2</v>
      </c>
      <c r="AD21" s="130"/>
      <c r="AE21" s="409">
        <f>+H21</f>
        <v>0</v>
      </c>
      <c r="AG21" s="152">
        <f>(VLOOKUP($AC21,func,AG$329))*$AE21</f>
        <v>0</v>
      </c>
      <c r="AH21" s="152"/>
      <c r="AI21" s="152">
        <f>(VLOOKUP($AC21,func,AI$329))*$AE21</f>
        <v>0</v>
      </c>
      <c r="AJ21" s="152"/>
      <c r="AK21" s="152">
        <f>(VLOOKUP($AC21,func,AK$329))*$AE21</f>
        <v>0</v>
      </c>
      <c r="AL21" s="152"/>
      <c r="AM21" s="152">
        <f>(VLOOKUP($AC21,func,AM$329))*$AE21</f>
        <v>0</v>
      </c>
      <c r="AN21" s="152"/>
      <c r="AO21" s="152">
        <f>(VLOOKUP($AC21,func,AO$329))*$AE21</f>
        <v>0</v>
      </c>
      <c r="AP21" s="152"/>
      <c r="AQ21" s="152">
        <f>(VLOOKUP($AC21,func,AQ$329))*$AE21</f>
        <v>0</v>
      </c>
      <c r="AR21" s="152"/>
      <c r="AS21" s="152">
        <f>(VLOOKUP($AC21,func,AS$329))*$AE21</f>
        <v>0</v>
      </c>
      <c r="AU21" s="151"/>
    </row>
    <row r="22" spans="1:47" x14ac:dyDescent="0.2">
      <c r="B22" s="446">
        <v>635.20000000000005</v>
      </c>
      <c r="D22" s="399" t="s">
        <v>28</v>
      </c>
      <c r="E22" s="130"/>
      <c r="F22" s="142">
        <v>2</v>
      </c>
      <c r="G22" s="131"/>
      <c r="H22" s="540">
        <f>+A22</f>
        <v>0</v>
      </c>
      <c r="I22" s="131"/>
      <c r="J22" s="414">
        <f>(VLOOKUP($F22,Factors,J$329))*$H22</f>
        <v>0</v>
      </c>
      <c r="K22" s="365"/>
      <c r="L22" s="414">
        <f>(VLOOKUP($F22,Factors,L$329))*$H22</f>
        <v>0</v>
      </c>
      <c r="M22" s="365"/>
      <c r="N22" s="414">
        <f>(VLOOKUP($F22,Factors,N$329))*$H22</f>
        <v>0</v>
      </c>
      <c r="O22" s="365"/>
      <c r="P22" s="414">
        <f>(VLOOKUP($F22,Factors,P$329))*$H22</f>
        <v>0</v>
      </c>
      <c r="Q22" s="365"/>
      <c r="R22" s="414">
        <f>(VLOOKUP($F22,Factors,R$329))*$H22</f>
        <v>0</v>
      </c>
      <c r="S22" s="365"/>
      <c r="T22" s="414">
        <f>(VLOOKUP($F22,Factors,T$329))*$H22</f>
        <v>0</v>
      </c>
      <c r="U22" s="365"/>
      <c r="V22" s="414">
        <f>(VLOOKUP($F22,Factors,V$329))*$H22</f>
        <v>0</v>
      </c>
      <c r="X22" s="231">
        <f t="shared" si="0"/>
        <v>0</v>
      </c>
      <c r="Y22" s="136">
        <v>635.20000000000005</v>
      </c>
      <c r="Z22" s="365"/>
      <c r="AA22" s="399" t="s">
        <v>28</v>
      </c>
      <c r="AB22" s="130"/>
      <c r="AC22" s="409">
        <f>+F22</f>
        <v>2</v>
      </c>
      <c r="AD22" s="130"/>
      <c r="AE22" s="410">
        <f>+H22</f>
        <v>0</v>
      </c>
      <c r="AG22" s="139">
        <f>(VLOOKUP($AC22,func,AG$329))*$AE22</f>
        <v>0</v>
      </c>
      <c r="AH22" s="152"/>
      <c r="AI22" s="139">
        <f>(VLOOKUP($AC22,func,AI$329))*$AE22</f>
        <v>0</v>
      </c>
      <c r="AJ22" s="152"/>
      <c r="AK22" s="139">
        <f>(VLOOKUP($AC22,func,AK$329))*$AE22</f>
        <v>0</v>
      </c>
      <c r="AL22" s="152"/>
      <c r="AM22" s="139">
        <f>(VLOOKUP($AC22,func,AM$329))*$AE22</f>
        <v>0</v>
      </c>
      <c r="AN22" s="152"/>
      <c r="AO22" s="139">
        <f>(VLOOKUP($AC22,func,AO$329))*$AE22</f>
        <v>0</v>
      </c>
      <c r="AP22" s="152"/>
      <c r="AQ22" s="139">
        <f>(VLOOKUP($AC22,func,AQ$329))*$AE22</f>
        <v>0</v>
      </c>
      <c r="AR22" s="152"/>
      <c r="AS22" s="139">
        <f>(VLOOKUP($AC22,func,AS$329))*$AE22</f>
        <v>0</v>
      </c>
      <c r="AU22" s="151"/>
    </row>
    <row r="23" spans="1:47" x14ac:dyDescent="0.2">
      <c r="D23" s="400" t="s">
        <v>53</v>
      </c>
      <c r="E23" s="130"/>
      <c r="F23" s="142"/>
      <c r="G23" s="131"/>
      <c r="H23" s="309">
        <f>SUM(H21:H22)</f>
        <v>0</v>
      </c>
      <c r="I23" s="131"/>
      <c r="J23" s="138">
        <f>SUM(J21:J22)</f>
        <v>0</v>
      </c>
      <c r="K23" s="131"/>
      <c r="L23" s="138">
        <f>SUM(L21:L22)</f>
        <v>0</v>
      </c>
      <c r="M23" s="131"/>
      <c r="N23" s="138">
        <f>SUM(N21:N22)</f>
        <v>0</v>
      </c>
      <c r="O23" s="131"/>
      <c r="P23" s="138">
        <f>SUM(P21:P22)</f>
        <v>0</v>
      </c>
      <c r="Q23" s="131"/>
      <c r="R23" s="138">
        <f>SUM(R21:R22)</f>
        <v>0</v>
      </c>
      <c r="S23" s="131"/>
      <c r="T23" s="138">
        <f>SUM(T21:T22)</f>
        <v>0</v>
      </c>
      <c r="U23" s="131"/>
      <c r="V23" s="138">
        <f>SUM(V21:V22)</f>
        <v>0</v>
      </c>
      <c r="X23" s="231">
        <f t="shared" si="0"/>
        <v>0</v>
      </c>
      <c r="Y23" s="136"/>
      <c r="Z23" s="365"/>
      <c r="AA23" s="400" t="s">
        <v>53</v>
      </c>
      <c r="AB23" s="130"/>
      <c r="AC23" s="142"/>
      <c r="AE23" s="138">
        <f>SUM(AE21:AE22)</f>
        <v>0</v>
      </c>
      <c r="AG23" s="138">
        <f>SUM(AG21:AG22)</f>
        <v>0</v>
      </c>
      <c r="AI23" s="138">
        <f>SUM(AI21:AI22)</f>
        <v>0</v>
      </c>
      <c r="AK23" s="138">
        <f>SUM(AK21:AK22)</f>
        <v>0</v>
      </c>
      <c r="AM23" s="138">
        <f>SUM(AM21:AM22)</f>
        <v>0</v>
      </c>
      <c r="AO23" s="138">
        <f>SUM(AO21:AO22)</f>
        <v>0</v>
      </c>
      <c r="AQ23" s="138">
        <f>SUM(AQ21:AQ22)</f>
        <v>0</v>
      </c>
      <c r="AS23" s="138">
        <f>SUM(AS21:AS22)</f>
        <v>0</v>
      </c>
      <c r="AU23" s="151"/>
    </row>
    <row r="24" spans="1:47" x14ac:dyDescent="0.2">
      <c r="D24" s="400"/>
      <c r="E24" s="130"/>
      <c r="F24" s="142"/>
      <c r="G24" s="131"/>
      <c r="H24" s="309"/>
      <c r="I24" s="131"/>
      <c r="J24" s="138"/>
      <c r="K24" s="131"/>
      <c r="L24" s="138"/>
      <c r="M24" s="131"/>
      <c r="N24" s="138"/>
      <c r="O24" s="131"/>
      <c r="P24" s="138"/>
      <c r="Q24" s="131"/>
      <c r="R24" s="138"/>
      <c r="S24" s="131"/>
      <c r="T24" s="138"/>
      <c r="U24" s="131"/>
      <c r="V24" s="138"/>
      <c r="X24" s="231">
        <f t="shared" si="0"/>
        <v>0</v>
      </c>
      <c r="Y24" s="136"/>
      <c r="Z24" s="365"/>
      <c r="AA24" s="400"/>
      <c r="AB24" s="130"/>
      <c r="AC24" s="142"/>
      <c r="AE24" s="138"/>
      <c r="AU24" s="151"/>
    </row>
    <row r="25" spans="1:47" x14ac:dyDescent="0.2">
      <c r="D25" s="400" t="s">
        <v>54</v>
      </c>
      <c r="E25" s="130"/>
      <c r="F25" s="142"/>
      <c r="G25" s="131"/>
      <c r="H25" s="309">
        <f>+H23+H17</f>
        <v>863829.17</v>
      </c>
      <c r="I25" s="131"/>
      <c r="J25" s="138">
        <f>+J23+J17</f>
        <v>428002.37396300008</v>
      </c>
      <c r="K25" s="131"/>
      <c r="L25" s="138">
        <f>+L23+L17</f>
        <v>237616.86427200004</v>
      </c>
      <c r="M25" s="131"/>
      <c r="N25" s="138">
        <f>+N23+N17</f>
        <v>93277.48709000001</v>
      </c>
      <c r="O25" s="131"/>
      <c r="P25" s="138">
        <f>+P23+P17</f>
        <v>54066.378982000009</v>
      </c>
      <c r="Q25" s="131"/>
      <c r="R25" s="138">
        <f>+R23+R17</f>
        <v>45688.790543000003</v>
      </c>
      <c r="S25" s="131"/>
      <c r="T25" s="138">
        <f>+T23+T17</f>
        <v>0</v>
      </c>
      <c r="U25" s="131"/>
      <c r="V25" s="138">
        <f>+V23+V17</f>
        <v>5177.2751500000004</v>
      </c>
      <c r="X25" s="231">
        <f t="shared" si="0"/>
        <v>0</v>
      </c>
      <c r="Y25" s="136"/>
      <c r="Z25" s="365"/>
      <c r="AA25" s="400" t="s">
        <v>54</v>
      </c>
      <c r="AB25" s="130"/>
      <c r="AC25" s="142"/>
      <c r="AE25" s="138">
        <f>+AE23+AE17</f>
        <v>863829.17</v>
      </c>
      <c r="AG25" s="138">
        <f>+AG23+AG17</f>
        <v>857680.32610000006</v>
      </c>
      <c r="AI25" s="138">
        <f>+AI23+AI17</f>
        <v>971.56874999999991</v>
      </c>
      <c r="AK25" s="138">
        <f>+AK23+AK17</f>
        <v>0</v>
      </c>
      <c r="AM25" s="138">
        <f>+AM23+AM17</f>
        <v>0</v>
      </c>
      <c r="AO25" s="138">
        <f>+AO23+AO17</f>
        <v>0</v>
      </c>
      <c r="AQ25" s="138">
        <f>+AQ23+AQ17</f>
        <v>0</v>
      </c>
      <c r="AS25" s="138">
        <f>+AS23+AS17</f>
        <v>5177.2751500000004</v>
      </c>
      <c r="AU25" s="151"/>
    </row>
    <row r="26" spans="1:47" x14ac:dyDescent="0.2">
      <c r="D26" s="399"/>
      <c r="E26" s="130"/>
      <c r="F26" s="142"/>
      <c r="G26" s="131"/>
      <c r="H26" s="309"/>
      <c r="I26" s="131"/>
      <c r="J26" s="138"/>
      <c r="X26" s="231">
        <f t="shared" si="0"/>
        <v>0</v>
      </c>
      <c r="Y26" s="136"/>
      <c r="Z26" s="365"/>
      <c r="AA26" s="399"/>
      <c r="AB26" s="130"/>
      <c r="AC26" s="142"/>
      <c r="AU26" s="151"/>
    </row>
    <row r="27" spans="1:47" x14ac:dyDescent="0.2">
      <c r="D27" s="401" t="s">
        <v>111</v>
      </c>
      <c r="E27" s="130"/>
      <c r="F27" s="142"/>
      <c r="G27" s="131"/>
      <c r="H27" s="309"/>
      <c r="I27" s="131"/>
      <c r="J27" s="138"/>
      <c r="X27" s="231">
        <f t="shared" si="0"/>
        <v>0</v>
      </c>
      <c r="Y27" s="136"/>
      <c r="Z27" s="365"/>
      <c r="AA27" s="401" t="s">
        <v>111</v>
      </c>
      <c r="AB27" s="130"/>
      <c r="AC27" s="142"/>
      <c r="AU27" s="151"/>
    </row>
    <row r="28" spans="1:47" x14ac:dyDescent="0.2">
      <c r="D28" s="401" t="s">
        <v>112</v>
      </c>
      <c r="E28" s="130"/>
      <c r="F28" s="142"/>
      <c r="G28" s="131"/>
      <c r="H28" s="309"/>
      <c r="I28" s="131"/>
      <c r="J28" s="138"/>
      <c r="X28" s="231">
        <f t="shared" si="0"/>
        <v>0</v>
      </c>
      <c r="Y28" s="136"/>
      <c r="Z28" s="365"/>
      <c r="AA28" s="401" t="s">
        <v>112</v>
      </c>
      <c r="AB28" s="130"/>
      <c r="AC28" s="142"/>
      <c r="AU28" s="151"/>
    </row>
    <row r="29" spans="1:47" x14ac:dyDescent="0.2">
      <c r="B29" s="446">
        <v>601.29999999999995</v>
      </c>
      <c r="D29" s="399" t="s">
        <v>114</v>
      </c>
      <c r="E29" s="130"/>
      <c r="F29" s="142">
        <v>2</v>
      </c>
      <c r="G29" s="131"/>
      <c r="H29" s="541">
        <v>870164.5</v>
      </c>
      <c r="I29" s="213"/>
      <c r="J29" s="230">
        <f t="shared" ref="J29:J40" si="1">(VLOOKUP($F29,Factors,J$329))*$H29</f>
        <v>451702.39195000002</v>
      </c>
      <c r="K29" s="365"/>
      <c r="L29" s="230">
        <f t="shared" ref="L29:L40" si="2">(VLOOKUP($F29,Factors,L$329))*$H29</f>
        <v>231811.82279999997</v>
      </c>
      <c r="M29" s="365"/>
      <c r="N29" s="230">
        <f t="shared" ref="N29:N40" si="3">(VLOOKUP($F29,Factors,N$329))*$H29</f>
        <v>88582.746100000004</v>
      </c>
      <c r="O29" s="365"/>
      <c r="P29" s="230">
        <f t="shared" ref="P29:P40" si="4">(VLOOKUP($F29,Factors,P$329))*$H29</f>
        <v>51339.705500000004</v>
      </c>
      <c r="Q29" s="365"/>
      <c r="R29" s="230">
        <f t="shared" ref="R29:R40" si="5">(VLOOKUP($F29,Factors,R$329))*$H29</f>
        <v>43421.208550000003</v>
      </c>
      <c r="S29" s="365"/>
      <c r="T29" s="230">
        <f t="shared" ref="T29:T40" si="6">(VLOOKUP($F29,Factors,T$329))*$H29</f>
        <v>0</v>
      </c>
      <c r="U29" s="365"/>
      <c r="V29" s="230">
        <f t="shared" ref="V29:V40" si="7">(VLOOKUP($F29,Factors,V$329))*$H29</f>
        <v>3306.6251000000002</v>
      </c>
      <c r="X29" s="231">
        <f t="shared" si="0"/>
        <v>0</v>
      </c>
      <c r="Y29" s="136">
        <v>601.29999999999995</v>
      </c>
      <c r="Z29" s="365"/>
      <c r="AA29" s="399" t="s">
        <v>114</v>
      </c>
      <c r="AB29" s="130"/>
      <c r="AC29" s="409">
        <f t="shared" ref="AC29:AC40" si="8">+F29</f>
        <v>2</v>
      </c>
      <c r="AD29" s="130"/>
      <c r="AE29" s="409">
        <f t="shared" ref="AE29:AE40" si="9">+H29</f>
        <v>870164.5</v>
      </c>
      <c r="AG29" s="152">
        <f t="shared" ref="AG29:AG40" si="10">(VLOOKUP($AC29,func,AG$329))*$AE29</f>
        <v>540546.18739999994</v>
      </c>
      <c r="AH29" s="152"/>
      <c r="AI29" s="152">
        <f t="shared" ref="AI29:AI40" si="11">(VLOOKUP($AC29,func,AI$329))*$AE29</f>
        <v>326311.6875</v>
      </c>
      <c r="AJ29" s="152"/>
      <c r="AK29" s="152">
        <f t="shared" ref="AK29:AK40" si="12">(VLOOKUP($AC29,func,AK$329))*$AE29</f>
        <v>0</v>
      </c>
      <c r="AL29" s="152"/>
      <c r="AM29" s="152">
        <f t="shared" ref="AM29:AM40" si="13">(VLOOKUP($AC29,func,AM$329))*$AE29</f>
        <v>0</v>
      </c>
      <c r="AN29" s="152"/>
      <c r="AO29" s="152">
        <f t="shared" ref="AO29:AO40" si="14">(VLOOKUP($AC29,func,AO$329))*$AE29</f>
        <v>0</v>
      </c>
      <c r="AP29" s="152"/>
      <c r="AQ29" s="152">
        <f t="shared" ref="AQ29:AQ40" si="15">(VLOOKUP($AC29,func,AQ$329))*$AE29</f>
        <v>0</v>
      </c>
      <c r="AR29" s="152"/>
      <c r="AS29" s="152">
        <f t="shared" ref="AS29:AS40" si="16">(VLOOKUP($AC29,func,AS$329))*$AE29</f>
        <v>3306.6251000000002</v>
      </c>
      <c r="AU29" s="151"/>
    </row>
    <row r="30" spans="1:47" s="153" customFormat="1" x14ac:dyDescent="0.2">
      <c r="A30" s="411"/>
      <c r="B30" s="447">
        <v>601.29999999999995</v>
      </c>
      <c r="D30" s="399" t="s">
        <v>113</v>
      </c>
      <c r="E30" s="209"/>
      <c r="F30" s="140">
        <v>2</v>
      </c>
      <c r="G30" s="210"/>
      <c r="H30" s="541">
        <v>462027.25</v>
      </c>
      <c r="I30" s="210"/>
      <c r="J30" s="230">
        <f t="shared" si="1"/>
        <v>239838.34547500001</v>
      </c>
      <c r="K30" s="365"/>
      <c r="L30" s="230">
        <f t="shared" si="2"/>
        <v>123084.05939999998</v>
      </c>
      <c r="M30" s="365"/>
      <c r="N30" s="230">
        <f t="shared" si="3"/>
        <v>47034.374049999999</v>
      </c>
      <c r="O30" s="365"/>
      <c r="P30" s="230">
        <f t="shared" si="4"/>
        <v>27259.607750000003</v>
      </c>
      <c r="Q30" s="365"/>
      <c r="R30" s="230">
        <f t="shared" si="5"/>
        <v>23055.159775</v>
      </c>
      <c r="S30" s="365"/>
      <c r="T30" s="230">
        <f t="shared" si="6"/>
        <v>0</v>
      </c>
      <c r="U30" s="365"/>
      <c r="V30" s="230">
        <f t="shared" si="7"/>
        <v>1755.70355</v>
      </c>
      <c r="W30"/>
      <c r="X30" s="231">
        <f t="shared" si="0"/>
        <v>0</v>
      </c>
      <c r="Y30" s="397">
        <v>601.29999999999995</v>
      </c>
      <c r="AA30" s="399" t="s">
        <v>113</v>
      </c>
      <c r="AB30" s="209"/>
      <c r="AC30" s="409">
        <f t="shared" si="8"/>
        <v>2</v>
      </c>
      <c r="AD30" s="130"/>
      <c r="AE30" s="409">
        <f t="shared" si="9"/>
        <v>462027.25</v>
      </c>
      <c r="AG30" s="152">
        <f t="shared" si="10"/>
        <v>287011.32769999997</v>
      </c>
      <c r="AH30" s="152"/>
      <c r="AI30" s="152">
        <f t="shared" si="11"/>
        <v>173260.21875</v>
      </c>
      <c r="AJ30" s="152"/>
      <c r="AK30" s="152">
        <f t="shared" si="12"/>
        <v>0</v>
      </c>
      <c r="AL30" s="152"/>
      <c r="AM30" s="152">
        <f t="shared" si="13"/>
        <v>0</v>
      </c>
      <c r="AN30" s="152"/>
      <c r="AO30" s="152">
        <f t="shared" si="14"/>
        <v>0</v>
      </c>
      <c r="AP30" s="152"/>
      <c r="AQ30" s="152">
        <f t="shared" si="15"/>
        <v>0</v>
      </c>
      <c r="AR30" s="152"/>
      <c r="AS30" s="152">
        <f t="shared" si="16"/>
        <v>1755.70355</v>
      </c>
      <c r="AU30" s="151"/>
    </row>
    <row r="31" spans="1:47" s="153" customFormat="1" x14ac:dyDescent="0.2">
      <c r="A31" s="411"/>
      <c r="B31" s="447">
        <v>615.29999999999995</v>
      </c>
      <c r="D31" s="399" t="s">
        <v>12</v>
      </c>
      <c r="E31" s="209"/>
      <c r="F31" s="140">
        <v>1</v>
      </c>
      <c r="G31" s="210"/>
      <c r="H31" s="541">
        <v>478880.37</v>
      </c>
      <c r="I31" s="210"/>
      <c r="J31" s="230">
        <f t="shared" si="1"/>
        <v>237237.33529799999</v>
      </c>
      <c r="K31" s="365"/>
      <c r="L31" s="230">
        <f t="shared" si="2"/>
        <v>131739.989787</v>
      </c>
      <c r="M31" s="365"/>
      <c r="N31" s="230">
        <f t="shared" si="3"/>
        <v>51719.079959999995</v>
      </c>
      <c r="O31" s="365"/>
      <c r="P31" s="230">
        <f t="shared" si="4"/>
        <v>29977.911162</v>
      </c>
      <c r="Q31" s="365"/>
      <c r="R31" s="230">
        <f t="shared" si="5"/>
        <v>25332.771573000002</v>
      </c>
      <c r="S31" s="365"/>
      <c r="T31" s="230">
        <f t="shared" si="6"/>
        <v>0</v>
      </c>
      <c r="U31" s="365"/>
      <c r="V31" s="230">
        <f t="shared" si="7"/>
        <v>2873.2822200000001</v>
      </c>
      <c r="W31"/>
      <c r="X31" s="231">
        <f t="shared" si="0"/>
        <v>0</v>
      </c>
      <c r="Y31" s="397">
        <v>615.29999999999995</v>
      </c>
      <c r="AA31" s="399" t="s">
        <v>12</v>
      </c>
      <c r="AB31" s="209"/>
      <c r="AC31" s="409">
        <f t="shared" si="8"/>
        <v>1</v>
      </c>
      <c r="AD31" s="130"/>
      <c r="AE31" s="409">
        <f t="shared" si="9"/>
        <v>478880.37</v>
      </c>
      <c r="AG31" s="152">
        <f t="shared" si="10"/>
        <v>476007.08778</v>
      </c>
      <c r="AH31" s="152"/>
      <c r="AI31" s="152">
        <f t="shared" si="11"/>
        <v>0</v>
      </c>
      <c r="AJ31" s="152"/>
      <c r="AK31" s="152">
        <f t="shared" si="12"/>
        <v>0</v>
      </c>
      <c r="AL31" s="152"/>
      <c r="AM31" s="152">
        <f t="shared" si="13"/>
        <v>0</v>
      </c>
      <c r="AN31" s="152"/>
      <c r="AO31" s="152">
        <f t="shared" si="14"/>
        <v>0</v>
      </c>
      <c r="AP31" s="152"/>
      <c r="AQ31" s="152">
        <f t="shared" si="15"/>
        <v>0</v>
      </c>
      <c r="AR31" s="152"/>
      <c r="AS31" s="152">
        <f t="shared" si="16"/>
        <v>2873.2822200000001</v>
      </c>
      <c r="AU31" s="151"/>
    </row>
    <row r="32" spans="1:47" s="153" customFormat="1" x14ac:dyDescent="0.2">
      <c r="A32" s="411"/>
      <c r="B32" s="447">
        <v>616.29999999999995</v>
      </c>
      <c r="D32" s="399" t="s">
        <v>14</v>
      </c>
      <c r="E32" s="209"/>
      <c r="F32" s="140">
        <v>1</v>
      </c>
      <c r="G32" s="210"/>
      <c r="H32" s="541">
        <v>105020.85999999999</v>
      </c>
      <c r="I32" s="210"/>
      <c r="J32" s="230">
        <f t="shared" si="1"/>
        <v>52027.334043999996</v>
      </c>
      <c r="K32" s="365"/>
      <c r="L32" s="230">
        <f t="shared" si="2"/>
        <v>28891.238585999996</v>
      </c>
      <c r="M32" s="365"/>
      <c r="N32" s="230">
        <f t="shared" si="3"/>
        <v>11342.252879999998</v>
      </c>
      <c r="O32" s="365"/>
      <c r="P32" s="230">
        <f t="shared" si="4"/>
        <v>6574.3058359999995</v>
      </c>
      <c r="Q32" s="365"/>
      <c r="R32" s="230">
        <f t="shared" si="5"/>
        <v>5555.603494</v>
      </c>
      <c r="S32" s="365"/>
      <c r="T32" s="230">
        <f t="shared" si="6"/>
        <v>0</v>
      </c>
      <c r="U32" s="365"/>
      <c r="V32" s="230">
        <f t="shared" si="7"/>
        <v>630.12515999999994</v>
      </c>
      <c r="W32"/>
      <c r="X32" s="231">
        <f t="shared" si="0"/>
        <v>0</v>
      </c>
      <c r="Y32" s="397">
        <v>616.29999999999995</v>
      </c>
      <c r="AA32" s="399" t="s">
        <v>14</v>
      </c>
      <c r="AB32" s="209"/>
      <c r="AC32" s="409">
        <f t="shared" si="8"/>
        <v>1</v>
      </c>
      <c r="AD32" s="130"/>
      <c r="AE32" s="409">
        <f t="shared" si="9"/>
        <v>105020.85999999999</v>
      </c>
      <c r="AG32" s="152">
        <f t="shared" si="10"/>
        <v>104390.73483999999</v>
      </c>
      <c r="AH32" s="152"/>
      <c r="AI32" s="152">
        <f t="shared" si="11"/>
        <v>0</v>
      </c>
      <c r="AJ32" s="152"/>
      <c r="AK32" s="152">
        <f t="shared" si="12"/>
        <v>0</v>
      </c>
      <c r="AL32" s="152"/>
      <c r="AM32" s="152">
        <f t="shared" si="13"/>
        <v>0</v>
      </c>
      <c r="AN32" s="152"/>
      <c r="AO32" s="152">
        <f t="shared" si="14"/>
        <v>0</v>
      </c>
      <c r="AP32" s="152"/>
      <c r="AQ32" s="152">
        <f t="shared" si="15"/>
        <v>0</v>
      </c>
      <c r="AR32" s="152"/>
      <c r="AS32" s="152">
        <f t="shared" si="16"/>
        <v>630.12515999999994</v>
      </c>
      <c r="AU32" s="151"/>
    </row>
    <row r="33" spans="1:47" s="153" customFormat="1" x14ac:dyDescent="0.2">
      <c r="A33" s="411"/>
      <c r="B33" s="447">
        <v>618.29999999999995</v>
      </c>
      <c r="D33" s="399" t="s">
        <v>15</v>
      </c>
      <c r="E33" s="209"/>
      <c r="F33" s="140">
        <v>1</v>
      </c>
      <c r="G33" s="210"/>
      <c r="H33" s="541">
        <v>2170435.09</v>
      </c>
      <c r="I33" s="152"/>
      <c r="J33" s="230">
        <f t="shared" si="1"/>
        <v>1075233.5435859999</v>
      </c>
      <c r="K33" s="365"/>
      <c r="L33" s="230">
        <f t="shared" si="2"/>
        <v>597086.69325899996</v>
      </c>
      <c r="M33" s="365"/>
      <c r="N33" s="230">
        <f t="shared" si="3"/>
        <v>234406.98971999998</v>
      </c>
      <c r="O33" s="365"/>
      <c r="P33" s="230">
        <f t="shared" si="4"/>
        <v>135869.236634</v>
      </c>
      <c r="Q33" s="365"/>
      <c r="R33" s="230">
        <f t="shared" si="5"/>
        <v>114816.016261</v>
      </c>
      <c r="S33" s="365"/>
      <c r="T33" s="230">
        <f t="shared" si="6"/>
        <v>0</v>
      </c>
      <c r="U33" s="365"/>
      <c r="V33" s="230">
        <f t="shared" si="7"/>
        <v>13022.61054</v>
      </c>
      <c r="W33"/>
      <c r="X33" s="231">
        <f t="shared" si="0"/>
        <v>0</v>
      </c>
      <c r="Y33" s="397">
        <v>618.29999999999995</v>
      </c>
      <c r="AA33" s="399" t="s">
        <v>15</v>
      </c>
      <c r="AB33" s="209"/>
      <c r="AC33" s="409">
        <f t="shared" si="8"/>
        <v>1</v>
      </c>
      <c r="AD33" s="130"/>
      <c r="AE33" s="409">
        <f t="shared" si="9"/>
        <v>2170435.09</v>
      </c>
      <c r="AF33" s="152"/>
      <c r="AG33" s="152">
        <f t="shared" si="10"/>
        <v>2157412.4794600001</v>
      </c>
      <c r="AH33" s="152"/>
      <c r="AI33" s="152">
        <f t="shared" si="11"/>
        <v>0</v>
      </c>
      <c r="AJ33" s="152"/>
      <c r="AK33" s="152">
        <f t="shared" si="12"/>
        <v>0</v>
      </c>
      <c r="AL33" s="152"/>
      <c r="AM33" s="152">
        <f t="shared" si="13"/>
        <v>0</v>
      </c>
      <c r="AN33" s="152"/>
      <c r="AO33" s="152">
        <f t="shared" si="14"/>
        <v>0</v>
      </c>
      <c r="AP33" s="152"/>
      <c r="AQ33" s="152">
        <f t="shared" si="15"/>
        <v>0</v>
      </c>
      <c r="AR33" s="152"/>
      <c r="AS33" s="152">
        <f t="shared" si="16"/>
        <v>13022.61054</v>
      </c>
      <c r="AU33" s="151"/>
    </row>
    <row r="34" spans="1:47" s="153" customFormat="1" x14ac:dyDescent="0.2">
      <c r="A34" s="411"/>
      <c r="B34" s="447">
        <v>620.29999999999995</v>
      </c>
      <c r="D34" s="399" t="s">
        <v>16</v>
      </c>
      <c r="E34" s="209"/>
      <c r="F34" s="140">
        <v>2</v>
      </c>
      <c r="G34" s="210"/>
      <c r="H34" s="541">
        <v>312022.15999999997</v>
      </c>
      <c r="I34" s="210"/>
      <c r="J34" s="230">
        <f t="shared" si="1"/>
        <v>161970.70325599998</v>
      </c>
      <c r="K34" s="365"/>
      <c r="L34" s="230">
        <f t="shared" si="2"/>
        <v>83122.703423999978</v>
      </c>
      <c r="M34" s="365"/>
      <c r="N34" s="230">
        <f t="shared" si="3"/>
        <v>31763.855887999998</v>
      </c>
      <c r="O34" s="365"/>
      <c r="P34" s="230">
        <f t="shared" si="4"/>
        <v>18409.30744</v>
      </c>
      <c r="Q34" s="365"/>
      <c r="R34" s="230">
        <f t="shared" si="5"/>
        <v>15569.905783999999</v>
      </c>
      <c r="S34" s="365"/>
      <c r="T34" s="230">
        <f t="shared" si="6"/>
        <v>0</v>
      </c>
      <c r="U34" s="365"/>
      <c r="V34" s="230">
        <f t="shared" si="7"/>
        <v>1185.6842079999999</v>
      </c>
      <c r="W34"/>
      <c r="X34" s="231">
        <f t="shared" si="0"/>
        <v>0</v>
      </c>
      <c r="Y34" s="397">
        <v>620.29999999999995</v>
      </c>
      <c r="AA34" s="399" t="s">
        <v>16</v>
      </c>
      <c r="AB34" s="209"/>
      <c r="AC34" s="409">
        <f t="shared" si="8"/>
        <v>2</v>
      </c>
      <c r="AD34" s="130"/>
      <c r="AE34" s="409">
        <f t="shared" si="9"/>
        <v>312022.15999999997</v>
      </c>
      <c r="AG34" s="152">
        <f t="shared" si="10"/>
        <v>193828.16579199999</v>
      </c>
      <c r="AH34" s="152"/>
      <c r="AI34" s="152">
        <f t="shared" si="11"/>
        <v>117008.31</v>
      </c>
      <c r="AJ34" s="152"/>
      <c r="AK34" s="152">
        <f t="shared" si="12"/>
        <v>0</v>
      </c>
      <c r="AL34" s="152"/>
      <c r="AM34" s="152">
        <f t="shared" si="13"/>
        <v>0</v>
      </c>
      <c r="AN34" s="152"/>
      <c r="AO34" s="152">
        <f t="shared" si="14"/>
        <v>0</v>
      </c>
      <c r="AP34" s="152"/>
      <c r="AQ34" s="152">
        <f t="shared" si="15"/>
        <v>0</v>
      </c>
      <c r="AR34" s="152"/>
      <c r="AS34" s="152">
        <f t="shared" si="16"/>
        <v>1185.6842079999999</v>
      </c>
      <c r="AU34" s="151"/>
    </row>
    <row r="35" spans="1:47" s="153" customFormat="1" x14ac:dyDescent="0.2">
      <c r="A35" s="411"/>
      <c r="B35" s="447">
        <v>631.29999999999995</v>
      </c>
      <c r="D35" s="399" t="s">
        <v>22</v>
      </c>
      <c r="E35" s="209"/>
      <c r="F35" s="140">
        <v>2</v>
      </c>
      <c r="G35" s="210"/>
      <c r="H35" s="541">
        <v>0</v>
      </c>
      <c r="I35" s="210"/>
      <c r="J35" s="230">
        <f t="shared" si="1"/>
        <v>0</v>
      </c>
      <c r="K35" s="365"/>
      <c r="L35" s="230">
        <f t="shared" si="2"/>
        <v>0</v>
      </c>
      <c r="M35" s="365"/>
      <c r="N35" s="230">
        <f t="shared" si="3"/>
        <v>0</v>
      </c>
      <c r="O35" s="365"/>
      <c r="P35" s="230">
        <f t="shared" si="4"/>
        <v>0</v>
      </c>
      <c r="Q35" s="365"/>
      <c r="R35" s="230">
        <f t="shared" si="5"/>
        <v>0</v>
      </c>
      <c r="S35" s="365"/>
      <c r="T35" s="230">
        <f t="shared" si="6"/>
        <v>0</v>
      </c>
      <c r="U35" s="365"/>
      <c r="V35" s="230">
        <f t="shared" si="7"/>
        <v>0</v>
      </c>
      <c r="W35"/>
      <c r="X35" s="231">
        <f t="shared" si="0"/>
        <v>0</v>
      </c>
      <c r="Y35" s="397">
        <v>631.29999999999995</v>
      </c>
      <c r="AA35" s="399" t="s">
        <v>22</v>
      </c>
      <c r="AB35" s="209"/>
      <c r="AC35" s="409">
        <f t="shared" si="8"/>
        <v>2</v>
      </c>
      <c r="AD35" s="130"/>
      <c r="AE35" s="409">
        <f t="shared" si="9"/>
        <v>0</v>
      </c>
      <c r="AG35" s="152">
        <f t="shared" si="10"/>
        <v>0</v>
      </c>
      <c r="AH35" s="152"/>
      <c r="AI35" s="152">
        <f t="shared" si="11"/>
        <v>0</v>
      </c>
      <c r="AJ35" s="152"/>
      <c r="AK35" s="152">
        <f t="shared" si="12"/>
        <v>0</v>
      </c>
      <c r="AL35" s="152"/>
      <c r="AM35" s="152">
        <f t="shared" si="13"/>
        <v>0</v>
      </c>
      <c r="AN35" s="152"/>
      <c r="AO35" s="152">
        <f t="shared" si="14"/>
        <v>0</v>
      </c>
      <c r="AP35" s="152"/>
      <c r="AQ35" s="152">
        <f t="shared" si="15"/>
        <v>0</v>
      </c>
      <c r="AR35" s="152"/>
      <c r="AS35" s="152">
        <f t="shared" si="16"/>
        <v>0</v>
      </c>
      <c r="AU35" s="151"/>
    </row>
    <row r="36" spans="1:47" s="153" customFormat="1" x14ac:dyDescent="0.2">
      <c r="A36" s="411"/>
      <c r="B36" s="447">
        <v>633.29999999999995</v>
      </c>
      <c r="D36" s="399" t="s">
        <v>24</v>
      </c>
      <c r="E36" s="209"/>
      <c r="F36" s="140">
        <v>2</v>
      </c>
      <c r="G36" s="210"/>
      <c r="H36" s="541">
        <v>616.5</v>
      </c>
      <c r="I36" s="210"/>
      <c r="J36" s="230">
        <f t="shared" si="1"/>
        <v>320.02515</v>
      </c>
      <c r="K36" s="365"/>
      <c r="L36" s="230">
        <f t="shared" si="2"/>
        <v>164.23559999999998</v>
      </c>
      <c r="M36" s="365"/>
      <c r="N36" s="230">
        <f t="shared" si="3"/>
        <v>62.759700000000002</v>
      </c>
      <c r="O36" s="365"/>
      <c r="P36" s="230">
        <f t="shared" si="4"/>
        <v>36.3735</v>
      </c>
      <c r="Q36" s="365"/>
      <c r="R36" s="230">
        <f t="shared" si="5"/>
        <v>30.763349999999999</v>
      </c>
      <c r="S36" s="365"/>
      <c r="T36" s="230">
        <f t="shared" si="6"/>
        <v>0</v>
      </c>
      <c r="U36" s="365"/>
      <c r="V36" s="230">
        <f t="shared" si="7"/>
        <v>2.3426999999999998</v>
      </c>
      <c r="W36"/>
      <c r="X36" s="231">
        <f t="shared" si="0"/>
        <v>0</v>
      </c>
      <c r="Y36" s="397">
        <v>633.29999999999995</v>
      </c>
      <c r="AA36" s="399" t="s">
        <v>24</v>
      </c>
      <c r="AB36" s="209"/>
      <c r="AC36" s="409">
        <f t="shared" si="8"/>
        <v>2</v>
      </c>
      <c r="AD36" s="130"/>
      <c r="AE36" s="409">
        <f t="shared" si="9"/>
        <v>616.5</v>
      </c>
      <c r="AG36" s="152">
        <f t="shared" si="10"/>
        <v>382.96979999999996</v>
      </c>
      <c r="AH36" s="152"/>
      <c r="AI36" s="152">
        <f t="shared" si="11"/>
        <v>231.1875</v>
      </c>
      <c r="AJ36" s="152"/>
      <c r="AK36" s="152">
        <f t="shared" si="12"/>
        <v>0</v>
      </c>
      <c r="AL36" s="152"/>
      <c r="AM36" s="152">
        <f t="shared" si="13"/>
        <v>0</v>
      </c>
      <c r="AN36" s="152"/>
      <c r="AO36" s="152">
        <f t="shared" si="14"/>
        <v>0</v>
      </c>
      <c r="AP36" s="152"/>
      <c r="AQ36" s="152">
        <f t="shared" si="15"/>
        <v>0</v>
      </c>
      <c r="AR36" s="152"/>
      <c r="AS36" s="152">
        <f t="shared" si="16"/>
        <v>2.3426999999999998</v>
      </c>
      <c r="AU36" s="151"/>
    </row>
    <row r="37" spans="1:47" s="153" customFormat="1" x14ac:dyDescent="0.2">
      <c r="A37" s="411"/>
      <c r="B37" s="447">
        <v>635.29999999999995</v>
      </c>
      <c r="D37" s="399" t="s">
        <v>29</v>
      </c>
      <c r="E37" s="209"/>
      <c r="F37" s="140">
        <v>1</v>
      </c>
      <c r="G37" s="210"/>
      <c r="H37" s="541">
        <v>77606.37</v>
      </c>
      <c r="I37" s="210"/>
      <c r="J37" s="230">
        <f t="shared" si="1"/>
        <v>38446.195697999996</v>
      </c>
      <c r="K37" s="365"/>
      <c r="L37" s="230">
        <f t="shared" si="2"/>
        <v>21349.512386999999</v>
      </c>
      <c r="M37" s="365"/>
      <c r="N37" s="230">
        <f t="shared" si="3"/>
        <v>8381.4879599999986</v>
      </c>
      <c r="O37" s="365"/>
      <c r="P37" s="230">
        <f t="shared" si="4"/>
        <v>4858.158762</v>
      </c>
      <c r="Q37" s="365"/>
      <c r="R37" s="230">
        <f t="shared" si="5"/>
        <v>4105.3769730000004</v>
      </c>
      <c r="S37" s="365"/>
      <c r="T37" s="230">
        <f t="shared" si="6"/>
        <v>0</v>
      </c>
      <c r="U37" s="365"/>
      <c r="V37" s="230">
        <f t="shared" si="7"/>
        <v>465.63821999999999</v>
      </c>
      <c r="W37"/>
      <c r="X37" s="231">
        <f t="shared" si="0"/>
        <v>0</v>
      </c>
      <c r="Y37" s="397">
        <v>635.29999999999995</v>
      </c>
      <c r="AA37" s="399" t="s">
        <v>29</v>
      </c>
      <c r="AB37" s="209"/>
      <c r="AC37" s="409">
        <f t="shared" si="8"/>
        <v>1</v>
      </c>
      <c r="AD37" s="130"/>
      <c r="AE37" s="409">
        <f t="shared" si="9"/>
        <v>77606.37</v>
      </c>
      <c r="AG37" s="152">
        <f t="shared" si="10"/>
        <v>77140.731780000002</v>
      </c>
      <c r="AH37" s="152"/>
      <c r="AI37" s="152">
        <f t="shared" si="11"/>
        <v>0</v>
      </c>
      <c r="AJ37" s="152"/>
      <c r="AK37" s="152">
        <f t="shared" si="12"/>
        <v>0</v>
      </c>
      <c r="AL37" s="152"/>
      <c r="AM37" s="152">
        <f t="shared" si="13"/>
        <v>0</v>
      </c>
      <c r="AN37" s="152"/>
      <c r="AO37" s="152">
        <f t="shared" si="14"/>
        <v>0</v>
      </c>
      <c r="AP37" s="152"/>
      <c r="AQ37" s="152">
        <f t="shared" si="15"/>
        <v>0</v>
      </c>
      <c r="AR37" s="152"/>
      <c r="AS37" s="152">
        <f t="shared" si="16"/>
        <v>465.63821999999999</v>
      </c>
      <c r="AU37" s="151"/>
    </row>
    <row r="38" spans="1:47" s="153" customFormat="1" x14ac:dyDescent="0.2">
      <c r="A38" s="411"/>
      <c r="B38" s="447">
        <v>635.29999999999995</v>
      </c>
      <c r="D38" s="399" t="s">
        <v>30</v>
      </c>
      <c r="E38" s="209"/>
      <c r="F38" s="140">
        <v>2</v>
      </c>
      <c r="G38" s="210"/>
      <c r="H38" s="541">
        <v>74681.09</v>
      </c>
      <c r="I38" s="210"/>
      <c r="J38" s="230">
        <f t="shared" si="1"/>
        <v>38766.953819000002</v>
      </c>
      <c r="K38" s="365"/>
      <c r="L38" s="230">
        <f t="shared" si="2"/>
        <v>19895.042375999998</v>
      </c>
      <c r="M38" s="365"/>
      <c r="N38" s="230">
        <f t="shared" si="3"/>
        <v>7602.5349619999997</v>
      </c>
      <c r="O38" s="365"/>
      <c r="P38" s="230">
        <f t="shared" si="4"/>
        <v>4406.1843099999996</v>
      </c>
      <c r="Q38" s="365"/>
      <c r="R38" s="230">
        <f t="shared" si="5"/>
        <v>3726.5863909999998</v>
      </c>
      <c r="S38" s="365"/>
      <c r="T38" s="230">
        <f t="shared" si="6"/>
        <v>0</v>
      </c>
      <c r="U38" s="365"/>
      <c r="V38" s="230">
        <f t="shared" si="7"/>
        <v>283.78814199999999</v>
      </c>
      <c r="W38"/>
      <c r="X38" s="231">
        <f t="shared" si="0"/>
        <v>0</v>
      </c>
      <c r="Y38" s="397">
        <v>635.29999999999995</v>
      </c>
      <c r="AA38" s="399" t="s">
        <v>30</v>
      </c>
      <c r="AB38" s="209"/>
      <c r="AC38" s="409">
        <f t="shared" si="8"/>
        <v>2</v>
      </c>
      <c r="AD38" s="130"/>
      <c r="AE38" s="409">
        <f t="shared" si="9"/>
        <v>74681.09</v>
      </c>
      <c r="AG38" s="152">
        <f t="shared" si="10"/>
        <v>46391.893107999997</v>
      </c>
      <c r="AH38" s="152"/>
      <c r="AI38" s="152">
        <f t="shared" si="11"/>
        <v>28005.408749999999</v>
      </c>
      <c r="AJ38" s="152"/>
      <c r="AK38" s="152">
        <f t="shared" si="12"/>
        <v>0</v>
      </c>
      <c r="AL38" s="152"/>
      <c r="AM38" s="152">
        <f t="shared" si="13"/>
        <v>0</v>
      </c>
      <c r="AN38" s="152"/>
      <c r="AO38" s="152">
        <f t="shared" si="14"/>
        <v>0</v>
      </c>
      <c r="AP38" s="152"/>
      <c r="AQ38" s="152">
        <f t="shared" si="15"/>
        <v>0</v>
      </c>
      <c r="AR38" s="152"/>
      <c r="AS38" s="152">
        <f t="shared" si="16"/>
        <v>283.78814199999999</v>
      </c>
      <c r="AU38" s="151"/>
    </row>
    <row r="39" spans="1:47" s="153" customFormat="1" x14ac:dyDescent="0.2">
      <c r="A39" s="411"/>
      <c r="B39" s="447">
        <v>635.29999999999995</v>
      </c>
      <c r="D39" s="399" t="s">
        <v>31</v>
      </c>
      <c r="E39" s="209"/>
      <c r="F39" s="140">
        <v>2</v>
      </c>
      <c r="G39" s="210"/>
      <c r="H39" s="541">
        <v>167239.74000000002</v>
      </c>
      <c r="I39" s="210"/>
      <c r="J39" s="230">
        <f t="shared" si="1"/>
        <v>86814.149034000016</v>
      </c>
      <c r="K39" s="365"/>
      <c r="L39" s="230">
        <f t="shared" si="2"/>
        <v>44552.666735999999</v>
      </c>
      <c r="M39" s="365"/>
      <c r="N39" s="230">
        <f t="shared" si="3"/>
        <v>17025.005532000003</v>
      </c>
      <c r="O39" s="365"/>
      <c r="P39" s="230">
        <f t="shared" si="4"/>
        <v>9867.1446600000017</v>
      </c>
      <c r="Q39" s="365"/>
      <c r="R39" s="230">
        <f t="shared" si="5"/>
        <v>8345.2630260000005</v>
      </c>
      <c r="S39" s="365"/>
      <c r="T39" s="230">
        <f t="shared" si="6"/>
        <v>0</v>
      </c>
      <c r="U39" s="367"/>
      <c r="V39" s="230">
        <f t="shared" si="7"/>
        <v>635.51101200000005</v>
      </c>
      <c r="W39"/>
      <c r="X39" s="231">
        <f t="shared" si="0"/>
        <v>0</v>
      </c>
      <c r="Y39" s="397">
        <v>635.29999999999995</v>
      </c>
      <c r="AA39" s="399" t="s">
        <v>31</v>
      </c>
      <c r="AB39" s="209"/>
      <c r="AC39" s="409">
        <f t="shared" si="8"/>
        <v>2</v>
      </c>
      <c r="AD39" s="130"/>
      <c r="AE39" s="409">
        <f t="shared" si="9"/>
        <v>167239.74000000002</v>
      </c>
      <c r="AG39" s="152">
        <f t="shared" si="10"/>
        <v>103889.32648800001</v>
      </c>
      <c r="AH39" s="152"/>
      <c r="AI39" s="152">
        <f t="shared" si="11"/>
        <v>62714.902500000011</v>
      </c>
      <c r="AJ39" s="152"/>
      <c r="AK39" s="152">
        <f t="shared" si="12"/>
        <v>0</v>
      </c>
      <c r="AL39" s="152"/>
      <c r="AM39" s="152">
        <f t="shared" si="13"/>
        <v>0</v>
      </c>
      <c r="AN39" s="152"/>
      <c r="AO39" s="152">
        <f t="shared" si="14"/>
        <v>0</v>
      </c>
      <c r="AP39" s="152"/>
      <c r="AQ39" s="152">
        <f t="shared" si="15"/>
        <v>0</v>
      </c>
      <c r="AR39" s="152"/>
      <c r="AS39" s="152">
        <f t="shared" si="16"/>
        <v>635.51101200000005</v>
      </c>
      <c r="AU39" s="151"/>
    </row>
    <row r="40" spans="1:47" s="153" customFormat="1" x14ac:dyDescent="0.2">
      <c r="A40" s="411"/>
      <c r="B40" s="447">
        <v>650.29999999999995</v>
      </c>
      <c r="D40" s="399" t="s">
        <v>43</v>
      </c>
      <c r="E40" s="209"/>
      <c r="F40" s="140">
        <v>2</v>
      </c>
      <c r="G40" s="210"/>
      <c r="H40" s="542">
        <v>40873.440000000002</v>
      </c>
      <c r="I40" s="210"/>
      <c r="J40" s="414">
        <f t="shared" si="1"/>
        <v>21217.402704</v>
      </c>
      <c r="K40" s="365"/>
      <c r="L40" s="414">
        <f t="shared" si="2"/>
        <v>10888.684416</v>
      </c>
      <c r="M40" s="365"/>
      <c r="N40" s="414">
        <f t="shared" si="3"/>
        <v>4160.9161920000006</v>
      </c>
      <c r="O40" s="365"/>
      <c r="P40" s="414">
        <f t="shared" si="4"/>
        <v>2411.5329600000005</v>
      </c>
      <c r="Q40" s="365"/>
      <c r="R40" s="414">
        <f t="shared" si="5"/>
        <v>2039.5846560000002</v>
      </c>
      <c r="S40" s="365"/>
      <c r="T40" s="414">
        <f t="shared" si="6"/>
        <v>0</v>
      </c>
      <c r="U40" s="367"/>
      <c r="V40" s="414">
        <f t="shared" si="7"/>
        <v>155.31907200000001</v>
      </c>
      <c r="W40"/>
      <c r="X40" s="231">
        <f t="shared" si="0"/>
        <v>0</v>
      </c>
      <c r="Y40" s="397">
        <v>650.29999999999995</v>
      </c>
      <c r="AA40" s="399" t="s">
        <v>43</v>
      </c>
      <c r="AB40" s="209"/>
      <c r="AC40" s="409">
        <f t="shared" si="8"/>
        <v>2</v>
      </c>
      <c r="AD40" s="130"/>
      <c r="AE40" s="410">
        <f t="shared" si="9"/>
        <v>40873.440000000002</v>
      </c>
      <c r="AG40" s="139">
        <f t="shared" si="10"/>
        <v>25390.580927999999</v>
      </c>
      <c r="AH40" s="152"/>
      <c r="AI40" s="139">
        <f t="shared" si="11"/>
        <v>15327.54</v>
      </c>
      <c r="AJ40" s="152"/>
      <c r="AK40" s="139">
        <f t="shared" si="12"/>
        <v>0</v>
      </c>
      <c r="AL40" s="152"/>
      <c r="AM40" s="139">
        <f t="shared" si="13"/>
        <v>0</v>
      </c>
      <c r="AN40" s="152"/>
      <c r="AO40" s="139">
        <f t="shared" si="14"/>
        <v>0</v>
      </c>
      <c r="AP40" s="152"/>
      <c r="AQ40" s="139">
        <f t="shared" si="15"/>
        <v>0</v>
      </c>
      <c r="AR40" s="152"/>
      <c r="AS40" s="139">
        <f t="shared" si="16"/>
        <v>155.31907200000001</v>
      </c>
      <c r="AU40" s="151"/>
    </row>
    <row r="41" spans="1:47" s="153" customFormat="1" x14ac:dyDescent="0.2">
      <c r="A41" s="411"/>
      <c r="B41" s="447"/>
      <c r="D41" s="403" t="s">
        <v>52</v>
      </c>
      <c r="E41" s="209"/>
      <c r="F41" s="140"/>
      <c r="G41" s="210"/>
      <c r="H41" s="543">
        <f>SUM(H29:H40)</f>
        <v>4759567.37</v>
      </c>
      <c r="I41" s="210"/>
      <c r="J41" s="405">
        <f>SUM(J29:J40)</f>
        <v>2403574.380014</v>
      </c>
      <c r="K41" s="210"/>
      <c r="L41" s="405">
        <f>SUM(L29:L40)</f>
        <v>1292586.6487709999</v>
      </c>
      <c r="M41" s="210"/>
      <c r="N41" s="405">
        <f>SUM(N29:N40)</f>
        <v>502082.00294399989</v>
      </c>
      <c r="O41" s="210"/>
      <c r="P41" s="405">
        <f>SUM(P29:P40)</f>
        <v>291009.46851399995</v>
      </c>
      <c r="Q41" s="210"/>
      <c r="R41" s="405">
        <f>SUM(R29:R40)</f>
        <v>245998.23983299997</v>
      </c>
      <c r="S41" s="210"/>
      <c r="T41" s="405">
        <f>SUM(T29:T40)</f>
        <v>0</v>
      </c>
      <c r="U41" s="210"/>
      <c r="V41" s="405">
        <f>SUM(V29:V40)</f>
        <v>24316.629924000001</v>
      </c>
      <c r="X41" s="231">
        <f t="shared" si="0"/>
        <v>0</v>
      </c>
      <c r="Y41" s="397"/>
      <c r="AA41" s="403" t="s">
        <v>52</v>
      </c>
      <c r="AB41" s="209"/>
      <c r="AC41" s="140"/>
      <c r="AE41" s="405">
        <f>SUM(AE29:AE40)</f>
        <v>4759567.37</v>
      </c>
      <c r="AG41" s="405">
        <f>SUM(AG29:AG40)</f>
        <v>4012391.4850760004</v>
      </c>
      <c r="AI41" s="405">
        <f>SUM(AI29:AI40)</f>
        <v>722859.255</v>
      </c>
      <c r="AK41" s="405">
        <f>SUM(AK29:AK40)</f>
        <v>0</v>
      </c>
      <c r="AM41" s="405">
        <f>SUM(AM29:AM40)</f>
        <v>0</v>
      </c>
      <c r="AO41" s="405">
        <f>SUM(AO29:AO40)</f>
        <v>0</v>
      </c>
      <c r="AQ41" s="405">
        <f>SUM(AQ29:AQ40)</f>
        <v>0</v>
      </c>
      <c r="AS41" s="405">
        <f>SUM(AS29:AS40)</f>
        <v>24316.629924000001</v>
      </c>
      <c r="AU41" s="151"/>
    </row>
    <row r="42" spans="1:47" s="153" customFormat="1" x14ac:dyDescent="0.2">
      <c r="A42" s="411"/>
      <c r="B42" s="447"/>
      <c r="D42" s="404"/>
      <c r="E42" s="209"/>
      <c r="F42" s="140"/>
      <c r="G42" s="210"/>
      <c r="H42" s="394"/>
      <c r="I42" s="210"/>
      <c r="J42" s="152"/>
      <c r="K42" s="211"/>
      <c r="L42" s="152"/>
      <c r="M42" s="211"/>
      <c r="N42" s="152"/>
      <c r="O42" s="211"/>
      <c r="P42" s="152"/>
      <c r="Q42" s="211"/>
      <c r="R42" s="152"/>
      <c r="S42" s="211"/>
      <c r="T42" s="152"/>
      <c r="U42" s="211"/>
      <c r="V42" s="152"/>
      <c r="X42" s="231">
        <f t="shared" si="0"/>
        <v>0</v>
      </c>
      <c r="Y42" s="397"/>
      <c r="AA42" s="404"/>
      <c r="AB42" s="209"/>
      <c r="AC42" s="140"/>
      <c r="AE42" s="390"/>
      <c r="AG42" s="152"/>
      <c r="AH42" s="152"/>
      <c r="AI42" s="152"/>
      <c r="AJ42" s="152"/>
      <c r="AK42" s="152"/>
      <c r="AL42" s="152"/>
      <c r="AM42" s="152"/>
      <c r="AN42" s="152"/>
      <c r="AO42" s="152"/>
      <c r="AP42" s="152"/>
      <c r="AQ42" s="152"/>
      <c r="AR42" s="152"/>
      <c r="AS42" s="152"/>
      <c r="AU42" s="151"/>
    </row>
    <row r="43" spans="1:47" s="153" customFormat="1" x14ac:dyDescent="0.2">
      <c r="A43" s="411"/>
      <c r="B43" s="447"/>
      <c r="D43" s="395" t="s">
        <v>385</v>
      </c>
      <c r="E43" s="209"/>
      <c r="F43" s="140"/>
      <c r="G43" s="210"/>
      <c r="H43" s="394"/>
      <c r="I43" s="210"/>
      <c r="J43" s="152"/>
      <c r="K43" s="211"/>
      <c r="L43" s="152"/>
      <c r="M43" s="211"/>
      <c r="N43" s="152"/>
      <c r="O43" s="211"/>
      <c r="P43" s="152"/>
      <c r="Q43" s="211"/>
      <c r="R43" s="152"/>
      <c r="S43" s="211"/>
      <c r="T43" s="152"/>
      <c r="U43" s="211"/>
      <c r="V43" s="152"/>
      <c r="X43" s="231">
        <f t="shared" si="0"/>
        <v>0</v>
      </c>
      <c r="Y43" s="397"/>
      <c r="AA43" s="395" t="s">
        <v>385</v>
      </c>
      <c r="AB43" s="209"/>
      <c r="AC43" s="140"/>
      <c r="AE43" s="390"/>
      <c r="AG43" s="152"/>
      <c r="AH43" s="152"/>
      <c r="AI43" s="152"/>
      <c r="AJ43" s="152"/>
      <c r="AK43" s="152"/>
      <c r="AL43" s="152"/>
      <c r="AM43" s="152"/>
      <c r="AN43" s="152"/>
      <c r="AO43" s="152"/>
      <c r="AP43" s="152"/>
      <c r="AQ43" s="152"/>
      <c r="AR43" s="152"/>
      <c r="AS43" s="152"/>
      <c r="AU43" s="151"/>
    </row>
    <row r="44" spans="1:47" s="153" customFormat="1" x14ac:dyDescent="0.2">
      <c r="A44" s="411"/>
      <c r="B44" s="447">
        <v>601.4</v>
      </c>
      <c r="D44" s="399" t="s">
        <v>114</v>
      </c>
      <c r="E44" s="209"/>
      <c r="F44" s="140">
        <v>2</v>
      </c>
      <c r="G44" s="210"/>
      <c r="H44" s="541">
        <v>769676.77999999991</v>
      </c>
      <c r="I44" s="210"/>
      <c r="J44" s="230">
        <f>(VLOOKUP($F44,Factors,J$329))*$H44</f>
        <v>399539.21649799997</v>
      </c>
      <c r="K44" s="365"/>
      <c r="L44" s="230">
        <f>(VLOOKUP($F44,Factors,L$329))*$H44</f>
        <v>205041.89419199995</v>
      </c>
      <c r="M44" s="365"/>
      <c r="N44" s="230">
        <f>(VLOOKUP($F44,Factors,N$329))*$H44</f>
        <v>78353.096203999987</v>
      </c>
      <c r="O44" s="365"/>
      <c r="P44" s="230">
        <f>(VLOOKUP($F44,Factors,P$329))*$H44</f>
        <v>45410.93002</v>
      </c>
      <c r="Q44" s="365"/>
      <c r="R44" s="230">
        <f>(VLOOKUP($F44,Factors,R$329))*$H44</f>
        <v>38406.871321999999</v>
      </c>
      <c r="S44" s="365"/>
      <c r="T44" s="230">
        <f>(VLOOKUP($F44,Factors,T$329))*$H44</f>
        <v>0</v>
      </c>
      <c r="U44" s="365"/>
      <c r="V44" s="230">
        <f>(VLOOKUP($F44,Factors,V$329))*$H44</f>
        <v>2924.7717639999996</v>
      </c>
      <c r="X44" s="231">
        <f t="shared" si="0"/>
        <v>0</v>
      </c>
      <c r="Y44" s="397">
        <v>601.4</v>
      </c>
      <c r="AA44" s="399" t="s">
        <v>114</v>
      </c>
      <c r="AB44" s="209"/>
      <c r="AC44" s="409">
        <f>+F44</f>
        <v>2</v>
      </c>
      <c r="AD44" s="130"/>
      <c r="AE44" s="409">
        <f>+H44</f>
        <v>769676.77999999991</v>
      </c>
      <c r="AG44" s="152">
        <f>(VLOOKUP($AC44,func,AG$329))*$AE44</f>
        <v>478123.21573599993</v>
      </c>
      <c r="AH44" s="152"/>
      <c r="AI44" s="152">
        <f>(VLOOKUP($AC44,func,AI$329))*$AE44</f>
        <v>288628.79249999998</v>
      </c>
      <c r="AJ44" s="152"/>
      <c r="AK44" s="152">
        <f>(VLOOKUP($AC44,func,AK$329))*$AE44</f>
        <v>0</v>
      </c>
      <c r="AL44" s="152"/>
      <c r="AM44" s="152">
        <f>(VLOOKUP($AC44,func,AM$329))*$AE44</f>
        <v>0</v>
      </c>
      <c r="AN44" s="152"/>
      <c r="AO44" s="152">
        <f>(VLOOKUP($AC44,func,AO$329))*$AE44</f>
        <v>0</v>
      </c>
      <c r="AP44" s="152"/>
      <c r="AQ44" s="152">
        <f>(VLOOKUP($AC44,func,AQ$329))*$AE44</f>
        <v>0</v>
      </c>
      <c r="AR44" s="152"/>
      <c r="AS44" s="152">
        <f>(VLOOKUP($AC44,func,AS$329))*$AE44</f>
        <v>2924.7717639999996</v>
      </c>
      <c r="AU44" s="151"/>
    </row>
    <row r="45" spans="1:47" s="153" customFormat="1" x14ac:dyDescent="0.2">
      <c r="A45" s="411"/>
      <c r="B45" s="447">
        <v>620.4</v>
      </c>
      <c r="D45" s="399" t="s">
        <v>16</v>
      </c>
      <c r="E45" s="209"/>
      <c r="F45" s="140">
        <v>2</v>
      </c>
      <c r="G45" s="210"/>
      <c r="H45" s="541">
        <v>266473.38999999996</v>
      </c>
      <c r="I45" s="210"/>
      <c r="J45" s="230">
        <f>(VLOOKUP($F45,Factors,J$329))*$H45</f>
        <v>138326.33674899998</v>
      </c>
      <c r="K45" s="365"/>
      <c r="L45" s="230">
        <f>(VLOOKUP($F45,Factors,L$329))*$H45</f>
        <v>70988.511095999987</v>
      </c>
      <c r="M45" s="365"/>
      <c r="N45" s="230">
        <f>(VLOOKUP($F45,Factors,N$329))*$H45</f>
        <v>27126.991101999996</v>
      </c>
      <c r="O45" s="365"/>
      <c r="P45" s="230">
        <f>(VLOOKUP($F45,Factors,P$329))*$H45</f>
        <v>15721.930009999998</v>
      </c>
      <c r="Q45" s="365"/>
      <c r="R45" s="230">
        <f>(VLOOKUP($F45,Factors,R$329))*$H45</f>
        <v>13297.022160999997</v>
      </c>
      <c r="S45" s="365"/>
      <c r="T45" s="230">
        <f>(VLOOKUP($F45,Factors,T$329))*$H45</f>
        <v>0</v>
      </c>
      <c r="U45" s="365"/>
      <c r="V45" s="230">
        <f>(VLOOKUP($F45,Factors,V$329))*$H45</f>
        <v>1012.5988819999998</v>
      </c>
      <c r="X45" s="231">
        <f t="shared" si="0"/>
        <v>0</v>
      </c>
      <c r="Y45" s="397">
        <v>620.4</v>
      </c>
      <c r="AA45" s="399" t="s">
        <v>16</v>
      </c>
      <c r="AB45" s="209"/>
      <c r="AC45" s="409">
        <f>+F45</f>
        <v>2</v>
      </c>
      <c r="AD45" s="130"/>
      <c r="AE45" s="409">
        <f>+H45</f>
        <v>266473.38999999996</v>
      </c>
      <c r="AG45" s="152">
        <f>(VLOOKUP($AC45,func,AG$329))*$AE45</f>
        <v>165533.26986799997</v>
      </c>
      <c r="AH45" s="152"/>
      <c r="AI45" s="152">
        <f>(VLOOKUP($AC45,func,AI$329))*$AE45</f>
        <v>99927.521249999991</v>
      </c>
      <c r="AJ45" s="152"/>
      <c r="AK45" s="152">
        <f>(VLOOKUP($AC45,func,AK$329))*$AE45</f>
        <v>0</v>
      </c>
      <c r="AL45" s="152"/>
      <c r="AM45" s="152">
        <f>(VLOOKUP($AC45,func,AM$329))*$AE45</f>
        <v>0</v>
      </c>
      <c r="AN45" s="152"/>
      <c r="AO45" s="152">
        <f>(VLOOKUP($AC45,func,AO$329))*$AE45</f>
        <v>0</v>
      </c>
      <c r="AP45" s="152"/>
      <c r="AQ45" s="152">
        <f>(VLOOKUP($AC45,func,AQ$329))*$AE45</f>
        <v>0</v>
      </c>
      <c r="AR45" s="152"/>
      <c r="AS45" s="152">
        <f>(VLOOKUP($AC45,func,AS$329))*$AE45</f>
        <v>1012.5988819999998</v>
      </c>
      <c r="AU45" s="151"/>
    </row>
    <row r="46" spans="1:47" s="153" customFormat="1" x14ac:dyDescent="0.2">
      <c r="A46" s="411"/>
      <c r="B46" s="447">
        <v>635.4</v>
      </c>
      <c r="D46" s="399" t="s">
        <v>31</v>
      </c>
      <c r="E46" s="209"/>
      <c r="F46" s="140">
        <v>2</v>
      </c>
      <c r="G46" s="210"/>
      <c r="H46" s="541">
        <v>243747.8</v>
      </c>
      <c r="I46" s="210"/>
      <c r="J46" s="230">
        <f>(VLOOKUP($F46,Factors,J$329))*$H46</f>
        <v>126529.48298</v>
      </c>
      <c r="K46" s="365"/>
      <c r="L46" s="230">
        <f>(VLOOKUP($F46,Factors,L$329))*$H46</f>
        <v>64934.413919999992</v>
      </c>
      <c r="M46" s="365"/>
      <c r="N46" s="230">
        <f>(VLOOKUP($F46,Factors,N$329))*$H46</f>
        <v>24813.526040000001</v>
      </c>
      <c r="O46" s="365"/>
      <c r="P46" s="230">
        <f>(VLOOKUP($F46,Factors,P$329))*$H46</f>
        <v>14381.120199999999</v>
      </c>
      <c r="Q46" s="365"/>
      <c r="R46" s="230">
        <f>(VLOOKUP($F46,Factors,R$329))*$H46</f>
        <v>12163.015219999999</v>
      </c>
      <c r="S46" s="365"/>
      <c r="T46" s="230">
        <f>(VLOOKUP($F46,Factors,T$329))*$H46</f>
        <v>0</v>
      </c>
      <c r="U46" s="365"/>
      <c r="V46" s="230">
        <f>(VLOOKUP($F46,Factors,V$329))*$H46</f>
        <v>926.24163999999996</v>
      </c>
      <c r="X46" s="231">
        <f t="shared" si="0"/>
        <v>0</v>
      </c>
      <c r="Y46" s="397">
        <v>635.4</v>
      </c>
      <c r="AA46" s="399" t="s">
        <v>31</v>
      </c>
      <c r="AB46" s="209"/>
      <c r="AC46" s="409">
        <f>+F46</f>
        <v>2</v>
      </c>
      <c r="AD46" s="130"/>
      <c r="AE46" s="409">
        <f>+H46</f>
        <v>243747.8</v>
      </c>
      <c r="AG46" s="152">
        <f>(VLOOKUP($AC46,func,AG$329))*$AE46</f>
        <v>151416.13335999998</v>
      </c>
      <c r="AH46" s="152"/>
      <c r="AI46" s="152">
        <f>(VLOOKUP($AC46,func,AI$329))*$AE46</f>
        <v>91405.424999999988</v>
      </c>
      <c r="AJ46" s="152"/>
      <c r="AK46" s="152">
        <f>(VLOOKUP($AC46,func,AK$329))*$AE46</f>
        <v>0</v>
      </c>
      <c r="AL46" s="152"/>
      <c r="AM46" s="152">
        <f>(VLOOKUP($AC46,func,AM$329))*$AE46</f>
        <v>0</v>
      </c>
      <c r="AN46" s="152"/>
      <c r="AO46" s="152">
        <f>(VLOOKUP($AC46,func,AO$329))*$AE46</f>
        <v>0</v>
      </c>
      <c r="AP46" s="152"/>
      <c r="AQ46" s="152">
        <f>(VLOOKUP($AC46,func,AQ$329))*$AE46</f>
        <v>0</v>
      </c>
      <c r="AR46" s="152"/>
      <c r="AS46" s="152">
        <f>(VLOOKUP($AC46,func,AS$329))*$AE46</f>
        <v>926.24163999999996</v>
      </c>
      <c r="AU46" s="151"/>
    </row>
    <row r="47" spans="1:47" s="153" customFormat="1" x14ac:dyDescent="0.2">
      <c r="A47" s="411"/>
      <c r="B47" s="447">
        <v>650.4</v>
      </c>
      <c r="D47" s="399" t="s">
        <v>43</v>
      </c>
      <c r="E47" s="391"/>
      <c r="F47" s="392">
        <v>2</v>
      </c>
      <c r="G47" s="393"/>
      <c r="H47" s="542">
        <v>12365.62</v>
      </c>
      <c r="I47" s="393"/>
      <c r="J47" s="414">
        <f>(VLOOKUP($F47,Factors,J$329))*$H47</f>
        <v>6418.9933420000007</v>
      </c>
      <c r="K47" s="365"/>
      <c r="L47" s="414">
        <f>(VLOOKUP($F47,Factors,L$329))*$H47</f>
        <v>3294.2011680000001</v>
      </c>
      <c r="M47" s="365"/>
      <c r="N47" s="414">
        <f>(VLOOKUP($F47,Factors,N$329))*$H47</f>
        <v>1258.8201160000001</v>
      </c>
      <c r="O47" s="365"/>
      <c r="P47" s="414">
        <f>(VLOOKUP($F47,Factors,P$329))*$H47</f>
        <v>729.57158000000004</v>
      </c>
      <c r="Q47" s="365"/>
      <c r="R47" s="414">
        <f>(VLOOKUP($F47,Factors,R$329))*$H47</f>
        <v>617.04443800000001</v>
      </c>
      <c r="S47" s="365"/>
      <c r="T47" s="414">
        <f>(VLOOKUP($F47,Factors,T$329))*$H47</f>
        <v>0</v>
      </c>
      <c r="U47" s="365"/>
      <c r="V47" s="414">
        <f>(VLOOKUP($F47,Factors,V$329))*$H47</f>
        <v>46.989356000000001</v>
      </c>
      <c r="X47" s="231">
        <f t="shared" si="0"/>
        <v>0</v>
      </c>
      <c r="Y47" s="397">
        <v>650.4</v>
      </c>
      <c r="AA47" s="399" t="s">
        <v>43</v>
      </c>
      <c r="AB47" s="391"/>
      <c r="AC47" s="409">
        <f>+F47</f>
        <v>2</v>
      </c>
      <c r="AD47" s="130"/>
      <c r="AE47" s="410">
        <f>+H47</f>
        <v>12365.62</v>
      </c>
      <c r="AG47" s="139">
        <f>(VLOOKUP($AC47,func,AG$329))*$AE47</f>
        <v>7681.5231439999998</v>
      </c>
      <c r="AH47" s="152"/>
      <c r="AI47" s="139">
        <f>(VLOOKUP($AC47,func,AI$329))*$AE47</f>
        <v>4637.1075000000001</v>
      </c>
      <c r="AJ47" s="152"/>
      <c r="AK47" s="139">
        <f>(VLOOKUP($AC47,func,AK$329))*$AE47</f>
        <v>0</v>
      </c>
      <c r="AL47" s="152"/>
      <c r="AM47" s="139">
        <f>(VLOOKUP($AC47,func,AM$329))*$AE47</f>
        <v>0</v>
      </c>
      <c r="AN47" s="152"/>
      <c r="AO47" s="139">
        <f>(VLOOKUP($AC47,func,AO$329))*$AE47</f>
        <v>0</v>
      </c>
      <c r="AP47" s="152"/>
      <c r="AQ47" s="139">
        <f>(VLOOKUP($AC47,func,AQ$329))*$AE47</f>
        <v>0</v>
      </c>
      <c r="AR47" s="152"/>
      <c r="AS47" s="139">
        <f>(VLOOKUP($AC47,func,AS$329))*$AE47</f>
        <v>46.989356000000001</v>
      </c>
      <c r="AU47" s="151"/>
    </row>
    <row r="48" spans="1:47" s="153" customFormat="1" x14ac:dyDescent="0.2">
      <c r="A48" s="411"/>
      <c r="B48" s="447"/>
      <c r="D48" s="395" t="s">
        <v>53</v>
      </c>
      <c r="E48" s="209"/>
      <c r="F48" s="140"/>
      <c r="G48" s="210"/>
      <c r="H48" s="394">
        <f>SUM(H44:H47)</f>
        <v>1292263.5900000001</v>
      </c>
      <c r="I48" s="210"/>
      <c r="J48" s="152">
        <f>SUM(J44:J47)</f>
        <v>670814.02956899989</v>
      </c>
      <c r="K48" s="210"/>
      <c r="L48" s="152">
        <f>SUM(L44:L47)</f>
        <v>344259.02037599997</v>
      </c>
      <c r="M48" s="210"/>
      <c r="N48" s="152">
        <f>SUM(N44:N47)</f>
        <v>131552.43346199999</v>
      </c>
      <c r="O48" s="210"/>
      <c r="P48" s="152">
        <f>SUM(P44:P47)</f>
        <v>76243.551810000004</v>
      </c>
      <c r="Q48" s="210"/>
      <c r="R48" s="152">
        <f>SUM(R44:R47)</f>
        <v>64483.953140999991</v>
      </c>
      <c r="S48" s="210"/>
      <c r="T48" s="152">
        <f>SUM(T44:T47)</f>
        <v>0</v>
      </c>
      <c r="U48" s="210"/>
      <c r="V48" s="152">
        <f>SUM(V44:V47)</f>
        <v>4910.6016419999996</v>
      </c>
      <c r="X48" s="231">
        <f t="shared" si="0"/>
        <v>0</v>
      </c>
      <c r="Y48" s="397"/>
      <c r="AA48" s="395" t="s">
        <v>53</v>
      </c>
      <c r="AB48" s="209"/>
      <c r="AC48" s="140"/>
      <c r="AE48" s="152">
        <f>SUM(AE44:AE47)</f>
        <v>1292263.5900000001</v>
      </c>
      <c r="AG48" s="152">
        <f>SUM(AG44:AG47)</f>
        <v>802754.14210799988</v>
      </c>
      <c r="AI48" s="152">
        <f>SUM(AI44:AI47)</f>
        <v>484598.84624999994</v>
      </c>
      <c r="AK48" s="152">
        <f>SUM(AK44:AK47)</f>
        <v>0</v>
      </c>
      <c r="AM48" s="152">
        <f>SUM(AM44:AM47)</f>
        <v>0</v>
      </c>
      <c r="AO48" s="152">
        <f>SUM(AO44:AO47)</f>
        <v>0</v>
      </c>
      <c r="AQ48" s="152">
        <f>SUM(AQ44:AQ47)</f>
        <v>0</v>
      </c>
      <c r="AS48" s="152">
        <f>SUM(AS44:AS47)</f>
        <v>4910.6016419999996</v>
      </c>
      <c r="AU48" s="151"/>
    </row>
    <row r="49" spans="1:47" s="153" customFormat="1" x14ac:dyDescent="0.2">
      <c r="A49" s="411"/>
      <c r="B49" s="447"/>
      <c r="D49" s="296"/>
      <c r="E49" s="209"/>
      <c r="F49" s="140"/>
      <c r="G49" s="210"/>
      <c r="H49" s="394"/>
      <c r="I49" s="210"/>
      <c r="J49" s="152"/>
      <c r="K49" s="210"/>
      <c r="L49" s="152"/>
      <c r="M49" s="210"/>
      <c r="N49" s="152"/>
      <c r="O49" s="210"/>
      <c r="P49" s="152"/>
      <c r="Q49" s="210"/>
      <c r="R49" s="152"/>
      <c r="S49" s="210"/>
      <c r="T49" s="152"/>
      <c r="U49" s="210"/>
      <c r="V49" s="152"/>
      <c r="X49" s="231">
        <f t="shared" si="0"/>
        <v>0</v>
      </c>
      <c r="Y49" s="397"/>
      <c r="AA49" s="296"/>
      <c r="AB49" s="209"/>
      <c r="AC49" s="140"/>
      <c r="AE49" s="152"/>
      <c r="AG49" s="152"/>
      <c r="AI49" s="152"/>
      <c r="AK49" s="152"/>
      <c r="AM49" s="152"/>
      <c r="AO49" s="152"/>
      <c r="AQ49" s="152"/>
      <c r="AS49" s="152"/>
      <c r="AU49" s="151"/>
    </row>
    <row r="50" spans="1:47" s="153" customFormat="1" x14ac:dyDescent="0.2">
      <c r="A50" s="411"/>
      <c r="B50" s="447"/>
      <c r="D50" s="395" t="s">
        <v>55</v>
      </c>
      <c r="E50" s="209"/>
      <c r="F50" s="140"/>
      <c r="G50" s="210"/>
      <c r="H50" s="394">
        <f>+H41+H48</f>
        <v>6051830.96</v>
      </c>
      <c r="I50" s="210"/>
      <c r="J50" s="152">
        <f>+J41+J48</f>
        <v>3074388.409583</v>
      </c>
      <c r="K50" s="210"/>
      <c r="L50" s="152">
        <f>+L41+L48</f>
        <v>1636845.6691469997</v>
      </c>
      <c r="M50" s="210"/>
      <c r="N50" s="152">
        <f>+N41+N48</f>
        <v>633634.43640599982</v>
      </c>
      <c r="O50" s="210"/>
      <c r="P50" s="152">
        <f>+P41+P48</f>
        <v>367253.02032399992</v>
      </c>
      <c r="Q50" s="210"/>
      <c r="R50" s="152">
        <f>+R41+R48</f>
        <v>310482.19297399995</v>
      </c>
      <c r="S50" s="210"/>
      <c r="T50" s="152">
        <f>+T41+T48</f>
        <v>0</v>
      </c>
      <c r="U50" s="210"/>
      <c r="V50" s="152">
        <f>+V41+V48</f>
        <v>29227.231566000002</v>
      </c>
      <c r="X50" s="231">
        <f t="shared" si="0"/>
        <v>0</v>
      </c>
      <c r="Y50" s="397"/>
      <c r="AA50" s="395" t="s">
        <v>55</v>
      </c>
      <c r="AB50" s="209"/>
      <c r="AC50" s="140"/>
      <c r="AE50" s="152">
        <f>+AE41+AE48</f>
        <v>6051830.96</v>
      </c>
      <c r="AG50" s="152">
        <f>+AG41+AG48</f>
        <v>4815145.6271839999</v>
      </c>
      <c r="AI50" s="152">
        <f>+AI41+AI48</f>
        <v>1207458.1012499998</v>
      </c>
      <c r="AK50" s="152">
        <f>+AK41+AK48</f>
        <v>0</v>
      </c>
      <c r="AM50" s="152">
        <f>+AM41+AM48</f>
        <v>0</v>
      </c>
      <c r="AO50" s="152">
        <f>+AO41+AO48</f>
        <v>0</v>
      </c>
      <c r="AQ50" s="152">
        <f>+AQ41+AQ48</f>
        <v>0</v>
      </c>
      <c r="AS50" s="152">
        <f>+AS41+AS48</f>
        <v>29227.231566000002</v>
      </c>
      <c r="AU50" s="151"/>
    </row>
    <row r="51" spans="1:47" s="153" customFormat="1" x14ac:dyDescent="0.2">
      <c r="A51" s="411"/>
      <c r="B51" s="447"/>
      <c r="D51" s="296"/>
      <c r="E51" s="209"/>
      <c r="F51" s="140"/>
      <c r="G51" s="210"/>
      <c r="H51" s="394"/>
      <c r="I51" s="210"/>
      <c r="J51" s="152"/>
      <c r="K51" s="211"/>
      <c r="L51" s="152"/>
      <c r="M51" s="211"/>
      <c r="N51" s="152"/>
      <c r="O51" s="211"/>
      <c r="P51" s="152"/>
      <c r="Q51" s="211"/>
      <c r="R51" s="152"/>
      <c r="S51" s="211"/>
      <c r="T51" s="152"/>
      <c r="U51" s="211"/>
      <c r="V51" s="152"/>
      <c r="X51" s="231">
        <f t="shared" si="0"/>
        <v>0</v>
      </c>
      <c r="Y51" s="397"/>
      <c r="AA51" s="296"/>
      <c r="AB51" s="209"/>
      <c r="AC51" s="140"/>
      <c r="AE51" s="390"/>
      <c r="AG51" s="152"/>
      <c r="AH51" s="152"/>
      <c r="AI51" s="152"/>
      <c r="AJ51" s="152"/>
      <c r="AK51" s="152"/>
      <c r="AL51" s="152"/>
      <c r="AM51" s="152"/>
      <c r="AN51" s="152"/>
      <c r="AO51" s="152"/>
      <c r="AP51" s="152"/>
      <c r="AQ51" s="152"/>
      <c r="AR51" s="152"/>
      <c r="AS51" s="152"/>
      <c r="AU51" s="151"/>
    </row>
    <row r="52" spans="1:47" s="153" customFormat="1" x14ac:dyDescent="0.2">
      <c r="A52" s="411"/>
      <c r="B52" s="447"/>
      <c r="D52" s="233" t="s">
        <v>115</v>
      </c>
      <c r="E52" s="391"/>
      <c r="F52" s="392"/>
      <c r="G52" s="393"/>
      <c r="H52" s="394"/>
      <c r="I52" s="393"/>
      <c r="J52" s="394"/>
      <c r="K52" s="390"/>
      <c r="L52" s="394"/>
      <c r="M52" s="390"/>
      <c r="N52" s="394"/>
      <c r="O52" s="390"/>
      <c r="P52" s="394"/>
      <c r="Q52" s="390"/>
      <c r="R52" s="394"/>
      <c r="S52" s="390"/>
      <c r="T52" s="394"/>
      <c r="U52" s="390"/>
      <c r="V52" s="394"/>
      <c r="X52" s="231">
        <f t="shared" si="0"/>
        <v>0</v>
      </c>
      <c r="Y52" s="397"/>
      <c r="AA52" s="233" t="s">
        <v>115</v>
      </c>
      <c r="AB52" s="391"/>
      <c r="AC52" s="392"/>
      <c r="AE52" s="390"/>
      <c r="AG52" s="394"/>
      <c r="AH52" s="394"/>
      <c r="AI52" s="394"/>
      <c r="AJ52" s="394"/>
      <c r="AK52" s="394"/>
      <c r="AL52" s="394"/>
      <c r="AM52" s="394"/>
      <c r="AN52" s="394"/>
      <c r="AO52" s="394"/>
      <c r="AP52" s="394"/>
      <c r="AQ52" s="394"/>
      <c r="AR52" s="394"/>
      <c r="AS52" s="394"/>
      <c r="AU52" s="151"/>
    </row>
    <row r="53" spans="1:47" s="153" customFormat="1" x14ac:dyDescent="0.2">
      <c r="A53" s="411"/>
      <c r="B53" s="447"/>
      <c r="D53" s="395" t="s">
        <v>112</v>
      </c>
      <c r="E53" s="391"/>
      <c r="F53" s="392"/>
      <c r="G53" s="393"/>
      <c r="H53" s="394"/>
      <c r="I53" s="393"/>
      <c r="J53" s="394"/>
      <c r="K53" s="390"/>
      <c r="L53" s="394"/>
      <c r="M53" s="390"/>
      <c r="N53" s="394"/>
      <c r="O53" s="390"/>
      <c r="P53" s="394"/>
      <c r="Q53" s="390"/>
      <c r="R53" s="394"/>
      <c r="S53" s="390"/>
      <c r="T53" s="394"/>
      <c r="U53" s="390"/>
      <c r="V53" s="394"/>
      <c r="X53" s="231">
        <f t="shared" si="0"/>
        <v>0</v>
      </c>
      <c r="Y53" s="397"/>
      <c r="AA53" s="395" t="s">
        <v>112</v>
      </c>
      <c r="AB53" s="391"/>
      <c r="AC53" s="392"/>
      <c r="AE53" s="390"/>
      <c r="AG53" s="394"/>
      <c r="AH53" s="394"/>
      <c r="AI53" s="394"/>
      <c r="AJ53" s="394"/>
      <c r="AK53" s="394"/>
      <c r="AL53" s="394"/>
      <c r="AM53" s="394"/>
      <c r="AN53" s="394"/>
      <c r="AO53" s="394"/>
      <c r="AP53" s="394"/>
      <c r="AQ53" s="394"/>
      <c r="AR53" s="394"/>
      <c r="AS53" s="394"/>
      <c r="AU53" s="151"/>
    </row>
    <row r="54" spans="1:47" s="153" customFormat="1" x14ac:dyDescent="0.2">
      <c r="A54" s="411"/>
      <c r="B54" s="447">
        <v>601.5</v>
      </c>
      <c r="D54" s="130" t="s">
        <v>114</v>
      </c>
      <c r="E54" s="391"/>
      <c r="F54" s="392">
        <v>6</v>
      </c>
      <c r="G54" s="393"/>
      <c r="H54" s="394">
        <v>953364.39999999991</v>
      </c>
      <c r="I54" s="393"/>
      <c r="J54" s="230">
        <f t="shared" ref="J54:J61" si="17">(VLOOKUP($F54,Factors,J$329))*$H54</f>
        <v>434352.82063999999</v>
      </c>
      <c r="K54" s="365"/>
      <c r="L54" s="230">
        <f t="shared" ref="L54:L61" si="18">(VLOOKUP($F54,Factors,L$329))*$H54</f>
        <v>208214.78495999999</v>
      </c>
      <c r="M54" s="365"/>
      <c r="N54" s="230">
        <f t="shared" ref="N54:N61" si="19">(VLOOKUP($F54,Factors,N$329))*$H54</f>
        <v>69976.946959999987</v>
      </c>
      <c r="O54" s="365"/>
      <c r="P54" s="230">
        <f t="shared" ref="P54:P61" si="20">(VLOOKUP($F54,Factors,P$329))*$H54</f>
        <v>40517.987000000001</v>
      </c>
      <c r="Q54" s="365"/>
      <c r="R54" s="230">
        <f t="shared" ref="R54:R61" si="21">(VLOOKUP($F54,Factors,R$329))*$H54</f>
        <v>10296.335519999999</v>
      </c>
      <c r="S54" s="365"/>
      <c r="T54" s="230">
        <f t="shared" ref="T54:T61" si="22">(VLOOKUP($F54,Factors,T$329))*$H54</f>
        <v>0</v>
      </c>
      <c r="U54" s="365"/>
      <c r="V54" s="230">
        <f t="shared" ref="V54:V61" si="23">(VLOOKUP($F54,Factors,V$329))*$H54</f>
        <v>190005.52492</v>
      </c>
      <c r="X54" s="231">
        <f t="shared" si="0"/>
        <v>0</v>
      </c>
      <c r="Y54" s="397">
        <v>601.5</v>
      </c>
      <c r="AA54" s="130" t="s">
        <v>114</v>
      </c>
      <c r="AB54" s="391"/>
      <c r="AC54" s="409">
        <f t="shared" ref="AC54:AC61" si="24">+F54</f>
        <v>6</v>
      </c>
      <c r="AD54" s="130"/>
      <c r="AE54" s="409">
        <f t="shared" ref="AE54:AE61" si="25">+H54</f>
        <v>953364.39999999991</v>
      </c>
      <c r="AG54" s="152">
        <f t="shared" ref="AG54:AG61" si="26">(VLOOKUP($AC54,func,AG$329))*$AE54</f>
        <v>359799.72455999994</v>
      </c>
      <c r="AH54" s="152"/>
      <c r="AI54" s="152">
        <f t="shared" ref="AI54:AI61" si="27">(VLOOKUP($AC54,func,AI$329))*$AE54</f>
        <v>77508.525719999991</v>
      </c>
      <c r="AJ54" s="152"/>
      <c r="AK54" s="152">
        <f t="shared" ref="AK54:AK61" si="28">(VLOOKUP($AC54,func,AK$329))*$AE54</f>
        <v>326050.62479999999</v>
      </c>
      <c r="AL54" s="152"/>
      <c r="AM54" s="152">
        <f t="shared" ref="AM54:AM61" si="29">(VLOOKUP($AC54,func,AM$329))*$AE54</f>
        <v>0</v>
      </c>
      <c r="AN54" s="152"/>
      <c r="AO54" s="152">
        <f t="shared" ref="AO54:AO61" si="30">(VLOOKUP($AC54,func,AO$329))*$AE54</f>
        <v>0</v>
      </c>
      <c r="AP54" s="152"/>
      <c r="AQ54" s="152">
        <f t="shared" ref="AQ54:AQ61" si="31">(VLOOKUP($AC54,func,AQ$329))*$AE54</f>
        <v>0</v>
      </c>
      <c r="AR54" s="152"/>
      <c r="AS54" s="152">
        <f t="shared" ref="AS54:AS61" si="32">(VLOOKUP($AC54,func,AS$329))*$AE54</f>
        <v>190005.52492</v>
      </c>
      <c r="AU54" s="151"/>
    </row>
    <row r="55" spans="1:47" s="153" customFormat="1" x14ac:dyDescent="0.2">
      <c r="A55" s="411"/>
      <c r="B55" s="447">
        <v>615.5</v>
      </c>
      <c r="D55" s="130" t="s">
        <v>12</v>
      </c>
      <c r="E55" s="209"/>
      <c r="F55" s="140">
        <v>1</v>
      </c>
      <c r="G55" s="210"/>
      <c r="H55" s="394">
        <v>1257318.1599999997</v>
      </c>
      <c r="I55" s="210"/>
      <c r="J55" s="230">
        <f t="shared" si="17"/>
        <v>622875.41646399989</v>
      </c>
      <c r="K55" s="365"/>
      <c r="L55" s="230">
        <f t="shared" si="18"/>
        <v>345888.2258159999</v>
      </c>
      <c r="M55" s="365"/>
      <c r="N55" s="230">
        <f t="shared" si="19"/>
        <v>135790.36127999995</v>
      </c>
      <c r="O55" s="365"/>
      <c r="P55" s="230">
        <f t="shared" si="20"/>
        <v>78708.11681599998</v>
      </c>
      <c r="Q55" s="365"/>
      <c r="R55" s="230">
        <f t="shared" si="21"/>
        <v>66512.130663999982</v>
      </c>
      <c r="S55" s="365"/>
      <c r="T55" s="230">
        <f t="shared" si="22"/>
        <v>0</v>
      </c>
      <c r="U55" s="365"/>
      <c r="V55" s="230">
        <f t="shared" si="23"/>
        <v>7543.9089599999979</v>
      </c>
      <c r="X55" s="231">
        <f t="shared" si="0"/>
        <v>0</v>
      </c>
      <c r="Y55" s="397">
        <v>615.5</v>
      </c>
      <c r="AA55" s="130" t="s">
        <v>12</v>
      </c>
      <c r="AB55" s="209"/>
      <c r="AC55" s="409">
        <f t="shared" si="24"/>
        <v>1</v>
      </c>
      <c r="AD55" s="130"/>
      <c r="AE55" s="409">
        <f t="shared" si="25"/>
        <v>1257318.1599999997</v>
      </c>
      <c r="AG55" s="152">
        <f t="shared" si="26"/>
        <v>1249774.2510399998</v>
      </c>
      <c r="AH55" s="152"/>
      <c r="AI55" s="152">
        <f t="shared" si="27"/>
        <v>0</v>
      </c>
      <c r="AJ55" s="152"/>
      <c r="AK55" s="152">
        <f t="shared" si="28"/>
        <v>0</v>
      </c>
      <c r="AL55" s="152"/>
      <c r="AM55" s="152">
        <f t="shared" si="29"/>
        <v>0</v>
      </c>
      <c r="AN55" s="152"/>
      <c r="AO55" s="152">
        <f t="shared" si="30"/>
        <v>0</v>
      </c>
      <c r="AP55" s="152"/>
      <c r="AQ55" s="152">
        <f t="shared" si="31"/>
        <v>0</v>
      </c>
      <c r="AR55" s="152"/>
      <c r="AS55" s="152">
        <f t="shared" si="32"/>
        <v>7543.9089599999979</v>
      </c>
      <c r="AU55" s="151"/>
    </row>
    <row r="56" spans="1:47" s="153" customFormat="1" x14ac:dyDescent="0.2">
      <c r="A56" s="411"/>
      <c r="B56" s="447">
        <v>616.5</v>
      </c>
      <c r="D56" s="130" t="s">
        <v>14</v>
      </c>
      <c r="E56" s="209"/>
      <c r="F56" s="140">
        <v>6</v>
      </c>
      <c r="G56" s="210"/>
      <c r="H56" s="394">
        <v>4909.6399999999994</v>
      </c>
      <c r="I56" s="210"/>
      <c r="J56" s="230">
        <f t="shared" si="17"/>
        <v>2236.8319839999999</v>
      </c>
      <c r="K56" s="365"/>
      <c r="L56" s="230">
        <f t="shared" si="18"/>
        <v>1072.2653759999998</v>
      </c>
      <c r="M56" s="365"/>
      <c r="N56" s="230">
        <f t="shared" si="19"/>
        <v>360.36757599999993</v>
      </c>
      <c r="O56" s="365"/>
      <c r="P56" s="230">
        <f t="shared" si="20"/>
        <v>208.65969999999999</v>
      </c>
      <c r="Q56" s="365"/>
      <c r="R56" s="230">
        <f t="shared" si="21"/>
        <v>53.024111999999995</v>
      </c>
      <c r="S56" s="365"/>
      <c r="T56" s="230">
        <f t="shared" si="22"/>
        <v>0</v>
      </c>
      <c r="U56" s="365"/>
      <c r="V56" s="230">
        <f t="shared" si="23"/>
        <v>978.49125199999992</v>
      </c>
      <c r="X56" s="231">
        <f t="shared" si="0"/>
        <v>0</v>
      </c>
      <c r="Y56" s="397">
        <v>616.5</v>
      </c>
      <c r="AA56" s="130" t="s">
        <v>14</v>
      </c>
      <c r="AB56" s="209"/>
      <c r="AC56" s="409">
        <f t="shared" si="24"/>
        <v>6</v>
      </c>
      <c r="AD56" s="130"/>
      <c r="AE56" s="409">
        <f t="shared" si="25"/>
        <v>4909.6399999999994</v>
      </c>
      <c r="AG56" s="152">
        <f t="shared" si="26"/>
        <v>1852.8981359999996</v>
      </c>
      <c r="AH56" s="152"/>
      <c r="AI56" s="152">
        <f t="shared" si="27"/>
        <v>399.15373199999993</v>
      </c>
      <c r="AJ56" s="152"/>
      <c r="AK56" s="152">
        <f t="shared" si="28"/>
        <v>1679.0968799999998</v>
      </c>
      <c r="AL56" s="152"/>
      <c r="AM56" s="152">
        <f t="shared" si="29"/>
        <v>0</v>
      </c>
      <c r="AN56" s="152"/>
      <c r="AO56" s="152">
        <f t="shared" si="30"/>
        <v>0</v>
      </c>
      <c r="AP56" s="152"/>
      <c r="AQ56" s="152">
        <f t="shared" si="31"/>
        <v>0</v>
      </c>
      <c r="AR56" s="152"/>
      <c r="AS56" s="152">
        <f t="shared" si="32"/>
        <v>978.49125199999992</v>
      </c>
      <c r="AU56" s="151"/>
    </row>
    <row r="57" spans="1:47" s="153" customFormat="1" x14ac:dyDescent="0.2">
      <c r="A57" s="411"/>
      <c r="B57" s="447">
        <v>620.5</v>
      </c>
      <c r="D57" s="130" t="s">
        <v>16</v>
      </c>
      <c r="E57" s="209"/>
      <c r="F57" s="140">
        <v>6</v>
      </c>
      <c r="G57" s="210"/>
      <c r="H57" s="394">
        <v>114366.12</v>
      </c>
      <c r="I57" s="210"/>
      <c r="J57" s="230">
        <f t="shared" si="17"/>
        <v>52105.204271999995</v>
      </c>
      <c r="K57" s="365"/>
      <c r="L57" s="230">
        <f t="shared" si="18"/>
        <v>24977.560608</v>
      </c>
      <c r="M57" s="365"/>
      <c r="N57" s="230">
        <f t="shared" si="19"/>
        <v>8394.4732079999994</v>
      </c>
      <c r="O57" s="365"/>
      <c r="P57" s="230">
        <f t="shared" si="20"/>
        <v>4860.5601000000006</v>
      </c>
      <c r="Q57" s="365"/>
      <c r="R57" s="230">
        <f t="shared" si="21"/>
        <v>1235.154096</v>
      </c>
      <c r="S57" s="365"/>
      <c r="T57" s="230">
        <f t="shared" si="22"/>
        <v>0</v>
      </c>
      <c r="U57" s="365"/>
      <c r="V57" s="230">
        <f t="shared" si="23"/>
        <v>22793.167716</v>
      </c>
      <c r="X57" s="231">
        <f t="shared" si="0"/>
        <v>0</v>
      </c>
      <c r="Y57" s="397">
        <v>620.5</v>
      </c>
      <c r="AA57" s="130" t="s">
        <v>16</v>
      </c>
      <c r="AB57" s="209"/>
      <c r="AC57" s="409">
        <f t="shared" si="24"/>
        <v>6</v>
      </c>
      <c r="AD57" s="130"/>
      <c r="AE57" s="409">
        <f t="shared" si="25"/>
        <v>114366.12</v>
      </c>
      <c r="AF57" s="210"/>
      <c r="AG57" s="152">
        <f t="shared" si="26"/>
        <v>43161.773687999994</v>
      </c>
      <c r="AH57" s="152"/>
      <c r="AI57" s="152">
        <f t="shared" si="27"/>
        <v>9297.9655559999992</v>
      </c>
      <c r="AJ57" s="152"/>
      <c r="AK57" s="152">
        <f t="shared" si="28"/>
        <v>39113.213040000002</v>
      </c>
      <c r="AL57" s="152"/>
      <c r="AM57" s="152">
        <f t="shared" si="29"/>
        <v>0</v>
      </c>
      <c r="AN57" s="152"/>
      <c r="AO57" s="152">
        <f t="shared" si="30"/>
        <v>0</v>
      </c>
      <c r="AP57" s="152"/>
      <c r="AQ57" s="152">
        <f t="shared" si="31"/>
        <v>0</v>
      </c>
      <c r="AR57" s="152"/>
      <c r="AS57" s="152">
        <f t="shared" si="32"/>
        <v>22793.167716</v>
      </c>
      <c r="AU57" s="151"/>
    </row>
    <row r="58" spans="1:47" s="153" customFormat="1" x14ac:dyDescent="0.2">
      <c r="A58" s="411"/>
      <c r="B58" s="447">
        <v>631.5</v>
      </c>
      <c r="D58" s="130" t="s">
        <v>22</v>
      </c>
      <c r="E58" s="209"/>
      <c r="F58" s="140">
        <v>6</v>
      </c>
      <c r="G58" s="210"/>
      <c r="H58" s="394">
        <v>23412.55</v>
      </c>
      <c r="I58" s="210"/>
      <c r="J58" s="230">
        <f t="shared" si="17"/>
        <v>10666.75778</v>
      </c>
      <c r="K58" s="365"/>
      <c r="L58" s="230">
        <f t="shared" si="18"/>
        <v>5113.3009199999997</v>
      </c>
      <c r="M58" s="365"/>
      <c r="N58" s="230">
        <f t="shared" si="19"/>
        <v>1718.4811699999998</v>
      </c>
      <c r="O58" s="365"/>
      <c r="P58" s="230">
        <f t="shared" si="20"/>
        <v>995.03337500000009</v>
      </c>
      <c r="Q58" s="365"/>
      <c r="R58" s="230">
        <f t="shared" si="21"/>
        <v>252.85554000000002</v>
      </c>
      <c r="S58" s="365"/>
      <c r="T58" s="230">
        <f t="shared" si="22"/>
        <v>0</v>
      </c>
      <c r="U58" s="365"/>
      <c r="V58" s="230">
        <f t="shared" si="23"/>
        <v>4666.1212150000001</v>
      </c>
      <c r="X58" s="231">
        <f t="shared" si="0"/>
        <v>0</v>
      </c>
      <c r="Y58" s="397">
        <v>631.5</v>
      </c>
      <c r="AA58" s="130" t="s">
        <v>22</v>
      </c>
      <c r="AB58" s="209"/>
      <c r="AC58" s="409">
        <f t="shared" si="24"/>
        <v>6</v>
      </c>
      <c r="AD58" s="130"/>
      <c r="AE58" s="409">
        <f t="shared" si="25"/>
        <v>23412.55</v>
      </c>
      <c r="AF58" s="210"/>
      <c r="AG58" s="152">
        <f t="shared" si="26"/>
        <v>8835.8963699999986</v>
      </c>
      <c r="AH58" s="152"/>
      <c r="AI58" s="152">
        <f t="shared" si="27"/>
        <v>1903.4403149999998</v>
      </c>
      <c r="AJ58" s="152"/>
      <c r="AK58" s="152">
        <f t="shared" si="28"/>
        <v>8007.0921000000008</v>
      </c>
      <c r="AL58" s="152"/>
      <c r="AM58" s="152">
        <f t="shared" si="29"/>
        <v>0</v>
      </c>
      <c r="AN58" s="152"/>
      <c r="AO58" s="152">
        <f t="shared" si="30"/>
        <v>0</v>
      </c>
      <c r="AP58" s="152"/>
      <c r="AQ58" s="152">
        <f t="shared" si="31"/>
        <v>0</v>
      </c>
      <c r="AR58" s="152"/>
      <c r="AS58" s="152">
        <f t="shared" si="32"/>
        <v>4666.1212150000001</v>
      </c>
      <c r="AU58" s="151"/>
    </row>
    <row r="59" spans="1:47" s="153" customFormat="1" x14ac:dyDescent="0.2">
      <c r="A59" s="411"/>
      <c r="B59" s="447">
        <v>633.5</v>
      </c>
      <c r="D59" s="130" t="s">
        <v>24</v>
      </c>
      <c r="E59" s="209"/>
      <c r="F59" s="140">
        <v>6</v>
      </c>
      <c r="G59" s="210"/>
      <c r="H59" s="394">
        <v>15538.33</v>
      </c>
      <c r="I59" s="210"/>
      <c r="J59" s="230">
        <f t="shared" si="17"/>
        <v>7079.263148</v>
      </c>
      <c r="K59" s="365"/>
      <c r="L59" s="230">
        <f t="shared" si="18"/>
        <v>3393.5712720000001</v>
      </c>
      <c r="M59" s="365"/>
      <c r="N59" s="230">
        <f t="shared" si="19"/>
        <v>1140.513422</v>
      </c>
      <c r="O59" s="365"/>
      <c r="P59" s="230">
        <f t="shared" si="20"/>
        <v>660.37902500000007</v>
      </c>
      <c r="Q59" s="365"/>
      <c r="R59" s="230">
        <f t="shared" si="21"/>
        <v>167.813964</v>
      </c>
      <c r="S59" s="365"/>
      <c r="T59" s="230">
        <f t="shared" si="22"/>
        <v>0</v>
      </c>
      <c r="U59" s="365"/>
      <c r="V59" s="230">
        <f t="shared" si="23"/>
        <v>3096.7891690000001</v>
      </c>
      <c r="X59" s="231">
        <f t="shared" si="0"/>
        <v>0</v>
      </c>
      <c r="Y59" s="397">
        <v>633.5</v>
      </c>
      <c r="AA59" s="130" t="s">
        <v>24</v>
      </c>
      <c r="AB59" s="209"/>
      <c r="AC59" s="409">
        <f t="shared" si="24"/>
        <v>6</v>
      </c>
      <c r="AD59" s="130"/>
      <c r="AE59" s="409">
        <f t="shared" si="25"/>
        <v>15538.33</v>
      </c>
      <c r="AF59" s="210"/>
      <c r="AG59" s="152">
        <f t="shared" si="26"/>
        <v>5864.1657419999992</v>
      </c>
      <c r="AH59" s="152"/>
      <c r="AI59" s="152">
        <f t="shared" si="27"/>
        <v>1263.2662289999998</v>
      </c>
      <c r="AJ59" s="152"/>
      <c r="AK59" s="152">
        <f t="shared" si="28"/>
        <v>5314.1088600000003</v>
      </c>
      <c r="AL59" s="152"/>
      <c r="AM59" s="152">
        <f t="shared" si="29"/>
        <v>0</v>
      </c>
      <c r="AN59" s="152"/>
      <c r="AO59" s="152">
        <f t="shared" si="30"/>
        <v>0</v>
      </c>
      <c r="AP59" s="152"/>
      <c r="AQ59" s="152">
        <f t="shared" si="31"/>
        <v>0</v>
      </c>
      <c r="AR59" s="152"/>
      <c r="AS59" s="152">
        <f t="shared" si="32"/>
        <v>3096.7891690000001</v>
      </c>
      <c r="AU59" s="151"/>
    </row>
    <row r="60" spans="1:47" s="153" customFormat="1" x14ac:dyDescent="0.2">
      <c r="A60" s="411"/>
      <c r="B60" s="447">
        <v>635.5</v>
      </c>
      <c r="D60" s="130" t="s">
        <v>31</v>
      </c>
      <c r="E60" s="209"/>
      <c r="F60" s="140">
        <v>6</v>
      </c>
      <c r="G60" s="210"/>
      <c r="H60" s="394">
        <v>70017.09</v>
      </c>
      <c r="I60" s="210"/>
      <c r="J60" s="230">
        <f t="shared" si="17"/>
        <v>31899.786204</v>
      </c>
      <c r="K60" s="365"/>
      <c r="L60" s="230">
        <f t="shared" si="18"/>
        <v>15291.732456</v>
      </c>
      <c r="M60" s="365"/>
      <c r="N60" s="230">
        <f t="shared" si="19"/>
        <v>5139.2544059999991</v>
      </c>
      <c r="O60" s="365"/>
      <c r="P60" s="230">
        <f t="shared" si="20"/>
        <v>2975.7263250000001</v>
      </c>
      <c r="Q60" s="365"/>
      <c r="R60" s="230">
        <f t="shared" si="21"/>
        <v>756.184572</v>
      </c>
      <c r="S60" s="365"/>
      <c r="T60" s="230">
        <f t="shared" si="22"/>
        <v>0</v>
      </c>
      <c r="U60" s="365"/>
      <c r="V60" s="230">
        <f t="shared" si="23"/>
        <v>13954.406036999999</v>
      </c>
      <c r="X60" s="231">
        <f t="shared" si="0"/>
        <v>0</v>
      </c>
      <c r="Y60" s="397">
        <v>635.5</v>
      </c>
      <c r="AA60" s="130" t="s">
        <v>31</v>
      </c>
      <c r="AB60" s="209"/>
      <c r="AC60" s="409">
        <f t="shared" si="24"/>
        <v>6</v>
      </c>
      <c r="AD60" s="130"/>
      <c r="AE60" s="409">
        <f t="shared" si="25"/>
        <v>70017.09</v>
      </c>
      <c r="AF60" s="210"/>
      <c r="AG60" s="152">
        <f t="shared" si="26"/>
        <v>26424.449765999994</v>
      </c>
      <c r="AH60" s="152"/>
      <c r="AI60" s="152">
        <f t="shared" si="27"/>
        <v>5692.3894169999994</v>
      </c>
      <c r="AJ60" s="152"/>
      <c r="AK60" s="152">
        <f t="shared" si="28"/>
        <v>23945.844779999999</v>
      </c>
      <c r="AL60" s="152"/>
      <c r="AM60" s="152">
        <f t="shared" si="29"/>
        <v>0</v>
      </c>
      <c r="AN60" s="152"/>
      <c r="AO60" s="152">
        <f t="shared" si="30"/>
        <v>0</v>
      </c>
      <c r="AP60" s="152"/>
      <c r="AQ60" s="152">
        <f t="shared" si="31"/>
        <v>0</v>
      </c>
      <c r="AR60" s="152"/>
      <c r="AS60" s="152">
        <f t="shared" si="32"/>
        <v>13954.406036999999</v>
      </c>
      <c r="AU60" s="151"/>
    </row>
    <row r="61" spans="1:47" s="153" customFormat="1" x14ac:dyDescent="0.2">
      <c r="A61" s="411"/>
      <c r="B61" s="447">
        <v>650.5</v>
      </c>
      <c r="D61" s="130" t="s">
        <v>43</v>
      </c>
      <c r="E61" s="209"/>
      <c r="F61" s="140">
        <v>6</v>
      </c>
      <c r="G61" s="210"/>
      <c r="H61" s="540">
        <v>60803.840000000004</v>
      </c>
      <c r="I61" s="210"/>
      <c r="J61" s="414">
        <f t="shared" si="17"/>
        <v>27702.229504000003</v>
      </c>
      <c r="K61" s="365"/>
      <c r="L61" s="414">
        <f t="shared" si="18"/>
        <v>13279.558656000001</v>
      </c>
      <c r="M61" s="365"/>
      <c r="N61" s="414">
        <f t="shared" si="19"/>
        <v>4463.0018559999999</v>
      </c>
      <c r="O61" s="365"/>
      <c r="P61" s="414">
        <f t="shared" si="20"/>
        <v>2584.1632000000004</v>
      </c>
      <c r="Q61" s="365"/>
      <c r="R61" s="414">
        <f t="shared" si="21"/>
        <v>656.6814720000001</v>
      </c>
      <c r="S61" s="365"/>
      <c r="T61" s="414">
        <f t="shared" si="22"/>
        <v>0</v>
      </c>
      <c r="U61" s="365"/>
      <c r="V61" s="414">
        <f t="shared" si="23"/>
        <v>12118.205312000002</v>
      </c>
      <c r="X61" s="231">
        <f t="shared" si="0"/>
        <v>0</v>
      </c>
      <c r="Y61" s="397">
        <v>650.5</v>
      </c>
      <c r="AA61" s="130" t="s">
        <v>43</v>
      </c>
      <c r="AB61" s="209"/>
      <c r="AC61" s="409">
        <f t="shared" si="24"/>
        <v>6</v>
      </c>
      <c r="AD61" s="130"/>
      <c r="AE61" s="410">
        <f t="shared" si="25"/>
        <v>60803.840000000004</v>
      </c>
      <c r="AF61" s="210"/>
      <c r="AG61" s="139">
        <f t="shared" si="26"/>
        <v>22947.369215999999</v>
      </c>
      <c r="AH61" s="152"/>
      <c r="AI61" s="139">
        <f t="shared" si="27"/>
        <v>4943.3521920000003</v>
      </c>
      <c r="AJ61" s="152"/>
      <c r="AK61" s="139">
        <f t="shared" si="28"/>
        <v>20794.913280000004</v>
      </c>
      <c r="AL61" s="152"/>
      <c r="AM61" s="139">
        <f t="shared" si="29"/>
        <v>0</v>
      </c>
      <c r="AN61" s="152"/>
      <c r="AO61" s="139">
        <f t="shared" si="30"/>
        <v>0</v>
      </c>
      <c r="AP61" s="152"/>
      <c r="AQ61" s="139">
        <f t="shared" si="31"/>
        <v>0</v>
      </c>
      <c r="AR61" s="152"/>
      <c r="AS61" s="139">
        <f t="shared" si="32"/>
        <v>12118.205312000002</v>
      </c>
      <c r="AU61" s="151"/>
    </row>
    <row r="62" spans="1:47" s="153" customFormat="1" x14ac:dyDescent="0.2">
      <c r="A62" s="411"/>
      <c r="B62" s="447"/>
      <c r="D62" s="403" t="s">
        <v>56</v>
      </c>
      <c r="E62" s="209"/>
      <c r="F62" s="140"/>
      <c r="G62" s="210"/>
      <c r="H62" s="394">
        <f>SUM(H54:H61)</f>
        <v>2499730.1299999994</v>
      </c>
      <c r="I62" s="210"/>
      <c r="J62" s="152">
        <f>SUM(J54:J61)</f>
        <v>1188918.3099959998</v>
      </c>
      <c r="K62" s="210"/>
      <c r="L62" s="152">
        <f>SUM(L54:L61)</f>
        <v>617231.00006399979</v>
      </c>
      <c r="M62" s="210"/>
      <c r="N62" s="152">
        <f>SUM(N54:N61)</f>
        <v>226983.39987799991</v>
      </c>
      <c r="O62" s="210"/>
      <c r="P62" s="152">
        <f>SUM(P54:P61)</f>
        <v>131510.62554099999</v>
      </c>
      <c r="Q62" s="210"/>
      <c r="R62" s="152">
        <f>SUM(R54:R61)</f>
        <v>79930.179939999973</v>
      </c>
      <c r="S62" s="210"/>
      <c r="T62" s="152">
        <f>SUM(T54:T61)</f>
        <v>0</v>
      </c>
      <c r="U62" s="210"/>
      <c r="V62" s="152">
        <f>SUM(V54:V61)</f>
        <v>255156.614581</v>
      </c>
      <c r="X62" s="231">
        <f t="shared" si="0"/>
        <v>0</v>
      </c>
      <c r="Y62" s="397"/>
      <c r="AA62" s="403" t="s">
        <v>56</v>
      </c>
      <c r="AB62" s="209"/>
      <c r="AC62" s="140"/>
      <c r="AE62" s="152">
        <f>SUM(AE54:AE61)</f>
        <v>2499730.1299999994</v>
      </c>
      <c r="AG62" s="152">
        <f>SUM(AG54:AG61)</f>
        <v>1718660.5285179997</v>
      </c>
      <c r="AI62" s="152">
        <f>SUM(AI54:AI61)</f>
        <v>101008.093161</v>
      </c>
      <c r="AK62" s="152">
        <f>SUM(AK54:AK61)</f>
        <v>424904.89373999997</v>
      </c>
      <c r="AM62" s="152">
        <f>SUM(AM54:AM61)</f>
        <v>0</v>
      </c>
      <c r="AO62" s="152">
        <f>SUM(AO54:AO61)</f>
        <v>0</v>
      </c>
      <c r="AQ62" s="152">
        <f>SUM(AQ54:AQ61)</f>
        <v>0</v>
      </c>
      <c r="AS62" s="152">
        <f>SUM(AS54:AS61)</f>
        <v>255156.614581</v>
      </c>
      <c r="AU62" s="151"/>
    </row>
    <row r="63" spans="1:47" s="153" customFormat="1" x14ac:dyDescent="0.2">
      <c r="A63" s="411"/>
      <c r="B63" s="447"/>
      <c r="D63" s="404"/>
      <c r="E63" s="209"/>
      <c r="F63" s="140"/>
      <c r="G63" s="210"/>
      <c r="H63" s="394"/>
      <c r="I63" s="210"/>
      <c r="J63" s="152"/>
      <c r="K63" s="211"/>
      <c r="L63" s="211"/>
      <c r="M63" s="211"/>
      <c r="N63" s="211"/>
      <c r="O63" s="211"/>
      <c r="P63" s="211"/>
      <c r="Q63" s="211"/>
      <c r="R63" s="211"/>
      <c r="S63" s="211"/>
      <c r="T63" s="211"/>
      <c r="U63" s="211"/>
      <c r="V63" s="211"/>
      <c r="X63" s="231">
        <f t="shared" si="0"/>
        <v>0</v>
      </c>
      <c r="Y63" s="397"/>
      <c r="AA63" s="404"/>
      <c r="AB63" s="209"/>
      <c r="AC63" s="140"/>
      <c r="AE63" s="152"/>
      <c r="AF63" s="210"/>
      <c r="AG63" s="152"/>
      <c r="AH63" s="211"/>
      <c r="AI63" s="211"/>
      <c r="AJ63" s="211"/>
      <c r="AK63" s="211"/>
      <c r="AL63" s="211"/>
      <c r="AM63" s="211"/>
      <c r="AN63" s="211"/>
      <c r="AO63" s="211"/>
      <c r="AP63" s="211"/>
      <c r="AQ63" s="211"/>
      <c r="AR63" s="211"/>
      <c r="AS63" s="211"/>
      <c r="AU63" s="151"/>
    </row>
    <row r="64" spans="1:47" s="153" customFormat="1" x14ac:dyDescent="0.2">
      <c r="A64" s="394"/>
      <c r="B64" s="448"/>
      <c r="D64" s="404"/>
      <c r="E64" s="209"/>
      <c r="F64" s="140"/>
      <c r="G64" s="210"/>
      <c r="I64" s="210"/>
      <c r="J64" s="152"/>
      <c r="K64" s="211"/>
      <c r="L64" s="211"/>
      <c r="M64" s="211"/>
      <c r="N64" s="211"/>
      <c r="O64" s="211"/>
      <c r="P64" s="211"/>
      <c r="Q64" s="211"/>
      <c r="R64" s="211"/>
      <c r="S64" s="211"/>
      <c r="T64" s="211"/>
      <c r="U64" s="211"/>
      <c r="V64" s="211"/>
      <c r="X64" s="231">
        <f>+A64-SUM(J64:V64)</f>
        <v>0</v>
      </c>
      <c r="Y64" s="397"/>
      <c r="AA64" s="404"/>
      <c r="AB64" s="209"/>
      <c r="AC64" s="140"/>
      <c r="AE64" s="152"/>
      <c r="AF64" s="210"/>
      <c r="AG64" s="152"/>
      <c r="AH64" s="211"/>
      <c r="AI64" s="211"/>
      <c r="AJ64" s="211"/>
      <c r="AK64" s="211"/>
      <c r="AL64" s="211"/>
      <c r="AM64" s="211"/>
      <c r="AN64" s="211"/>
      <c r="AO64" s="211"/>
      <c r="AP64" s="211"/>
      <c r="AQ64" s="211"/>
      <c r="AR64" s="211"/>
      <c r="AS64" s="211"/>
      <c r="AU64" s="151"/>
    </row>
    <row r="65" spans="1:47" s="153" customFormat="1" x14ac:dyDescent="0.2">
      <c r="A65" s="411"/>
      <c r="B65" s="449"/>
      <c r="D65" s="395" t="s">
        <v>385</v>
      </c>
      <c r="E65" s="209"/>
      <c r="F65" s="140"/>
      <c r="G65" s="210"/>
      <c r="H65" s="394"/>
      <c r="I65" s="152"/>
      <c r="J65" s="152"/>
      <c r="K65" s="152"/>
      <c r="L65" s="152"/>
      <c r="M65" s="152"/>
      <c r="N65" s="152"/>
      <c r="O65" s="152"/>
      <c r="P65" s="152"/>
      <c r="Q65" s="152"/>
      <c r="R65" s="152"/>
      <c r="S65" s="152"/>
      <c r="T65" s="152"/>
      <c r="U65" s="152"/>
      <c r="V65" s="152"/>
      <c r="X65" s="231">
        <f t="shared" ref="X65:X96" si="33">+H65-SUM(J65:V65)</f>
        <v>0</v>
      </c>
      <c r="Y65" s="397"/>
      <c r="AA65" s="395" t="s">
        <v>385</v>
      </c>
      <c r="AB65" s="209"/>
      <c r="AC65" s="140"/>
      <c r="AE65" s="152"/>
      <c r="AF65" s="152"/>
      <c r="AG65" s="152"/>
      <c r="AH65" s="152"/>
      <c r="AI65" s="152"/>
      <c r="AJ65" s="152"/>
      <c r="AK65" s="152"/>
      <c r="AL65" s="152"/>
      <c r="AM65" s="152"/>
      <c r="AN65" s="152"/>
      <c r="AO65" s="152"/>
      <c r="AP65" s="152"/>
      <c r="AQ65" s="152"/>
      <c r="AR65" s="152"/>
      <c r="AS65" s="152"/>
      <c r="AU65" s="151"/>
    </row>
    <row r="66" spans="1:47" s="153" customFormat="1" x14ac:dyDescent="0.2">
      <c r="A66" s="411"/>
      <c r="B66" s="447">
        <v>601.6</v>
      </c>
      <c r="D66" s="399" t="s">
        <v>114</v>
      </c>
      <c r="E66" s="209"/>
      <c r="F66" s="140">
        <v>11</v>
      </c>
      <c r="G66" s="210"/>
      <c r="H66" s="394">
        <v>512244.96</v>
      </c>
      <c r="I66" s="210"/>
      <c r="J66" s="230">
        <f t="shared" ref="J66:J83" si="34">(VLOOKUP($F66,Factors,J$329))*$H66</f>
        <v>254483.29612800002</v>
      </c>
      <c r="K66" s="365"/>
      <c r="L66" s="230">
        <f t="shared" ref="L66:L83" si="35">(VLOOKUP($F66,Factors,L$329))*$H66</f>
        <v>97326.542400000006</v>
      </c>
      <c r="M66" s="365"/>
      <c r="N66" s="230">
        <f t="shared" ref="N66:N83" si="36">(VLOOKUP($F66,Factors,N$329))*$H66</f>
        <v>29197.962720000003</v>
      </c>
      <c r="O66" s="365"/>
      <c r="P66" s="230">
        <f t="shared" ref="P66:P83" si="37">(VLOOKUP($F66,Factors,P$329))*$H66</f>
        <v>18184.696079999998</v>
      </c>
      <c r="Q66" s="365"/>
      <c r="R66" s="230">
        <f t="shared" ref="R66:R83" si="38">(VLOOKUP($F66,Factors,R$329))*$H66</f>
        <v>4968.7761120000005</v>
      </c>
      <c r="S66" s="365"/>
      <c r="T66" s="230">
        <f t="shared" ref="T66:T83" si="39">(VLOOKUP($F66,Factors,T$329))*$H66</f>
        <v>0</v>
      </c>
      <c r="U66" s="365"/>
      <c r="V66" s="230">
        <f t="shared" ref="V66:V83" si="40">(VLOOKUP($F66,Factors,V$329))*$H66</f>
        <v>108083.68656</v>
      </c>
      <c r="X66" s="231">
        <f t="shared" si="33"/>
        <v>0</v>
      </c>
      <c r="Y66" s="397">
        <v>601.6</v>
      </c>
      <c r="AA66" s="399" t="s">
        <v>114</v>
      </c>
      <c r="AB66" s="209"/>
      <c r="AC66" s="409">
        <f t="shared" ref="AC66:AC83" si="41">+F66</f>
        <v>11</v>
      </c>
      <c r="AD66" s="130"/>
      <c r="AE66" s="409">
        <f t="shared" ref="AE66:AE83" si="42">+H66</f>
        <v>512244.96</v>
      </c>
      <c r="AG66" s="152">
        <f t="shared" ref="AG66:AG83" si="43">(VLOOKUP($AC66,func,AG$329))*$AE66</f>
        <v>147065.52801600003</v>
      </c>
      <c r="AH66" s="152"/>
      <c r="AI66" s="152">
        <f t="shared" ref="AI66:AI83" si="44">(VLOOKUP($AC66,func,AI$329))*$AE66</f>
        <v>29454.085200000001</v>
      </c>
      <c r="AJ66" s="152"/>
      <c r="AK66" s="152">
        <f t="shared" ref="AK66:AK83" si="45">(VLOOKUP($AC66,func,AK$329))*$AE66</f>
        <v>138511.03718399999</v>
      </c>
      <c r="AL66" s="152"/>
      <c r="AM66" s="152">
        <f t="shared" ref="AM66:AM83" si="46">(VLOOKUP($AC66,func,AM$329))*$AE66</f>
        <v>0</v>
      </c>
      <c r="AN66" s="152"/>
      <c r="AO66" s="152">
        <f t="shared" ref="AO66:AO83" si="47">(VLOOKUP($AC66,func,AO$329))*$AE66</f>
        <v>89130.623039999991</v>
      </c>
      <c r="AP66" s="152"/>
      <c r="AQ66" s="152">
        <f t="shared" ref="AQ66:AQ83" si="48">(VLOOKUP($AC66,func,AQ$329))*$AE66</f>
        <v>0</v>
      </c>
      <c r="AR66" s="152"/>
      <c r="AS66" s="152">
        <f t="shared" ref="AS66:AS83" si="49">(VLOOKUP($AC66,func,AS$329))*$AE66</f>
        <v>108083.68656</v>
      </c>
      <c r="AU66" s="151"/>
    </row>
    <row r="67" spans="1:47" s="153" customFormat="1" x14ac:dyDescent="0.2">
      <c r="A67" s="411"/>
      <c r="B67" s="447">
        <v>601.6</v>
      </c>
      <c r="D67" s="399" t="s">
        <v>117</v>
      </c>
      <c r="E67" s="209"/>
      <c r="F67" s="140">
        <v>6</v>
      </c>
      <c r="G67" s="210"/>
      <c r="H67" s="394">
        <v>1517751.88</v>
      </c>
      <c r="I67" s="210"/>
      <c r="J67" s="230">
        <f t="shared" si="34"/>
        <v>691487.756528</v>
      </c>
      <c r="K67" s="365"/>
      <c r="L67" s="230">
        <f t="shared" si="35"/>
        <v>331477.01059199998</v>
      </c>
      <c r="M67" s="365"/>
      <c r="N67" s="230">
        <f t="shared" si="36"/>
        <v>111402.98799199998</v>
      </c>
      <c r="O67" s="365"/>
      <c r="P67" s="230">
        <f t="shared" si="37"/>
        <v>64504.454899999997</v>
      </c>
      <c r="Q67" s="365"/>
      <c r="R67" s="230">
        <f t="shared" si="38"/>
        <v>16391.720303999999</v>
      </c>
      <c r="S67" s="365"/>
      <c r="T67" s="230">
        <f t="shared" si="39"/>
        <v>0</v>
      </c>
      <c r="U67" s="365"/>
      <c r="V67" s="230">
        <f t="shared" si="40"/>
        <v>302487.94968399999</v>
      </c>
      <c r="X67" s="231">
        <f t="shared" si="33"/>
        <v>0</v>
      </c>
      <c r="Y67" s="397">
        <v>601.6</v>
      </c>
      <c r="AA67" s="399" t="s">
        <v>117</v>
      </c>
      <c r="AB67" s="209"/>
      <c r="AC67" s="409">
        <f t="shared" si="41"/>
        <v>6</v>
      </c>
      <c r="AD67" s="130"/>
      <c r="AE67" s="409">
        <f t="shared" si="42"/>
        <v>1517751.88</v>
      </c>
      <c r="AG67" s="152">
        <f t="shared" si="43"/>
        <v>572799.55951199995</v>
      </c>
      <c r="AH67" s="152"/>
      <c r="AI67" s="152">
        <f t="shared" si="44"/>
        <v>123393.22784399999</v>
      </c>
      <c r="AJ67" s="152"/>
      <c r="AK67" s="152">
        <f t="shared" si="45"/>
        <v>519071.14296000003</v>
      </c>
      <c r="AL67" s="152"/>
      <c r="AM67" s="152">
        <f t="shared" si="46"/>
        <v>0</v>
      </c>
      <c r="AN67" s="152"/>
      <c r="AO67" s="152">
        <f t="shared" si="47"/>
        <v>0</v>
      </c>
      <c r="AP67" s="152"/>
      <c r="AQ67" s="152">
        <f t="shared" si="48"/>
        <v>0</v>
      </c>
      <c r="AR67" s="152"/>
      <c r="AS67" s="152">
        <f t="shared" si="49"/>
        <v>302487.94968399999</v>
      </c>
      <c r="AU67" s="151"/>
    </row>
    <row r="68" spans="1:47" s="153" customFormat="1" x14ac:dyDescent="0.2">
      <c r="A68" s="411"/>
      <c r="B68" s="447">
        <v>601.6</v>
      </c>
      <c r="D68" s="399" t="s">
        <v>116</v>
      </c>
      <c r="E68" s="209"/>
      <c r="F68" s="140">
        <v>9</v>
      </c>
      <c r="G68" s="210"/>
      <c r="H68" s="394">
        <v>154826.15</v>
      </c>
      <c r="I68" s="210"/>
      <c r="J68" s="230">
        <f t="shared" si="34"/>
        <v>130951.95766999999</v>
      </c>
      <c r="K68" s="365"/>
      <c r="L68" s="230">
        <f t="shared" si="35"/>
        <v>20189.329959999999</v>
      </c>
      <c r="M68" s="365"/>
      <c r="N68" s="230">
        <f t="shared" si="36"/>
        <v>897.99166999999989</v>
      </c>
      <c r="O68" s="365"/>
      <c r="P68" s="230">
        <f t="shared" si="37"/>
        <v>2709.457625</v>
      </c>
      <c r="Q68" s="365"/>
      <c r="R68" s="230">
        <f t="shared" si="38"/>
        <v>77.413074999999992</v>
      </c>
      <c r="S68" s="365"/>
      <c r="T68" s="230">
        <f t="shared" si="39"/>
        <v>0</v>
      </c>
      <c r="U68" s="365"/>
      <c r="V68" s="230">
        <f t="shared" si="40"/>
        <v>0</v>
      </c>
      <c r="X68" s="231">
        <f t="shared" si="33"/>
        <v>0</v>
      </c>
      <c r="Y68" s="397">
        <v>601.6</v>
      </c>
      <c r="AA68" s="399" t="s">
        <v>116</v>
      </c>
      <c r="AB68" s="209"/>
      <c r="AC68" s="409">
        <f t="shared" si="41"/>
        <v>9</v>
      </c>
      <c r="AD68" s="130"/>
      <c r="AE68" s="409">
        <f t="shared" si="42"/>
        <v>154826.15</v>
      </c>
      <c r="AG68" s="152">
        <f t="shared" si="43"/>
        <v>0</v>
      </c>
      <c r="AH68" s="152"/>
      <c r="AI68" s="152">
        <f t="shared" si="44"/>
        <v>0</v>
      </c>
      <c r="AJ68" s="152"/>
      <c r="AK68" s="152">
        <f t="shared" si="45"/>
        <v>0</v>
      </c>
      <c r="AL68" s="152"/>
      <c r="AM68" s="152">
        <f t="shared" si="46"/>
        <v>0</v>
      </c>
      <c r="AN68" s="152"/>
      <c r="AO68" s="152">
        <f t="shared" si="47"/>
        <v>154826.15</v>
      </c>
      <c r="AP68" s="152"/>
      <c r="AQ68" s="152">
        <f t="shared" si="48"/>
        <v>0</v>
      </c>
      <c r="AR68" s="152"/>
      <c r="AS68" s="152">
        <f t="shared" si="49"/>
        <v>0</v>
      </c>
      <c r="AU68" s="151"/>
    </row>
    <row r="69" spans="1:47" s="153" customFormat="1" x14ac:dyDescent="0.2">
      <c r="A69" s="411"/>
      <c r="B69" s="447">
        <v>601.6</v>
      </c>
      <c r="D69" s="399" t="s">
        <v>118</v>
      </c>
      <c r="E69" s="209"/>
      <c r="F69" s="140">
        <v>7</v>
      </c>
      <c r="G69" s="210"/>
      <c r="H69" s="394">
        <v>75043.570000000007</v>
      </c>
      <c r="I69" s="210"/>
      <c r="J69" s="230">
        <f t="shared" si="34"/>
        <v>0</v>
      </c>
      <c r="K69" s="365"/>
      <c r="L69" s="230">
        <f t="shared" si="35"/>
        <v>0</v>
      </c>
      <c r="M69" s="365"/>
      <c r="N69" s="230">
        <f t="shared" si="36"/>
        <v>0</v>
      </c>
      <c r="O69" s="365"/>
      <c r="P69" s="230">
        <f t="shared" si="37"/>
        <v>0</v>
      </c>
      <c r="Q69" s="365"/>
      <c r="R69" s="230">
        <f t="shared" si="38"/>
        <v>0</v>
      </c>
      <c r="S69" s="365"/>
      <c r="T69" s="230">
        <f t="shared" si="39"/>
        <v>0</v>
      </c>
      <c r="U69" s="365"/>
      <c r="V69" s="230">
        <f t="shared" si="40"/>
        <v>75043.570000000007</v>
      </c>
      <c r="X69" s="231">
        <f t="shared" si="33"/>
        <v>0</v>
      </c>
      <c r="Y69" s="397">
        <v>601.6</v>
      </c>
      <c r="AA69" s="399" t="s">
        <v>118</v>
      </c>
      <c r="AB69" s="209"/>
      <c r="AC69" s="409">
        <f t="shared" si="41"/>
        <v>7</v>
      </c>
      <c r="AD69" s="130"/>
      <c r="AE69" s="409">
        <f t="shared" si="42"/>
        <v>75043.570000000007</v>
      </c>
      <c r="AG69" s="152">
        <f t="shared" si="43"/>
        <v>0</v>
      </c>
      <c r="AH69" s="152"/>
      <c r="AI69" s="152">
        <f t="shared" si="44"/>
        <v>0</v>
      </c>
      <c r="AJ69" s="152"/>
      <c r="AK69" s="152">
        <f t="shared" si="45"/>
        <v>0</v>
      </c>
      <c r="AL69" s="152"/>
      <c r="AM69" s="152">
        <f t="shared" si="46"/>
        <v>0</v>
      </c>
      <c r="AN69" s="152"/>
      <c r="AO69" s="152">
        <f t="shared" si="47"/>
        <v>0</v>
      </c>
      <c r="AP69" s="152"/>
      <c r="AQ69" s="152">
        <f t="shared" si="48"/>
        <v>0</v>
      </c>
      <c r="AR69" s="152"/>
      <c r="AS69" s="152">
        <f t="shared" si="49"/>
        <v>75043.570000000007</v>
      </c>
      <c r="AU69" s="151"/>
    </row>
    <row r="70" spans="1:47" s="153" customFormat="1" x14ac:dyDescent="0.2">
      <c r="A70" s="411"/>
      <c r="B70" s="447">
        <v>620.6</v>
      </c>
      <c r="D70" s="399" t="s">
        <v>20</v>
      </c>
      <c r="E70" s="209"/>
      <c r="F70" s="140">
        <v>6</v>
      </c>
      <c r="G70" s="210"/>
      <c r="H70" s="394">
        <v>720059.64</v>
      </c>
      <c r="I70" s="210"/>
      <c r="J70" s="230">
        <f t="shared" si="34"/>
        <v>328059.17198400002</v>
      </c>
      <c r="K70" s="365"/>
      <c r="L70" s="230">
        <f t="shared" si="35"/>
        <v>157261.02537600001</v>
      </c>
      <c r="M70" s="365"/>
      <c r="N70" s="230">
        <f t="shared" si="36"/>
        <v>52852.377575999999</v>
      </c>
      <c r="O70" s="365"/>
      <c r="P70" s="230">
        <f t="shared" si="37"/>
        <v>30602.534700000004</v>
      </c>
      <c r="Q70" s="365"/>
      <c r="R70" s="230">
        <f t="shared" si="38"/>
        <v>7776.6441120000009</v>
      </c>
      <c r="S70" s="365"/>
      <c r="T70" s="230">
        <f t="shared" si="39"/>
        <v>0</v>
      </c>
      <c r="U70" s="365"/>
      <c r="V70" s="230">
        <f t="shared" si="40"/>
        <v>143507.886252</v>
      </c>
      <c r="X70" s="231">
        <f t="shared" si="33"/>
        <v>0</v>
      </c>
      <c r="Y70" s="397">
        <v>620.6</v>
      </c>
      <c r="AA70" s="399" t="s">
        <v>20</v>
      </c>
      <c r="AB70" s="209"/>
      <c r="AC70" s="409">
        <f t="shared" si="41"/>
        <v>6</v>
      </c>
      <c r="AD70" s="130"/>
      <c r="AE70" s="409">
        <f t="shared" si="42"/>
        <v>720059.64</v>
      </c>
      <c r="AG70" s="152">
        <f t="shared" si="43"/>
        <v>271750.50813599996</v>
      </c>
      <c r="AH70" s="152"/>
      <c r="AI70" s="152">
        <f t="shared" si="44"/>
        <v>58540.848731999999</v>
      </c>
      <c r="AJ70" s="152"/>
      <c r="AK70" s="152">
        <f t="shared" si="45"/>
        <v>246260.39688000001</v>
      </c>
      <c r="AL70" s="152"/>
      <c r="AM70" s="152">
        <f t="shared" si="46"/>
        <v>0</v>
      </c>
      <c r="AN70" s="152"/>
      <c r="AO70" s="152">
        <f t="shared" si="47"/>
        <v>0</v>
      </c>
      <c r="AP70" s="152"/>
      <c r="AQ70" s="152">
        <f t="shared" si="48"/>
        <v>0</v>
      </c>
      <c r="AR70" s="152"/>
      <c r="AS70" s="152">
        <f t="shared" si="49"/>
        <v>143507.886252</v>
      </c>
      <c r="AU70" s="151"/>
    </row>
    <row r="71" spans="1:47" s="153" customFormat="1" x14ac:dyDescent="0.2">
      <c r="A71" s="411"/>
      <c r="B71" s="447">
        <v>620.6</v>
      </c>
      <c r="D71" s="399" t="s">
        <v>17</v>
      </c>
      <c r="E71" s="209"/>
      <c r="F71" s="140">
        <v>9</v>
      </c>
      <c r="G71" s="210"/>
      <c r="H71" s="394">
        <v>381689.58</v>
      </c>
      <c r="I71" s="210"/>
      <c r="J71" s="230">
        <f t="shared" si="34"/>
        <v>322833.04676400003</v>
      </c>
      <c r="K71" s="365"/>
      <c r="L71" s="230">
        <f t="shared" si="35"/>
        <v>49772.321231999995</v>
      </c>
      <c r="M71" s="365"/>
      <c r="N71" s="230">
        <f t="shared" si="36"/>
        <v>2213.7995639999999</v>
      </c>
      <c r="O71" s="365"/>
      <c r="P71" s="230">
        <f t="shared" si="37"/>
        <v>6679.5676500000009</v>
      </c>
      <c r="Q71" s="365"/>
      <c r="R71" s="230">
        <f t="shared" si="38"/>
        <v>190.84479000000002</v>
      </c>
      <c r="S71" s="365"/>
      <c r="T71" s="230">
        <f t="shared" si="39"/>
        <v>0</v>
      </c>
      <c r="U71" s="365"/>
      <c r="V71" s="230">
        <f t="shared" si="40"/>
        <v>0</v>
      </c>
      <c r="X71" s="231">
        <f t="shared" si="33"/>
        <v>0</v>
      </c>
      <c r="Y71" s="397">
        <v>620.6</v>
      </c>
      <c r="AA71" s="399" t="s">
        <v>17</v>
      </c>
      <c r="AB71" s="209"/>
      <c r="AC71" s="409">
        <f t="shared" si="41"/>
        <v>9</v>
      </c>
      <c r="AD71" s="130"/>
      <c r="AE71" s="409">
        <f t="shared" si="42"/>
        <v>381689.58</v>
      </c>
      <c r="AG71" s="152">
        <f t="shared" si="43"/>
        <v>0</v>
      </c>
      <c r="AH71" s="152"/>
      <c r="AI71" s="152">
        <f t="shared" si="44"/>
        <v>0</v>
      </c>
      <c r="AJ71" s="152"/>
      <c r="AK71" s="152">
        <f t="shared" si="45"/>
        <v>0</v>
      </c>
      <c r="AL71" s="152"/>
      <c r="AM71" s="152">
        <f t="shared" si="46"/>
        <v>0</v>
      </c>
      <c r="AN71" s="152"/>
      <c r="AO71" s="152">
        <f t="shared" si="47"/>
        <v>381689.58</v>
      </c>
      <c r="AP71" s="152"/>
      <c r="AQ71" s="152">
        <f t="shared" si="48"/>
        <v>0</v>
      </c>
      <c r="AR71" s="152"/>
      <c r="AS71" s="152">
        <f t="shared" si="49"/>
        <v>0</v>
      </c>
      <c r="AU71" s="151"/>
    </row>
    <row r="72" spans="1:47" s="153" customFormat="1" x14ac:dyDescent="0.2">
      <c r="A72" s="411"/>
      <c r="B72" s="447">
        <v>620.6</v>
      </c>
      <c r="D72" s="399" t="s">
        <v>18</v>
      </c>
      <c r="E72" s="209"/>
      <c r="F72" s="140">
        <v>8</v>
      </c>
      <c r="G72" s="210"/>
      <c r="H72" s="394">
        <v>0</v>
      </c>
      <c r="I72" s="210"/>
      <c r="J72" s="230">
        <f t="shared" si="34"/>
        <v>0</v>
      </c>
      <c r="K72" s="365"/>
      <c r="L72" s="230">
        <f t="shared" si="35"/>
        <v>0</v>
      </c>
      <c r="M72" s="365"/>
      <c r="N72" s="230">
        <f t="shared" si="36"/>
        <v>0</v>
      </c>
      <c r="O72" s="365"/>
      <c r="P72" s="230">
        <f t="shared" si="37"/>
        <v>0</v>
      </c>
      <c r="Q72" s="365"/>
      <c r="R72" s="230">
        <f t="shared" si="38"/>
        <v>0</v>
      </c>
      <c r="S72" s="365"/>
      <c r="T72" s="230">
        <f t="shared" si="39"/>
        <v>0</v>
      </c>
      <c r="U72" s="365"/>
      <c r="V72" s="230">
        <f t="shared" si="40"/>
        <v>0</v>
      </c>
      <c r="X72" s="231">
        <f t="shared" si="33"/>
        <v>0</v>
      </c>
      <c r="Y72" s="397">
        <v>620.6</v>
      </c>
      <c r="AA72" s="399" t="s">
        <v>18</v>
      </c>
      <c r="AB72" s="209"/>
      <c r="AC72" s="409">
        <f t="shared" si="41"/>
        <v>8</v>
      </c>
      <c r="AD72" s="130"/>
      <c r="AE72" s="409">
        <f t="shared" si="42"/>
        <v>0</v>
      </c>
      <c r="AG72" s="152">
        <f t="shared" si="43"/>
        <v>0</v>
      </c>
      <c r="AH72" s="152"/>
      <c r="AI72" s="152">
        <f t="shared" si="44"/>
        <v>0</v>
      </c>
      <c r="AJ72" s="152"/>
      <c r="AK72" s="152">
        <f t="shared" si="45"/>
        <v>0</v>
      </c>
      <c r="AL72" s="152"/>
      <c r="AM72" s="152">
        <f t="shared" si="46"/>
        <v>0</v>
      </c>
      <c r="AN72" s="152"/>
      <c r="AO72" s="152">
        <f t="shared" si="47"/>
        <v>0</v>
      </c>
      <c r="AP72" s="152"/>
      <c r="AQ72" s="152">
        <f t="shared" si="48"/>
        <v>0</v>
      </c>
      <c r="AR72" s="152"/>
      <c r="AS72" s="152">
        <f t="shared" si="49"/>
        <v>0</v>
      </c>
      <c r="AU72" s="151"/>
    </row>
    <row r="73" spans="1:47" s="153" customFormat="1" x14ac:dyDescent="0.2">
      <c r="A73" s="411"/>
      <c r="B73" s="447">
        <v>620.6</v>
      </c>
      <c r="D73" s="399" t="s">
        <v>19</v>
      </c>
      <c r="E73" s="209"/>
      <c r="F73" s="140">
        <v>7</v>
      </c>
      <c r="G73" s="210"/>
      <c r="H73" s="394">
        <v>126345.7</v>
      </c>
      <c r="I73" s="210"/>
      <c r="J73" s="230">
        <f t="shared" si="34"/>
        <v>0</v>
      </c>
      <c r="K73" s="365"/>
      <c r="L73" s="230">
        <f t="shared" si="35"/>
        <v>0</v>
      </c>
      <c r="M73" s="365"/>
      <c r="N73" s="230">
        <f t="shared" si="36"/>
        <v>0</v>
      </c>
      <c r="O73" s="365"/>
      <c r="P73" s="230">
        <f t="shared" si="37"/>
        <v>0</v>
      </c>
      <c r="Q73" s="365"/>
      <c r="R73" s="230">
        <f t="shared" si="38"/>
        <v>0</v>
      </c>
      <c r="S73" s="365"/>
      <c r="T73" s="230">
        <f t="shared" si="39"/>
        <v>0</v>
      </c>
      <c r="U73" s="365"/>
      <c r="V73" s="230">
        <f t="shared" si="40"/>
        <v>126345.7</v>
      </c>
      <c r="X73" s="231">
        <f t="shared" si="33"/>
        <v>0</v>
      </c>
      <c r="Y73" s="397">
        <v>620.6</v>
      </c>
      <c r="AA73" s="399" t="s">
        <v>19</v>
      </c>
      <c r="AB73" s="209"/>
      <c r="AC73" s="409">
        <f t="shared" si="41"/>
        <v>7</v>
      </c>
      <c r="AD73" s="130"/>
      <c r="AE73" s="409">
        <f t="shared" si="42"/>
        <v>126345.7</v>
      </c>
      <c r="AG73" s="152">
        <f t="shared" si="43"/>
        <v>0</v>
      </c>
      <c r="AH73" s="152"/>
      <c r="AI73" s="152">
        <f t="shared" si="44"/>
        <v>0</v>
      </c>
      <c r="AJ73" s="152"/>
      <c r="AK73" s="152">
        <f t="shared" si="45"/>
        <v>0</v>
      </c>
      <c r="AL73" s="152"/>
      <c r="AM73" s="152">
        <f t="shared" si="46"/>
        <v>0</v>
      </c>
      <c r="AN73" s="152"/>
      <c r="AO73" s="152">
        <f t="shared" si="47"/>
        <v>0</v>
      </c>
      <c r="AP73" s="152"/>
      <c r="AQ73" s="152">
        <f t="shared" si="48"/>
        <v>0</v>
      </c>
      <c r="AR73" s="152"/>
      <c r="AS73" s="152">
        <f t="shared" si="49"/>
        <v>126345.7</v>
      </c>
      <c r="AU73" s="151"/>
    </row>
    <row r="74" spans="1:47" s="520" customFormat="1" x14ac:dyDescent="0.2">
      <c r="A74" s="544"/>
      <c r="B74" s="512">
        <v>620.6</v>
      </c>
      <c r="D74" s="536" t="s">
        <v>485</v>
      </c>
      <c r="E74" s="515"/>
      <c r="F74" s="537">
        <v>5</v>
      </c>
      <c r="G74" s="238"/>
      <c r="H74" s="518">
        <v>91.2</v>
      </c>
      <c r="I74" s="238"/>
      <c r="J74" s="352">
        <f t="shared" si="34"/>
        <v>37.072800000000001</v>
      </c>
      <c r="K74" s="504"/>
      <c r="L74" s="352">
        <f t="shared" si="35"/>
        <v>17.327999999999999</v>
      </c>
      <c r="M74" s="504"/>
      <c r="N74" s="352">
        <f t="shared" si="36"/>
        <v>5.5267200000000001</v>
      </c>
      <c r="O74" s="504"/>
      <c r="P74" s="352">
        <f t="shared" si="37"/>
        <v>3.2102399999999998</v>
      </c>
      <c r="Q74" s="504"/>
      <c r="R74" s="352">
        <f t="shared" si="38"/>
        <v>2.6995200000000001</v>
      </c>
      <c r="S74" s="504"/>
      <c r="T74" s="352">
        <f t="shared" si="39"/>
        <v>0</v>
      </c>
      <c r="U74" s="504"/>
      <c r="V74" s="352">
        <f t="shared" si="40"/>
        <v>25.362720000000003</v>
      </c>
      <c r="X74" s="476">
        <f t="shared" si="33"/>
        <v>0</v>
      </c>
      <c r="Y74" s="475">
        <v>620.6</v>
      </c>
      <c r="AA74" s="536" t="s">
        <v>485</v>
      </c>
      <c r="AB74" s="515"/>
      <c r="AC74" s="412">
        <f t="shared" si="41"/>
        <v>5</v>
      </c>
      <c r="AD74" s="538"/>
      <c r="AE74" s="412">
        <f t="shared" si="42"/>
        <v>91.2</v>
      </c>
      <c r="AG74" s="539">
        <f t="shared" si="43"/>
        <v>27.332639999999998</v>
      </c>
      <c r="AH74" s="539"/>
      <c r="AI74" s="539">
        <f t="shared" si="44"/>
        <v>0</v>
      </c>
      <c r="AJ74" s="539"/>
      <c r="AK74" s="539">
        <f t="shared" si="45"/>
        <v>38.504640000000002</v>
      </c>
      <c r="AL74" s="539"/>
      <c r="AM74" s="539">
        <f t="shared" si="46"/>
        <v>0</v>
      </c>
      <c r="AN74" s="539"/>
      <c r="AO74" s="539">
        <f t="shared" si="47"/>
        <v>0</v>
      </c>
      <c r="AP74" s="539"/>
      <c r="AQ74" s="539">
        <f t="shared" si="48"/>
        <v>0</v>
      </c>
      <c r="AR74" s="539"/>
      <c r="AS74" s="539">
        <f t="shared" si="49"/>
        <v>25.362720000000003</v>
      </c>
      <c r="AU74" s="474"/>
    </row>
    <row r="75" spans="1:47" s="153" customFormat="1" x14ac:dyDescent="0.2">
      <c r="A75" s="545"/>
      <c r="B75" s="447">
        <v>620.6</v>
      </c>
      <c r="D75" s="399" t="s">
        <v>16</v>
      </c>
      <c r="E75" s="209"/>
      <c r="F75" s="140">
        <v>11</v>
      </c>
      <c r="G75" s="210"/>
      <c r="H75" s="394">
        <v>164860.31000000006</v>
      </c>
      <c r="I75" s="210"/>
      <c r="J75" s="230">
        <f t="shared" si="34"/>
        <v>81902.602008000031</v>
      </c>
      <c r="K75" s="365"/>
      <c r="L75" s="230">
        <f t="shared" si="35"/>
        <v>31323.458900000012</v>
      </c>
      <c r="M75" s="365"/>
      <c r="N75" s="230">
        <f t="shared" si="36"/>
        <v>9397.0376700000033</v>
      </c>
      <c r="O75" s="365"/>
      <c r="P75" s="230">
        <f t="shared" si="37"/>
        <v>5852.5410050000019</v>
      </c>
      <c r="Q75" s="365"/>
      <c r="R75" s="230">
        <f t="shared" si="38"/>
        <v>1599.1450070000005</v>
      </c>
      <c r="S75" s="365"/>
      <c r="T75" s="230">
        <f t="shared" si="39"/>
        <v>0</v>
      </c>
      <c r="U75" s="365"/>
      <c r="V75" s="230">
        <f t="shared" si="40"/>
        <v>34785.525410000009</v>
      </c>
      <c r="X75" s="231">
        <f t="shared" si="33"/>
        <v>0</v>
      </c>
      <c r="Y75" s="397">
        <v>620.6</v>
      </c>
      <c r="AA75" s="399" t="s">
        <v>16</v>
      </c>
      <c r="AB75" s="209"/>
      <c r="AC75" s="409">
        <f t="shared" si="41"/>
        <v>11</v>
      </c>
      <c r="AD75" s="130"/>
      <c r="AE75" s="409">
        <f t="shared" si="42"/>
        <v>164860.31000000006</v>
      </c>
      <c r="AG75" s="152">
        <f t="shared" si="43"/>
        <v>47331.395001000019</v>
      </c>
      <c r="AH75" s="152"/>
      <c r="AI75" s="152">
        <f t="shared" si="44"/>
        <v>9479.4678250000034</v>
      </c>
      <c r="AJ75" s="152"/>
      <c r="AK75" s="152">
        <f t="shared" si="45"/>
        <v>44578.227824000009</v>
      </c>
      <c r="AL75" s="152"/>
      <c r="AM75" s="152">
        <f t="shared" si="46"/>
        <v>0</v>
      </c>
      <c r="AN75" s="152"/>
      <c r="AO75" s="152">
        <f t="shared" si="47"/>
        <v>28685.693940000008</v>
      </c>
      <c r="AP75" s="152"/>
      <c r="AQ75" s="152">
        <f t="shared" si="48"/>
        <v>0</v>
      </c>
      <c r="AR75" s="152"/>
      <c r="AS75" s="152">
        <f t="shared" si="49"/>
        <v>34785.525410000009</v>
      </c>
      <c r="AU75" s="151"/>
    </row>
    <row r="76" spans="1:47" s="153" customFormat="1" x14ac:dyDescent="0.2">
      <c r="A76" s="411"/>
      <c r="B76" s="447">
        <v>631.6</v>
      </c>
      <c r="D76" s="399" t="s">
        <v>22</v>
      </c>
      <c r="E76" s="209"/>
      <c r="F76" s="140">
        <v>11</v>
      </c>
      <c r="G76" s="210"/>
      <c r="H76" s="394">
        <v>4912</v>
      </c>
      <c r="I76" s="210"/>
      <c r="J76" s="230">
        <f t="shared" si="34"/>
        <v>2440.2816000000003</v>
      </c>
      <c r="K76" s="365"/>
      <c r="L76" s="230">
        <f t="shared" si="35"/>
        <v>933.28</v>
      </c>
      <c r="M76" s="365"/>
      <c r="N76" s="230">
        <f t="shared" si="36"/>
        <v>279.98400000000004</v>
      </c>
      <c r="O76" s="365"/>
      <c r="P76" s="230">
        <f t="shared" si="37"/>
        <v>174.37599999999998</v>
      </c>
      <c r="Q76" s="365"/>
      <c r="R76" s="230">
        <f t="shared" si="38"/>
        <v>47.6464</v>
      </c>
      <c r="S76" s="365"/>
      <c r="T76" s="230">
        <f t="shared" si="39"/>
        <v>0</v>
      </c>
      <c r="U76" s="365"/>
      <c r="V76" s="230">
        <f t="shared" si="40"/>
        <v>1036.432</v>
      </c>
      <c r="X76" s="231">
        <f t="shared" si="33"/>
        <v>0</v>
      </c>
      <c r="Y76" s="397">
        <v>631.6</v>
      </c>
      <c r="AA76" s="399" t="s">
        <v>22</v>
      </c>
      <c r="AB76" s="209"/>
      <c r="AC76" s="409">
        <f t="shared" si="41"/>
        <v>11</v>
      </c>
      <c r="AD76" s="130"/>
      <c r="AE76" s="409">
        <f t="shared" si="42"/>
        <v>4912</v>
      </c>
      <c r="AG76" s="152">
        <f t="shared" si="43"/>
        <v>1410.2352000000001</v>
      </c>
      <c r="AH76" s="152"/>
      <c r="AI76" s="152">
        <f t="shared" si="44"/>
        <v>282.44</v>
      </c>
      <c r="AJ76" s="152"/>
      <c r="AK76" s="152">
        <f t="shared" si="45"/>
        <v>1328.2048</v>
      </c>
      <c r="AL76" s="152"/>
      <c r="AM76" s="152">
        <f t="shared" si="46"/>
        <v>0</v>
      </c>
      <c r="AN76" s="152"/>
      <c r="AO76" s="152">
        <f t="shared" si="47"/>
        <v>854.68799999999999</v>
      </c>
      <c r="AP76" s="152"/>
      <c r="AQ76" s="152">
        <f t="shared" si="48"/>
        <v>0</v>
      </c>
      <c r="AR76" s="152"/>
      <c r="AS76" s="152">
        <f t="shared" si="49"/>
        <v>1036.432</v>
      </c>
      <c r="AU76" s="151"/>
    </row>
    <row r="77" spans="1:47" s="153" customFormat="1" x14ac:dyDescent="0.2">
      <c r="A77" s="411"/>
      <c r="B77" s="447">
        <v>635.6</v>
      </c>
      <c r="D77" s="399" t="s">
        <v>31</v>
      </c>
      <c r="E77" s="209"/>
      <c r="F77" s="140">
        <v>11</v>
      </c>
      <c r="G77" s="210"/>
      <c r="H77" s="394">
        <v>187315.65000000002</v>
      </c>
      <c r="I77" s="210"/>
      <c r="J77" s="230">
        <f t="shared" si="34"/>
        <v>93058.41492000001</v>
      </c>
      <c r="K77" s="365"/>
      <c r="L77" s="230">
        <f t="shared" si="35"/>
        <v>35589.973500000007</v>
      </c>
      <c r="M77" s="365"/>
      <c r="N77" s="230">
        <f t="shared" si="36"/>
        <v>10676.992050000003</v>
      </c>
      <c r="O77" s="365"/>
      <c r="P77" s="230">
        <f t="shared" si="37"/>
        <v>6649.705575</v>
      </c>
      <c r="Q77" s="365"/>
      <c r="R77" s="230">
        <f t="shared" si="38"/>
        <v>1816.9618050000004</v>
      </c>
      <c r="S77" s="365"/>
      <c r="T77" s="230">
        <f t="shared" si="39"/>
        <v>0</v>
      </c>
      <c r="U77" s="365"/>
      <c r="V77" s="230">
        <f t="shared" si="40"/>
        <v>39523.602150000006</v>
      </c>
      <c r="X77" s="231">
        <f t="shared" si="33"/>
        <v>0</v>
      </c>
      <c r="Y77" s="397">
        <v>635.6</v>
      </c>
      <c r="AA77" s="399" t="s">
        <v>31</v>
      </c>
      <c r="AB77" s="209"/>
      <c r="AC77" s="409">
        <f t="shared" si="41"/>
        <v>11</v>
      </c>
      <c r="AD77" s="130"/>
      <c r="AE77" s="409">
        <f t="shared" si="42"/>
        <v>187315.65000000002</v>
      </c>
      <c r="AG77" s="152">
        <f t="shared" si="43"/>
        <v>53778.323115000014</v>
      </c>
      <c r="AH77" s="152"/>
      <c r="AI77" s="152">
        <f t="shared" si="44"/>
        <v>10770.649875000001</v>
      </c>
      <c r="AJ77" s="152"/>
      <c r="AK77" s="152">
        <f t="shared" si="45"/>
        <v>50650.151760000001</v>
      </c>
      <c r="AL77" s="152"/>
      <c r="AM77" s="152">
        <f t="shared" si="46"/>
        <v>0</v>
      </c>
      <c r="AN77" s="152"/>
      <c r="AO77" s="152">
        <f t="shared" si="47"/>
        <v>32592.923100000004</v>
      </c>
      <c r="AP77" s="152"/>
      <c r="AQ77" s="152">
        <f t="shared" si="48"/>
        <v>0</v>
      </c>
      <c r="AR77" s="152"/>
      <c r="AS77" s="152">
        <f t="shared" si="49"/>
        <v>39523.602150000006</v>
      </c>
      <c r="AU77" s="151"/>
    </row>
    <row r="78" spans="1:47" s="153" customFormat="1" x14ac:dyDescent="0.2">
      <c r="A78" s="411"/>
      <c r="B78" s="447">
        <v>635.6</v>
      </c>
      <c r="D78" s="399" t="s">
        <v>32</v>
      </c>
      <c r="E78" s="209"/>
      <c r="F78" s="140">
        <v>5</v>
      </c>
      <c r="G78" s="210"/>
      <c r="H78" s="394">
        <v>247834.5</v>
      </c>
      <c r="I78" s="210"/>
      <c r="J78" s="230">
        <f t="shared" si="34"/>
        <v>100744.72425</v>
      </c>
      <c r="K78" s="365"/>
      <c r="L78" s="230">
        <f t="shared" si="35"/>
        <v>47088.555</v>
      </c>
      <c r="M78" s="365"/>
      <c r="N78" s="230">
        <f t="shared" si="36"/>
        <v>15018.770700000001</v>
      </c>
      <c r="O78" s="365"/>
      <c r="P78" s="230">
        <f t="shared" si="37"/>
        <v>8723.7743999999984</v>
      </c>
      <c r="Q78" s="365"/>
      <c r="R78" s="230">
        <f t="shared" si="38"/>
        <v>7335.9012000000002</v>
      </c>
      <c r="S78" s="365"/>
      <c r="T78" s="230">
        <f t="shared" si="39"/>
        <v>0</v>
      </c>
      <c r="U78" s="365"/>
      <c r="V78" s="230">
        <f t="shared" si="40"/>
        <v>68922.774449999997</v>
      </c>
      <c r="X78" s="231">
        <f t="shared" si="33"/>
        <v>0</v>
      </c>
      <c r="Y78" s="397">
        <v>635.6</v>
      </c>
      <c r="AA78" s="399" t="s">
        <v>32</v>
      </c>
      <c r="AB78" s="209"/>
      <c r="AC78" s="409">
        <f t="shared" si="41"/>
        <v>5</v>
      </c>
      <c r="AD78" s="130"/>
      <c r="AE78" s="409">
        <f t="shared" si="42"/>
        <v>247834.5</v>
      </c>
      <c r="AG78" s="152">
        <f t="shared" si="43"/>
        <v>74275.999649999998</v>
      </c>
      <c r="AH78" s="152"/>
      <c r="AI78" s="152">
        <f t="shared" si="44"/>
        <v>0</v>
      </c>
      <c r="AJ78" s="152"/>
      <c r="AK78" s="152">
        <f t="shared" si="45"/>
        <v>104635.7259</v>
      </c>
      <c r="AL78" s="152"/>
      <c r="AM78" s="152">
        <f t="shared" si="46"/>
        <v>0</v>
      </c>
      <c r="AN78" s="152"/>
      <c r="AO78" s="152">
        <f t="shared" si="47"/>
        <v>0</v>
      </c>
      <c r="AP78" s="152"/>
      <c r="AQ78" s="152">
        <f t="shared" si="48"/>
        <v>0</v>
      </c>
      <c r="AR78" s="152"/>
      <c r="AS78" s="152">
        <f t="shared" si="49"/>
        <v>68922.774449999997</v>
      </c>
      <c r="AU78" s="151"/>
    </row>
    <row r="79" spans="1:47" s="153" customFormat="1" x14ac:dyDescent="0.2">
      <c r="A79" s="411"/>
      <c r="B79" s="447">
        <v>635.6</v>
      </c>
      <c r="D79" s="399" t="s">
        <v>36</v>
      </c>
      <c r="E79" s="209"/>
      <c r="F79" s="140">
        <v>5</v>
      </c>
      <c r="G79" s="210"/>
      <c r="H79" s="394">
        <v>19403.66</v>
      </c>
      <c r="I79" s="210"/>
      <c r="J79" s="230">
        <f t="shared" si="34"/>
        <v>7887.5877899999996</v>
      </c>
      <c r="K79" s="365"/>
      <c r="L79" s="230">
        <f t="shared" si="35"/>
        <v>3686.6954000000001</v>
      </c>
      <c r="M79" s="365"/>
      <c r="N79" s="230">
        <f t="shared" si="36"/>
        <v>1175.8617959999999</v>
      </c>
      <c r="O79" s="365"/>
      <c r="P79" s="230">
        <f t="shared" si="37"/>
        <v>683.00883199999987</v>
      </c>
      <c r="Q79" s="365"/>
      <c r="R79" s="230">
        <f t="shared" si="38"/>
        <v>574.34833600000002</v>
      </c>
      <c r="S79" s="365"/>
      <c r="T79" s="230">
        <f t="shared" si="39"/>
        <v>0</v>
      </c>
      <c r="U79" s="365"/>
      <c r="V79" s="230">
        <f t="shared" si="40"/>
        <v>5396.1578460000001</v>
      </c>
      <c r="X79" s="231">
        <f t="shared" si="33"/>
        <v>0</v>
      </c>
      <c r="Y79" s="397">
        <v>635.6</v>
      </c>
      <c r="AA79" s="399" t="s">
        <v>36</v>
      </c>
      <c r="AB79" s="209"/>
      <c r="AC79" s="409">
        <f t="shared" si="41"/>
        <v>5</v>
      </c>
      <c r="AD79" s="130"/>
      <c r="AE79" s="409">
        <f t="shared" si="42"/>
        <v>19403.66</v>
      </c>
      <c r="AG79" s="152">
        <f t="shared" si="43"/>
        <v>5815.2769019999996</v>
      </c>
      <c r="AH79" s="152"/>
      <c r="AI79" s="152">
        <f t="shared" si="44"/>
        <v>0</v>
      </c>
      <c r="AJ79" s="152"/>
      <c r="AK79" s="152">
        <f t="shared" si="45"/>
        <v>8192.2252520000002</v>
      </c>
      <c r="AL79" s="152"/>
      <c r="AM79" s="152">
        <f t="shared" si="46"/>
        <v>0</v>
      </c>
      <c r="AN79" s="152"/>
      <c r="AO79" s="152">
        <f t="shared" si="47"/>
        <v>0</v>
      </c>
      <c r="AP79" s="152"/>
      <c r="AQ79" s="152">
        <f t="shared" si="48"/>
        <v>0</v>
      </c>
      <c r="AR79" s="152"/>
      <c r="AS79" s="152">
        <f t="shared" si="49"/>
        <v>5396.1578460000001</v>
      </c>
      <c r="AU79" s="151"/>
    </row>
    <row r="80" spans="1:47" s="153" customFormat="1" x14ac:dyDescent="0.2">
      <c r="A80" s="411"/>
      <c r="B80" s="447">
        <v>635.6</v>
      </c>
      <c r="D80" s="399" t="s">
        <v>33</v>
      </c>
      <c r="E80" s="209"/>
      <c r="F80" s="140">
        <v>6</v>
      </c>
      <c r="G80" s="210"/>
      <c r="H80" s="394">
        <v>540903.84000000008</v>
      </c>
      <c r="I80" s="210"/>
      <c r="J80" s="230">
        <f t="shared" si="34"/>
        <v>246435.78950400004</v>
      </c>
      <c r="K80" s="365"/>
      <c r="L80" s="230">
        <f t="shared" si="35"/>
        <v>118133.39865600002</v>
      </c>
      <c r="M80" s="365"/>
      <c r="N80" s="230">
        <f t="shared" si="36"/>
        <v>39702.341855999999</v>
      </c>
      <c r="O80" s="365"/>
      <c r="P80" s="230">
        <f t="shared" si="37"/>
        <v>22988.413200000006</v>
      </c>
      <c r="Q80" s="365"/>
      <c r="R80" s="230">
        <f t="shared" si="38"/>
        <v>5841.761472000001</v>
      </c>
      <c r="S80" s="365"/>
      <c r="T80" s="230">
        <f t="shared" si="39"/>
        <v>0</v>
      </c>
      <c r="U80" s="365"/>
      <c r="V80" s="230">
        <f t="shared" si="40"/>
        <v>107802.13531200001</v>
      </c>
      <c r="X80" s="231">
        <f t="shared" si="33"/>
        <v>0</v>
      </c>
      <c r="Y80" s="397">
        <v>635.6</v>
      </c>
      <c r="AA80" s="399" t="s">
        <v>33</v>
      </c>
      <c r="AB80" s="209"/>
      <c r="AC80" s="409">
        <f t="shared" si="41"/>
        <v>6</v>
      </c>
      <c r="AD80" s="130"/>
      <c r="AE80" s="409">
        <f t="shared" si="42"/>
        <v>540903.84000000008</v>
      </c>
      <c r="AG80" s="152">
        <f t="shared" si="43"/>
        <v>204137.10921600001</v>
      </c>
      <c r="AH80" s="152"/>
      <c r="AI80" s="152">
        <f t="shared" si="44"/>
        <v>43975.482192000003</v>
      </c>
      <c r="AJ80" s="152"/>
      <c r="AK80" s="152">
        <f t="shared" si="45"/>
        <v>184989.11328000005</v>
      </c>
      <c r="AL80" s="152"/>
      <c r="AM80" s="152">
        <f t="shared" si="46"/>
        <v>0</v>
      </c>
      <c r="AN80" s="152"/>
      <c r="AO80" s="152">
        <f t="shared" si="47"/>
        <v>0</v>
      </c>
      <c r="AP80" s="152"/>
      <c r="AQ80" s="152">
        <f t="shared" si="48"/>
        <v>0</v>
      </c>
      <c r="AR80" s="152"/>
      <c r="AS80" s="152">
        <f t="shared" si="49"/>
        <v>107802.13531200001</v>
      </c>
      <c r="AU80" s="151"/>
    </row>
    <row r="81" spans="1:47" s="153" customFormat="1" x14ac:dyDescent="0.2">
      <c r="A81" s="411"/>
      <c r="B81" s="447">
        <v>635.6</v>
      </c>
      <c r="D81" s="399" t="s">
        <v>34</v>
      </c>
      <c r="E81" s="209"/>
      <c r="F81" s="140">
        <v>9</v>
      </c>
      <c r="G81" s="210"/>
      <c r="H81" s="394">
        <v>147507.1</v>
      </c>
      <c r="I81" s="210"/>
      <c r="J81" s="230">
        <f t="shared" si="34"/>
        <v>124761.50518000001</v>
      </c>
      <c r="K81" s="365"/>
      <c r="L81" s="230">
        <f t="shared" si="35"/>
        <v>19234.92584</v>
      </c>
      <c r="M81" s="365"/>
      <c r="N81" s="230">
        <f t="shared" si="36"/>
        <v>855.54117999999994</v>
      </c>
      <c r="O81" s="365"/>
      <c r="P81" s="230">
        <f t="shared" si="37"/>
        <v>2581.3742500000003</v>
      </c>
      <c r="Q81" s="365"/>
      <c r="R81" s="230">
        <f t="shared" si="38"/>
        <v>73.753550000000004</v>
      </c>
      <c r="S81" s="365"/>
      <c r="T81" s="230">
        <f t="shared" si="39"/>
        <v>0</v>
      </c>
      <c r="U81" s="365"/>
      <c r="V81" s="230">
        <f t="shared" si="40"/>
        <v>0</v>
      </c>
      <c r="X81" s="231">
        <f t="shared" si="33"/>
        <v>0</v>
      </c>
      <c r="Y81" s="397">
        <v>635.6</v>
      </c>
      <c r="AA81" s="399" t="s">
        <v>34</v>
      </c>
      <c r="AB81" s="209"/>
      <c r="AC81" s="409">
        <f t="shared" si="41"/>
        <v>9</v>
      </c>
      <c r="AD81" s="130"/>
      <c r="AE81" s="409">
        <f t="shared" si="42"/>
        <v>147507.1</v>
      </c>
      <c r="AG81" s="152">
        <f t="shared" si="43"/>
        <v>0</v>
      </c>
      <c r="AH81" s="152"/>
      <c r="AI81" s="152">
        <f t="shared" si="44"/>
        <v>0</v>
      </c>
      <c r="AJ81" s="152"/>
      <c r="AK81" s="152">
        <f t="shared" si="45"/>
        <v>0</v>
      </c>
      <c r="AL81" s="152"/>
      <c r="AM81" s="152">
        <f t="shared" si="46"/>
        <v>0</v>
      </c>
      <c r="AN81" s="152"/>
      <c r="AO81" s="152">
        <f t="shared" si="47"/>
        <v>147507.1</v>
      </c>
      <c r="AP81" s="152"/>
      <c r="AQ81" s="152">
        <f t="shared" si="48"/>
        <v>0</v>
      </c>
      <c r="AR81" s="152"/>
      <c r="AS81" s="152">
        <f t="shared" si="49"/>
        <v>0</v>
      </c>
      <c r="AU81" s="151"/>
    </row>
    <row r="82" spans="1:47" s="153" customFormat="1" x14ac:dyDescent="0.2">
      <c r="A82" s="411"/>
      <c r="B82" s="447">
        <v>642.6</v>
      </c>
      <c r="D82" s="399" t="s">
        <v>42</v>
      </c>
      <c r="E82" s="209"/>
      <c r="F82" s="140">
        <v>11</v>
      </c>
      <c r="G82" s="210"/>
      <c r="H82" s="394">
        <v>22398.080000000002</v>
      </c>
      <c r="I82" s="210"/>
      <c r="J82" s="230">
        <f t="shared" si="34"/>
        <v>11127.366144000001</v>
      </c>
      <c r="K82" s="365"/>
      <c r="L82" s="230">
        <f t="shared" si="35"/>
        <v>4255.6352000000006</v>
      </c>
      <c r="M82" s="365"/>
      <c r="N82" s="230">
        <f t="shared" si="36"/>
        <v>1276.6905600000002</v>
      </c>
      <c r="O82" s="365"/>
      <c r="P82" s="230">
        <f t="shared" si="37"/>
        <v>795.13184000000001</v>
      </c>
      <c r="Q82" s="365"/>
      <c r="R82" s="230">
        <f t="shared" si="38"/>
        <v>217.26137600000001</v>
      </c>
      <c r="S82" s="365"/>
      <c r="T82" s="230">
        <f t="shared" si="39"/>
        <v>0</v>
      </c>
      <c r="U82" s="365"/>
      <c r="V82" s="230">
        <f t="shared" si="40"/>
        <v>4725.9948800000002</v>
      </c>
      <c r="X82" s="231">
        <f t="shared" si="33"/>
        <v>0</v>
      </c>
      <c r="Y82" s="397">
        <v>642.6</v>
      </c>
      <c r="AA82" s="399" t="s">
        <v>42</v>
      </c>
      <c r="AB82" s="209"/>
      <c r="AC82" s="409">
        <f t="shared" si="41"/>
        <v>11</v>
      </c>
      <c r="AD82" s="130"/>
      <c r="AE82" s="409">
        <f t="shared" si="42"/>
        <v>22398.080000000002</v>
      </c>
      <c r="AG82" s="152">
        <f t="shared" si="43"/>
        <v>6430.4887680000011</v>
      </c>
      <c r="AH82" s="152"/>
      <c r="AI82" s="152">
        <f t="shared" si="44"/>
        <v>1287.8896000000002</v>
      </c>
      <c r="AJ82" s="152"/>
      <c r="AK82" s="152">
        <f t="shared" si="45"/>
        <v>6056.4408320000002</v>
      </c>
      <c r="AL82" s="152"/>
      <c r="AM82" s="152">
        <f t="shared" si="46"/>
        <v>0</v>
      </c>
      <c r="AN82" s="152"/>
      <c r="AO82" s="152">
        <f t="shared" si="47"/>
        <v>3897.2659199999998</v>
      </c>
      <c r="AP82" s="152"/>
      <c r="AQ82" s="152">
        <f t="shared" si="48"/>
        <v>0</v>
      </c>
      <c r="AR82" s="152"/>
      <c r="AS82" s="152">
        <f t="shared" si="49"/>
        <v>4725.9948800000002</v>
      </c>
      <c r="AU82" s="151"/>
    </row>
    <row r="83" spans="1:47" s="153" customFormat="1" x14ac:dyDescent="0.2">
      <c r="A83" s="411"/>
      <c r="B83" s="447">
        <v>650.6</v>
      </c>
      <c r="D83" s="399" t="s">
        <v>43</v>
      </c>
      <c r="E83" s="209"/>
      <c r="F83" s="140">
        <v>11</v>
      </c>
      <c r="G83" s="210"/>
      <c r="H83" s="540">
        <v>437143.97</v>
      </c>
      <c r="I83" s="210"/>
      <c r="J83" s="414">
        <f t="shared" si="34"/>
        <v>217173.12429599999</v>
      </c>
      <c r="K83" s="365"/>
      <c r="L83" s="414">
        <f t="shared" si="35"/>
        <v>83057.354299999992</v>
      </c>
      <c r="M83" s="365"/>
      <c r="N83" s="414">
        <f t="shared" si="36"/>
        <v>24917.206289999998</v>
      </c>
      <c r="O83" s="365"/>
      <c r="P83" s="414">
        <f t="shared" si="37"/>
        <v>15518.610934999997</v>
      </c>
      <c r="Q83" s="365"/>
      <c r="R83" s="414">
        <f t="shared" si="38"/>
        <v>4240.2965089999998</v>
      </c>
      <c r="S83" s="365"/>
      <c r="T83" s="414">
        <f t="shared" si="39"/>
        <v>0</v>
      </c>
      <c r="U83" s="365"/>
      <c r="V83" s="414">
        <f t="shared" si="40"/>
        <v>92237.377669999987</v>
      </c>
      <c r="X83" s="231">
        <f t="shared" si="33"/>
        <v>0</v>
      </c>
      <c r="Y83" s="397">
        <v>650.6</v>
      </c>
      <c r="AA83" s="399" t="s">
        <v>43</v>
      </c>
      <c r="AB83" s="209"/>
      <c r="AC83" s="409">
        <f t="shared" si="41"/>
        <v>11</v>
      </c>
      <c r="AD83" s="130"/>
      <c r="AE83" s="410">
        <f t="shared" si="42"/>
        <v>437143.97</v>
      </c>
      <c r="AG83" s="139">
        <f t="shared" si="43"/>
        <v>125504.03378700001</v>
      </c>
      <c r="AH83" s="152"/>
      <c r="AI83" s="139">
        <f t="shared" si="44"/>
        <v>25135.778275000001</v>
      </c>
      <c r="AJ83" s="152"/>
      <c r="AK83" s="139">
        <f t="shared" si="45"/>
        <v>118203.72948799998</v>
      </c>
      <c r="AL83" s="152"/>
      <c r="AM83" s="139">
        <f t="shared" si="46"/>
        <v>0</v>
      </c>
      <c r="AN83" s="152"/>
      <c r="AO83" s="139">
        <f t="shared" si="47"/>
        <v>76063.05077999999</v>
      </c>
      <c r="AP83" s="152"/>
      <c r="AQ83" s="139">
        <f t="shared" si="48"/>
        <v>0</v>
      </c>
      <c r="AR83" s="152"/>
      <c r="AS83" s="139">
        <f t="shared" si="49"/>
        <v>92237.377669999987</v>
      </c>
      <c r="AU83" s="151"/>
    </row>
    <row r="84" spans="1:47" s="153" customFormat="1" x14ac:dyDescent="0.2">
      <c r="A84" s="411"/>
      <c r="B84" s="447"/>
      <c r="D84" s="403" t="s">
        <v>53</v>
      </c>
      <c r="E84" s="209"/>
      <c r="F84" s="140"/>
      <c r="G84" s="210"/>
      <c r="H84" s="394">
        <f>SUM(H66:H83)</f>
        <v>5260331.79</v>
      </c>
      <c r="I84" s="210"/>
      <c r="J84" s="152">
        <f>SUM(J66:J83)</f>
        <v>2613383.6975660007</v>
      </c>
      <c r="K84" s="210"/>
      <c r="L84" s="152">
        <f>SUM(L66:L83)</f>
        <v>999346.83435600006</v>
      </c>
      <c r="M84" s="210"/>
      <c r="N84" s="152">
        <f>SUM(N66:N83)</f>
        <v>299871.07234399999</v>
      </c>
      <c r="O84" s="210"/>
      <c r="P84" s="152">
        <f>SUM(P66:P83)</f>
        <v>186650.85723199998</v>
      </c>
      <c r="Q84" s="210"/>
      <c r="R84" s="152">
        <f>SUM(R66:R83)</f>
        <v>51155.173568000006</v>
      </c>
      <c r="S84" s="210"/>
      <c r="T84" s="152">
        <f>SUM(T66:T83)</f>
        <v>0</v>
      </c>
      <c r="U84" s="210"/>
      <c r="V84" s="152">
        <f>SUM(V66:V83)</f>
        <v>1109924.1549340002</v>
      </c>
      <c r="X84" s="231">
        <f t="shared" si="33"/>
        <v>0</v>
      </c>
      <c r="Y84" s="397"/>
      <c r="AA84" s="403" t="s">
        <v>53</v>
      </c>
      <c r="AB84" s="209"/>
      <c r="AC84" s="140"/>
      <c r="AE84" s="152">
        <f>SUM(AE66:AE83)</f>
        <v>5260331.79</v>
      </c>
      <c r="AG84" s="152">
        <f>SUM(AG66:AG83)</f>
        <v>1510325.7899429996</v>
      </c>
      <c r="AI84" s="152">
        <f>SUM(AI66:AI83)</f>
        <v>302319.86954300001</v>
      </c>
      <c r="AK84" s="152">
        <f>SUM(AK66:AK83)</f>
        <v>1422514.9007999999</v>
      </c>
      <c r="AM84" s="152">
        <f>SUM(AM66:AM83)</f>
        <v>0</v>
      </c>
      <c r="AO84" s="152">
        <f>SUM(AO66:AO83)</f>
        <v>915247.07477999991</v>
      </c>
      <c r="AQ84" s="152">
        <f>SUM(AQ66:AQ83)</f>
        <v>0</v>
      </c>
      <c r="AS84" s="152">
        <f>SUM(AS66:AS83)</f>
        <v>1109924.1549340002</v>
      </c>
      <c r="AU84" s="151"/>
    </row>
    <row r="85" spans="1:47" s="153" customFormat="1" x14ac:dyDescent="0.2">
      <c r="A85" s="411"/>
      <c r="B85" s="447"/>
      <c r="D85" s="296"/>
      <c r="E85" s="209"/>
      <c r="F85" s="140"/>
      <c r="G85" s="210"/>
      <c r="H85" s="394"/>
      <c r="I85" s="210"/>
      <c r="J85" s="152"/>
      <c r="K85" s="210"/>
      <c r="L85" s="152"/>
      <c r="M85" s="210"/>
      <c r="N85" s="152"/>
      <c r="O85" s="210"/>
      <c r="P85" s="152"/>
      <c r="Q85" s="210"/>
      <c r="R85" s="152"/>
      <c r="S85" s="210"/>
      <c r="T85" s="152"/>
      <c r="U85" s="210"/>
      <c r="V85" s="152"/>
      <c r="X85" s="231">
        <f t="shared" si="33"/>
        <v>0</v>
      </c>
      <c r="Y85" s="397"/>
      <c r="AA85" s="296"/>
      <c r="AB85" s="209"/>
      <c r="AC85" s="140"/>
      <c r="AE85" s="390"/>
      <c r="AG85" s="390"/>
      <c r="AI85" s="390"/>
      <c r="AK85" s="390"/>
      <c r="AM85" s="390"/>
      <c r="AO85" s="390"/>
      <c r="AQ85" s="390"/>
      <c r="AS85" s="390"/>
      <c r="AU85" s="151"/>
    </row>
    <row r="86" spans="1:47" s="153" customFormat="1" x14ac:dyDescent="0.2">
      <c r="A86" s="411"/>
      <c r="B86" s="447"/>
      <c r="D86" s="395" t="s">
        <v>57</v>
      </c>
      <c r="E86" s="209"/>
      <c r="F86" s="140"/>
      <c r="G86" s="210"/>
      <c r="H86" s="394">
        <f>+H62+H84</f>
        <v>7760061.9199999999</v>
      </c>
      <c r="I86" s="210"/>
      <c r="J86" s="152">
        <f>+J62+J84</f>
        <v>3802302.0075620003</v>
      </c>
      <c r="K86" s="210"/>
      <c r="L86" s="152">
        <f>+L62+L84</f>
        <v>1616577.8344199997</v>
      </c>
      <c r="M86" s="210"/>
      <c r="N86" s="152">
        <f>+N62+N84</f>
        <v>526854.47222199989</v>
      </c>
      <c r="O86" s="210"/>
      <c r="P86" s="152">
        <f>+P62+P84</f>
        <v>318161.48277299997</v>
      </c>
      <c r="Q86" s="210"/>
      <c r="R86" s="152">
        <f>+R62+R84</f>
        <v>131085.35350799997</v>
      </c>
      <c r="S86" s="210"/>
      <c r="T86" s="152">
        <f>+T62+T84</f>
        <v>0</v>
      </c>
      <c r="U86" s="210"/>
      <c r="V86" s="152">
        <f>+V62+V84</f>
        <v>1365080.7695150003</v>
      </c>
      <c r="X86" s="231">
        <f t="shared" si="33"/>
        <v>0</v>
      </c>
      <c r="Y86" s="397"/>
      <c r="AA86" s="395" t="s">
        <v>57</v>
      </c>
      <c r="AB86" s="209"/>
      <c r="AC86" s="140"/>
      <c r="AE86" s="152">
        <f>+AE62+AE84</f>
        <v>7760061.9199999999</v>
      </c>
      <c r="AG86" s="152">
        <f>+AG62+AG84</f>
        <v>3228986.3184609991</v>
      </c>
      <c r="AI86" s="152">
        <f>+AI62+AI84</f>
        <v>403327.96270400001</v>
      </c>
      <c r="AK86" s="152">
        <f>+AK62+AK84</f>
        <v>1847419.7945399999</v>
      </c>
      <c r="AM86" s="152">
        <f>+AM62+AM84</f>
        <v>0</v>
      </c>
      <c r="AO86" s="152">
        <f>+AO62+AO84</f>
        <v>915247.07477999991</v>
      </c>
      <c r="AQ86" s="152">
        <f>+AQ62+AQ84</f>
        <v>0</v>
      </c>
      <c r="AS86" s="152">
        <f>+AS62+AS84</f>
        <v>1365080.7695150003</v>
      </c>
      <c r="AU86" s="151"/>
    </row>
    <row r="87" spans="1:47" s="153" customFormat="1" x14ac:dyDescent="0.2">
      <c r="A87" s="411"/>
      <c r="B87" s="448"/>
      <c r="C87" s="367"/>
      <c r="D87" s="296"/>
      <c r="E87" s="209"/>
      <c r="F87" s="140"/>
      <c r="G87" s="210"/>
      <c r="H87" s="394"/>
      <c r="I87" s="210"/>
      <c r="J87" s="152"/>
      <c r="K87" s="210"/>
      <c r="L87" s="152"/>
      <c r="M87" s="210"/>
      <c r="N87" s="152"/>
      <c r="O87" s="210"/>
      <c r="P87" s="152"/>
      <c r="Q87" s="210"/>
      <c r="R87" s="152"/>
      <c r="S87" s="210"/>
      <c r="T87" s="152"/>
      <c r="U87" s="210"/>
      <c r="V87" s="152"/>
      <c r="X87" s="231">
        <f t="shared" si="33"/>
        <v>0</v>
      </c>
      <c r="Y87" s="397"/>
      <c r="Z87" s="367"/>
      <c r="AA87" s="296"/>
      <c r="AB87" s="209"/>
      <c r="AC87" s="140"/>
      <c r="AE87" s="390"/>
      <c r="AG87" s="152"/>
      <c r="AH87" s="152"/>
      <c r="AI87" s="152"/>
      <c r="AJ87" s="152"/>
      <c r="AK87" s="152"/>
      <c r="AL87" s="152"/>
      <c r="AM87" s="152"/>
      <c r="AN87" s="152"/>
      <c r="AO87" s="152"/>
      <c r="AP87" s="152"/>
      <c r="AQ87" s="152"/>
      <c r="AR87" s="152"/>
      <c r="AS87" s="152"/>
      <c r="AU87" s="151"/>
    </row>
    <row r="88" spans="1:47" s="305" customFormat="1" x14ac:dyDescent="0.2">
      <c r="A88" s="546"/>
      <c r="B88" s="448"/>
      <c r="C88" s="367"/>
      <c r="D88" s="395" t="s">
        <v>120</v>
      </c>
      <c r="E88" s="209"/>
      <c r="F88" s="140"/>
      <c r="G88" s="210"/>
      <c r="H88" s="394"/>
      <c r="I88" s="210"/>
      <c r="J88" s="152"/>
      <c r="K88" s="211"/>
      <c r="L88" s="152"/>
      <c r="M88" s="211"/>
      <c r="N88" s="152"/>
      <c r="O88" s="211"/>
      <c r="P88" s="152"/>
      <c r="Q88" s="211"/>
      <c r="R88" s="152"/>
      <c r="S88" s="211"/>
      <c r="T88" s="152"/>
      <c r="U88" s="211"/>
      <c r="V88" s="152"/>
      <c r="X88" s="231">
        <f t="shared" si="33"/>
        <v>0</v>
      </c>
      <c r="Y88" s="398"/>
      <c r="Z88" s="367"/>
      <c r="AA88" s="395" t="s">
        <v>120</v>
      </c>
      <c r="AB88" s="209"/>
      <c r="AC88" s="140"/>
      <c r="AE88" s="211"/>
      <c r="AG88" s="152"/>
      <c r="AH88" s="152"/>
      <c r="AI88" s="152"/>
      <c r="AJ88" s="152"/>
      <c r="AK88" s="152"/>
      <c r="AL88" s="152"/>
      <c r="AM88" s="152"/>
      <c r="AN88" s="152"/>
      <c r="AO88" s="152"/>
      <c r="AP88" s="152"/>
      <c r="AQ88" s="152"/>
      <c r="AR88" s="152"/>
      <c r="AS88" s="152"/>
      <c r="AU88" s="151"/>
    </row>
    <row r="89" spans="1:47" s="305" customFormat="1" x14ac:dyDescent="0.2">
      <c r="A89" s="546"/>
      <c r="B89" s="450">
        <v>601.70000000000005</v>
      </c>
      <c r="C89" s="367"/>
      <c r="D89" s="396" t="s">
        <v>121</v>
      </c>
      <c r="E89" s="209"/>
      <c r="F89" s="140">
        <v>12</v>
      </c>
      <c r="G89" s="210"/>
      <c r="H89" s="394">
        <v>46336.36</v>
      </c>
      <c r="I89" s="210"/>
      <c r="J89" s="230">
        <f t="shared" ref="J89:J103" si="50">(VLOOKUP($F89,Factors,J$329))*$H89</f>
        <v>42740.1951004</v>
      </c>
      <c r="K89" s="365"/>
      <c r="L89" s="230">
        <f t="shared" ref="L89:L103" si="51">(VLOOKUP($F89,Factors,L$329))*$H89</f>
        <v>3241.2283819999998</v>
      </c>
      <c r="M89" s="365"/>
      <c r="N89" s="230">
        <f t="shared" ref="N89:N103" si="52">(VLOOKUP($F89,Factors,N$329))*$H89</f>
        <v>62.554086000000005</v>
      </c>
      <c r="O89" s="365"/>
      <c r="P89" s="230">
        <f t="shared" ref="P89:P103" si="53">(VLOOKUP($F89,Factors,P$329))*$H89</f>
        <v>283.11515960000003</v>
      </c>
      <c r="Q89" s="365"/>
      <c r="R89" s="230">
        <f t="shared" ref="R89:R103" si="54">(VLOOKUP($F89,Factors,R$329))*$H89</f>
        <v>9.2672720000000002</v>
      </c>
      <c r="S89" s="365"/>
      <c r="T89" s="230">
        <f t="shared" ref="T89:T103" si="55">(VLOOKUP($F89,Factors,T$329))*$H89</f>
        <v>0</v>
      </c>
      <c r="U89" s="365"/>
      <c r="V89" s="230">
        <f t="shared" ref="V89:V103" si="56">(VLOOKUP($F89,Factors,V$329))*$H89</f>
        <v>0</v>
      </c>
      <c r="X89" s="231">
        <f t="shared" si="33"/>
        <v>0</v>
      </c>
      <c r="Y89" s="398">
        <v>601.70000000000005</v>
      </c>
      <c r="Z89" s="367"/>
      <c r="AA89" s="396" t="s">
        <v>121</v>
      </c>
      <c r="AB89" s="209"/>
      <c r="AC89" s="409">
        <f t="shared" ref="AC89:AC103" si="57">+F89</f>
        <v>12</v>
      </c>
      <c r="AD89" s="130"/>
      <c r="AE89" s="409">
        <f t="shared" ref="AE89:AE103" si="58">+H89</f>
        <v>46336.36</v>
      </c>
      <c r="AG89" s="152">
        <f t="shared" ref="AG89:AG103" si="59">(VLOOKUP($AC89,func,AG$329))*$AE89</f>
        <v>0</v>
      </c>
      <c r="AH89" s="152"/>
      <c r="AI89" s="152">
        <f t="shared" ref="AI89:AI103" si="60">(VLOOKUP($AC89,func,AI$329))*$AE89</f>
        <v>0</v>
      </c>
      <c r="AJ89" s="152"/>
      <c r="AK89" s="152">
        <f t="shared" ref="AK89:AK103" si="61">(VLOOKUP($AC89,func,AK$329))*$AE89</f>
        <v>0</v>
      </c>
      <c r="AL89" s="152"/>
      <c r="AM89" s="152">
        <f t="shared" ref="AM89:AM103" si="62">(VLOOKUP($AC89,func,AM$329))*$AE89</f>
        <v>0</v>
      </c>
      <c r="AN89" s="152"/>
      <c r="AO89" s="152">
        <f t="shared" ref="AO89:AO103" si="63">(VLOOKUP($AC89,func,AO$329))*$AE89</f>
        <v>0</v>
      </c>
      <c r="AP89" s="152"/>
      <c r="AQ89" s="152">
        <f t="shared" ref="AQ89:AQ103" si="64">(VLOOKUP($AC89,func,AQ$329))*$AE89</f>
        <v>46336.36</v>
      </c>
      <c r="AR89" s="152"/>
      <c r="AS89" s="152">
        <f t="shared" ref="AS89:AS103" si="65">(VLOOKUP($AC89,func,AS$329))*$AE89</f>
        <v>0</v>
      </c>
      <c r="AU89" s="151"/>
    </row>
    <row r="90" spans="1:47" s="153" customFormat="1" x14ac:dyDescent="0.2">
      <c r="A90" s="411"/>
      <c r="B90" s="447">
        <v>601.70000000000005</v>
      </c>
      <c r="C90" s="367"/>
      <c r="D90" s="399" t="s">
        <v>8</v>
      </c>
      <c r="E90" s="209"/>
      <c r="F90" s="140">
        <v>8</v>
      </c>
      <c r="G90" s="210"/>
      <c r="H90" s="394">
        <v>221596.6</v>
      </c>
      <c r="I90" s="152"/>
      <c r="J90" s="230">
        <f t="shared" si="50"/>
        <v>179759.16192000001</v>
      </c>
      <c r="K90" s="365"/>
      <c r="L90" s="230">
        <f t="shared" si="51"/>
        <v>34347.472999999998</v>
      </c>
      <c r="M90" s="365"/>
      <c r="N90" s="230">
        <f t="shared" si="52"/>
        <v>2171.6466799999998</v>
      </c>
      <c r="O90" s="365"/>
      <c r="P90" s="230">
        <f t="shared" si="53"/>
        <v>5074.56214</v>
      </c>
      <c r="Q90" s="365"/>
      <c r="R90" s="230">
        <f t="shared" si="54"/>
        <v>243.75626000000003</v>
      </c>
      <c r="S90" s="365"/>
      <c r="T90" s="230">
        <f t="shared" si="55"/>
        <v>0</v>
      </c>
      <c r="U90" s="365"/>
      <c r="V90" s="230">
        <f t="shared" si="56"/>
        <v>0</v>
      </c>
      <c r="X90" s="231">
        <f t="shared" si="33"/>
        <v>0</v>
      </c>
      <c r="Y90" s="397">
        <v>601.70000000000005</v>
      </c>
      <c r="Z90" s="367"/>
      <c r="AA90" s="399" t="s">
        <v>8</v>
      </c>
      <c r="AB90" s="209"/>
      <c r="AC90" s="409">
        <f t="shared" si="57"/>
        <v>8</v>
      </c>
      <c r="AD90" s="130"/>
      <c r="AE90" s="409">
        <f t="shared" si="58"/>
        <v>221596.6</v>
      </c>
      <c r="AF90" s="152"/>
      <c r="AG90" s="152">
        <f t="shared" si="59"/>
        <v>0</v>
      </c>
      <c r="AH90" s="152"/>
      <c r="AI90" s="152">
        <f t="shared" si="60"/>
        <v>0</v>
      </c>
      <c r="AJ90" s="152"/>
      <c r="AK90" s="152">
        <f t="shared" si="61"/>
        <v>0</v>
      </c>
      <c r="AL90" s="152"/>
      <c r="AM90" s="152">
        <f t="shared" si="62"/>
        <v>221596.6</v>
      </c>
      <c r="AN90" s="152"/>
      <c r="AO90" s="152">
        <f t="shared" si="63"/>
        <v>0</v>
      </c>
      <c r="AP90" s="152"/>
      <c r="AQ90" s="152">
        <f t="shared" si="64"/>
        <v>0</v>
      </c>
      <c r="AR90" s="152"/>
      <c r="AS90" s="152">
        <f t="shared" si="65"/>
        <v>0</v>
      </c>
      <c r="AU90" s="151"/>
    </row>
    <row r="91" spans="1:47" s="305" customFormat="1" x14ac:dyDescent="0.2">
      <c r="A91" s="546"/>
      <c r="B91" s="450">
        <v>601.70000000000005</v>
      </c>
      <c r="C91" s="367"/>
      <c r="D91" s="396" t="s">
        <v>123</v>
      </c>
      <c r="E91" s="209"/>
      <c r="F91" s="140">
        <v>8</v>
      </c>
      <c r="G91" s="210"/>
      <c r="H91" s="394">
        <v>528721.99</v>
      </c>
      <c r="I91" s="210"/>
      <c r="J91" s="230">
        <f t="shared" si="50"/>
        <v>428899.27828800003</v>
      </c>
      <c r="K91" s="365"/>
      <c r="L91" s="230">
        <f t="shared" si="51"/>
        <v>81951.908450000003</v>
      </c>
      <c r="M91" s="365"/>
      <c r="N91" s="230">
        <f t="shared" si="52"/>
        <v>5181.4755019999993</v>
      </c>
      <c r="O91" s="365"/>
      <c r="P91" s="230">
        <f t="shared" si="53"/>
        <v>12107.733571000001</v>
      </c>
      <c r="Q91" s="365"/>
      <c r="R91" s="230">
        <f t="shared" si="54"/>
        <v>581.59418900000003</v>
      </c>
      <c r="S91" s="365"/>
      <c r="T91" s="230">
        <f t="shared" si="55"/>
        <v>0</v>
      </c>
      <c r="U91" s="365"/>
      <c r="V91" s="230">
        <f t="shared" si="56"/>
        <v>0</v>
      </c>
      <c r="X91" s="231">
        <f t="shared" si="33"/>
        <v>0</v>
      </c>
      <c r="Y91" s="398">
        <v>601.70000000000005</v>
      </c>
      <c r="Z91" s="367"/>
      <c r="AA91" s="396" t="s">
        <v>123</v>
      </c>
      <c r="AB91" s="209"/>
      <c r="AC91" s="409">
        <f t="shared" si="57"/>
        <v>8</v>
      </c>
      <c r="AD91" s="130"/>
      <c r="AE91" s="409">
        <f t="shared" si="58"/>
        <v>528721.99</v>
      </c>
      <c r="AG91" s="152">
        <f t="shared" si="59"/>
        <v>0</v>
      </c>
      <c r="AH91" s="152"/>
      <c r="AI91" s="152">
        <f t="shared" si="60"/>
        <v>0</v>
      </c>
      <c r="AJ91" s="152"/>
      <c r="AK91" s="152">
        <f t="shared" si="61"/>
        <v>0</v>
      </c>
      <c r="AL91" s="152"/>
      <c r="AM91" s="152">
        <f t="shared" si="62"/>
        <v>528721.99</v>
      </c>
      <c r="AN91" s="152"/>
      <c r="AO91" s="152">
        <f t="shared" si="63"/>
        <v>0</v>
      </c>
      <c r="AP91" s="152"/>
      <c r="AQ91" s="152">
        <f t="shared" si="64"/>
        <v>0</v>
      </c>
      <c r="AR91" s="152"/>
      <c r="AS91" s="152">
        <f t="shared" si="65"/>
        <v>0</v>
      </c>
      <c r="AU91" s="151"/>
    </row>
    <row r="92" spans="1:47" s="305" customFormat="1" x14ac:dyDescent="0.2">
      <c r="A92" s="546"/>
      <c r="B92" s="450">
        <v>601.70000000000005</v>
      </c>
      <c r="C92" s="367"/>
      <c r="D92" s="396" t="s">
        <v>122</v>
      </c>
      <c r="E92" s="209"/>
      <c r="F92" s="140">
        <v>12</v>
      </c>
      <c r="G92" s="210"/>
      <c r="H92" s="394">
        <v>542863.18000000005</v>
      </c>
      <c r="I92" s="210"/>
      <c r="J92" s="230">
        <f t="shared" si="50"/>
        <v>500731.56860020006</v>
      </c>
      <c r="K92" s="365"/>
      <c r="L92" s="230">
        <f t="shared" si="51"/>
        <v>37973.279441000006</v>
      </c>
      <c r="M92" s="365"/>
      <c r="N92" s="230">
        <f t="shared" si="52"/>
        <v>732.86529300000007</v>
      </c>
      <c r="O92" s="365"/>
      <c r="P92" s="230">
        <f t="shared" si="53"/>
        <v>3316.8940298000002</v>
      </c>
      <c r="Q92" s="365"/>
      <c r="R92" s="230">
        <f t="shared" si="54"/>
        <v>108.57263600000002</v>
      </c>
      <c r="S92" s="365"/>
      <c r="T92" s="230">
        <f t="shared" si="55"/>
        <v>0</v>
      </c>
      <c r="U92" s="365"/>
      <c r="V92" s="230">
        <f t="shared" si="56"/>
        <v>0</v>
      </c>
      <c r="X92" s="231">
        <f t="shared" si="33"/>
        <v>0</v>
      </c>
      <c r="Y92" s="398">
        <v>601.70000000000005</v>
      </c>
      <c r="Z92" s="367"/>
      <c r="AA92" s="396" t="s">
        <v>122</v>
      </c>
      <c r="AB92" s="209"/>
      <c r="AC92" s="409">
        <f t="shared" si="57"/>
        <v>12</v>
      </c>
      <c r="AD92" s="130"/>
      <c r="AE92" s="409">
        <f t="shared" si="58"/>
        <v>542863.18000000005</v>
      </c>
      <c r="AG92" s="152">
        <f t="shared" si="59"/>
        <v>0</v>
      </c>
      <c r="AH92" s="152"/>
      <c r="AI92" s="152">
        <f t="shared" si="60"/>
        <v>0</v>
      </c>
      <c r="AJ92" s="152"/>
      <c r="AK92" s="152">
        <f t="shared" si="61"/>
        <v>0</v>
      </c>
      <c r="AL92" s="152"/>
      <c r="AM92" s="152">
        <f t="shared" si="62"/>
        <v>0</v>
      </c>
      <c r="AN92" s="152"/>
      <c r="AO92" s="152">
        <f t="shared" si="63"/>
        <v>0</v>
      </c>
      <c r="AP92" s="152"/>
      <c r="AQ92" s="152">
        <f t="shared" si="64"/>
        <v>542863.18000000005</v>
      </c>
      <c r="AR92" s="152"/>
      <c r="AS92" s="152">
        <f t="shared" si="65"/>
        <v>0</v>
      </c>
      <c r="AU92" s="151"/>
    </row>
    <row r="93" spans="1:47" s="153" customFormat="1" x14ac:dyDescent="0.2">
      <c r="A93" s="411"/>
      <c r="B93" s="447">
        <v>620.70000000000005</v>
      </c>
      <c r="C93" s="367"/>
      <c r="D93" s="396" t="s">
        <v>16</v>
      </c>
      <c r="E93" s="209"/>
      <c r="F93" s="140">
        <v>12</v>
      </c>
      <c r="G93" s="210"/>
      <c r="H93" s="394">
        <v>68521.489999999991</v>
      </c>
      <c r="I93" s="210"/>
      <c r="J93" s="230">
        <f t="shared" si="50"/>
        <v>63203.537161099994</v>
      </c>
      <c r="K93" s="365"/>
      <c r="L93" s="230">
        <f t="shared" si="51"/>
        <v>4793.0782254999995</v>
      </c>
      <c r="M93" s="365"/>
      <c r="N93" s="230">
        <f t="shared" si="52"/>
        <v>92.50401149999999</v>
      </c>
      <c r="O93" s="365"/>
      <c r="P93" s="230">
        <f t="shared" si="53"/>
        <v>418.66630389999995</v>
      </c>
      <c r="Q93" s="365"/>
      <c r="R93" s="230">
        <f t="shared" si="54"/>
        <v>13.704298</v>
      </c>
      <c r="S93" s="365"/>
      <c r="T93" s="230">
        <f t="shared" si="55"/>
        <v>0</v>
      </c>
      <c r="U93" s="365"/>
      <c r="V93" s="230">
        <f t="shared" si="56"/>
        <v>0</v>
      </c>
      <c r="X93" s="231">
        <f t="shared" si="33"/>
        <v>0</v>
      </c>
      <c r="Y93" s="397">
        <v>620.70000000000005</v>
      </c>
      <c r="Z93" s="367"/>
      <c r="AA93" s="396" t="s">
        <v>16</v>
      </c>
      <c r="AB93" s="209"/>
      <c r="AC93" s="409">
        <f t="shared" si="57"/>
        <v>12</v>
      </c>
      <c r="AD93" s="130"/>
      <c r="AE93" s="409">
        <f t="shared" si="58"/>
        <v>68521.489999999991</v>
      </c>
      <c r="AF93" s="210"/>
      <c r="AG93" s="152">
        <f t="shared" si="59"/>
        <v>0</v>
      </c>
      <c r="AH93" s="152"/>
      <c r="AI93" s="152">
        <f t="shared" si="60"/>
        <v>0</v>
      </c>
      <c r="AJ93" s="152"/>
      <c r="AK93" s="152">
        <f t="shared" si="61"/>
        <v>0</v>
      </c>
      <c r="AL93" s="152"/>
      <c r="AM93" s="152">
        <f t="shared" si="62"/>
        <v>0</v>
      </c>
      <c r="AN93" s="152"/>
      <c r="AO93" s="152">
        <f t="shared" si="63"/>
        <v>0</v>
      </c>
      <c r="AP93" s="152"/>
      <c r="AQ93" s="152">
        <f t="shared" si="64"/>
        <v>68521.489999999991</v>
      </c>
      <c r="AR93" s="152"/>
      <c r="AS93" s="152">
        <f t="shared" si="65"/>
        <v>0</v>
      </c>
      <c r="AU93" s="151"/>
    </row>
    <row r="94" spans="1:47" s="153" customFormat="1" x14ac:dyDescent="0.2">
      <c r="A94" s="411"/>
      <c r="B94" s="447">
        <v>620.70000000000005</v>
      </c>
      <c r="C94" s="367"/>
      <c r="D94" s="396" t="s">
        <v>21</v>
      </c>
      <c r="E94" s="209"/>
      <c r="F94" s="140">
        <v>12</v>
      </c>
      <c r="G94" s="210"/>
      <c r="H94" s="394">
        <v>177172.67</v>
      </c>
      <c r="I94" s="210"/>
      <c r="J94" s="230">
        <f t="shared" si="50"/>
        <v>163422.29908130001</v>
      </c>
      <c r="K94" s="365"/>
      <c r="L94" s="230">
        <f t="shared" si="51"/>
        <v>12393.2282665</v>
      </c>
      <c r="M94" s="365"/>
      <c r="N94" s="230">
        <f t="shared" si="52"/>
        <v>239.18310450000004</v>
      </c>
      <c r="O94" s="365"/>
      <c r="P94" s="230">
        <f t="shared" si="53"/>
        <v>1082.5250137</v>
      </c>
      <c r="Q94" s="365"/>
      <c r="R94" s="230">
        <f t="shared" si="54"/>
        <v>35.434534000000006</v>
      </c>
      <c r="S94" s="365"/>
      <c r="T94" s="230">
        <f t="shared" si="55"/>
        <v>0</v>
      </c>
      <c r="U94" s="365"/>
      <c r="V94" s="230">
        <f t="shared" si="56"/>
        <v>0</v>
      </c>
      <c r="X94" s="231">
        <f t="shared" si="33"/>
        <v>0</v>
      </c>
      <c r="Y94" s="397">
        <v>620.70000000000005</v>
      </c>
      <c r="Z94" s="367"/>
      <c r="AA94" s="396" t="s">
        <v>21</v>
      </c>
      <c r="AB94" s="209"/>
      <c r="AC94" s="409">
        <f t="shared" si="57"/>
        <v>12</v>
      </c>
      <c r="AD94" s="130"/>
      <c r="AE94" s="409">
        <f t="shared" si="58"/>
        <v>177172.67</v>
      </c>
      <c r="AG94" s="152">
        <f t="shared" si="59"/>
        <v>0</v>
      </c>
      <c r="AH94" s="152"/>
      <c r="AI94" s="152">
        <f t="shared" si="60"/>
        <v>0</v>
      </c>
      <c r="AJ94" s="152"/>
      <c r="AK94" s="152">
        <f t="shared" si="61"/>
        <v>0</v>
      </c>
      <c r="AL94" s="152"/>
      <c r="AM94" s="152">
        <f t="shared" si="62"/>
        <v>0</v>
      </c>
      <c r="AN94" s="152"/>
      <c r="AO94" s="152">
        <f t="shared" si="63"/>
        <v>0</v>
      </c>
      <c r="AP94" s="152"/>
      <c r="AQ94" s="152">
        <f t="shared" si="64"/>
        <v>177172.67</v>
      </c>
      <c r="AR94" s="152"/>
      <c r="AS94" s="152">
        <f t="shared" si="65"/>
        <v>0</v>
      </c>
      <c r="AU94" s="151"/>
    </row>
    <row r="95" spans="1:47" s="153" customFormat="1" x14ac:dyDescent="0.2">
      <c r="A95" s="411"/>
      <c r="B95" s="447">
        <v>633.70000000000005</v>
      </c>
      <c r="C95" s="367"/>
      <c r="D95" s="396" t="s">
        <v>478</v>
      </c>
      <c r="E95" s="209"/>
      <c r="F95" s="140">
        <v>12</v>
      </c>
      <c r="G95" s="210"/>
      <c r="H95" s="394">
        <v>2073.75</v>
      </c>
      <c r="I95" s="152"/>
      <c r="J95" s="230">
        <f t="shared" si="50"/>
        <v>1912.8062625</v>
      </c>
      <c r="K95" s="365"/>
      <c r="L95" s="230">
        <f t="shared" si="51"/>
        <v>145.05881249999999</v>
      </c>
      <c r="M95" s="365"/>
      <c r="N95" s="230">
        <f t="shared" si="52"/>
        <v>2.7995625</v>
      </c>
      <c r="O95" s="365"/>
      <c r="P95" s="230">
        <f t="shared" si="53"/>
        <v>12.670612500000001</v>
      </c>
      <c r="Q95" s="365"/>
      <c r="R95" s="230">
        <f t="shared" si="54"/>
        <v>0.41475000000000001</v>
      </c>
      <c r="S95" s="365"/>
      <c r="T95" s="230">
        <f t="shared" si="55"/>
        <v>0</v>
      </c>
      <c r="U95" s="365"/>
      <c r="V95" s="230">
        <f t="shared" si="56"/>
        <v>0</v>
      </c>
      <c r="X95" s="231">
        <f t="shared" si="33"/>
        <v>0</v>
      </c>
      <c r="Y95" s="397">
        <v>633.70000000000005</v>
      </c>
      <c r="Z95" s="367"/>
      <c r="AA95" s="396" t="s">
        <v>25</v>
      </c>
      <c r="AB95" s="209"/>
      <c r="AC95" s="409">
        <f t="shared" si="57"/>
        <v>12</v>
      </c>
      <c r="AD95" s="130"/>
      <c r="AE95" s="409">
        <f t="shared" si="58"/>
        <v>2073.75</v>
      </c>
      <c r="AF95" s="152"/>
      <c r="AG95" s="152">
        <f t="shared" si="59"/>
        <v>0</v>
      </c>
      <c r="AH95" s="152"/>
      <c r="AI95" s="152">
        <f t="shared" si="60"/>
        <v>0</v>
      </c>
      <c r="AJ95" s="152"/>
      <c r="AK95" s="152">
        <f t="shared" si="61"/>
        <v>0</v>
      </c>
      <c r="AL95" s="152"/>
      <c r="AM95" s="152">
        <f t="shared" si="62"/>
        <v>0</v>
      </c>
      <c r="AN95" s="152"/>
      <c r="AO95" s="152">
        <f t="shared" si="63"/>
        <v>0</v>
      </c>
      <c r="AP95" s="152"/>
      <c r="AQ95" s="152">
        <f t="shared" si="64"/>
        <v>2073.75</v>
      </c>
      <c r="AR95" s="152"/>
      <c r="AS95" s="152">
        <f t="shared" si="65"/>
        <v>0</v>
      </c>
      <c r="AU95" s="151"/>
    </row>
    <row r="96" spans="1:47" s="153" customFormat="1" x14ac:dyDescent="0.2">
      <c r="A96" s="411"/>
      <c r="B96" s="447">
        <v>633.70000000000005</v>
      </c>
      <c r="C96" s="367"/>
      <c r="D96" s="396" t="s">
        <v>26</v>
      </c>
      <c r="E96" s="209"/>
      <c r="F96" s="140">
        <v>12</v>
      </c>
      <c r="G96" s="210"/>
      <c r="H96" s="394">
        <v>9273.5</v>
      </c>
      <c r="I96" s="210"/>
      <c r="J96" s="230">
        <f t="shared" si="50"/>
        <v>8553.7836650000008</v>
      </c>
      <c r="K96" s="365"/>
      <c r="L96" s="230">
        <f t="shared" si="51"/>
        <v>648.68132500000002</v>
      </c>
      <c r="M96" s="365"/>
      <c r="N96" s="230">
        <f t="shared" si="52"/>
        <v>12.519225</v>
      </c>
      <c r="O96" s="365"/>
      <c r="P96" s="230">
        <f t="shared" si="53"/>
        <v>56.661085</v>
      </c>
      <c r="Q96" s="365"/>
      <c r="R96" s="230">
        <f t="shared" si="54"/>
        <v>1.8547</v>
      </c>
      <c r="S96" s="365"/>
      <c r="T96" s="230">
        <f t="shared" si="55"/>
        <v>0</v>
      </c>
      <c r="U96" s="365"/>
      <c r="V96" s="230">
        <f t="shared" si="56"/>
        <v>0</v>
      </c>
      <c r="X96" s="231">
        <f t="shared" si="33"/>
        <v>0</v>
      </c>
      <c r="Y96" s="397">
        <v>633.70000000000005</v>
      </c>
      <c r="Z96" s="367"/>
      <c r="AA96" s="396" t="s">
        <v>26</v>
      </c>
      <c r="AB96" s="209"/>
      <c r="AC96" s="409">
        <f t="shared" si="57"/>
        <v>12</v>
      </c>
      <c r="AD96" s="130"/>
      <c r="AE96" s="409">
        <f t="shared" si="58"/>
        <v>9273.5</v>
      </c>
      <c r="AG96" s="152">
        <f t="shared" si="59"/>
        <v>0</v>
      </c>
      <c r="AH96" s="152"/>
      <c r="AI96" s="152">
        <f t="shared" si="60"/>
        <v>0</v>
      </c>
      <c r="AJ96" s="152"/>
      <c r="AK96" s="152">
        <f t="shared" si="61"/>
        <v>0</v>
      </c>
      <c r="AL96" s="152"/>
      <c r="AM96" s="152">
        <f t="shared" si="62"/>
        <v>0</v>
      </c>
      <c r="AN96" s="152"/>
      <c r="AO96" s="152">
        <f t="shared" si="63"/>
        <v>0</v>
      </c>
      <c r="AP96" s="152"/>
      <c r="AQ96" s="152">
        <f t="shared" si="64"/>
        <v>9273.5</v>
      </c>
      <c r="AR96" s="152"/>
      <c r="AS96" s="152">
        <f t="shared" si="65"/>
        <v>0</v>
      </c>
      <c r="AU96" s="151"/>
    </row>
    <row r="97" spans="1:47" s="153" customFormat="1" x14ac:dyDescent="0.2">
      <c r="A97" s="411"/>
      <c r="B97" s="447">
        <v>635.70000000000005</v>
      </c>
      <c r="D97" s="396" t="s">
        <v>35</v>
      </c>
      <c r="E97" s="209"/>
      <c r="F97" s="140">
        <v>12</v>
      </c>
      <c r="G97" s="210"/>
      <c r="H97" s="394">
        <v>3265.68</v>
      </c>
      <c r="I97" s="210"/>
      <c r="J97" s="230">
        <f t="shared" si="50"/>
        <v>3012.2305752000002</v>
      </c>
      <c r="K97" s="365"/>
      <c r="L97" s="230">
        <f t="shared" si="51"/>
        <v>228.434316</v>
      </c>
      <c r="M97" s="365"/>
      <c r="N97" s="230">
        <f t="shared" si="52"/>
        <v>4.4086679999999996</v>
      </c>
      <c r="O97" s="365"/>
      <c r="P97" s="230">
        <f t="shared" si="53"/>
        <v>19.953304799999998</v>
      </c>
      <c r="Q97" s="365"/>
      <c r="R97" s="230">
        <f t="shared" si="54"/>
        <v>0.65313600000000005</v>
      </c>
      <c r="S97" s="365"/>
      <c r="T97" s="230">
        <f t="shared" si="55"/>
        <v>0</v>
      </c>
      <c r="U97" s="365"/>
      <c r="V97" s="230">
        <f t="shared" si="56"/>
        <v>0</v>
      </c>
      <c r="X97" s="231">
        <f t="shared" ref="X97:X128" si="66">+H97-SUM(J97:V97)</f>
        <v>0</v>
      </c>
      <c r="Y97" s="397">
        <v>635.70000000000005</v>
      </c>
      <c r="AA97" s="396" t="s">
        <v>35</v>
      </c>
      <c r="AB97" s="209"/>
      <c r="AC97" s="409">
        <f t="shared" si="57"/>
        <v>12</v>
      </c>
      <c r="AD97" s="130"/>
      <c r="AE97" s="409">
        <f t="shared" si="58"/>
        <v>3265.68</v>
      </c>
      <c r="AG97" s="152">
        <f t="shared" si="59"/>
        <v>0</v>
      </c>
      <c r="AH97" s="152"/>
      <c r="AI97" s="152">
        <f t="shared" si="60"/>
        <v>0</v>
      </c>
      <c r="AJ97" s="152"/>
      <c r="AK97" s="152">
        <f t="shared" si="61"/>
        <v>0</v>
      </c>
      <c r="AL97" s="152"/>
      <c r="AM97" s="152">
        <f t="shared" si="62"/>
        <v>0</v>
      </c>
      <c r="AN97" s="152"/>
      <c r="AO97" s="152">
        <f t="shared" si="63"/>
        <v>0</v>
      </c>
      <c r="AP97" s="152"/>
      <c r="AQ97" s="152">
        <f t="shared" si="64"/>
        <v>3265.68</v>
      </c>
      <c r="AR97" s="152"/>
      <c r="AS97" s="152">
        <f t="shared" si="65"/>
        <v>0</v>
      </c>
      <c r="AU97" s="151"/>
    </row>
    <row r="98" spans="1:47" s="153" customFormat="1" x14ac:dyDescent="0.2">
      <c r="A98" s="411"/>
      <c r="B98" s="447">
        <v>635.70000000000005</v>
      </c>
      <c r="D98" s="396" t="s">
        <v>37</v>
      </c>
      <c r="E98" s="209"/>
      <c r="F98" s="140">
        <v>12</v>
      </c>
      <c r="G98" s="210"/>
      <c r="H98" s="394">
        <v>37883.06</v>
      </c>
      <c r="I98" s="210"/>
      <c r="J98" s="230">
        <f t="shared" si="50"/>
        <v>34942.955713399999</v>
      </c>
      <c r="K98" s="365"/>
      <c r="L98" s="230">
        <f t="shared" si="51"/>
        <v>2649.9200469999996</v>
      </c>
      <c r="M98" s="365"/>
      <c r="N98" s="230">
        <f t="shared" si="52"/>
        <v>51.142130999999999</v>
      </c>
      <c r="O98" s="365"/>
      <c r="P98" s="230">
        <f t="shared" si="53"/>
        <v>231.46549659999999</v>
      </c>
      <c r="Q98" s="365"/>
      <c r="R98" s="230">
        <f t="shared" si="54"/>
        <v>7.5766119999999999</v>
      </c>
      <c r="S98" s="365"/>
      <c r="T98" s="230">
        <f t="shared" si="55"/>
        <v>0</v>
      </c>
      <c r="U98" s="365"/>
      <c r="V98" s="230">
        <f t="shared" si="56"/>
        <v>0</v>
      </c>
      <c r="X98" s="231">
        <f t="shared" si="66"/>
        <v>0</v>
      </c>
      <c r="Y98" s="397">
        <v>635.70000000000005</v>
      </c>
      <c r="AA98" s="396" t="s">
        <v>37</v>
      </c>
      <c r="AB98" s="209"/>
      <c r="AC98" s="409">
        <f t="shared" si="57"/>
        <v>12</v>
      </c>
      <c r="AD98" s="130"/>
      <c r="AE98" s="409">
        <f t="shared" si="58"/>
        <v>37883.06</v>
      </c>
      <c r="AG98" s="152">
        <f t="shared" si="59"/>
        <v>0</v>
      </c>
      <c r="AH98" s="152"/>
      <c r="AI98" s="152">
        <f t="shared" si="60"/>
        <v>0</v>
      </c>
      <c r="AJ98" s="152"/>
      <c r="AK98" s="152">
        <f t="shared" si="61"/>
        <v>0</v>
      </c>
      <c r="AL98" s="152"/>
      <c r="AM98" s="152">
        <f t="shared" si="62"/>
        <v>0</v>
      </c>
      <c r="AN98" s="152"/>
      <c r="AO98" s="152">
        <f t="shared" si="63"/>
        <v>0</v>
      </c>
      <c r="AP98" s="152"/>
      <c r="AQ98" s="152">
        <f t="shared" si="64"/>
        <v>37883.06</v>
      </c>
      <c r="AR98" s="152"/>
      <c r="AS98" s="152">
        <f t="shared" si="65"/>
        <v>0</v>
      </c>
      <c r="AU98" s="151"/>
    </row>
    <row r="99" spans="1:47" s="153" customFormat="1" x14ac:dyDescent="0.2">
      <c r="A99" s="411"/>
      <c r="B99" s="447">
        <v>635.70000000000005</v>
      </c>
      <c r="D99" s="396" t="s">
        <v>38</v>
      </c>
      <c r="E99" s="209"/>
      <c r="F99" s="140">
        <v>12</v>
      </c>
      <c r="G99" s="210"/>
      <c r="H99" s="394">
        <v>55692.55</v>
      </c>
      <c r="I99" s="210"/>
      <c r="J99" s="230">
        <f t="shared" si="50"/>
        <v>51370.251194500008</v>
      </c>
      <c r="K99" s="365"/>
      <c r="L99" s="230">
        <f t="shared" si="51"/>
        <v>3895.6938725</v>
      </c>
      <c r="M99" s="365"/>
      <c r="N99" s="230">
        <f t="shared" si="52"/>
        <v>75.184942500000005</v>
      </c>
      <c r="O99" s="365"/>
      <c r="P99" s="230">
        <f t="shared" si="53"/>
        <v>340.28148050000004</v>
      </c>
      <c r="Q99" s="365"/>
      <c r="R99" s="230">
        <f t="shared" si="54"/>
        <v>11.138510000000002</v>
      </c>
      <c r="S99" s="365"/>
      <c r="T99" s="230">
        <f t="shared" si="55"/>
        <v>0</v>
      </c>
      <c r="U99" s="365"/>
      <c r="V99" s="230">
        <f t="shared" si="56"/>
        <v>0</v>
      </c>
      <c r="X99" s="231">
        <f t="shared" si="66"/>
        <v>0</v>
      </c>
      <c r="Y99" s="397">
        <v>635.70000000000005</v>
      </c>
      <c r="AA99" s="396" t="s">
        <v>38</v>
      </c>
      <c r="AB99" s="209"/>
      <c r="AC99" s="409">
        <f t="shared" si="57"/>
        <v>12</v>
      </c>
      <c r="AD99" s="130"/>
      <c r="AE99" s="409">
        <f t="shared" si="58"/>
        <v>55692.55</v>
      </c>
      <c r="AG99" s="152">
        <f t="shared" si="59"/>
        <v>0</v>
      </c>
      <c r="AH99" s="152"/>
      <c r="AI99" s="152">
        <f t="shared" si="60"/>
        <v>0</v>
      </c>
      <c r="AJ99" s="152"/>
      <c r="AK99" s="152">
        <f t="shared" si="61"/>
        <v>0</v>
      </c>
      <c r="AL99" s="152"/>
      <c r="AM99" s="152">
        <f t="shared" si="62"/>
        <v>0</v>
      </c>
      <c r="AN99" s="152"/>
      <c r="AO99" s="152">
        <f t="shared" si="63"/>
        <v>0</v>
      </c>
      <c r="AP99" s="152"/>
      <c r="AQ99" s="152">
        <f t="shared" si="64"/>
        <v>55692.55</v>
      </c>
      <c r="AR99" s="152"/>
      <c r="AS99" s="152">
        <f t="shared" si="65"/>
        <v>0</v>
      </c>
      <c r="AU99" s="151"/>
    </row>
    <row r="100" spans="1:47" s="153" customFormat="1" x14ac:dyDescent="0.2">
      <c r="A100" s="411"/>
      <c r="B100" s="447">
        <v>635.70000000000005</v>
      </c>
      <c r="D100" s="396" t="s">
        <v>39</v>
      </c>
      <c r="E100" s="209"/>
      <c r="F100" s="140">
        <v>12</v>
      </c>
      <c r="G100" s="210"/>
      <c r="H100" s="394">
        <v>238911.78</v>
      </c>
      <c r="I100" s="210"/>
      <c r="J100" s="230">
        <f t="shared" si="50"/>
        <v>220369.83675420002</v>
      </c>
      <c r="K100" s="365"/>
      <c r="L100" s="230">
        <f t="shared" si="51"/>
        <v>16711.879011000001</v>
      </c>
      <c r="M100" s="365"/>
      <c r="N100" s="230">
        <f t="shared" si="52"/>
        <v>322.53090300000002</v>
      </c>
      <c r="O100" s="365"/>
      <c r="P100" s="230">
        <f t="shared" si="53"/>
        <v>1459.7509757999999</v>
      </c>
      <c r="Q100" s="365"/>
      <c r="R100" s="230">
        <f t="shared" si="54"/>
        <v>47.782356</v>
      </c>
      <c r="S100" s="365"/>
      <c r="T100" s="230">
        <f t="shared" si="55"/>
        <v>0</v>
      </c>
      <c r="U100" s="365"/>
      <c r="V100" s="230">
        <f t="shared" si="56"/>
        <v>0</v>
      </c>
      <c r="X100" s="231">
        <f t="shared" si="66"/>
        <v>0</v>
      </c>
      <c r="Y100" s="397">
        <v>635.70000000000005</v>
      </c>
      <c r="AA100" s="396" t="s">
        <v>39</v>
      </c>
      <c r="AB100" s="209"/>
      <c r="AC100" s="409">
        <f t="shared" si="57"/>
        <v>12</v>
      </c>
      <c r="AD100" s="130"/>
      <c r="AE100" s="409">
        <f t="shared" si="58"/>
        <v>238911.78</v>
      </c>
      <c r="AG100" s="152">
        <f t="shared" si="59"/>
        <v>0</v>
      </c>
      <c r="AH100" s="152"/>
      <c r="AI100" s="152">
        <f t="shared" si="60"/>
        <v>0</v>
      </c>
      <c r="AJ100" s="152"/>
      <c r="AK100" s="152">
        <f t="shared" si="61"/>
        <v>0</v>
      </c>
      <c r="AL100" s="152"/>
      <c r="AM100" s="152">
        <f t="shared" si="62"/>
        <v>0</v>
      </c>
      <c r="AN100" s="152"/>
      <c r="AO100" s="152">
        <f t="shared" si="63"/>
        <v>0</v>
      </c>
      <c r="AP100" s="152"/>
      <c r="AQ100" s="152">
        <f t="shared" si="64"/>
        <v>238911.78</v>
      </c>
      <c r="AR100" s="152"/>
      <c r="AS100" s="152">
        <f t="shared" si="65"/>
        <v>0</v>
      </c>
      <c r="AU100" s="151"/>
    </row>
    <row r="101" spans="1:47" s="153" customFormat="1" x14ac:dyDescent="0.2">
      <c r="A101" s="411"/>
      <c r="B101" s="447">
        <v>635.70000000000005</v>
      </c>
      <c r="D101" s="396" t="s">
        <v>41</v>
      </c>
      <c r="E101" s="209"/>
      <c r="F101" s="140">
        <v>12</v>
      </c>
      <c r="G101" s="210"/>
      <c r="H101" s="394">
        <v>36881.82</v>
      </c>
      <c r="I101" s="210"/>
      <c r="J101" s="230">
        <f t="shared" si="50"/>
        <v>34019.421949800002</v>
      </c>
      <c r="K101" s="365"/>
      <c r="L101" s="230">
        <f t="shared" si="51"/>
        <v>2579.8833089999998</v>
      </c>
      <c r="M101" s="365"/>
      <c r="N101" s="230">
        <f t="shared" si="52"/>
        <v>49.790457000000004</v>
      </c>
      <c r="O101" s="365"/>
      <c r="P101" s="230">
        <f t="shared" si="53"/>
        <v>225.3479202</v>
      </c>
      <c r="Q101" s="365"/>
      <c r="R101" s="230">
        <f t="shared" si="54"/>
        <v>7.3763640000000006</v>
      </c>
      <c r="S101" s="365"/>
      <c r="T101" s="230">
        <f t="shared" si="55"/>
        <v>0</v>
      </c>
      <c r="U101" s="365"/>
      <c r="V101" s="230">
        <f t="shared" si="56"/>
        <v>0</v>
      </c>
      <c r="X101" s="231">
        <f t="shared" si="66"/>
        <v>0</v>
      </c>
      <c r="Y101" s="397">
        <v>635.70000000000005</v>
      </c>
      <c r="AA101" s="396" t="s">
        <v>41</v>
      </c>
      <c r="AB101" s="209"/>
      <c r="AC101" s="409">
        <f t="shared" si="57"/>
        <v>12</v>
      </c>
      <c r="AD101" s="130"/>
      <c r="AE101" s="409">
        <f t="shared" si="58"/>
        <v>36881.82</v>
      </c>
      <c r="AG101" s="152">
        <f t="shared" si="59"/>
        <v>0</v>
      </c>
      <c r="AH101" s="152"/>
      <c r="AI101" s="152">
        <f t="shared" si="60"/>
        <v>0</v>
      </c>
      <c r="AJ101" s="152"/>
      <c r="AK101" s="152">
        <f t="shared" si="61"/>
        <v>0</v>
      </c>
      <c r="AL101" s="152"/>
      <c r="AM101" s="152">
        <f t="shared" si="62"/>
        <v>0</v>
      </c>
      <c r="AN101" s="152"/>
      <c r="AO101" s="152">
        <f t="shared" si="63"/>
        <v>0</v>
      </c>
      <c r="AP101" s="152"/>
      <c r="AQ101" s="152">
        <f t="shared" si="64"/>
        <v>36881.82</v>
      </c>
      <c r="AR101" s="152"/>
      <c r="AS101" s="152">
        <f t="shared" si="65"/>
        <v>0</v>
      </c>
      <c r="AU101" s="151"/>
    </row>
    <row r="102" spans="1:47" s="153" customFormat="1" x14ac:dyDescent="0.2">
      <c r="A102" s="411"/>
      <c r="B102" s="447">
        <v>635.70000000000005</v>
      </c>
      <c r="D102" s="396" t="s">
        <v>31</v>
      </c>
      <c r="E102" s="209"/>
      <c r="F102" s="140">
        <v>12</v>
      </c>
      <c r="G102" s="210"/>
      <c r="H102" s="394">
        <v>26725.819999999996</v>
      </c>
      <c r="I102" s="210"/>
      <c r="J102" s="230">
        <f t="shared" si="50"/>
        <v>24651.629109799997</v>
      </c>
      <c r="K102" s="365"/>
      <c r="L102" s="230">
        <f t="shared" si="51"/>
        <v>1869.4711089999996</v>
      </c>
      <c r="M102" s="365"/>
      <c r="N102" s="230">
        <f t="shared" si="52"/>
        <v>36.079856999999997</v>
      </c>
      <c r="O102" s="365"/>
      <c r="P102" s="230">
        <f t="shared" si="53"/>
        <v>163.29476019999998</v>
      </c>
      <c r="Q102" s="365"/>
      <c r="R102" s="230">
        <f t="shared" si="54"/>
        <v>5.3451639999999996</v>
      </c>
      <c r="S102" s="365"/>
      <c r="T102" s="230">
        <f t="shared" si="55"/>
        <v>0</v>
      </c>
      <c r="U102" s="365"/>
      <c r="V102" s="230">
        <f t="shared" si="56"/>
        <v>0</v>
      </c>
      <c r="X102" s="231">
        <f t="shared" si="66"/>
        <v>0</v>
      </c>
      <c r="Y102" s="397">
        <v>635.70000000000005</v>
      </c>
      <c r="AA102" s="396" t="s">
        <v>31</v>
      </c>
      <c r="AB102" s="209"/>
      <c r="AC102" s="409">
        <f t="shared" si="57"/>
        <v>12</v>
      </c>
      <c r="AD102" s="130"/>
      <c r="AE102" s="409">
        <f t="shared" si="58"/>
        <v>26725.819999999996</v>
      </c>
      <c r="AG102" s="152">
        <f t="shared" si="59"/>
        <v>0</v>
      </c>
      <c r="AH102" s="152"/>
      <c r="AI102" s="152">
        <f t="shared" si="60"/>
        <v>0</v>
      </c>
      <c r="AJ102" s="152"/>
      <c r="AK102" s="152">
        <f t="shared" si="61"/>
        <v>0</v>
      </c>
      <c r="AL102" s="152"/>
      <c r="AM102" s="152">
        <f t="shared" si="62"/>
        <v>0</v>
      </c>
      <c r="AN102" s="152"/>
      <c r="AO102" s="152">
        <f t="shared" si="63"/>
        <v>0</v>
      </c>
      <c r="AP102" s="152"/>
      <c r="AQ102" s="152">
        <f t="shared" si="64"/>
        <v>26725.819999999996</v>
      </c>
      <c r="AR102" s="152"/>
      <c r="AS102" s="152">
        <f t="shared" si="65"/>
        <v>0</v>
      </c>
      <c r="AU102" s="151"/>
    </row>
    <row r="103" spans="1:47" s="153" customFormat="1" x14ac:dyDescent="0.2">
      <c r="A103" s="411"/>
      <c r="B103" s="447">
        <v>650.70000000000005</v>
      </c>
      <c r="D103" s="396" t="s">
        <v>43</v>
      </c>
      <c r="E103" s="209"/>
      <c r="F103" s="140">
        <v>12</v>
      </c>
      <c r="G103" s="210"/>
      <c r="H103" s="540">
        <v>110482.31</v>
      </c>
      <c r="I103" s="210"/>
      <c r="J103" s="414">
        <f t="shared" si="50"/>
        <v>101907.7779209</v>
      </c>
      <c r="K103" s="365"/>
      <c r="L103" s="414">
        <f t="shared" si="51"/>
        <v>7728.2375844999997</v>
      </c>
      <c r="M103" s="365"/>
      <c r="N103" s="414">
        <f t="shared" si="52"/>
        <v>149.1511185</v>
      </c>
      <c r="O103" s="365"/>
      <c r="P103" s="414">
        <f t="shared" si="53"/>
        <v>675.04691409999998</v>
      </c>
      <c r="Q103" s="365"/>
      <c r="R103" s="414">
        <f t="shared" si="54"/>
        <v>22.096461999999999</v>
      </c>
      <c r="S103" s="365"/>
      <c r="T103" s="414">
        <f t="shared" si="55"/>
        <v>0</v>
      </c>
      <c r="U103" s="365"/>
      <c r="V103" s="414">
        <f t="shared" si="56"/>
        <v>0</v>
      </c>
      <c r="X103" s="231">
        <f t="shared" si="66"/>
        <v>0</v>
      </c>
      <c r="Y103" s="397">
        <v>650.70000000000005</v>
      </c>
      <c r="AA103" s="396" t="s">
        <v>43</v>
      </c>
      <c r="AB103" s="209"/>
      <c r="AC103" s="409">
        <f t="shared" si="57"/>
        <v>12</v>
      </c>
      <c r="AD103" s="130"/>
      <c r="AE103" s="410">
        <f t="shared" si="58"/>
        <v>110482.31</v>
      </c>
      <c r="AG103" s="139">
        <f t="shared" si="59"/>
        <v>0</v>
      </c>
      <c r="AI103" s="139">
        <f t="shared" si="60"/>
        <v>0</v>
      </c>
      <c r="AK103" s="139">
        <f t="shared" si="61"/>
        <v>0</v>
      </c>
      <c r="AM103" s="139">
        <f t="shared" si="62"/>
        <v>0</v>
      </c>
      <c r="AO103" s="139">
        <f t="shared" si="63"/>
        <v>0</v>
      </c>
      <c r="AQ103" s="139">
        <f t="shared" si="64"/>
        <v>110482.31</v>
      </c>
      <c r="AS103" s="139">
        <f t="shared" si="65"/>
        <v>0</v>
      </c>
      <c r="AU103" s="151"/>
    </row>
    <row r="104" spans="1:47" s="153" customFormat="1" x14ac:dyDescent="0.2">
      <c r="A104" s="411"/>
      <c r="B104" s="447"/>
      <c r="D104" s="404"/>
      <c r="E104" s="209"/>
      <c r="F104" s="140"/>
      <c r="G104" s="210"/>
      <c r="H104" s="394"/>
      <c r="I104" s="210"/>
      <c r="J104" s="152"/>
      <c r="K104" s="211"/>
      <c r="L104" s="211"/>
      <c r="M104" s="211"/>
      <c r="N104" s="211"/>
      <c r="O104" s="211"/>
      <c r="P104" s="211"/>
      <c r="Q104" s="211"/>
      <c r="R104" s="211"/>
      <c r="S104" s="211"/>
      <c r="T104" s="211"/>
      <c r="U104" s="211"/>
      <c r="V104" s="211"/>
      <c r="X104" s="231">
        <f t="shared" si="66"/>
        <v>0</v>
      </c>
      <c r="Y104" s="397"/>
      <c r="AA104" s="404"/>
      <c r="AB104" s="209"/>
      <c r="AC104" s="140"/>
      <c r="AU104" s="151"/>
    </row>
    <row r="105" spans="1:47" s="153" customFormat="1" x14ac:dyDescent="0.2">
      <c r="A105" s="411"/>
      <c r="B105" s="447"/>
      <c r="D105" s="403" t="s">
        <v>58</v>
      </c>
      <c r="E105" s="209"/>
      <c r="F105" s="140"/>
      <c r="G105" s="210"/>
      <c r="H105" s="394">
        <f>SUM(H89:H104)</f>
        <v>2106402.56</v>
      </c>
      <c r="I105" s="210"/>
      <c r="J105" s="152">
        <f>SUM(J89:J104)</f>
        <v>1859496.7332962998</v>
      </c>
      <c r="K105" s="210"/>
      <c r="L105" s="152">
        <f>SUM(L89:L104)</f>
        <v>211157.45515150003</v>
      </c>
      <c r="M105" s="210"/>
      <c r="N105" s="152">
        <f>SUM(N89:N104)</f>
        <v>9183.8355415000005</v>
      </c>
      <c r="O105" s="210"/>
      <c r="P105" s="152">
        <f>SUM(P89:P104)</f>
        <v>25467.968767700007</v>
      </c>
      <c r="Q105" s="210"/>
      <c r="R105" s="152">
        <f>SUM(R89:R104)</f>
        <v>1096.567243</v>
      </c>
      <c r="S105" s="210"/>
      <c r="T105" s="152">
        <f>SUM(T89:T104)</f>
        <v>0</v>
      </c>
      <c r="U105" s="210"/>
      <c r="V105" s="152">
        <f>SUM(V89:V104)</f>
        <v>0</v>
      </c>
      <c r="X105" s="231">
        <f t="shared" si="66"/>
        <v>0</v>
      </c>
      <c r="Y105" s="397"/>
      <c r="AA105" s="403" t="s">
        <v>58</v>
      </c>
      <c r="AB105" s="209"/>
      <c r="AC105" s="140"/>
      <c r="AE105" s="152">
        <f>SUM(AE89:AE104)</f>
        <v>2106402.56</v>
      </c>
      <c r="AG105" s="152">
        <f>SUM(AG89:AG104)</f>
        <v>0</v>
      </c>
      <c r="AI105" s="152">
        <f>SUM(AI89:AI104)</f>
        <v>0</v>
      </c>
      <c r="AK105" s="152">
        <f>SUM(AK89:AK104)</f>
        <v>0</v>
      </c>
      <c r="AM105" s="152">
        <f>SUM(AM89:AM104)</f>
        <v>750318.59</v>
      </c>
      <c r="AO105" s="152">
        <f>SUM(AO89:AO104)</f>
        <v>0</v>
      </c>
      <c r="AQ105" s="152">
        <f>SUM(AQ89:AQ104)</f>
        <v>1356083.9700000004</v>
      </c>
      <c r="AS105" s="152">
        <f>SUM(AS89:AS104)</f>
        <v>0</v>
      </c>
      <c r="AU105" s="151"/>
    </row>
    <row r="106" spans="1:47" s="153" customFormat="1" x14ac:dyDescent="0.2">
      <c r="A106" s="546"/>
      <c r="B106" s="447"/>
      <c r="D106" s="404"/>
      <c r="E106" s="209"/>
      <c r="F106" s="140"/>
      <c r="G106" s="210"/>
      <c r="H106" s="394"/>
      <c r="I106" s="210"/>
      <c r="J106" s="152"/>
      <c r="K106" s="211"/>
      <c r="L106" s="211"/>
      <c r="M106" s="211"/>
      <c r="N106" s="211"/>
      <c r="O106" s="211"/>
      <c r="P106" s="211"/>
      <c r="Q106" s="211"/>
      <c r="R106" s="211"/>
      <c r="S106" s="211"/>
      <c r="T106" s="211"/>
      <c r="U106" s="211"/>
      <c r="V106" s="211"/>
      <c r="X106" s="231">
        <f t="shared" si="66"/>
        <v>0</v>
      </c>
      <c r="Y106" s="397"/>
      <c r="AA106" s="404"/>
      <c r="AB106" s="209"/>
      <c r="AC106" s="140"/>
      <c r="AU106" s="151"/>
    </row>
    <row r="107" spans="1:47" s="153" customFormat="1" x14ac:dyDescent="0.2">
      <c r="A107" s="546"/>
      <c r="B107" s="447"/>
      <c r="C107" s="367"/>
      <c r="D107" s="395" t="s">
        <v>124</v>
      </c>
      <c r="E107" s="209"/>
      <c r="F107" s="140"/>
      <c r="G107" s="210"/>
      <c r="H107" s="394"/>
      <c r="I107" s="210"/>
      <c r="J107" s="152"/>
      <c r="K107" s="211"/>
      <c r="L107" s="152"/>
      <c r="M107" s="211"/>
      <c r="N107" s="152"/>
      <c r="O107" s="211"/>
      <c r="P107" s="152"/>
      <c r="Q107" s="211"/>
      <c r="R107" s="152"/>
      <c r="S107" s="211"/>
      <c r="T107" s="152"/>
      <c r="U107" s="211"/>
      <c r="V107" s="152"/>
      <c r="X107" s="231">
        <f t="shared" si="66"/>
        <v>0</v>
      </c>
      <c r="Y107" s="397"/>
      <c r="Z107" s="367"/>
      <c r="AA107" s="395" t="s">
        <v>124</v>
      </c>
      <c r="AB107" s="209"/>
      <c r="AC107" s="140"/>
      <c r="AE107" s="390"/>
      <c r="AG107" s="152"/>
      <c r="AH107" s="152"/>
      <c r="AI107" s="152"/>
      <c r="AJ107" s="152"/>
      <c r="AK107" s="152"/>
      <c r="AL107" s="152"/>
      <c r="AM107" s="152"/>
      <c r="AN107" s="152"/>
      <c r="AO107" s="152"/>
      <c r="AP107" s="152"/>
      <c r="AQ107" s="152"/>
      <c r="AR107" s="152"/>
      <c r="AS107" s="152"/>
      <c r="AU107" s="151"/>
    </row>
    <row r="108" spans="1:47" s="153" customFormat="1" x14ac:dyDescent="0.2">
      <c r="A108" s="546"/>
      <c r="B108" s="447">
        <v>601.79999999999995</v>
      </c>
      <c r="C108" s="367"/>
      <c r="D108" s="399" t="s">
        <v>114</v>
      </c>
      <c r="E108" s="209"/>
      <c r="F108" s="140">
        <v>14</v>
      </c>
      <c r="G108" s="210"/>
      <c r="H108" s="394">
        <v>1277334.18</v>
      </c>
      <c r="I108" s="210"/>
      <c r="J108" s="230">
        <f t="shared" ref="J108:J127" si="67">(VLOOKUP($F108,Factors,J$329))*$H108</f>
        <v>724503.94689600007</v>
      </c>
      <c r="K108" s="365"/>
      <c r="L108" s="230">
        <f t="shared" ref="L108:L127" si="68">(VLOOKUP($F108,Factors,L$329))*$H108</f>
        <v>252656.70080399999</v>
      </c>
      <c r="M108" s="365"/>
      <c r="N108" s="230">
        <f t="shared" ref="N108:N127" si="69">(VLOOKUP($F108,Factors,N$329))*$H108</f>
        <v>78683.785487999994</v>
      </c>
      <c r="O108" s="365"/>
      <c r="P108" s="230">
        <f t="shared" ref="P108:P127" si="70">(VLOOKUP($F108,Factors,P$329))*$H108</f>
        <v>49177.36593</v>
      </c>
      <c r="Q108" s="365"/>
      <c r="R108" s="230">
        <f t="shared" ref="R108:R127" si="71">(VLOOKUP($F108,Factors,R$329))*$H108</f>
        <v>24397.082837999998</v>
      </c>
      <c r="S108" s="365"/>
      <c r="T108" s="230">
        <f t="shared" ref="T108:T127" si="72">(VLOOKUP($F108,Factors,T$329))*$H108</f>
        <v>0</v>
      </c>
      <c r="U108" s="365"/>
      <c r="V108" s="230">
        <f t="shared" ref="V108:V127" si="73">(VLOOKUP($F108,Factors,V$329))*$H108</f>
        <v>147915.298044</v>
      </c>
      <c r="X108" s="231">
        <f t="shared" si="66"/>
        <v>0</v>
      </c>
      <c r="Y108" s="397">
        <v>601.79999999999995</v>
      </c>
      <c r="Z108" s="367"/>
      <c r="AA108" s="399" t="s">
        <v>114</v>
      </c>
      <c r="AB108" s="209"/>
      <c r="AC108" s="409">
        <f t="shared" ref="AC108:AC127" si="74">+F108</f>
        <v>14</v>
      </c>
      <c r="AD108" s="130"/>
      <c r="AE108" s="409">
        <f t="shared" ref="AE108:AE127" si="75">+H108</f>
        <v>1277334.18</v>
      </c>
      <c r="AG108" s="152">
        <f t="shared" ref="AG108:AG127" si="76">(VLOOKUP($AC108,func,AG$329))*$AE108</f>
        <v>429822.95157000003</v>
      </c>
      <c r="AH108" s="152"/>
      <c r="AI108" s="152">
        <f t="shared" ref="AI108:AI127" si="77">(VLOOKUP($AC108,func,AI$329))*$AE108</f>
        <v>173972.91531599997</v>
      </c>
      <c r="AJ108" s="152"/>
      <c r="AK108" s="152">
        <f t="shared" ref="AK108:AK127" si="78">(VLOOKUP($AC108,func,AK$329))*$AE108</f>
        <v>199391.86549799997</v>
      </c>
      <c r="AL108" s="152"/>
      <c r="AM108" s="152">
        <f t="shared" ref="AM108:AM127" si="79">(VLOOKUP($AC108,func,AM$329))*$AE108</f>
        <v>80982.987011999998</v>
      </c>
      <c r="AN108" s="152"/>
      <c r="AO108" s="152">
        <f t="shared" ref="AO108:AO127" si="80">(VLOOKUP($AC108,func,AO$329))*$AE108</f>
        <v>98865.665531999985</v>
      </c>
      <c r="AP108" s="152"/>
      <c r="AQ108" s="152">
        <f t="shared" ref="AQ108:AQ127" si="81">(VLOOKUP($AC108,func,AQ$329))*$AE108</f>
        <v>146382.49702799998</v>
      </c>
      <c r="AR108" s="152"/>
      <c r="AS108" s="152">
        <f t="shared" ref="AS108:AS127" si="82">(VLOOKUP($AC108,func,AS$329))*$AE108</f>
        <v>147915.298044</v>
      </c>
      <c r="AU108" s="151"/>
    </row>
    <row r="109" spans="1:47" s="153" customFormat="1" x14ac:dyDescent="0.2">
      <c r="A109" s="546"/>
      <c r="B109" s="447">
        <v>604</v>
      </c>
      <c r="C109" s="367"/>
      <c r="D109" s="399" t="s">
        <v>125</v>
      </c>
      <c r="E109" s="209"/>
      <c r="F109" s="140">
        <v>16</v>
      </c>
      <c r="G109" s="210"/>
      <c r="H109" s="394">
        <v>4069159.9699999997</v>
      </c>
      <c r="I109" s="210"/>
      <c r="J109" s="230">
        <f t="shared" si="67"/>
        <v>2297854.635059</v>
      </c>
      <c r="K109" s="365"/>
      <c r="L109" s="230">
        <f t="shared" si="68"/>
        <v>834991.62584399991</v>
      </c>
      <c r="M109" s="365"/>
      <c r="N109" s="230">
        <f t="shared" si="69"/>
        <v>262867.734062</v>
      </c>
      <c r="O109" s="365"/>
      <c r="P109" s="230">
        <f t="shared" si="70"/>
        <v>163987.14679100001</v>
      </c>
      <c r="Q109" s="365"/>
      <c r="R109" s="230">
        <f t="shared" si="71"/>
        <v>83010.863387999998</v>
      </c>
      <c r="S109" s="365"/>
      <c r="T109" s="230">
        <f t="shared" si="72"/>
        <v>0</v>
      </c>
      <c r="U109" s="365"/>
      <c r="V109" s="230">
        <f t="shared" si="73"/>
        <v>426447.96485599998</v>
      </c>
      <c r="X109" s="231">
        <f t="shared" si="66"/>
        <v>0</v>
      </c>
      <c r="Y109" s="397">
        <v>604</v>
      </c>
      <c r="Z109" s="367"/>
      <c r="AA109" s="399" t="s">
        <v>125</v>
      </c>
      <c r="AB109" s="209"/>
      <c r="AC109" s="409">
        <f t="shared" si="74"/>
        <v>16</v>
      </c>
      <c r="AD109" s="130"/>
      <c r="AE109" s="409">
        <f t="shared" si="75"/>
        <v>4069159.9699999997</v>
      </c>
      <c r="AG109" s="152">
        <f t="shared" si="76"/>
        <v>1444958.7053469997</v>
      </c>
      <c r="AH109" s="152"/>
      <c r="AI109" s="152">
        <f t="shared" si="77"/>
        <v>611594.74349099991</v>
      </c>
      <c r="AJ109" s="152"/>
      <c r="AK109" s="152">
        <f t="shared" si="78"/>
        <v>606711.75152699999</v>
      </c>
      <c r="AL109" s="152"/>
      <c r="AM109" s="152">
        <f t="shared" si="79"/>
        <v>426447.96485599998</v>
      </c>
      <c r="AN109" s="152"/>
      <c r="AO109" s="152">
        <f t="shared" si="80"/>
        <v>175787.710704</v>
      </c>
      <c r="AP109" s="152"/>
      <c r="AQ109" s="152">
        <f t="shared" si="81"/>
        <v>377211.12921899999</v>
      </c>
      <c r="AR109" s="152"/>
      <c r="AS109" s="152">
        <f t="shared" si="82"/>
        <v>426447.96485599998</v>
      </c>
      <c r="AU109" s="151"/>
    </row>
    <row r="110" spans="1:47" s="305" customFormat="1" x14ac:dyDescent="0.2">
      <c r="A110" s="546"/>
      <c r="B110" s="450">
        <v>615.79999999999995</v>
      </c>
      <c r="C110" s="367"/>
      <c r="D110" s="399" t="s">
        <v>13</v>
      </c>
      <c r="E110" s="209"/>
      <c r="F110" s="140">
        <v>14</v>
      </c>
      <c r="G110" s="210"/>
      <c r="H110" s="394">
        <v>127260.49</v>
      </c>
      <c r="I110" s="210"/>
      <c r="J110" s="230">
        <f t="shared" si="67"/>
        <v>72182.149928000013</v>
      </c>
      <c r="K110" s="365"/>
      <c r="L110" s="230">
        <f t="shared" si="68"/>
        <v>25172.124922000003</v>
      </c>
      <c r="M110" s="365"/>
      <c r="N110" s="230">
        <f t="shared" si="69"/>
        <v>7839.2461840000005</v>
      </c>
      <c r="O110" s="365"/>
      <c r="P110" s="230">
        <f t="shared" si="70"/>
        <v>4899.5288650000002</v>
      </c>
      <c r="Q110" s="365"/>
      <c r="R110" s="230">
        <f t="shared" si="71"/>
        <v>2430.6753589999998</v>
      </c>
      <c r="S110" s="365"/>
      <c r="T110" s="230">
        <f t="shared" si="72"/>
        <v>0</v>
      </c>
      <c r="U110" s="365"/>
      <c r="V110" s="230">
        <f t="shared" si="73"/>
        <v>14736.764742000001</v>
      </c>
      <c r="X110" s="231">
        <f t="shared" si="66"/>
        <v>0</v>
      </c>
      <c r="Y110" s="398">
        <v>615.79999999999995</v>
      </c>
      <c r="Z110" s="367"/>
      <c r="AA110" s="399" t="s">
        <v>13</v>
      </c>
      <c r="AB110" s="209"/>
      <c r="AC110" s="409">
        <f t="shared" si="74"/>
        <v>14</v>
      </c>
      <c r="AD110" s="130"/>
      <c r="AE110" s="409">
        <f t="shared" si="75"/>
        <v>127260.49</v>
      </c>
      <c r="AG110" s="152">
        <f t="shared" si="76"/>
        <v>42823.154885000004</v>
      </c>
      <c r="AH110" s="152"/>
      <c r="AI110" s="152">
        <f t="shared" si="77"/>
        <v>17332.878737999999</v>
      </c>
      <c r="AJ110" s="152"/>
      <c r="AK110" s="152">
        <f t="shared" si="78"/>
        <v>19865.362488999999</v>
      </c>
      <c r="AL110" s="152"/>
      <c r="AM110" s="152">
        <f t="shared" si="79"/>
        <v>8068.3150660000001</v>
      </c>
      <c r="AN110" s="152"/>
      <c r="AO110" s="152">
        <f t="shared" si="80"/>
        <v>9849.9619259999999</v>
      </c>
      <c r="AP110" s="152"/>
      <c r="AQ110" s="152">
        <f t="shared" si="81"/>
        <v>14584.052153999999</v>
      </c>
      <c r="AR110" s="152"/>
      <c r="AS110" s="152">
        <f t="shared" si="82"/>
        <v>14736.764742000001</v>
      </c>
      <c r="AU110" s="151"/>
    </row>
    <row r="111" spans="1:47" s="153" customFormat="1" x14ac:dyDescent="0.2">
      <c r="A111" s="546"/>
      <c r="B111" s="447">
        <v>620.79999999999995</v>
      </c>
      <c r="C111" s="367"/>
      <c r="D111" s="399" t="s">
        <v>16</v>
      </c>
      <c r="E111" s="209"/>
      <c r="F111" s="140">
        <v>14</v>
      </c>
      <c r="G111" s="210"/>
      <c r="H111" s="394">
        <v>122040.93000000002</v>
      </c>
      <c r="I111" s="210"/>
      <c r="J111" s="230">
        <f t="shared" si="67"/>
        <v>69221.615496000013</v>
      </c>
      <c r="K111" s="365"/>
      <c r="L111" s="230">
        <f t="shared" si="68"/>
        <v>24139.695954000006</v>
      </c>
      <c r="M111" s="365"/>
      <c r="N111" s="230">
        <f t="shared" si="69"/>
        <v>7517.7212880000016</v>
      </c>
      <c r="O111" s="365"/>
      <c r="P111" s="230">
        <f t="shared" si="70"/>
        <v>4698.5758050000004</v>
      </c>
      <c r="Q111" s="365"/>
      <c r="R111" s="230">
        <f t="shared" si="71"/>
        <v>2330.9817630000002</v>
      </c>
      <c r="S111" s="365"/>
      <c r="T111" s="230">
        <f t="shared" si="72"/>
        <v>0</v>
      </c>
      <c r="U111" s="365"/>
      <c r="V111" s="230">
        <f t="shared" si="73"/>
        <v>14132.339694000002</v>
      </c>
      <c r="X111" s="231">
        <f t="shared" si="66"/>
        <v>0</v>
      </c>
      <c r="Y111" s="397">
        <v>620.79999999999995</v>
      </c>
      <c r="Z111" s="367"/>
      <c r="AA111" s="399" t="s">
        <v>16</v>
      </c>
      <c r="AB111" s="209"/>
      <c r="AC111" s="409">
        <f t="shared" si="74"/>
        <v>14</v>
      </c>
      <c r="AD111" s="130"/>
      <c r="AE111" s="409">
        <f t="shared" si="75"/>
        <v>122040.93000000002</v>
      </c>
      <c r="AG111" s="152">
        <f t="shared" si="76"/>
        <v>41066.772945000012</v>
      </c>
      <c r="AH111" s="152"/>
      <c r="AI111" s="152">
        <f t="shared" si="77"/>
        <v>16621.974666000002</v>
      </c>
      <c r="AJ111" s="152"/>
      <c r="AK111" s="152">
        <f t="shared" si="78"/>
        <v>19050.589173</v>
      </c>
      <c r="AL111" s="152"/>
      <c r="AM111" s="152">
        <f t="shared" si="79"/>
        <v>7737.3949620000012</v>
      </c>
      <c r="AN111" s="152"/>
      <c r="AO111" s="152">
        <f t="shared" si="80"/>
        <v>9445.9679820000019</v>
      </c>
      <c r="AP111" s="152"/>
      <c r="AQ111" s="152">
        <f t="shared" si="81"/>
        <v>13985.890578000002</v>
      </c>
      <c r="AR111" s="152"/>
      <c r="AS111" s="152">
        <f t="shared" si="82"/>
        <v>14132.339694000002</v>
      </c>
      <c r="AU111" s="151"/>
    </row>
    <row r="112" spans="1:47" s="153" customFormat="1" x14ac:dyDescent="0.2">
      <c r="A112" s="546"/>
      <c r="B112" s="447">
        <v>631.79999999999995</v>
      </c>
      <c r="D112" s="399" t="s">
        <v>22</v>
      </c>
      <c r="E112" s="209"/>
      <c r="F112" s="140">
        <v>14</v>
      </c>
      <c r="G112" s="210"/>
      <c r="H112" s="394">
        <v>0</v>
      </c>
      <c r="I112" s="210"/>
      <c r="J112" s="230">
        <f t="shared" si="67"/>
        <v>0</v>
      </c>
      <c r="K112" s="365"/>
      <c r="L112" s="230">
        <f t="shared" si="68"/>
        <v>0</v>
      </c>
      <c r="M112" s="365"/>
      <c r="N112" s="230">
        <f t="shared" si="69"/>
        <v>0</v>
      </c>
      <c r="O112" s="365"/>
      <c r="P112" s="230">
        <f t="shared" si="70"/>
        <v>0</v>
      </c>
      <c r="Q112" s="365"/>
      <c r="R112" s="230">
        <f t="shared" si="71"/>
        <v>0</v>
      </c>
      <c r="S112" s="365"/>
      <c r="T112" s="230">
        <f t="shared" si="72"/>
        <v>0</v>
      </c>
      <c r="U112" s="365"/>
      <c r="V112" s="230">
        <f t="shared" si="73"/>
        <v>0</v>
      </c>
      <c r="X112" s="231">
        <f t="shared" si="66"/>
        <v>0</v>
      </c>
      <c r="Y112" s="397">
        <v>631.79999999999995</v>
      </c>
      <c r="AA112" s="399" t="s">
        <v>22</v>
      </c>
      <c r="AB112" s="209"/>
      <c r="AC112" s="409">
        <f t="shared" si="74"/>
        <v>14</v>
      </c>
      <c r="AD112" s="130"/>
      <c r="AE112" s="409">
        <f t="shared" si="75"/>
        <v>0</v>
      </c>
      <c r="AG112" s="152">
        <f t="shared" si="76"/>
        <v>0</v>
      </c>
      <c r="AH112" s="152"/>
      <c r="AI112" s="152">
        <f t="shared" si="77"/>
        <v>0</v>
      </c>
      <c r="AJ112" s="152"/>
      <c r="AK112" s="152">
        <f t="shared" si="78"/>
        <v>0</v>
      </c>
      <c r="AL112" s="152"/>
      <c r="AM112" s="152">
        <f t="shared" si="79"/>
        <v>0</v>
      </c>
      <c r="AN112" s="152"/>
      <c r="AO112" s="152">
        <f t="shared" si="80"/>
        <v>0</v>
      </c>
      <c r="AP112" s="152"/>
      <c r="AQ112" s="152">
        <f t="shared" si="81"/>
        <v>0</v>
      </c>
      <c r="AR112" s="152"/>
      <c r="AS112" s="152">
        <f t="shared" si="82"/>
        <v>0</v>
      </c>
      <c r="AU112" s="151"/>
    </row>
    <row r="113" spans="1:47" s="153" customFormat="1" x14ac:dyDescent="0.2">
      <c r="A113" s="546"/>
      <c r="B113" s="447">
        <v>632.79999999999995</v>
      </c>
      <c r="C113" s="367"/>
      <c r="D113" s="399" t="s">
        <v>23</v>
      </c>
      <c r="E113" s="209"/>
      <c r="F113" s="140">
        <v>14</v>
      </c>
      <c r="G113" s="210"/>
      <c r="H113" s="394">
        <v>30800</v>
      </c>
      <c r="I113" s="210"/>
      <c r="J113" s="230">
        <f t="shared" si="67"/>
        <v>17469.760000000002</v>
      </c>
      <c r="K113" s="365"/>
      <c r="L113" s="230">
        <f t="shared" si="68"/>
        <v>6092.24</v>
      </c>
      <c r="M113" s="365"/>
      <c r="N113" s="230">
        <f t="shared" si="69"/>
        <v>1897.28</v>
      </c>
      <c r="O113" s="365"/>
      <c r="P113" s="230">
        <f t="shared" si="70"/>
        <v>1185.8</v>
      </c>
      <c r="Q113" s="365"/>
      <c r="R113" s="230">
        <f t="shared" si="71"/>
        <v>588.28</v>
      </c>
      <c r="S113" s="365"/>
      <c r="T113" s="230">
        <f t="shared" si="72"/>
        <v>0</v>
      </c>
      <c r="U113" s="365"/>
      <c r="V113" s="230">
        <f t="shared" si="73"/>
        <v>3566.64</v>
      </c>
      <c r="X113" s="231">
        <f t="shared" si="66"/>
        <v>0</v>
      </c>
      <c r="Y113" s="397">
        <v>632.79999999999995</v>
      </c>
      <c r="Z113" s="367"/>
      <c r="AA113" s="399" t="s">
        <v>23</v>
      </c>
      <c r="AB113" s="209"/>
      <c r="AC113" s="409">
        <f t="shared" si="74"/>
        <v>14</v>
      </c>
      <c r="AD113" s="130"/>
      <c r="AE113" s="409">
        <f t="shared" si="75"/>
        <v>30800</v>
      </c>
      <c r="AG113" s="152">
        <f t="shared" si="76"/>
        <v>10364.200000000001</v>
      </c>
      <c r="AH113" s="152"/>
      <c r="AI113" s="152">
        <f t="shared" si="77"/>
        <v>4194.96</v>
      </c>
      <c r="AJ113" s="152"/>
      <c r="AK113" s="152">
        <f t="shared" si="78"/>
        <v>4807.8799999999992</v>
      </c>
      <c r="AL113" s="152"/>
      <c r="AM113" s="152">
        <f t="shared" si="79"/>
        <v>1952.72</v>
      </c>
      <c r="AN113" s="152"/>
      <c r="AO113" s="152">
        <f t="shared" si="80"/>
        <v>2383.92</v>
      </c>
      <c r="AP113" s="152"/>
      <c r="AQ113" s="152">
        <f t="shared" si="81"/>
        <v>3529.68</v>
      </c>
      <c r="AR113" s="152"/>
      <c r="AS113" s="152">
        <f t="shared" si="82"/>
        <v>3566.64</v>
      </c>
      <c r="AU113" s="151"/>
    </row>
    <row r="114" spans="1:47" s="153" customFormat="1" x14ac:dyDescent="0.2">
      <c r="A114" s="546"/>
      <c r="B114" s="447">
        <v>633.79999999999995</v>
      </c>
      <c r="C114" s="367"/>
      <c r="D114" s="399" t="s">
        <v>26</v>
      </c>
      <c r="E114" s="209"/>
      <c r="F114" s="140">
        <v>14</v>
      </c>
      <c r="G114" s="210"/>
      <c r="H114" s="394">
        <v>72594.039999999994</v>
      </c>
      <c r="I114" s="210"/>
      <c r="J114" s="230">
        <f t="shared" si="67"/>
        <v>41175.339487999998</v>
      </c>
      <c r="K114" s="365"/>
      <c r="L114" s="230">
        <f t="shared" si="68"/>
        <v>14359.101111999998</v>
      </c>
      <c r="M114" s="365"/>
      <c r="N114" s="230">
        <f t="shared" si="69"/>
        <v>4471.792864</v>
      </c>
      <c r="O114" s="365"/>
      <c r="P114" s="230">
        <f t="shared" si="70"/>
        <v>2794.8705399999999</v>
      </c>
      <c r="Q114" s="365"/>
      <c r="R114" s="230">
        <f t="shared" si="71"/>
        <v>1386.5461639999999</v>
      </c>
      <c r="S114" s="365"/>
      <c r="T114" s="230">
        <f t="shared" si="72"/>
        <v>0</v>
      </c>
      <c r="U114" s="365"/>
      <c r="V114" s="230">
        <f t="shared" si="73"/>
        <v>8406.3898319999989</v>
      </c>
      <c r="X114" s="231">
        <f t="shared" si="66"/>
        <v>0</v>
      </c>
      <c r="Y114" s="397">
        <v>633.79999999999995</v>
      </c>
      <c r="Z114" s="367"/>
      <c r="AA114" s="399" t="s">
        <v>26</v>
      </c>
      <c r="AB114" s="209"/>
      <c r="AC114" s="409">
        <f t="shared" si="74"/>
        <v>14</v>
      </c>
      <c r="AD114" s="130"/>
      <c r="AE114" s="409">
        <f t="shared" si="75"/>
        <v>72594.039999999994</v>
      </c>
      <c r="AG114" s="152">
        <f t="shared" si="76"/>
        <v>24427.89446</v>
      </c>
      <c r="AH114" s="152"/>
      <c r="AI114" s="152">
        <f t="shared" si="77"/>
        <v>9887.3082479999975</v>
      </c>
      <c r="AJ114" s="152"/>
      <c r="AK114" s="152">
        <f t="shared" si="78"/>
        <v>11331.929643999998</v>
      </c>
      <c r="AL114" s="152"/>
      <c r="AM114" s="152">
        <f t="shared" si="79"/>
        <v>4602.4621359999992</v>
      </c>
      <c r="AN114" s="152"/>
      <c r="AO114" s="152">
        <f t="shared" si="80"/>
        <v>5618.7786959999994</v>
      </c>
      <c r="AP114" s="152"/>
      <c r="AQ114" s="152">
        <f t="shared" si="81"/>
        <v>8319.2769839999983</v>
      </c>
      <c r="AR114" s="152"/>
      <c r="AS114" s="152">
        <f t="shared" si="82"/>
        <v>8406.3898319999989</v>
      </c>
      <c r="AU114" s="151"/>
    </row>
    <row r="115" spans="1:47" s="153" customFormat="1" x14ac:dyDescent="0.2">
      <c r="A115" s="546"/>
      <c r="B115" s="447">
        <v>634.79999999999995</v>
      </c>
      <c r="C115" s="367"/>
      <c r="D115" s="399" t="s">
        <v>27</v>
      </c>
      <c r="E115" s="209"/>
      <c r="F115" s="140">
        <v>14</v>
      </c>
      <c r="G115" s="210"/>
      <c r="H115" s="394">
        <v>891.06</v>
      </c>
      <c r="I115" s="152"/>
      <c r="J115" s="230">
        <f t="shared" si="67"/>
        <v>505.40923199999997</v>
      </c>
      <c r="K115" s="365"/>
      <c r="L115" s="230">
        <f t="shared" si="68"/>
        <v>176.251668</v>
      </c>
      <c r="M115" s="365"/>
      <c r="N115" s="230">
        <f t="shared" si="69"/>
        <v>54.889296000000002</v>
      </c>
      <c r="O115" s="365"/>
      <c r="P115" s="230">
        <f t="shared" si="70"/>
        <v>34.305809999999994</v>
      </c>
      <c r="Q115" s="365"/>
      <c r="R115" s="230">
        <f t="shared" si="71"/>
        <v>17.019245999999999</v>
      </c>
      <c r="S115" s="365"/>
      <c r="T115" s="230">
        <f t="shared" si="72"/>
        <v>0</v>
      </c>
      <c r="U115" s="365"/>
      <c r="V115" s="230">
        <f t="shared" si="73"/>
        <v>103.184748</v>
      </c>
      <c r="X115" s="231">
        <f t="shared" si="66"/>
        <v>0</v>
      </c>
      <c r="Y115" s="397">
        <v>634.79999999999995</v>
      </c>
      <c r="Z115" s="367"/>
      <c r="AA115" s="399" t="s">
        <v>27</v>
      </c>
      <c r="AB115" s="209"/>
      <c r="AC115" s="409">
        <f t="shared" si="74"/>
        <v>14</v>
      </c>
      <c r="AD115" s="130"/>
      <c r="AE115" s="409">
        <f t="shared" si="75"/>
        <v>891.06</v>
      </c>
      <c r="AF115" s="152"/>
      <c r="AG115" s="152">
        <f t="shared" si="76"/>
        <v>299.84169000000003</v>
      </c>
      <c r="AH115" s="152"/>
      <c r="AI115" s="152">
        <f t="shared" si="77"/>
        <v>121.36237199999998</v>
      </c>
      <c r="AJ115" s="152"/>
      <c r="AK115" s="152">
        <f t="shared" si="78"/>
        <v>139.09446599999998</v>
      </c>
      <c r="AL115" s="152"/>
      <c r="AM115" s="152">
        <f t="shared" si="79"/>
        <v>56.493203999999992</v>
      </c>
      <c r="AN115" s="152"/>
      <c r="AO115" s="152">
        <f t="shared" si="80"/>
        <v>68.968043999999992</v>
      </c>
      <c r="AP115" s="152"/>
      <c r="AQ115" s="152">
        <f t="shared" si="81"/>
        <v>102.11547599999999</v>
      </c>
      <c r="AR115" s="152"/>
      <c r="AS115" s="152">
        <f t="shared" si="82"/>
        <v>103.184748</v>
      </c>
      <c r="AU115" s="151"/>
    </row>
    <row r="116" spans="1:47" s="153" customFormat="1" x14ac:dyDescent="0.2">
      <c r="A116" s="411"/>
      <c r="B116" s="447">
        <v>635.79999999999995</v>
      </c>
      <c r="D116" s="399" t="s">
        <v>40</v>
      </c>
      <c r="E116" s="209"/>
      <c r="F116" s="140">
        <v>16</v>
      </c>
      <c r="G116" s="210"/>
      <c r="H116" s="394">
        <v>215650.72</v>
      </c>
      <c r="I116" s="210"/>
      <c r="J116" s="230">
        <f t="shared" si="67"/>
        <v>121777.96158399999</v>
      </c>
      <c r="K116" s="365"/>
      <c r="L116" s="230">
        <f t="shared" si="68"/>
        <v>44251.527743999999</v>
      </c>
      <c r="M116" s="365"/>
      <c r="N116" s="230">
        <f t="shared" si="69"/>
        <v>13931.036512000001</v>
      </c>
      <c r="O116" s="365"/>
      <c r="P116" s="230">
        <f t="shared" si="70"/>
        <v>8690.7240160000001</v>
      </c>
      <c r="Q116" s="365"/>
      <c r="R116" s="230">
        <f t="shared" si="71"/>
        <v>4399.2746880000004</v>
      </c>
      <c r="S116" s="365"/>
      <c r="T116" s="230">
        <f t="shared" si="72"/>
        <v>0</v>
      </c>
      <c r="U116" s="365"/>
      <c r="V116" s="230">
        <f t="shared" si="73"/>
        <v>22600.195456000001</v>
      </c>
      <c r="X116" s="231">
        <f t="shared" si="66"/>
        <v>0</v>
      </c>
      <c r="Y116" s="397">
        <v>635.79999999999995</v>
      </c>
      <c r="AA116" s="399" t="s">
        <v>40</v>
      </c>
      <c r="AB116" s="209"/>
      <c r="AC116" s="409">
        <f t="shared" si="74"/>
        <v>16</v>
      </c>
      <c r="AD116" s="130"/>
      <c r="AE116" s="409">
        <f t="shared" si="75"/>
        <v>215650.72</v>
      </c>
      <c r="AG116" s="152">
        <f t="shared" si="76"/>
        <v>76577.570671999987</v>
      </c>
      <c r="AH116" s="152"/>
      <c r="AI116" s="152">
        <f t="shared" si="77"/>
        <v>32412.303215999997</v>
      </c>
      <c r="AJ116" s="152"/>
      <c r="AK116" s="152">
        <f t="shared" si="78"/>
        <v>32153.522352000004</v>
      </c>
      <c r="AL116" s="152"/>
      <c r="AM116" s="152">
        <f t="shared" si="79"/>
        <v>22600.195456000001</v>
      </c>
      <c r="AN116" s="152"/>
      <c r="AO116" s="152">
        <f t="shared" si="80"/>
        <v>9316.1111040000014</v>
      </c>
      <c r="AP116" s="152"/>
      <c r="AQ116" s="152">
        <f t="shared" si="81"/>
        <v>19990.821744000001</v>
      </c>
      <c r="AR116" s="152"/>
      <c r="AS116" s="152">
        <f t="shared" si="82"/>
        <v>22600.195456000001</v>
      </c>
      <c r="AU116" s="151"/>
    </row>
    <row r="117" spans="1:47" s="153" customFormat="1" ht="12" customHeight="1" x14ac:dyDescent="0.2">
      <c r="A117" s="546"/>
      <c r="B117" s="447">
        <v>635.79999999999995</v>
      </c>
      <c r="C117" s="367"/>
      <c r="D117" s="399" t="s">
        <v>24</v>
      </c>
      <c r="E117" s="209"/>
      <c r="F117" s="140">
        <v>14</v>
      </c>
      <c r="G117" s="210"/>
      <c r="H117" s="394">
        <v>765732.88</v>
      </c>
      <c r="I117" s="210"/>
      <c r="J117" s="230">
        <f t="shared" si="67"/>
        <v>434323.68953600002</v>
      </c>
      <c r="K117" s="365"/>
      <c r="L117" s="230">
        <f t="shared" si="68"/>
        <v>151461.96366400001</v>
      </c>
      <c r="M117" s="365"/>
      <c r="N117" s="230">
        <f t="shared" si="69"/>
        <v>47169.145408000004</v>
      </c>
      <c r="O117" s="365"/>
      <c r="P117" s="230">
        <f t="shared" si="70"/>
        <v>29480.71588</v>
      </c>
      <c r="Q117" s="365"/>
      <c r="R117" s="230">
        <f t="shared" si="71"/>
        <v>14625.498007999999</v>
      </c>
      <c r="S117" s="365"/>
      <c r="T117" s="230">
        <f t="shared" si="72"/>
        <v>0</v>
      </c>
      <c r="U117" s="365"/>
      <c r="V117" s="230">
        <f t="shared" si="73"/>
        <v>88671.867503999994</v>
      </c>
      <c r="X117" s="231">
        <f t="shared" si="66"/>
        <v>0</v>
      </c>
      <c r="Y117" s="397">
        <v>635.79999999999995</v>
      </c>
      <c r="Z117" s="367"/>
      <c r="AA117" s="399" t="s">
        <v>24</v>
      </c>
      <c r="AB117" s="209"/>
      <c r="AC117" s="409">
        <f t="shared" si="74"/>
        <v>14</v>
      </c>
      <c r="AD117" s="130"/>
      <c r="AE117" s="409">
        <f t="shared" si="75"/>
        <v>765732.88</v>
      </c>
      <c r="AG117" s="152">
        <f t="shared" si="76"/>
        <v>257669.11412000001</v>
      </c>
      <c r="AH117" s="152"/>
      <c r="AI117" s="152">
        <f t="shared" si="77"/>
        <v>104292.81825599998</v>
      </c>
      <c r="AJ117" s="152"/>
      <c r="AK117" s="152">
        <f t="shared" si="78"/>
        <v>119530.90256799999</v>
      </c>
      <c r="AL117" s="152"/>
      <c r="AM117" s="152">
        <f t="shared" si="79"/>
        <v>48547.464591999997</v>
      </c>
      <c r="AN117" s="152"/>
      <c r="AO117" s="152">
        <f t="shared" si="80"/>
        <v>59267.724911999998</v>
      </c>
      <c r="AP117" s="152"/>
      <c r="AQ117" s="152">
        <f t="shared" si="81"/>
        <v>87752.988047999999</v>
      </c>
      <c r="AR117" s="152"/>
      <c r="AS117" s="152">
        <f t="shared" si="82"/>
        <v>88671.867503999994</v>
      </c>
      <c r="AU117" s="151"/>
    </row>
    <row r="118" spans="1:47" s="520" customFormat="1" x14ac:dyDescent="0.2">
      <c r="A118" s="511"/>
      <c r="B118" s="512">
        <v>642.79999999999995</v>
      </c>
      <c r="C118" s="535"/>
      <c r="D118" s="536" t="s">
        <v>486</v>
      </c>
      <c r="E118" s="515"/>
      <c r="F118" s="537">
        <v>14</v>
      </c>
      <c r="G118" s="238"/>
      <c r="H118" s="518">
        <v>1500</v>
      </c>
      <c r="I118" s="238"/>
      <c r="J118" s="352">
        <f t="shared" si="67"/>
        <v>850.80000000000007</v>
      </c>
      <c r="K118" s="504"/>
      <c r="L118" s="352">
        <f t="shared" si="68"/>
        <v>296.7</v>
      </c>
      <c r="M118" s="504"/>
      <c r="N118" s="352">
        <f t="shared" si="69"/>
        <v>92.4</v>
      </c>
      <c r="O118" s="504"/>
      <c r="P118" s="352">
        <f t="shared" si="70"/>
        <v>57.75</v>
      </c>
      <c r="Q118" s="504"/>
      <c r="R118" s="352">
        <f t="shared" si="71"/>
        <v>28.65</v>
      </c>
      <c r="S118" s="504"/>
      <c r="T118" s="352">
        <f t="shared" si="72"/>
        <v>0</v>
      </c>
      <c r="U118" s="504"/>
      <c r="V118" s="352">
        <f t="shared" si="73"/>
        <v>173.7</v>
      </c>
      <c r="X118" s="476">
        <f t="shared" si="66"/>
        <v>0</v>
      </c>
      <c r="Y118" s="475">
        <v>642.79999999999995</v>
      </c>
      <c r="Z118" s="535"/>
      <c r="AA118" s="536" t="s">
        <v>486</v>
      </c>
      <c r="AB118" s="515"/>
      <c r="AC118" s="412">
        <f t="shared" si="74"/>
        <v>14</v>
      </c>
      <c r="AD118" s="538"/>
      <c r="AE118" s="412">
        <f t="shared" si="75"/>
        <v>1500</v>
      </c>
      <c r="AG118" s="539">
        <f t="shared" si="76"/>
        <v>504.75000000000006</v>
      </c>
      <c r="AH118" s="539"/>
      <c r="AI118" s="539">
        <f t="shared" si="77"/>
        <v>204.29999999999998</v>
      </c>
      <c r="AJ118" s="539"/>
      <c r="AK118" s="539">
        <f t="shared" si="78"/>
        <v>234.14999999999998</v>
      </c>
      <c r="AL118" s="539"/>
      <c r="AM118" s="539">
        <f t="shared" si="79"/>
        <v>95.1</v>
      </c>
      <c r="AN118" s="539"/>
      <c r="AO118" s="539">
        <f t="shared" si="80"/>
        <v>116.1</v>
      </c>
      <c r="AP118" s="539"/>
      <c r="AQ118" s="539">
        <f t="shared" si="81"/>
        <v>171.89999999999998</v>
      </c>
      <c r="AR118" s="539"/>
      <c r="AS118" s="539">
        <f t="shared" si="82"/>
        <v>173.7</v>
      </c>
      <c r="AU118" s="474"/>
    </row>
    <row r="119" spans="1:47" s="153" customFormat="1" x14ac:dyDescent="0.2">
      <c r="A119" s="546"/>
      <c r="B119" s="447">
        <v>650.79999999999995</v>
      </c>
      <c r="D119" s="399" t="s">
        <v>43</v>
      </c>
      <c r="E119" s="209"/>
      <c r="F119" s="140">
        <v>14</v>
      </c>
      <c r="G119" s="210"/>
      <c r="H119" s="394">
        <v>7171.28</v>
      </c>
      <c r="I119" s="210"/>
      <c r="J119" s="230">
        <f t="shared" si="67"/>
        <v>4067.5500160000001</v>
      </c>
      <c r="K119" s="365"/>
      <c r="L119" s="230">
        <f t="shared" si="68"/>
        <v>1418.479184</v>
      </c>
      <c r="M119" s="365"/>
      <c r="N119" s="230">
        <f t="shared" si="69"/>
        <v>441.75084800000002</v>
      </c>
      <c r="O119" s="365"/>
      <c r="P119" s="230">
        <f t="shared" si="70"/>
        <v>276.09427999999997</v>
      </c>
      <c r="Q119" s="365"/>
      <c r="R119" s="230">
        <f t="shared" si="71"/>
        <v>136.97144799999998</v>
      </c>
      <c r="S119" s="365"/>
      <c r="T119" s="230">
        <f t="shared" si="72"/>
        <v>0</v>
      </c>
      <c r="U119" s="365"/>
      <c r="V119" s="230">
        <f t="shared" si="73"/>
        <v>830.43422399999997</v>
      </c>
      <c r="X119" s="231">
        <f t="shared" si="66"/>
        <v>0</v>
      </c>
      <c r="Y119" s="397">
        <v>650.79999999999995</v>
      </c>
      <c r="AA119" s="399" t="s">
        <v>43</v>
      </c>
      <c r="AB119" s="209"/>
      <c r="AC119" s="409">
        <f t="shared" si="74"/>
        <v>14</v>
      </c>
      <c r="AD119" s="130"/>
      <c r="AE119" s="409">
        <f t="shared" si="75"/>
        <v>7171.28</v>
      </c>
      <c r="AG119" s="152">
        <f t="shared" si="76"/>
        <v>2413.1357200000002</v>
      </c>
      <c r="AH119" s="152"/>
      <c r="AI119" s="152">
        <f t="shared" si="77"/>
        <v>976.7283359999999</v>
      </c>
      <c r="AJ119" s="152"/>
      <c r="AK119" s="152">
        <f t="shared" si="78"/>
        <v>1119.4368079999999</v>
      </c>
      <c r="AL119" s="152"/>
      <c r="AM119" s="152">
        <f t="shared" si="79"/>
        <v>454.65915199999995</v>
      </c>
      <c r="AN119" s="152"/>
      <c r="AO119" s="152">
        <f t="shared" si="80"/>
        <v>555.05707199999995</v>
      </c>
      <c r="AP119" s="152"/>
      <c r="AQ119" s="152">
        <f t="shared" si="81"/>
        <v>821.82868799999994</v>
      </c>
      <c r="AR119" s="152"/>
      <c r="AS119" s="152">
        <f t="shared" si="82"/>
        <v>830.43422399999997</v>
      </c>
      <c r="AU119" s="151"/>
    </row>
    <row r="120" spans="1:47" s="153" customFormat="1" x14ac:dyDescent="0.2">
      <c r="A120" s="546"/>
      <c r="B120" s="447">
        <v>656</v>
      </c>
      <c r="C120" s="367"/>
      <c r="D120" s="399" t="s">
        <v>44</v>
      </c>
      <c r="E120" s="209"/>
      <c r="F120" s="140">
        <v>14</v>
      </c>
      <c r="G120" s="210"/>
      <c r="H120" s="394">
        <v>50597.64</v>
      </c>
      <c r="I120" s="210"/>
      <c r="J120" s="230">
        <f t="shared" si="67"/>
        <v>28698.981408000003</v>
      </c>
      <c r="K120" s="365"/>
      <c r="L120" s="230">
        <f t="shared" si="68"/>
        <v>10008.213191999999</v>
      </c>
      <c r="M120" s="365"/>
      <c r="N120" s="230">
        <f t="shared" si="69"/>
        <v>3116.8146240000001</v>
      </c>
      <c r="O120" s="365"/>
      <c r="P120" s="230">
        <f t="shared" si="70"/>
        <v>1948.0091399999999</v>
      </c>
      <c r="Q120" s="365"/>
      <c r="R120" s="230">
        <f t="shared" si="71"/>
        <v>966.41492399999993</v>
      </c>
      <c r="S120" s="365"/>
      <c r="T120" s="230">
        <f t="shared" si="72"/>
        <v>0</v>
      </c>
      <c r="U120" s="365"/>
      <c r="V120" s="230">
        <f t="shared" si="73"/>
        <v>5859.2067120000002</v>
      </c>
      <c r="X120" s="231">
        <f t="shared" si="66"/>
        <v>0</v>
      </c>
      <c r="Y120" s="397">
        <v>656</v>
      </c>
      <c r="Z120" s="367"/>
      <c r="AA120" s="399" t="s">
        <v>44</v>
      </c>
      <c r="AB120" s="209"/>
      <c r="AC120" s="409">
        <f t="shared" si="74"/>
        <v>14</v>
      </c>
      <c r="AD120" s="130"/>
      <c r="AE120" s="409">
        <f t="shared" si="75"/>
        <v>50597.64</v>
      </c>
      <c r="AG120" s="152">
        <f t="shared" si="76"/>
        <v>17026.10586</v>
      </c>
      <c r="AH120" s="152"/>
      <c r="AI120" s="152">
        <f t="shared" si="77"/>
        <v>6891.3985679999996</v>
      </c>
      <c r="AJ120" s="152"/>
      <c r="AK120" s="152">
        <f t="shared" si="78"/>
        <v>7898.2916039999991</v>
      </c>
      <c r="AL120" s="152"/>
      <c r="AM120" s="152">
        <f t="shared" si="79"/>
        <v>3207.8903759999998</v>
      </c>
      <c r="AN120" s="152"/>
      <c r="AO120" s="152">
        <f t="shared" si="80"/>
        <v>3916.2573359999997</v>
      </c>
      <c r="AP120" s="152"/>
      <c r="AQ120" s="152">
        <f t="shared" si="81"/>
        <v>5798.489544</v>
      </c>
      <c r="AR120" s="152"/>
      <c r="AS120" s="152">
        <f t="shared" si="82"/>
        <v>5859.2067120000002</v>
      </c>
      <c r="AU120" s="151"/>
    </row>
    <row r="121" spans="1:47" s="153" customFormat="1" x14ac:dyDescent="0.2">
      <c r="A121" s="546"/>
      <c r="B121" s="447">
        <v>657</v>
      </c>
      <c r="C121" s="367"/>
      <c r="D121" s="399" t="s">
        <v>45</v>
      </c>
      <c r="E121" s="209"/>
      <c r="F121" s="140">
        <v>14</v>
      </c>
      <c r="G121" s="210"/>
      <c r="H121" s="394">
        <v>496737.95999999996</v>
      </c>
      <c r="I121" s="210"/>
      <c r="J121" s="230">
        <f t="shared" si="67"/>
        <v>281749.77091199998</v>
      </c>
      <c r="K121" s="365"/>
      <c r="L121" s="230">
        <f t="shared" si="68"/>
        <v>98254.768488000002</v>
      </c>
      <c r="M121" s="365"/>
      <c r="N121" s="230">
        <f t="shared" si="69"/>
        <v>30599.058335999998</v>
      </c>
      <c r="O121" s="365"/>
      <c r="P121" s="230">
        <f t="shared" si="70"/>
        <v>19124.411459999999</v>
      </c>
      <c r="Q121" s="365"/>
      <c r="R121" s="230">
        <f t="shared" si="71"/>
        <v>9487.6950359999992</v>
      </c>
      <c r="S121" s="365"/>
      <c r="T121" s="230">
        <f t="shared" si="72"/>
        <v>0</v>
      </c>
      <c r="U121" s="365"/>
      <c r="V121" s="230">
        <f t="shared" si="73"/>
        <v>57522.255767999995</v>
      </c>
      <c r="X121" s="231">
        <f t="shared" si="66"/>
        <v>0</v>
      </c>
      <c r="Y121" s="397">
        <v>657</v>
      </c>
      <c r="Z121" s="367"/>
      <c r="AA121" s="399" t="s">
        <v>45</v>
      </c>
      <c r="AB121" s="209"/>
      <c r="AC121" s="409">
        <f t="shared" si="74"/>
        <v>14</v>
      </c>
      <c r="AD121" s="130"/>
      <c r="AE121" s="409">
        <f t="shared" si="75"/>
        <v>496737.95999999996</v>
      </c>
      <c r="AG121" s="152">
        <f t="shared" si="76"/>
        <v>167152.32354000001</v>
      </c>
      <c r="AH121" s="152"/>
      <c r="AI121" s="152">
        <f t="shared" si="77"/>
        <v>67655.710151999985</v>
      </c>
      <c r="AJ121" s="152"/>
      <c r="AK121" s="152">
        <f t="shared" si="78"/>
        <v>77540.795555999983</v>
      </c>
      <c r="AL121" s="152"/>
      <c r="AM121" s="152">
        <f t="shared" si="79"/>
        <v>31493.186663999997</v>
      </c>
      <c r="AN121" s="152"/>
      <c r="AO121" s="152">
        <f t="shared" si="80"/>
        <v>38447.518103999995</v>
      </c>
      <c r="AP121" s="152"/>
      <c r="AQ121" s="152">
        <f t="shared" si="81"/>
        <v>56926.170215999991</v>
      </c>
      <c r="AR121" s="152"/>
      <c r="AS121" s="152">
        <f t="shared" si="82"/>
        <v>57522.255767999995</v>
      </c>
      <c r="AU121" s="151"/>
    </row>
    <row r="122" spans="1:47" s="153" customFormat="1" x14ac:dyDescent="0.2">
      <c r="A122" s="546"/>
      <c r="B122" s="447">
        <v>658</v>
      </c>
      <c r="C122" s="367"/>
      <c r="D122" s="399" t="s">
        <v>46</v>
      </c>
      <c r="E122" s="209"/>
      <c r="F122" s="140">
        <v>16</v>
      </c>
      <c r="G122" s="210"/>
      <c r="H122" s="394">
        <v>52110.400000000001</v>
      </c>
      <c r="I122" s="210"/>
      <c r="J122" s="230">
        <f t="shared" si="67"/>
        <v>29426.742879999998</v>
      </c>
      <c r="K122" s="365"/>
      <c r="L122" s="230">
        <f t="shared" si="68"/>
        <v>10693.05408</v>
      </c>
      <c r="M122" s="365"/>
      <c r="N122" s="230">
        <f t="shared" si="69"/>
        <v>3366.3318400000003</v>
      </c>
      <c r="O122" s="365"/>
      <c r="P122" s="230">
        <f t="shared" si="70"/>
        <v>2100.0491200000001</v>
      </c>
      <c r="Q122" s="365"/>
      <c r="R122" s="230">
        <f t="shared" si="71"/>
        <v>1063.0521600000002</v>
      </c>
      <c r="S122" s="365"/>
      <c r="T122" s="230">
        <f t="shared" si="72"/>
        <v>0</v>
      </c>
      <c r="U122" s="365"/>
      <c r="V122" s="230">
        <f t="shared" si="73"/>
        <v>5461.1699200000003</v>
      </c>
      <c r="X122" s="231">
        <f t="shared" si="66"/>
        <v>0</v>
      </c>
      <c r="Y122" s="397">
        <v>658</v>
      </c>
      <c r="Z122" s="367"/>
      <c r="AA122" s="399" t="s">
        <v>46</v>
      </c>
      <c r="AB122" s="209"/>
      <c r="AC122" s="409">
        <f t="shared" si="74"/>
        <v>16</v>
      </c>
      <c r="AD122" s="130"/>
      <c r="AE122" s="409">
        <f t="shared" si="75"/>
        <v>52110.400000000001</v>
      </c>
      <c r="AG122" s="152">
        <f t="shared" si="76"/>
        <v>18504.403039999997</v>
      </c>
      <c r="AH122" s="152"/>
      <c r="AI122" s="152">
        <f t="shared" si="77"/>
        <v>7832.1931199999999</v>
      </c>
      <c r="AJ122" s="152"/>
      <c r="AK122" s="152">
        <f t="shared" si="78"/>
        <v>7769.660640000001</v>
      </c>
      <c r="AL122" s="152"/>
      <c r="AM122" s="152">
        <f t="shared" si="79"/>
        <v>5461.1699200000003</v>
      </c>
      <c r="AN122" s="152"/>
      <c r="AO122" s="152">
        <f t="shared" si="80"/>
        <v>2251.1692800000001</v>
      </c>
      <c r="AP122" s="152"/>
      <c r="AQ122" s="152">
        <f t="shared" si="81"/>
        <v>4830.6340800000007</v>
      </c>
      <c r="AR122" s="152"/>
      <c r="AS122" s="152">
        <f t="shared" si="82"/>
        <v>5461.1699200000003</v>
      </c>
      <c r="AU122" s="151"/>
    </row>
    <row r="123" spans="1:47" s="153" customFormat="1" x14ac:dyDescent="0.2">
      <c r="A123" s="411"/>
      <c r="B123" s="447">
        <v>659</v>
      </c>
      <c r="C123" s="367"/>
      <c r="D123" s="399" t="s">
        <v>47</v>
      </c>
      <c r="E123" s="209"/>
      <c r="F123" s="140">
        <v>14</v>
      </c>
      <c r="G123" s="210"/>
      <c r="H123" s="394">
        <v>54673.48</v>
      </c>
      <c r="I123" s="152"/>
      <c r="J123" s="230">
        <f t="shared" si="67"/>
        <v>31010.797856000005</v>
      </c>
      <c r="K123" s="365"/>
      <c r="L123" s="230">
        <f t="shared" si="68"/>
        <v>10814.414344000001</v>
      </c>
      <c r="M123" s="365"/>
      <c r="N123" s="230">
        <f t="shared" si="69"/>
        <v>3367.8863680000004</v>
      </c>
      <c r="O123" s="365"/>
      <c r="P123" s="230">
        <f t="shared" si="70"/>
        <v>2104.9289800000001</v>
      </c>
      <c r="Q123" s="365"/>
      <c r="R123" s="230">
        <f t="shared" si="71"/>
        <v>1044.2634680000001</v>
      </c>
      <c r="S123" s="365"/>
      <c r="T123" s="230">
        <f t="shared" si="72"/>
        <v>0</v>
      </c>
      <c r="U123" s="365"/>
      <c r="V123" s="230">
        <f t="shared" si="73"/>
        <v>6331.1889840000003</v>
      </c>
      <c r="X123" s="231">
        <f t="shared" si="66"/>
        <v>0</v>
      </c>
      <c r="Y123" s="397">
        <v>659</v>
      </c>
      <c r="Z123" s="367"/>
      <c r="AA123" s="399" t="s">
        <v>47</v>
      </c>
      <c r="AB123" s="209"/>
      <c r="AC123" s="409">
        <f t="shared" si="74"/>
        <v>14</v>
      </c>
      <c r="AD123" s="130"/>
      <c r="AE123" s="409">
        <f t="shared" si="75"/>
        <v>54673.48</v>
      </c>
      <c r="AF123" s="152"/>
      <c r="AG123" s="152">
        <f t="shared" si="76"/>
        <v>18397.626020000003</v>
      </c>
      <c r="AH123" s="152"/>
      <c r="AI123" s="152">
        <f t="shared" si="77"/>
        <v>7446.5279759999994</v>
      </c>
      <c r="AJ123" s="152"/>
      <c r="AK123" s="152">
        <f t="shared" si="78"/>
        <v>8534.5302279999996</v>
      </c>
      <c r="AL123" s="152"/>
      <c r="AM123" s="152">
        <f t="shared" si="79"/>
        <v>3466.298632</v>
      </c>
      <c r="AN123" s="152"/>
      <c r="AO123" s="152">
        <f t="shared" si="80"/>
        <v>4231.7273519999999</v>
      </c>
      <c r="AP123" s="152"/>
      <c r="AQ123" s="152">
        <f t="shared" si="81"/>
        <v>6265.5808079999997</v>
      </c>
      <c r="AR123" s="152"/>
      <c r="AS123" s="152">
        <f t="shared" si="82"/>
        <v>6331.1889840000003</v>
      </c>
      <c r="AU123" s="151"/>
    </row>
    <row r="124" spans="1:47" s="153" customFormat="1" x14ac:dyDescent="0.2">
      <c r="A124" s="411"/>
      <c r="B124" s="447">
        <v>660</v>
      </c>
      <c r="C124" s="367"/>
      <c r="D124" s="399" t="s">
        <v>109</v>
      </c>
      <c r="E124" s="209"/>
      <c r="F124" s="140">
        <v>14</v>
      </c>
      <c r="G124" s="210"/>
      <c r="H124" s="394">
        <v>14860.56</v>
      </c>
      <c r="I124" s="152"/>
      <c r="J124" s="230">
        <f t="shared" si="67"/>
        <v>8428.9096320000008</v>
      </c>
      <c r="K124" s="365"/>
      <c r="L124" s="230">
        <f t="shared" si="68"/>
        <v>2939.418768</v>
      </c>
      <c r="M124" s="365"/>
      <c r="N124" s="230">
        <f t="shared" si="69"/>
        <v>915.41049599999997</v>
      </c>
      <c r="O124" s="365"/>
      <c r="P124" s="230">
        <f t="shared" si="70"/>
        <v>572.13155999999992</v>
      </c>
      <c r="Q124" s="365"/>
      <c r="R124" s="230">
        <f t="shared" si="71"/>
        <v>283.83669599999996</v>
      </c>
      <c r="S124" s="365"/>
      <c r="T124" s="230">
        <f t="shared" si="72"/>
        <v>0</v>
      </c>
      <c r="U124" s="365"/>
      <c r="V124" s="230">
        <f t="shared" si="73"/>
        <v>1720.852848</v>
      </c>
      <c r="X124" s="231">
        <f t="shared" si="66"/>
        <v>0</v>
      </c>
      <c r="Y124" s="397">
        <v>660</v>
      </c>
      <c r="Z124" s="367"/>
      <c r="AA124" s="399" t="s">
        <v>109</v>
      </c>
      <c r="AB124" s="209"/>
      <c r="AC124" s="409">
        <f t="shared" si="74"/>
        <v>14</v>
      </c>
      <c r="AD124" s="130"/>
      <c r="AE124" s="409">
        <f t="shared" si="75"/>
        <v>14860.56</v>
      </c>
      <c r="AG124" s="152">
        <f t="shared" si="76"/>
        <v>5000.5784400000002</v>
      </c>
      <c r="AH124" s="152"/>
      <c r="AI124" s="152">
        <f t="shared" si="77"/>
        <v>2024.0082719999998</v>
      </c>
      <c r="AJ124" s="152"/>
      <c r="AK124" s="152">
        <f t="shared" si="78"/>
        <v>2319.7334159999996</v>
      </c>
      <c r="AL124" s="152"/>
      <c r="AM124" s="152">
        <f t="shared" si="79"/>
        <v>942.15950399999997</v>
      </c>
      <c r="AN124" s="152"/>
      <c r="AO124" s="152">
        <f t="shared" si="80"/>
        <v>1150.2073439999999</v>
      </c>
      <c r="AP124" s="152"/>
      <c r="AQ124" s="152">
        <f t="shared" si="81"/>
        <v>1703.0201759999998</v>
      </c>
      <c r="AR124" s="152"/>
      <c r="AS124" s="152">
        <f t="shared" si="82"/>
        <v>1720.852848</v>
      </c>
      <c r="AU124" s="151"/>
    </row>
    <row r="125" spans="1:47" s="153" customFormat="1" x14ac:dyDescent="0.2">
      <c r="A125" s="411"/>
      <c r="B125" s="447">
        <v>667</v>
      </c>
      <c r="C125" s="367"/>
      <c r="D125" s="399" t="s">
        <v>49</v>
      </c>
      <c r="E125" s="209"/>
      <c r="F125" s="140">
        <v>19</v>
      </c>
      <c r="G125" s="210"/>
      <c r="H125" s="394">
        <v>17604.84</v>
      </c>
      <c r="I125" s="152"/>
      <c r="J125" s="230">
        <f t="shared" ca="1" si="67"/>
        <v>9365.7748800000008</v>
      </c>
      <c r="K125" s="365"/>
      <c r="L125" s="230">
        <f t="shared" ca="1" si="68"/>
        <v>3830.8131839999996</v>
      </c>
      <c r="M125" s="365"/>
      <c r="N125" s="230">
        <f t="shared" ca="1" si="69"/>
        <v>1293.9557399999999</v>
      </c>
      <c r="O125" s="365"/>
      <c r="P125" s="230">
        <f t="shared" ca="1" si="70"/>
        <v>785.17586400000005</v>
      </c>
      <c r="Q125" s="365"/>
      <c r="R125" s="230">
        <f t="shared" ca="1" si="71"/>
        <v>492.93552</v>
      </c>
      <c r="S125" s="365"/>
      <c r="T125" s="230">
        <f t="shared" ca="1" si="72"/>
        <v>0</v>
      </c>
      <c r="U125" s="365"/>
      <c r="V125" s="230">
        <f t="shared" ca="1" si="73"/>
        <v>1836.1848120000002</v>
      </c>
      <c r="X125" s="231">
        <f t="shared" ca="1" si="66"/>
        <v>0</v>
      </c>
      <c r="Y125" s="397">
        <v>667</v>
      </c>
      <c r="Z125" s="367"/>
      <c r="AA125" s="399" t="s">
        <v>49</v>
      </c>
      <c r="AB125" s="209"/>
      <c r="AC125" s="409">
        <f t="shared" si="74"/>
        <v>19</v>
      </c>
      <c r="AD125" s="130"/>
      <c r="AE125" s="409">
        <f t="shared" si="75"/>
        <v>17604.84</v>
      </c>
      <c r="AF125" s="152"/>
      <c r="AG125" s="152">
        <f t="shared" ca="1" si="76"/>
        <v>7885.2078360000005</v>
      </c>
      <c r="AH125" s="152"/>
      <c r="AI125" s="152">
        <f t="shared" ca="1" si="77"/>
        <v>3013.9486079999997</v>
      </c>
      <c r="AJ125" s="152"/>
      <c r="AK125" s="152">
        <f t="shared" ca="1" si="78"/>
        <v>1989.3469200000002</v>
      </c>
      <c r="AL125" s="152"/>
      <c r="AM125" s="152">
        <f t="shared" ca="1" si="79"/>
        <v>982.35007200000007</v>
      </c>
      <c r="AN125" s="152"/>
      <c r="AO125" s="152">
        <f t="shared" ca="1" si="80"/>
        <v>1042.2065280000002</v>
      </c>
      <c r="AP125" s="152"/>
      <c r="AQ125" s="152">
        <f t="shared" ca="1" si="81"/>
        <v>855.59522399999992</v>
      </c>
      <c r="AR125" s="152"/>
      <c r="AS125" s="152">
        <f t="shared" ca="1" si="82"/>
        <v>1836.1848120000002</v>
      </c>
      <c r="AU125" s="151"/>
    </row>
    <row r="126" spans="1:47" s="153" customFormat="1" x14ac:dyDescent="0.2">
      <c r="A126" s="411"/>
      <c r="B126" s="447">
        <v>670</v>
      </c>
      <c r="C126" s="367"/>
      <c r="D126" s="399" t="s">
        <v>110</v>
      </c>
      <c r="E126" s="209"/>
      <c r="F126" s="140">
        <v>12</v>
      </c>
      <c r="G126" s="210"/>
      <c r="H126" s="394">
        <v>417319.63</v>
      </c>
      <c r="I126" s="210"/>
      <c r="J126" s="230">
        <f t="shared" si="67"/>
        <v>384931.45351570001</v>
      </c>
      <c r="K126" s="365"/>
      <c r="L126" s="230">
        <f t="shared" si="68"/>
        <v>29191.508118499998</v>
      </c>
      <c r="M126" s="365"/>
      <c r="N126" s="230">
        <f t="shared" si="69"/>
        <v>563.38150050000002</v>
      </c>
      <c r="O126" s="365"/>
      <c r="P126" s="230">
        <f t="shared" si="70"/>
        <v>2549.8229393000001</v>
      </c>
      <c r="Q126" s="365"/>
      <c r="R126" s="230">
        <f t="shared" si="71"/>
        <v>83.463926000000001</v>
      </c>
      <c r="S126" s="365"/>
      <c r="T126" s="230">
        <f t="shared" si="72"/>
        <v>0</v>
      </c>
      <c r="U126" s="365"/>
      <c r="V126" s="230">
        <f t="shared" si="73"/>
        <v>0</v>
      </c>
      <c r="X126" s="231">
        <f t="shared" si="66"/>
        <v>0</v>
      </c>
      <c r="Y126" s="397">
        <v>670</v>
      </c>
      <c r="Z126" s="367"/>
      <c r="AA126" s="399" t="s">
        <v>110</v>
      </c>
      <c r="AB126" s="209"/>
      <c r="AC126" s="409">
        <f t="shared" si="74"/>
        <v>12</v>
      </c>
      <c r="AD126" s="130"/>
      <c r="AE126" s="409">
        <f t="shared" si="75"/>
        <v>417319.63</v>
      </c>
      <c r="AG126" s="152">
        <f t="shared" si="76"/>
        <v>0</v>
      </c>
      <c r="AH126" s="152"/>
      <c r="AI126" s="152">
        <f t="shared" si="77"/>
        <v>0</v>
      </c>
      <c r="AJ126" s="152"/>
      <c r="AK126" s="152">
        <f t="shared" si="78"/>
        <v>0</v>
      </c>
      <c r="AL126" s="152"/>
      <c r="AM126" s="152">
        <f t="shared" si="79"/>
        <v>0</v>
      </c>
      <c r="AN126" s="152"/>
      <c r="AO126" s="152">
        <f t="shared" si="80"/>
        <v>0</v>
      </c>
      <c r="AP126" s="152"/>
      <c r="AQ126" s="152">
        <f t="shared" si="81"/>
        <v>417319.63</v>
      </c>
      <c r="AR126" s="152"/>
      <c r="AS126" s="152">
        <f t="shared" si="82"/>
        <v>0</v>
      </c>
      <c r="AU126" s="151"/>
    </row>
    <row r="127" spans="1:47" s="153" customFormat="1" x14ac:dyDescent="0.2">
      <c r="A127" s="411"/>
      <c r="B127" s="447">
        <v>675</v>
      </c>
      <c r="C127" s="367"/>
      <c r="D127" s="399" t="s">
        <v>48</v>
      </c>
      <c r="E127" s="209"/>
      <c r="F127" s="140">
        <v>14</v>
      </c>
      <c r="G127" s="210"/>
      <c r="H127" s="540">
        <v>136115.84</v>
      </c>
      <c r="I127" s="210"/>
      <c r="J127" s="414">
        <f t="shared" si="67"/>
        <v>77204.904448000001</v>
      </c>
      <c r="K127" s="365"/>
      <c r="L127" s="414">
        <f t="shared" si="68"/>
        <v>26923.713152</v>
      </c>
      <c r="M127" s="365"/>
      <c r="N127" s="414">
        <f t="shared" si="69"/>
        <v>8384.7357439999996</v>
      </c>
      <c r="O127" s="365"/>
      <c r="P127" s="414">
        <f t="shared" si="70"/>
        <v>5240.4598399999995</v>
      </c>
      <c r="Q127" s="365"/>
      <c r="R127" s="414">
        <f t="shared" si="71"/>
        <v>2599.8125439999999</v>
      </c>
      <c r="S127" s="365"/>
      <c r="T127" s="414">
        <f t="shared" si="72"/>
        <v>0</v>
      </c>
      <c r="U127" s="365"/>
      <c r="V127" s="414">
        <f t="shared" si="73"/>
        <v>15762.214271999999</v>
      </c>
      <c r="X127" s="231">
        <f t="shared" si="66"/>
        <v>0</v>
      </c>
      <c r="Y127" s="397">
        <v>675</v>
      </c>
      <c r="Z127" s="367"/>
      <c r="AA127" s="399" t="s">
        <v>48</v>
      </c>
      <c r="AB127" s="209"/>
      <c r="AC127" s="409">
        <f t="shared" si="74"/>
        <v>14</v>
      </c>
      <c r="AD127" s="130"/>
      <c r="AE127" s="410">
        <f t="shared" si="75"/>
        <v>136115.84</v>
      </c>
      <c r="AG127" s="139">
        <f t="shared" si="76"/>
        <v>45802.980159999999</v>
      </c>
      <c r="AI127" s="139">
        <f t="shared" si="77"/>
        <v>18538.977407999999</v>
      </c>
      <c r="AK127" s="139">
        <f t="shared" si="78"/>
        <v>21247.682623999997</v>
      </c>
      <c r="AM127" s="139">
        <f t="shared" si="79"/>
        <v>8629.744256</v>
      </c>
      <c r="AO127" s="139">
        <f t="shared" si="80"/>
        <v>10535.366016</v>
      </c>
      <c r="AQ127" s="139">
        <f t="shared" si="81"/>
        <v>15598.875263999998</v>
      </c>
      <c r="AS127" s="139">
        <f t="shared" si="82"/>
        <v>15762.214271999999</v>
      </c>
      <c r="AU127" s="151"/>
    </row>
    <row r="128" spans="1:47" s="153" customFormat="1" x14ac:dyDescent="0.2">
      <c r="A128" s="411"/>
      <c r="B128" s="447"/>
      <c r="C128" s="367"/>
      <c r="D128" s="296"/>
      <c r="E128" s="209"/>
      <c r="F128" s="140"/>
      <c r="G128" s="210"/>
      <c r="H128" s="394"/>
      <c r="I128" s="210"/>
      <c r="J128" s="152"/>
      <c r="K128" s="211"/>
      <c r="L128" s="152"/>
      <c r="M128" s="211"/>
      <c r="N128" s="152"/>
      <c r="O128" s="211"/>
      <c r="P128" s="152"/>
      <c r="Q128" s="211"/>
      <c r="R128" s="152"/>
      <c r="S128" s="211"/>
      <c r="T128" s="152"/>
      <c r="U128" s="211"/>
      <c r="V128" s="152"/>
      <c r="X128" s="231">
        <f t="shared" si="66"/>
        <v>0</v>
      </c>
      <c r="Y128" s="397"/>
      <c r="Z128" s="367"/>
      <c r="AA128" s="296"/>
      <c r="AB128" s="209"/>
      <c r="AC128" s="140"/>
      <c r="AE128" s="390"/>
      <c r="AG128" s="152"/>
      <c r="AI128" s="152"/>
      <c r="AK128" s="152"/>
      <c r="AM128" s="152"/>
      <c r="AO128" s="152"/>
      <c r="AQ128" s="152"/>
      <c r="AS128" s="152"/>
      <c r="AU128" s="151"/>
    </row>
    <row r="129" spans="1:47" s="153" customFormat="1" x14ac:dyDescent="0.2">
      <c r="A129" s="547"/>
      <c r="B129" s="447"/>
      <c r="C129" s="367"/>
      <c r="D129" s="395" t="s">
        <v>59</v>
      </c>
      <c r="E129" s="209"/>
      <c r="F129" s="140"/>
      <c r="G129" s="210"/>
      <c r="H129" s="540">
        <f>SUM(H108:H128)</f>
        <v>7930155.8999999985</v>
      </c>
      <c r="I129" s="210"/>
      <c r="J129" s="139">
        <f ca="1">SUM(J108:J128)</f>
        <v>4634750.1927666981</v>
      </c>
      <c r="K129" s="210"/>
      <c r="L129" s="139">
        <f ca="1">SUM(L108:L128)</f>
        <v>1547672.3142225</v>
      </c>
      <c r="M129" s="210"/>
      <c r="N129" s="139">
        <f ca="1">SUM(N108:N128)</f>
        <v>476574.3565985001</v>
      </c>
      <c r="O129" s="210"/>
      <c r="P129" s="139">
        <f ca="1">SUM(P108:P128)</f>
        <v>299707.86682029994</v>
      </c>
      <c r="Q129" s="210"/>
      <c r="R129" s="139">
        <f ca="1">SUM(R108:R128)</f>
        <v>149373.31717599998</v>
      </c>
      <c r="S129" s="210"/>
      <c r="T129" s="139">
        <f ca="1">SUM(T108:T128)</f>
        <v>0</v>
      </c>
      <c r="U129" s="210"/>
      <c r="V129" s="139">
        <f ca="1">SUM(V108:V128)</f>
        <v>822077.85241599998</v>
      </c>
      <c r="X129" s="231">
        <f t="shared" ref="X129:X160" ca="1" si="83">+H129-SUM(J129:V129)</f>
        <v>0</v>
      </c>
      <c r="Y129" s="397"/>
      <c r="Z129" s="367"/>
      <c r="AA129" s="395" t="s">
        <v>59</v>
      </c>
      <c r="AB129" s="209"/>
      <c r="AC129" s="140"/>
      <c r="AE129" s="139">
        <f>SUM(AE108:AE128)</f>
        <v>7930155.8999999985</v>
      </c>
      <c r="AG129" s="139">
        <f ca="1">SUM(AG108:AG128)</f>
        <v>2610697.3163049994</v>
      </c>
      <c r="AI129" s="139">
        <f ca="1">SUM(AI108:AI128)</f>
        <v>1085015.0567429997</v>
      </c>
      <c r="AK129" s="139">
        <f ca="1">SUM(AK108:AK128)</f>
        <v>1141636.5255129994</v>
      </c>
      <c r="AM129" s="139">
        <f ca="1">SUM(AM108:AM128)</f>
        <v>655728.55586000008</v>
      </c>
      <c r="AO129" s="139">
        <f ca="1">SUM(AO108:AO128)</f>
        <v>432850.41793199995</v>
      </c>
      <c r="AQ129" s="139">
        <f ca="1">SUM(AQ108:AQ128)</f>
        <v>1182150.1752309999</v>
      </c>
      <c r="AS129" s="139">
        <f ca="1">SUM(AS108:AS128)</f>
        <v>822077.85241599998</v>
      </c>
      <c r="AU129" s="151"/>
    </row>
    <row r="130" spans="1:47" s="153" customFormat="1" x14ac:dyDescent="0.2">
      <c r="A130" s="411"/>
      <c r="B130" s="447"/>
      <c r="C130" s="367"/>
      <c r="D130" s="296"/>
      <c r="E130" s="209"/>
      <c r="F130" s="140"/>
      <c r="G130" s="210"/>
      <c r="H130" s="394"/>
      <c r="I130" s="210"/>
      <c r="J130" s="152"/>
      <c r="K130" s="210"/>
      <c r="L130" s="152"/>
      <c r="M130" s="210"/>
      <c r="N130" s="152"/>
      <c r="O130" s="210"/>
      <c r="P130" s="152"/>
      <c r="Q130" s="210"/>
      <c r="R130" s="152"/>
      <c r="S130" s="210"/>
      <c r="T130" s="152"/>
      <c r="U130" s="210"/>
      <c r="V130" s="152"/>
      <c r="X130" s="231">
        <f t="shared" si="83"/>
        <v>0</v>
      </c>
      <c r="Y130" s="397"/>
      <c r="Z130" s="367"/>
      <c r="AA130" s="296"/>
      <c r="AB130" s="209"/>
      <c r="AC130" s="140"/>
      <c r="AE130" s="152"/>
      <c r="AG130" s="152"/>
      <c r="AI130" s="152"/>
      <c r="AK130" s="152"/>
      <c r="AM130" s="152"/>
      <c r="AO130" s="152"/>
      <c r="AQ130" s="152"/>
      <c r="AS130" s="152"/>
      <c r="AU130" s="151"/>
    </row>
    <row r="131" spans="1:47" x14ac:dyDescent="0.2">
      <c r="D131" s="233" t="s">
        <v>164</v>
      </c>
      <c r="E131" s="130"/>
      <c r="F131" s="142"/>
      <c r="G131" s="131"/>
      <c r="H131" s="540">
        <f>+H129+H105+H86+H50+H25</f>
        <v>24712280.510000002</v>
      </c>
      <c r="I131" s="131"/>
      <c r="J131" s="139">
        <f ca="1">+J129+J105+J86+J50+J25</f>
        <v>13798939.717170998</v>
      </c>
      <c r="K131" s="131"/>
      <c r="L131" s="139">
        <f ca="1">+L129+L105+L86+L50+L25</f>
        <v>5249870.1372129992</v>
      </c>
      <c r="M131" s="131"/>
      <c r="N131" s="139">
        <f ca="1">+N129+N105+N86+N50+N25</f>
        <v>1739524.5878579998</v>
      </c>
      <c r="O131" s="131"/>
      <c r="P131" s="139">
        <f ca="1">+P129+P105+P86+P50+P25</f>
        <v>1064656.7176669999</v>
      </c>
      <c r="Q131" s="131"/>
      <c r="R131" s="139">
        <f ca="1">+R129+R105+R86+R50+R25</f>
        <v>637726.22144399979</v>
      </c>
      <c r="S131" s="131"/>
      <c r="T131" s="139">
        <f ca="1">+T129+T105+T86+T50+T25</f>
        <v>0</v>
      </c>
      <c r="U131" s="131"/>
      <c r="V131" s="139">
        <f ca="1">+V129+V105+V86+V50+V25</f>
        <v>2221563.1286470001</v>
      </c>
      <c r="X131" s="231">
        <f t="shared" ca="1" si="83"/>
        <v>0</v>
      </c>
      <c r="Y131" s="136"/>
      <c r="Z131" s="365"/>
      <c r="AA131" s="233" t="s">
        <v>164</v>
      </c>
      <c r="AB131" s="130"/>
      <c r="AC131" s="142"/>
      <c r="AE131" s="139">
        <f>+AE129+AE105+AE86+AE50+AE25</f>
        <v>24712280.510000002</v>
      </c>
      <c r="AG131" s="139">
        <f ca="1">+AG129+AG105+AG86+AG50+AG25</f>
        <v>11512509.588049997</v>
      </c>
      <c r="AI131" s="139">
        <f ca="1">+AI129+AI105+AI86+AI50+AI25</f>
        <v>2696772.6894469997</v>
      </c>
      <c r="AK131" s="139">
        <f ca="1">+AK129+AK105+AK86+AK50+AK25</f>
        <v>2989056.3200529991</v>
      </c>
      <c r="AM131" s="139">
        <f ca="1">+AM129+AM105+AM86+AM50+AM25</f>
        <v>1406047.14586</v>
      </c>
      <c r="AO131" s="139">
        <f ca="1">+AO129+AO105+AO86+AO50+AO25</f>
        <v>1348097.4927119999</v>
      </c>
      <c r="AQ131" s="139">
        <f ca="1">+AQ129+AQ105+AQ86+AQ50+AQ25</f>
        <v>2538234.1452310001</v>
      </c>
      <c r="AS131" s="139">
        <f ca="1">+AS129+AS105+AS86+AS50+AS25</f>
        <v>2221563.1286470001</v>
      </c>
      <c r="AU131" s="151"/>
    </row>
    <row r="132" spans="1:47" x14ac:dyDescent="0.2">
      <c r="D132" s="408"/>
      <c r="E132" s="130"/>
      <c r="F132" s="142"/>
      <c r="G132" s="131"/>
      <c r="H132" s="487"/>
      <c r="I132" s="131"/>
      <c r="J132" s="138"/>
      <c r="X132" s="231">
        <f t="shared" si="83"/>
        <v>0</v>
      </c>
      <c r="Y132" s="136"/>
      <c r="Z132" s="365"/>
      <c r="AA132" s="130"/>
      <c r="AB132" s="130"/>
      <c r="AC132" s="142"/>
      <c r="AU132" s="151"/>
    </row>
    <row r="133" spans="1:47" x14ac:dyDescent="0.2">
      <c r="D133" s="240" t="s">
        <v>166</v>
      </c>
      <c r="E133" s="130"/>
      <c r="F133" s="142"/>
      <c r="G133" s="131"/>
      <c r="H133" s="487"/>
      <c r="I133" s="131"/>
      <c r="J133" s="138"/>
      <c r="X133" s="231">
        <f t="shared" si="83"/>
        <v>0</v>
      </c>
      <c r="Y133" s="136"/>
      <c r="Z133" s="365"/>
      <c r="AA133" s="240" t="s">
        <v>166</v>
      </c>
      <c r="AB133" s="130"/>
      <c r="AC133" s="142"/>
      <c r="AU133" s="151"/>
    </row>
    <row r="134" spans="1:47" x14ac:dyDescent="0.2">
      <c r="D134" s="210"/>
      <c r="E134" s="130"/>
      <c r="F134" s="142"/>
      <c r="G134" s="131"/>
      <c r="H134" s="487"/>
      <c r="I134" s="131"/>
      <c r="J134" s="138"/>
      <c r="L134" s="138"/>
      <c r="N134" s="138"/>
      <c r="P134" s="138"/>
      <c r="R134" s="138"/>
      <c r="T134" s="138"/>
      <c r="V134" s="138"/>
      <c r="X134" s="231">
        <f t="shared" si="83"/>
        <v>0</v>
      </c>
      <c r="Y134" s="136"/>
      <c r="Z134" s="365"/>
      <c r="AA134" s="210"/>
      <c r="AB134" s="130"/>
      <c r="AC134" s="142"/>
      <c r="AE134" s="151"/>
      <c r="AG134" s="138"/>
      <c r="AH134" s="138"/>
      <c r="AI134" s="138"/>
      <c r="AJ134" s="138"/>
      <c r="AK134" s="138"/>
      <c r="AL134" s="138"/>
      <c r="AM134" s="138"/>
      <c r="AN134" s="138"/>
      <c r="AO134" s="138"/>
      <c r="AP134" s="138"/>
      <c r="AQ134" s="138"/>
      <c r="AR134" s="138"/>
      <c r="AS134" s="138"/>
      <c r="AU134" s="151"/>
    </row>
    <row r="135" spans="1:47" x14ac:dyDescent="0.2">
      <c r="B135" s="451">
        <v>304.10000000000002</v>
      </c>
      <c r="D135" s="406" t="s">
        <v>60</v>
      </c>
      <c r="F135" s="142">
        <v>2</v>
      </c>
      <c r="G135" s="131"/>
      <c r="H135" s="309">
        <v>391645.31150000001</v>
      </c>
      <c r="I135" s="131"/>
      <c r="J135" s="230">
        <f t="shared" ref="J135:J176" si="84">(VLOOKUP($F135,Factors,J$329))*$H135</f>
        <v>203303.08119965001</v>
      </c>
      <c r="K135" s="365"/>
      <c r="L135" s="230">
        <f t="shared" ref="L135:L176" si="85">(VLOOKUP($F135,Factors,L$329))*$H135</f>
        <v>104334.31098359999</v>
      </c>
      <c r="M135" s="365"/>
      <c r="N135" s="230">
        <f t="shared" ref="N135:N176" si="86">(VLOOKUP($F135,Factors,N$329))*$H135</f>
        <v>39869.492710700004</v>
      </c>
      <c r="O135" s="365"/>
      <c r="P135" s="230">
        <f t="shared" ref="P135:P176" si="87">(VLOOKUP($F135,Factors,P$329))*$H135</f>
        <v>23107.073378500001</v>
      </c>
      <c r="Q135" s="365"/>
      <c r="R135" s="230">
        <f t="shared" ref="R135:R176" si="88">(VLOOKUP($F135,Factors,R$329))*$H135</f>
        <v>19543.101043850002</v>
      </c>
      <c r="S135" s="365"/>
      <c r="T135" s="230">
        <f t="shared" ref="T135:T176" si="89">(VLOOKUP($F135,Factors,T$329))*$H135</f>
        <v>0</v>
      </c>
      <c r="U135" s="365"/>
      <c r="V135" s="230">
        <f t="shared" ref="V135:V176" si="90">(VLOOKUP($F135,Factors,V$329))*$H135</f>
        <v>1488.2521836999999</v>
      </c>
      <c r="W135" s="153"/>
      <c r="X135" s="231">
        <f t="shared" si="83"/>
        <v>0</v>
      </c>
      <c r="Y135" s="407">
        <v>304.10000000000002</v>
      </c>
      <c r="Z135" s="365"/>
      <c r="AA135" s="406" t="s">
        <v>60</v>
      </c>
      <c r="AB135" s="132"/>
      <c r="AC135" s="409">
        <f t="shared" ref="AC135:AC176" si="91">+F135</f>
        <v>2</v>
      </c>
      <c r="AD135" s="130"/>
      <c r="AE135" s="409">
        <f t="shared" ref="AE135:AE176" si="92">+H135</f>
        <v>391645.31150000001</v>
      </c>
      <c r="AG135" s="152">
        <f t="shared" ref="AG135:AG176" si="93">(VLOOKUP($AC135,func,AG$329))*$AE135</f>
        <v>243290.0675038</v>
      </c>
      <c r="AH135" s="152"/>
      <c r="AI135" s="152">
        <f t="shared" ref="AI135:AI176" si="94">(VLOOKUP($AC135,func,AI$329))*$AE135</f>
        <v>146866.9918125</v>
      </c>
      <c r="AJ135" s="152"/>
      <c r="AK135" s="152">
        <f t="shared" ref="AK135:AK176" si="95">(VLOOKUP($AC135,func,AK$329))*$AE135</f>
        <v>0</v>
      </c>
      <c r="AL135" s="152"/>
      <c r="AM135" s="152">
        <f t="shared" ref="AM135:AM176" si="96">(VLOOKUP($AC135,func,AM$329))*$AE135</f>
        <v>0</v>
      </c>
      <c r="AN135" s="152"/>
      <c r="AO135" s="152">
        <f t="shared" ref="AO135:AO176" si="97">(VLOOKUP($AC135,func,AO$329))*$AE135</f>
        <v>0</v>
      </c>
      <c r="AP135" s="152"/>
      <c r="AQ135" s="152">
        <f t="shared" ref="AQ135:AQ176" si="98">(VLOOKUP($AC135,func,AQ$329))*$AE135</f>
        <v>0</v>
      </c>
      <c r="AR135" s="152"/>
      <c r="AS135" s="152">
        <f t="shared" ref="AS135:AS176" si="99">(VLOOKUP($AC135,func,AS$329))*$AE135</f>
        <v>1488.2521836999999</v>
      </c>
      <c r="AU135" s="151"/>
    </row>
    <row r="136" spans="1:47" x14ac:dyDescent="0.2">
      <c r="B136" s="451">
        <v>304.2</v>
      </c>
      <c r="D136" s="406" t="s">
        <v>61</v>
      </c>
      <c r="F136" s="142">
        <v>2</v>
      </c>
      <c r="G136" s="131"/>
      <c r="H136" s="309">
        <v>1762090.1795000001</v>
      </c>
      <c r="I136" s="131"/>
      <c r="J136" s="230">
        <f t="shared" si="84"/>
        <v>914701.01217845001</v>
      </c>
      <c r="K136" s="365"/>
      <c r="L136" s="230">
        <f t="shared" si="85"/>
        <v>469420.82381879998</v>
      </c>
      <c r="M136" s="365"/>
      <c r="N136" s="230">
        <f t="shared" si="86"/>
        <v>179380.78027310001</v>
      </c>
      <c r="O136" s="365"/>
      <c r="P136" s="230">
        <f t="shared" si="87"/>
        <v>103963.32059050001</v>
      </c>
      <c r="Q136" s="365"/>
      <c r="R136" s="230">
        <f t="shared" si="88"/>
        <v>87928.299957050011</v>
      </c>
      <c r="S136" s="365"/>
      <c r="T136" s="230">
        <f t="shared" si="89"/>
        <v>0</v>
      </c>
      <c r="U136" s="365"/>
      <c r="V136" s="230">
        <f t="shared" si="90"/>
        <v>6695.9426821000006</v>
      </c>
      <c r="W136" s="153"/>
      <c r="X136" s="231">
        <f t="shared" si="83"/>
        <v>0</v>
      </c>
      <c r="Y136" s="407">
        <v>304.2</v>
      </c>
      <c r="Z136" s="365"/>
      <c r="AA136" s="406" t="s">
        <v>61</v>
      </c>
      <c r="AB136" s="132"/>
      <c r="AC136" s="409">
        <f t="shared" si="91"/>
        <v>2</v>
      </c>
      <c r="AD136" s="130"/>
      <c r="AE136" s="409">
        <f t="shared" si="92"/>
        <v>1762090.1795000001</v>
      </c>
      <c r="AG136" s="152">
        <f t="shared" si="93"/>
        <v>1094610.4195054001</v>
      </c>
      <c r="AH136" s="152"/>
      <c r="AI136" s="152">
        <f t="shared" si="94"/>
        <v>660783.81731249997</v>
      </c>
      <c r="AJ136" s="152"/>
      <c r="AK136" s="152">
        <f t="shared" si="95"/>
        <v>0</v>
      </c>
      <c r="AL136" s="152"/>
      <c r="AM136" s="152">
        <f t="shared" si="96"/>
        <v>0</v>
      </c>
      <c r="AN136" s="152"/>
      <c r="AO136" s="152">
        <f t="shared" si="97"/>
        <v>0</v>
      </c>
      <c r="AP136" s="152"/>
      <c r="AQ136" s="152">
        <f t="shared" si="98"/>
        <v>0</v>
      </c>
      <c r="AR136" s="152"/>
      <c r="AS136" s="152">
        <f t="shared" si="99"/>
        <v>6695.9426821000006</v>
      </c>
      <c r="AU136" s="151"/>
    </row>
    <row r="137" spans="1:47" x14ac:dyDescent="0.2">
      <c r="B137" s="451">
        <v>304.3</v>
      </c>
      <c r="D137" s="406" t="s">
        <v>62</v>
      </c>
      <c r="F137" s="142">
        <v>3</v>
      </c>
      <c r="G137" s="131"/>
      <c r="H137" s="309">
        <v>247274.1035</v>
      </c>
      <c r="I137" s="131"/>
      <c r="J137" s="230">
        <f t="shared" si="84"/>
        <v>109690.7923126</v>
      </c>
      <c r="K137" s="365"/>
      <c r="L137" s="230">
        <f t="shared" si="85"/>
        <v>56279.5859566</v>
      </c>
      <c r="M137" s="365"/>
      <c r="N137" s="230">
        <f t="shared" si="86"/>
        <v>21512.847004499999</v>
      </c>
      <c r="O137" s="365"/>
      <c r="P137" s="230">
        <f t="shared" si="87"/>
        <v>12462.614816400001</v>
      </c>
      <c r="Q137" s="365"/>
      <c r="R137" s="230">
        <f t="shared" si="88"/>
        <v>10533.8768091</v>
      </c>
      <c r="S137" s="365"/>
      <c r="T137" s="230">
        <f t="shared" si="89"/>
        <v>0</v>
      </c>
      <c r="U137" s="365"/>
      <c r="V137" s="230">
        <f t="shared" si="90"/>
        <v>36794.386600800004</v>
      </c>
      <c r="W137" s="153"/>
      <c r="X137" s="231">
        <f t="shared" si="83"/>
        <v>0</v>
      </c>
      <c r="Y137" s="407">
        <v>304.3</v>
      </c>
      <c r="Z137" s="365"/>
      <c r="AA137" s="406" t="s">
        <v>62</v>
      </c>
      <c r="AB137" s="132"/>
      <c r="AC137" s="409">
        <f t="shared" si="91"/>
        <v>3</v>
      </c>
      <c r="AD137" s="130"/>
      <c r="AE137" s="409">
        <f t="shared" si="92"/>
        <v>247274.1035</v>
      </c>
      <c r="AG137" s="152">
        <f t="shared" si="93"/>
        <v>131277.82154815001</v>
      </c>
      <c r="AH137" s="152"/>
      <c r="AI137" s="152">
        <f t="shared" si="94"/>
        <v>79201.89535105</v>
      </c>
      <c r="AJ137" s="152"/>
      <c r="AK137" s="152">
        <f t="shared" si="95"/>
        <v>0</v>
      </c>
      <c r="AL137" s="152"/>
      <c r="AM137" s="152">
        <f t="shared" si="96"/>
        <v>0</v>
      </c>
      <c r="AN137" s="152"/>
      <c r="AO137" s="152">
        <f t="shared" si="97"/>
        <v>0</v>
      </c>
      <c r="AP137" s="152"/>
      <c r="AQ137" s="152">
        <f t="shared" si="98"/>
        <v>0</v>
      </c>
      <c r="AR137" s="152"/>
      <c r="AS137" s="152">
        <f t="shared" si="99"/>
        <v>36794.386600800004</v>
      </c>
      <c r="AU137" s="151"/>
    </row>
    <row r="138" spans="1:47" x14ac:dyDescent="0.2">
      <c r="B138" s="451">
        <v>304.39999999999998</v>
      </c>
      <c r="D138" s="406" t="s">
        <v>63</v>
      </c>
      <c r="F138" s="142">
        <v>14</v>
      </c>
      <c r="G138" s="131"/>
      <c r="H138" s="309">
        <v>271095.87199999997</v>
      </c>
      <c r="I138" s="131"/>
      <c r="J138" s="230">
        <f t="shared" si="84"/>
        <v>153765.5785984</v>
      </c>
      <c r="K138" s="365"/>
      <c r="L138" s="230">
        <f t="shared" si="85"/>
        <v>53622.763481599999</v>
      </c>
      <c r="M138" s="365"/>
      <c r="N138" s="230">
        <f t="shared" si="86"/>
        <v>16699.505715199997</v>
      </c>
      <c r="O138" s="365"/>
      <c r="P138" s="230">
        <f t="shared" si="87"/>
        <v>10437.191072</v>
      </c>
      <c r="Q138" s="365"/>
      <c r="R138" s="230">
        <f t="shared" si="88"/>
        <v>5177.931155199999</v>
      </c>
      <c r="S138" s="365"/>
      <c r="T138" s="230">
        <f t="shared" si="89"/>
        <v>0</v>
      </c>
      <c r="U138" s="365"/>
      <c r="V138" s="230">
        <f t="shared" si="90"/>
        <v>31392.901977599999</v>
      </c>
      <c r="W138" s="153"/>
      <c r="X138" s="231">
        <f t="shared" si="83"/>
        <v>0</v>
      </c>
      <c r="Y138" s="407">
        <v>304.39999999999998</v>
      </c>
      <c r="Z138" s="365"/>
      <c r="AA138" s="406" t="s">
        <v>63</v>
      </c>
      <c r="AB138" s="132"/>
      <c r="AC138" s="409">
        <f t="shared" si="91"/>
        <v>14</v>
      </c>
      <c r="AD138" s="130"/>
      <c r="AE138" s="409">
        <f t="shared" si="92"/>
        <v>271095.87199999997</v>
      </c>
      <c r="AG138" s="152">
        <f t="shared" si="93"/>
        <v>91223.760928000003</v>
      </c>
      <c r="AH138" s="152"/>
      <c r="AI138" s="152">
        <f t="shared" si="94"/>
        <v>36923.257766399991</v>
      </c>
      <c r="AJ138" s="152"/>
      <c r="AK138" s="152">
        <f t="shared" si="95"/>
        <v>42318.065619199995</v>
      </c>
      <c r="AL138" s="152"/>
      <c r="AM138" s="152">
        <f t="shared" si="96"/>
        <v>17187.4782848</v>
      </c>
      <c r="AN138" s="152"/>
      <c r="AO138" s="152">
        <f t="shared" si="97"/>
        <v>20982.820492799998</v>
      </c>
      <c r="AP138" s="152"/>
      <c r="AQ138" s="152">
        <f t="shared" si="98"/>
        <v>31067.586931199996</v>
      </c>
      <c r="AR138" s="152"/>
      <c r="AS138" s="152">
        <f t="shared" si="99"/>
        <v>31392.901977599999</v>
      </c>
      <c r="AU138" s="151"/>
    </row>
    <row r="139" spans="1:47" x14ac:dyDescent="0.2">
      <c r="B139" s="451">
        <v>304.5</v>
      </c>
      <c r="D139" s="406" t="s">
        <v>64</v>
      </c>
      <c r="F139" s="142">
        <v>14</v>
      </c>
      <c r="G139" s="131"/>
      <c r="H139" s="309">
        <v>1241.799</v>
      </c>
      <c r="I139" s="131"/>
      <c r="J139" s="230">
        <f t="shared" si="84"/>
        <v>704.34839280000006</v>
      </c>
      <c r="K139" s="365"/>
      <c r="L139" s="230">
        <f t="shared" si="85"/>
        <v>245.6278422</v>
      </c>
      <c r="M139" s="365"/>
      <c r="N139" s="230">
        <f t="shared" si="86"/>
        <v>76.4948184</v>
      </c>
      <c r="O139" s="365"/>
      <c r="P139" s="230">
        <f t="shared" si="87"/>
        <v>47.809261499999998</v>
      </c>
      <c r="Q139" s="365"/>
      <c r="R139" s="230">
        <f t="shared" si="88"/>
        <v>23.718360899999997</v>
      </c>
      <c r="S139" s="365"/>
      <c r="T139" s="230">
        <f t="shared" si="89"/>
        <v>0</v>
      </c>
      <c r="U139" s="365"/>
      <c r="V139" s="230">
        <f t="shared" si="90"/>
        <v>143.80032420000001</v>
      </c>
      <c r="W139" s="153"/>
      <c r="X139" s="231">
        <f t="shared" si="83"/>
        <v>0</v>
      </c>
      <c r="Y139" s="407">
        <v>304.5</v>
      </c>
      <c r="Z139" s="365"/>
      <c r="AA139" s="406" t="s">
        <v>64</v>
      </c>
      <c r="AB139" s="132"/>
      <c r="AC139" s="409">
        <f t="shared" si="91"/>
        <v>14</v>
      </c>
      <c r="AD139" s="130"/>
      <c r="AE139" s="409">
        <f t="shared" si="92"/>
        <v>1241.799</v>
      </c>
      <c r="AG139" s="152">
        <f t="shared" si="93"/>
        <v>417.8653635</v>
      </c>
      <c r="AH139" s="152"/>
      <c r="AI139" s="152">
        <f t="shared" si="94"/>
        <v>169.13302379999999</v>
      </c>
      <c r="AJ139" s="152"/>
      <c r="AK139" s="152">
        <f t="shared" si="95"/>
        <v>193.84482389999999</v>
      </c>
      <c r="AL139" s="152"/>
      <c r="AM139" s="152">
        <f t="shared" si="96"/>
        <v>78.730056599999998</v>
      </c>
      <c r="AN139" s="152"/>
      <c r="AO139" s="152">
        <f t="shared" si="97"/>
        <v>96.115242599999988</v>
      </c>
      <c r="AP139" s="152"/>
      <c r="AQ139" s="152">
        <f t="shared" si="98"/>
        <v>142.31016539999999</v>
      </c>
      <c r="AR139" s="152"/>
      <c r="AS139" s="152">
        <f t="shared" si="99"/>
        <v>143.80032420000001</v>
      </c>
      <c r="AU139" s="151"/>
    </row>
    <row r="140" spans="1:47" x14ac:dyDescent="0.2">
      <c r="B140" s="451">
        <v>304.60000000000002</v>
      </c>
      <c r="D140" s="406" t="s">
        <v>65</v>
      </c>
      <c r="E140" s="310"/>
      <c r="F140" s="308">
        <v>2</v>
      </c>
      <c r="G140" s="237"/>
      <c r="H140" s="309">
        <v>128905.8235</v>
      </c>
      <c r="I140" s="237"/>
      <c r="J140" s="230">
        <f t="shared" si="84"/>
        <v>66915.012978850005</v>
      </c>
      <c r="K140" s="365"/>
      <c r="L140" s="230">
        <f t="shared" si="85"/>
        <v>34340.511380399999</v>
      </c>
      <c r="M140" s="365"/>
      <c r="N140" s="230">
        <f t="shared" si="86"/>
        <v>13122.612832299999</v>
      </c>
      <c r="O140" s="365"/>
      <c r="P140" s="230">
        <f t="shared" si="87"/>
        <v>7605.4435865000005</v>
      </c>
      <c r="Q140" s="365"/>
      <c r="R140" s="230">
        <f t="shared" si="88"/>
        <v>6432.4005926500004</v>
      </c>
      <c r="S140" s="365"/>
      <c r="T140" s="230">
        <f t="shared" si="89"/>
        <v>0</v>
      </c>
      <c r="U140" s="365"/>
      <c r="V140" s="230">
        <f t="shared" si="90"/>
        <v>489.84212930000001</v>
      </c>
      <c r="W140" s="153"/>
      <c r="X140" s="231">
        <f t="shared" si="83"/>
        <v>0</v>
      </c>
      <c r="Y140" s="407">
        <v>304.60000000000002</v>
      </c>
      <c r="Z140" s="365"/>
      <c r="AA140" s="406" t="s">
        <v>65</v>
      </c>
      <c r="AB140" s="310"/>
      <c r="AC140" s="409">
        <f t="shared" si="91"/>
        <v>2</v>
      </c>
      <c r="AD140" s="130"/>
      <c r="AE140" s="409">
        <f t="shared" si="92"/>
        <v>128905.8235</v>
      </c>
      <c r="AG140" s="152">
        <f t="shared" si="93"/>
        <v>80076.297558199993</v>
      </c>
      <c r="AH140" s="152"/>
      <c r="AI140" s="152">
        <f t="shared" si="94"/>
        <v>48339.683812499999</v>
      </c>
      <c r="AJ140" s="152"/>
      <c r="AK140" s="152">
        <f t="shared" si="95"/>
        <v>0</v>
      </c>
      <c r="AL140" s="152"/>
      <c r="AM140" s="152">
        <f t="shared" si="96"/>
        <v>0</v>
      </c>
      <c r="AN140" s="152"/>
      <c r="AO140" s="152">
        <f t="shared" si="97"/>
        <v>0</v>
      </c>
      <c r="AP140" s="152"/>
      <c r="AQ140" s="152">
        <f t="shared" si="98"/>
        <v>0</v>
      </c>
      <c r="AR140" s="152"/>
      <c r="AS140" s="152">
        <f t="shared" si="99"/>
        <v>489.84212930000001</v>
      </c>
      <c r="AU140" s="151"/>
    </row>
    <row r="141" spans="1:47" x14ac:dyDescent="0.2">
      <c r="B141" s="451">
        <v>306</v>
      </c>
      <c r="D141" s="406" t="s">
        <v>66</v>
      </c>
      <c r="F141" s="142">
        <v>2</v>
      </c>
      <c r="G141" s="131"/>
      <c r="H141" s="309">
        <v>21836.032500000001</v>
      </c>
      <c r="I141" s="131"/>
      <c r="J141" s="230">
        <f t="shared" si="84"/>
        <v>11335.08447075</v>
      </c>
      <c r="K141" s="365"/>
      <c r="L141" s="230">
        <f t="shared" si="85"/>
        <v>5817.1190579999993</v>
      </c>
      <c r="M141" s="365"/>
      <c r="N141" s="230">
        <f t="shared" si="86"/>
        <v>2222.9081085000003</v>
      </c>
      <c r="O141" s="365"/>
      <c r="P141" s="230">
        <f t="shared" si="87"/>
        <v>1288.3259175000001</v>
      </c>
      <c r="Q141" s="365"/>
      <c r="R141" s="230">
        <f t="shared" si="88"/>
        <v>1089.61802175</v>
      </c>
      <c r="S141" s="365"/>
      <c r="T141" s="230">
        <f t="shared" si="89"/>
        <v>0</v>
      </c>
      <c r="U141" s="365"/>
      <c r="V141" s="230">
        <f t="shared" si="90"/>
        <v>82.976923499999998</v>
      </c>
      <c r="W141" s="153"/>
      <c r="X141" s="231">
        <f t="shared" si="83"/>
        <v>0</v>
      </c>
      <c r="Y141" s="407">
        <v>306</v>
      </c>
      <c r="Z141" s="365"/>
      <c r="AA141" s="406" t="s">
        <v>66</v>
      </c>
      <c r="AB141" s="132"/>
      <c r="AC141" s="409">
        <f t="shared" si="91"/>
        <v>2</v>
      </c>
      <c r="AD141" s="130"/>
      <c r="AE141" s="409">
        <f t="shared" si="92"/>
        <v>21836.032500000001</v>
      </c>
      <c r="AG141" s="152">
        <f t="shared" si="93"/>
        <v>13564.543389</v>
      </c>
      <c r="AH141" s="152"/>
      <c r="AI141" s="152">
        <f t="shared" si="94"/>
        <v>8188.5121875000004</v>
      </c>
      <c r="AJ141" s="152"/>
      <c r="AK141" s="152">
        <f t="shared" si="95"/>
        <v>0</v>
      </c>
      <c r="AL141" s="152"/>
      <c r="AM141" s="152">
        <f t="shared" si="96"/>
        <v>0</v>
      </c>
      <c r="AN141" s="152"/>
      <c r="AO141" s="152">
        <f t="shared" si="97"/>
        <v>0</v>
      </c>
      <c r="AP141" s="152"/>
      <c r="AQ141" s="152">
        <f t="shared" si="98"/>
        <v>0</v>
      </c>
      <c r="AR141" s="152"/>
      <c r="AS141" s="152">
        <f t="shared" si="99"/>
        <v>82.976923499999998</v>
      </c>
      <c r="AU141" s="151"/>
    </row>
    <row r="142" spans="1:47" x14ac:dyDescent="0.2">
      <c r="B142" s="451">
        <v>309</v>
      </c>
      <c r="D142" s="406" t="s">
        <v>159</v>
      </c>
      <c r="F142" s="142">
        <v>2</v>
      </c>
      <c r="G142" s="131"/>
      <c r="H142" s="309">
        <v>49695.743000000002</v>
      </c>
      <c r="I142" s="131"/>
      <c r="J142" s="230">
        <f t="shared" si="84"/>
        <v>25797.060191300003</v>
      </c>
      <c r="K142" s="365"/>
      <c r="L142" s="230">
        <f t="shared" si="85"/>
        <v>13238.945935199999</v>
      </c>
      <c r="M142" s="365"/>
      <c r="N142" s="230">
        <f t="shared" si="86"/>
        <v>5059.0266374000003</v>
      </c>
      <c r="O142" s="365"/>
      <c r="P142" s="230">
        <f t="shared" si="87"/>
        <v>2932.0488370000003</v>
      </c>
      <c r="Q142" s="365"/>
      <c r="R142" s="230">
        <f t="shared" si="88"/>
        <v>2479.8175756999999</v>
      </c>
      <c r="S142" s="365"/>
      <c r="T142" s="230">
        <f t="shared" si="89"/>
        <v>0</v>
      </c>
      <c r="U142" s="365"/>
      <c r="V142" s="230">
        <f t="shared" si="90"/>
        <v>188.84382340000002</v>
      </c>
      <c r="W142" s="153"/>
      <c r="X142" s="231">
        <f t="shared" si="83"/>
        <v>0</v>
      </c>
      <c r="Y142" s="407">
        <v>309</v>
      </c>
      <c r="Z142" s="365"/>
      <c r="AA142" s="406" t="s">
        <v>159</v>
      </c>
      <c r="AB142" s="132"/>
      <c r="AC142" s="409">
        <f t="shared" si="91"/>
        <v>2</v>
      </c>
      <c r="AD142" s="130"/>
      <c r="AE142" s="409">
        <f t="shared" si="92"/>
        <v>49695.743000000002</v>
      </c>
      <c r="AG142" s="152">
        <f t="shared" si="93"/>
        <v>30870.995551600001</v>
      </c>
      <c r="AH142" s="152"/>
      <c r="AI142" s="152">
        <f t="shared" si="94"/>
        <v>18635.903624999999</v>
      </c>
      <c r="AJ142" s="152"/>
      <c r="AK142" s="152">
        <f t="shared" si="95"/>
        <v>0</v>
      </c>
      <c r="AL142" s="152"/>
      <c r="AM142" s="152">
        <f t="shared" si="96"/>
        <v>0</v>
      </c>
      <c r="AN142" s="152"/>
      <c r="AO142" s="152">
        <f t="shared" si="97"/>
        <v>0</v>
      </c>
      <c r="AP142" s="152"/>
      <c r="AQ142" s="152">
        <f t="shared" si="98"/>
        <v>0</v>
      </c>
      <c r="AR142" s="152"/>
      <c r="AS142" s="152">
        <f t="shared" si="99"/>
        <v>188.84382340000002</v>
      </c>
      <c r="AU142" s="151"/>
    </row>
    <row r="143" spans="1:47" s="551" customFormat="1" x14ac:dyDescent="0.2">
      <c r="A143" s="498"/>
      <c r="B143" s="451">
        <v>310.10000000000002</v>
      </c>
      <c r="C143" s="365"/>
      <c r="D143" s="406" t="s">
        <v>490</v>
      </c>
      <c r="E143" s="583"/>
      <c r="F143" s="142">
        <v>3</v>
      </c>
      <c r="G143" s="131"/>
      <c r="H143" s="309">
        <v>62827.019</v>
      </c>
      <c r="I143" s="131"/>
      <c r="J143" s="230">
        <f t="shared" si="84"/>
        <v>27870.0656284</v>
      </c>
      <c r="K143" s="365"/>
      <c r="L143" s="230">
        <f t="shared" si="85"/>
        <v>14299.4295244</v>
      </c>
      <c r="M143" s="365"/>
      <c r="N143" s="230">
        <f t="shared" si="86"/>
        <v>5465.9506529999999</v>
      </c>
      <c r="O143" s="365"/>
      <c r="P143" s="230">
        <f t="shared" si="87"/>
        <v>3166.4817576</v>
      </c>
      <c r="Q143" s="365"/>
      <c r="R143" s="230">
        <f t="shared" si="88"/>
        <v>2676.4310093999998</v>
      </c>
      <c r="S143" s="365"/>
      <c r="T143" s="230">
        <f t="shared" si="89"/>
        <v>0</v>
      </c>
      <c r="U143" s="365"/>
      <c r="V143" s="230">
        <f t="shared" si="90"/>
        <v>9348.6604272000004</v>
      </c>
      <c r="W143" s="153"/>
      <c r="X143" s="231">
        <f t="shared" si="83"/>
        <v>0</v>
      </c>
      <c r="Y143" s="407">
        <v>310</v>
      </c>
      <c r="Z143" s="365"/>
      <c r="AA143" s="406" t="s">
        <v>490</v>
      </c>
      <c r="AB143" s="132"/>
      <c r="AC143" s="409">
        <f t="shared" si="91"/>
        <v>3</v>
      </c>
      <c r="AD143" s="130"/>
      <c r="AE143" s="409">
        <f t="shared" si="92"/>
        <v>62827.019</v>
      </c>
      <c r="AF143" s="559"/>
      <c r="AG143" s="152">
        <f t="shared" si="93"/>
        <v>33354.864387100002</v>
      </c>
      <c r="AH143" s="152"/>
      <c r="AI143" s="152">
        <f t="shared" si="94"/>
        <v>20123.494185700001</v>
      </c>
      <c r="AJ143" s="152"/>
      <c r="AK143" s="152">
        <f t="shared" si="95"/>
        <v>0</v>
      </c>
      <c r="AL143" s="152"/>
      <c r="AM143" s="152">
        <f t="shared" si="96"/>
        <v>0</v>
      </c>
      <c r="AN143" s="152"/>
      <c r="AO143" s="152">
        <f t="shared" si="97"/>
        <v>0</v>
      </c>
      <c r="AP143" s="152"/>
      <c r="AQ143" s="152">
        <f t="shared" si="98"/>
        <v>0</v>
      </c>
      <c r="AR143" s="152"/>
      <c r="AS143" s="152">
        <f t="shared" si="99"/>
        <v>9348.6604272000004</v>
      </c>
      <c r="AT143" s="559"/>
      <c r="AU143" s="151"/>
    </row>
    <row r="144" spans="1:47" x14ac:dyDescent="0.2">
      <c r="B144" s="451">
        <v>310</v>
      </c>
      <c r="D144" s="406" t="s">
        <v>67</v>
      </c>
      <c r="E144" s="583"/>
      <c r="F144" s="142">
        <v>3</v>
      </c>
      <c r="G144" s="131"/>
      <c r="H144" s="309">
        <v>55884.737499999996</v>
      </c>
      <c r="I144" s="131"/>
      <c r="J144" s="230">
        <f t="shared" si="84"/>
        <v>24790.469554999996</v>
      </c>
      <c r="K144" s="365"/>
      <c r="L144" s="230">
        <f t="shared" si="85"/>
        <v>12719.366254999999</v>
      </c>
      <c r="M144" s="365"/>
      <c r="N144" s="230">
        <f t="shared" si="86"/>
        <v>4861.9721624999993</v>
      </c>
      <c r="O144" s="365"/>
      <c r="P144" s="230">
        <f t="shared" si="87"/>
        <v>2816.5907699999998</v>
      </c>
      <c r="Q144" s="365"/>
      <c r="R144" s="230">
        <f t="shared" si="88"/>
        <v>2380.6898174999997</v>
      </c>
      <c r="S144" s="365"/>
      <c r="T144" s="230">
        <f t="shared" si="89"/>
        <v>0</v>
      </c>
      <c r="U144" s="365"/>
      <c r="V144" s="230">
        <f t="shared" si="90"/>
        <v>8315.6489400000009</v>
      </c>
      <c r="W144" s="153"/>
      <c r="X144" s="231">
        <f t="shared" si="83"/>
        <v>0</v>
      </c>
      <c r="Y144" s="407">
        <v>310.3</v>
      </c>
      <c r="Z144" s="365"/>
      <c r="AA144" s="406" t="s">
        <v>67</v>
      </c>
      <c r="AB144" s="132"/>
      <c r="AC144" s="409">
        <f t="shared" si="91"/>
        <v>3</v>
      </c>
      <c r="AD144" s="130"/>
      <c r="AE144" s="409">
        <f t="shared" si="92"/>
        <v>55884.737499999996</v>
      </c>
      <c r="AG144" s="152">
        <f t="shared" si="93"/>
        <v>29669.20713875</v>
      </c>
      <c r="AH144" s="152"/>
      <c r="AI144" s="152">
        <f t="shared" si="94"/>
        <v>17899.88142125</v>
      </c>
      <c r="AJ144" s="152"/>
      <c r="AK144" s="152">
        <f t="shared" si="95"/>
        <v>0</v>
      </c>
      <c r="AL144" s="152"/>
      <c r="AM144" s="152">
        <f t="shared" si="96"/>
        <v>0</v>
      </c>
      <c r="AN144" s="152"/>
      <c r="AO144" s="152">
        <f t="shared" si="97"/>
        <v>0</v>
      </c>
      <c r="AP144" s="152"/>
      <c r="AQ144" s="152">
        <f t="shared" si="98"/>
        <v>0</v>
      </c>
      <c r="AR144" s="152"/>
      <c r="AS144" s="152">
        <f t="shared" si="99"/>
        <v>8315.6489400000009</v>
      </c>
      <c r="AU144" s="151"/>
    </row>
    <row r="145" spans="1:47" x14ac:dyDescent="0.2">
      <c r="B145" s="451">
        <v>311.10000000000002</v>
      </c>
      <c r="D145" s="406" t="s">
        <v>68</v>
      </c>
      <c r="E145" s="583"/>
      <c r="F145" s="142">
        <v>3</v>
      </c>
      <c r="G145" s="131"/>
      <c r="H145" s="309">
        <v>174497.63049999997</v>
      </c>
      <c r="I145" s="131"/>
      <c r="J145" s="230">
        <f t="shared" si="84"/>
        <v>77407.148889799981</v>
      </c>
      <c r="K145" s="365"/>
      <c r="L145" s="230">
        <f t="shared" si="85"/>
        <v>39715.660701799992</v>
      </c>
      <c r="M145" s="365"/>
      <c r="N145" s="230">
        <f t="shared" si="86"/>
        <v>15181.293853499996</v>
      </c>
      <c r="O145" s="365"/>
      <c r="P145" s="230">
        <f t="shared" si="87"/>
        <v>8794.6805771999989</v>
      </c>
      <c r="Q145" s="365"/>
      <c r="R145" s="230">
        <f t="shared" si="88"/>
        <v>7433.5990592999988</v>
      </c>
      <c r="S145" s="365"/>
      <c r="T145" s="230">
        <f t="shared" si="89"/>
        <v>0</v>
      </c>
      <c r="U145" s="365"/>
      <c r="V145" s="230">
        <f t="shared" si="90"/>
        <v>25965.247418399998</v>
      </c>
      <c r="W145" s="153"/>
      <c r="X145" s="231">
        <f t="shared" si="83"/>
        <v>0</v>
      </c>
      <c r="Y145" s="407">
        <v>311.10000000000002</v>
      </c>
      <c r="Z145" s="365"/>
      <c r="AA145" s="406" t="s">
        <v>68</v>
      </c>
      <c r="AB145" s="132"/>
      <c r="AC145" s="409">
        <f t="shared" si="91"/>
        <v>3</v>
      </c>
      <c r="AD145" s="130"/>
      <c r="AE145" s="409">
        <f t="shared" si="92"/>
        <v>174497.63049999997</v>
      </c>
      <c r="AG145" s="152">
        <f t="shared" si="93"/>
        <v>92640.792032449986</v>
      </c>
      <c r="AH145" s="152"/>
      <c r="AI145" s="152">
        <f t="shared" si="94"/>
        <v>55891.591049149996</v>
      </c>
      <c r="AJ145" s="152"/>
      <c r="AK145" s="152">
        <f t="shared" si="95"/>
        <v>0</v>
      </c>
      <c r="AL145" s="152"/>
      <c r="AM145" s="152">
        <f t="shared" si="96"/>
        <v>0</v>
      </c>
      <c r="AN145" s="152"/>
      <c r="AO145" s="152">
        <f t="shared" si="97"/>
        <v>0</v>
      </c>
      <c r="AP145" s="152"/>
      <c r="AQ145" s="152">
        <f t="shared" si="98"/>
        <v>0</v>
      </c>
      <c r="AR145" s="152"/>
      <c r="AS145" s="152">
        <f t="shared" si="99"/>
        <v>25965.247418399998</v>
      </c>
      <c r="AU145" s="151"/>
    </row>
    <row r="146" spans="1:47" x14ac:dyDescent="0.2">
      <c r="B146" s="451">
        <v>311.2</v>
      </c>
      <c r="D146" s="406" t="s">
        <v>68</v>
      </c>
      <c r="E146" s="583"/>
      <c r="F146" s="142">
        <v>3</v>
      </c>
      <c r="G146" s="131"/>
      <c r="H146" s="309">
        <v>40040.839500000002</v>
      </c>
      <c r="I146" s="131"/>
      <c r="J146" s="230">
        <f t="shared" si="84"/>
        <v>17762.116402200001</v>
      </c>
      <c r="K146" s="365"/>
      <c r="L146" s="230">
        <f t="shared" si="85"/>
        <v>9113.2950701999998</v>
      </c>
      <c r="M146" s="365"/>
      <c r="N146" s="230">
        <f t="shared" si="86"/>
        <v>3483.5530365</v>
      </c>
      <c r="O146" s="365"/>
      <c r="P146" s="230">
        <f t="shared" si="87"/>
        <v>2018.0583108000001</v>
      </c>
      <c r="Q146" s="365"/>
      <c r="R146" s="230">
        <f t="shared" si="88"/>
        <v>1705.7397627</v>
      </c>
      <c r="S146" s="365"/>
      <c r="T146" s="230">
        <f t="shared" si="89"/>
        <v>0</v>
      </c>
      <c r="U146" s="365"/>
      <c r="V146" s="230">
        <f t="shared" si="90"/>
        <v>5958.0769176000013</v>
      </c>
      <c r="W146" s="153"/>
      <c r="X146" s="231">
        <f t="shared" si="83"/>
        <v>0</v>
      </c>
      <c r="Y146" s="407">
        <v>311.2</v>
      </c>
      <c r="Z146" s="365"/>
      <c r="AA146" s="406" t="s">
        <v>68</v>
      </c>
      <c r="AB146" s="132"/>
      <c r="AC146" s="409">
        <f t="shared" si="91"/>
        <v>3</v>
      </c>
      <c r="AD146" s="130"/>
      <c r="AE146" s="409">
        <f t="shared" si="92"/>
        <v>40040.839500000002</v>
      </c>
      <c r="AG146" s="152">
        <f t="shared" si="93"/>
        <v>21257.681690550002</v>
      </c>
      <c r="AH146" s="152"/>
      <c r="AI146" s="152">
        <f t="shared" si="94"/>
        <v>12825.080891850002</v>
      </c>
      <c r="AJ146" s="152"/>
      <c r="AK146" s="152">
        <f t="shared" si="95"/>
        <v>0</v>
      </c>
      <c r="AL146" s="152"/>
      <c r="AM146" s="152">
        <f t="shared" si="96"/>
        <v>0</v>
      </c>
      <c r="AN146" s="152"/>
      <c r="AO146" s="152">
        <f t="shared" si="97"/>
        <v>0</v>
      </c>
      <c r="AP146" s="152"/>
      <c r="AQ146" s="152">
        <f t="shared" si="98"/>
        <v>0</v>
      </c>
      <c r="AR146" s="152"/>
      <c r="AS146" s="152">
        <f t="shared" si="99"/>
        <v>5958.0769176000013</v>
      </c>
      <c r="AU146" s="151"/>
    </row>
    <row r="147" spans="1:47" x14ac:dyDescent="0.2">
      <c r="B147" s="451">
        <v>311.3</v>
      </c>
      <c r="D147" s="406" t="s">
        <v>68</v>
      </c>
      <c r="E147" s="583"/>
      <c r="F147" s="142">
        <v>3</v>
      </c>
      <c r="G147" s="131"/>
      <c r="H147" s="309">
        <v>217466.55850000001</v>
      </c>
      <c r="I147" s="131"/>
      <c r="J147" s="230">
        <f t="shared" si="84"/>
        <v>96468.1653506</v>
      </c>
      <c r="K147" s="365"/>
      <c r="L147" s="230">
        <f t="shared" si="85"/>
        <v>49495.388714600005</v>
      </c>
      <c r="M147" s="365"/>
      <c r="N147" s="230">
        <f t="shared" si="86"/>
        <v>18919.5905895</v>
      </c>
      <c r="O147" s="365"/>
      <c r="P147" s="230">
        <f t="shared" si="87"/>
        <v>10960.314548400002</v>
      </c>
      <c r="Q147" s="365"/>
      <c r="R147" s="230">
        <f t="shared" si="88"/>
        <v>9264.0753920999996</v>
      </c>
      <c r="S147" s="365"/>
      <c r="T147" s="230">
        <f t="shared" si="89"/>
        <v>0</v>
      </c>
      <c r="U147" s="365"/>
      <c r="V147" s="230">
        <f t="shared" si="90"/>
        <v>32359.023904800004</v>
      </c>
      <c r="W147" s="153"/>
      <c r="X147" s="231">
        <f t="shared" si="83"/>
        <v>0</v>
      </c>
      <c r="Y147" s="407">
        <v>311.3</v>
      </c>
      <c r="Z147" s="365"/>
      <c r="AA147" s="406" t="s">
        <v>68</v>
      </c>
      <c r="AB147" s="130"/>
      <c r="AC147" s="409">
        <f t="shared" si="91"/>
        <v>3</v>
      </c>
      <c r="AD147" s="130"/>
      <c r="AE147" s="409">
        <f t="shared" si="92"/>
        <v>217466.55850000001</v>
      </c>
      <c r="AG147" s="152">
        <f t="shared" si="93"/>
        <v>115452.99590765001</v>
      </c>
      <c r="AH147" s="152"/>
      <c r="AI147" s="152">
        <f t="shared" si="94"/>
        <v>69654.538687550012</v>
      </c>
      <c r="AJ147" s="152"/>
      <c r="AK147" s="152">
        <f t="shared" si="95"/>
        <v>0</v>
      </c>
      <c r="AL147" s="152"/>
      <c r="AM147" s="152">
        <f t="shared" si="96"/>
        <v>0</v>
      </c>
      <c r="AN147" s="152"/>
      <c r="AO147" s="152">
        <f t="shared" si="97"/>
        <v>0</v>
      </c>
      <c r="AP147" s="152"/>
      <c r="AQ147" s="152">
        <f t="shared" si="98"/>
        <v>0</v>
      </c>
      <c r="AR147" s="152"/>
      <c r="AS147" s="152">
        <f t="shared" si="99"/>
        <v>32359.023904800004</v>
      </c>
      <c r="AU147" s="151"/>
    </row>
    <row r="148" spans="1:47" x14ac:dyDescent="0.2">
      <c r="B148" s="451">
        <v>320.10000000000002</v>
      </c>
      <c r="D148" s="406" t="s">
        <v>69</v>
      </c>
      <c r="E148" s="583"/>
      <c r="F148" s="142">
        <v>2</v>
      </c>
      <c r="G148" s="131"/>
      <c r="H148" s="309">
        <v>828598.35149999999</v>
      </c>
      <c r="I148" s="131"/>
      <c r="J148" s="230">
        <f t="shared" si="84"/>
        <v>430125.40426365001</v>
      </c>
      <c r="K148" s="365"/>
      <c r="L148" s="230">
        <f t="shared" si="85"/>
        <v>220738.60083959997</v>
      </c>
      <c r="M148" s="365"/>
      <c r="N148" s="230">
        <f t="shared" si="86"/>
        <v>84351.3121827</v>
      </c>
      <c r="O148" s="365"/>
      <c r="P148" s="230">
        <f t="shared" si="87"/>
        <v>48887.302738500002</v>
      </c>
      <c r="Q148" s="365"/>
      <c r="R148" s="230">
        <f t="shared" si="88"/>
        <v>41347.057739850003</v>
      </c>
      <c r="S148" s="365"/>
      <c r="T148" s="230">
        <f t="shared" si="89"/>
        <v>0</v>
      </c>
      <c r="U148" s="365"/>
      <c r="V148" s="230">
        <f t="shared" si="90"/>
        <v>3148.6737357000002</v>
      </c>
      <c r="W148" s="153"/>
      <c r="X148" s="231">
        <f t="shared" si="83"/>
        <v>0</v>
      </c>
      <c r="Y148" s="407">
        <v>320.10000000000002</v>
      </c>
      <c r="Z148" s="365"/>
      <c r="AA148" s="406" t="s">
        <v>69</v>
      </c>
      <c r="AB148" s="130"/>
      <c r="AC148" s="409">
        <f t="shared" si="91"/>
        <v>2</v>
      </c>
      <c r="AD148" s="130"/>
      <c r="AE148" s="409">
        <f t="shared" si="92"/>
        <v>828598.35149999999</v>
      </c>
      <c r="AG148" s="152">
        <f t="shared" si="93"/>
        <v>514725.29595179996</v>
      </c>
      <c r="AH148" s="152"/>
      <c r="AI148" s="152">
        <f t="shared" si="94"/>
        <v>310724.38181250001</v>
      </c>
      <c r="AJ148" s="152"/>
      <c r="AK148" s="152">
        <f t="shared" si="95"/>
        <v>0</v>
      </c>
      <c r="AL148" s="152"/>
      <c r="AM148" s="152">
        <f t="shared" si="96"/>
        <v>0</v>
      </c>
      <c r="AN148" s="152"/>
      <c r="AO148" s="152">
        <f t="shared" si="97"/>
        <v>0</v>
      </c>
      <c r="AP148" s="152"/>
      <c r="AQ148" s="152">
        <f t="shared" si="98"/>
        <v>0</v>
      </c>
      <c r="AR148" s="152"/>
      <c r="AS148" s="152">
        <f t="shared" si="99"/>
        <v>3148.6737357000002</v>
      </c>
      <c r="AU148" s="151"/>
    </row>
    <row r="149" spans="1:47" x14ac:dyDescent="0.2">
      <c r="B149" s="451">
        <v>320.2</v>
      </c>
      <c r="D149" s="406" t="s">
        <v>70</v>
      </c>
      <c r="E149" s="583"/>
      <c r="F149" s="142">
        <v>2</v>
      </c>
      <c r="G149" s="131"/>
      <c r="H149" s="309">
        <v>3358.8939999999998</v>
      </c>
      <c r="I149" s="131"/>
      <c r="J149" s="230">
        <f t="shared" si="84"/>
        <v>1743.6018753999999</v>
      </c>
      <c r="K149" s="365"/>
      <c r="L149" s="230">
        <f t="shared" si="85"/>
        <v>894.80936159999987</v>
      </c>
      <c r="M149" s="365"/>
      <c r="N149" s="230">
        <f t="shared" si="86"/>
        <v>341.93540919999998</v>
      </c>
      <c r="O149" s="365"/>
      <c r="P149" s="230">
        <f t="shared" si="87"/>
        <v>198.174746</v>
      </c>
      <c r="Q149" s="365"/>
      <c r="R149" s="230">
        <f t="shared" si="88"/>
        <v>167.6088106</v>
      </c>
      <c r="S149" s="365"/>
      <c r="T149" s="230">
        <f t="shared" si="89"/>
        <v>0</v>
      </c>
      <c r="U149" s="365"/>
      <c r="V149" s="230">
        <f t="shared" si="90"/>
        <v>12.763797199999999</v>
      </c>
      <c r="W149" s="153"/>
      <c r="X149" s="231">
        <f t="shared" si="83"/>
        <v>0</v>
      </c>
      <c r="Y149" s="407">
        <v>320.2</v>
      </c>
      <c r="Z149" s="365"/>
      <c r="AA149" s="406" t="s">
        <v>70</v>
      </c>
      <c r="AB149" s="130"/>
      <c r="AC149" s="409">
        <f t="shared" si="91"/>
        <v>2</v>
      </c>
      <c r="AD149" s="130"/>
      <c r="AE149" s="409">
        <f t="shared" si="92"/>
        <v>3358.8939999999998</v>
      </c>
      <c r="AG149" s="152">
        <f t="shared" si="93"/>
        <v>2086.5449527999999</v>
      </c>
      <c r="AH149" s="152"/>
      <c r="AI149" s="152">
        <f t="shared" si="94"/>
        <v>1259.5852499999999</v>
      </c>
      <c r="AJ149" s="152"/>
      <c r="AK149" s="152">
        <f t="shared" si="95"/>
        <v>0</v>
      </c>
      <c r="AL149" s="152"/>
      <c r="AM149" s="152">
        <f t="shared" si="96"/>
        <v>0</v>
      </c>
      <c r="AN149" s="152"/>
      <c r="AO149" s="152">
        <f t="shared" si="97"/>
        <v>0</v>
      </c>
      <c r="AP149" s="152"/>
      <c r="AQ149" s="152">
        <f t="shared" si="98"/>
        <v>0</v>
      </c>
      <c r="AR149" s="152"/>
      <c r="AS149" s="152">
        <f t="shared" si="99"/>
        <v>12.763797199999999</v>
      </c>
      <c r="AU149" s="151"/>
    </row>
    <row r="150" spans="1:47" x14ac:dyDescent="0.2">
      <c r="B150" s="451">
        <v>330.1</v>
      </c>
      <c r="D150" s="406" t="s">
        <v>71</v>
      </c>
      <c r="E150" s="583"/>
      <c r="F150" s="142">
        <v>5</v>
      </c>
      <c r="G150" s="131"/>
      <c r="H150" s="309">
        <v>257135.85450000002</v>
      </c>
      <c r="I150" s="131"/>
      <c r="J150" s="230">
        <f t="shared" si="84"/>
        <v>104525.72485425</v>
      </c>
      <c r="K150" s="365"/>
      <c r="L150" s="230">
        <f t="shared" si="85"/>
        <v>48855.812355000002</v>
      </c>
      <c r="M150" s="365"/>
      <c r="N150" s="230">
        <f t="shared" si="86"/>
        <v>15582.432782700002</v>
      </c>
      <c r="O150" s="365"/>
      <c r="P150" s="230">
        <f t="shared" si="87"/>
        <v>9051.1820783999992</v>
      </c>
      <c r="Q150" s="365"/>
      <c r="R150" s="230">
        <f t="shared" si="88"/>
        <v>7611.2212932000011</v>
      </c>
      <c r="S150" s="365"/>
      <c r="T150" s="230">
        <f t="shared" si="89"/>
        <v>0</v>
      </c>
      <c r="U150" s="365"/>
      <c r="V150" s="230">
        <f t="shared" si="90"/>
        <v>71509.481136450006</v>
      </c>
      <c r="W150" s="153"/>
      <c r="X150" s="231">
        <f t="shared" si="83"/>
        <v>0</v>
      </c>
      <c r="Y150" s="407">
        <v>330.1</v>
      </c>
      <c r="Z150" s="365"/>
      <c r="AA150" s="406" t="s">
        <v>71</v>
      </c>
      <c r="AB150" s="130"/>
      <c r="AC150" s="409">
        <f t="shared" si="91"/>
        <v>5</v>
      </c>
      <c r="AD150" s="130"/>
      <c r="AE150" s="409">
        <f t="shared" si="92"/>
        <v>257135.85450000002</v>
      </c>
      <c r="AG150" s="152">
        <f t="shared" si="93"/>
        <v>77063.61559365</v>
      </c>
      <c r="AH150" s="152"/>
      <c r="AI150" s="152">
        <f t="shared" si="94"/>
        <v>0</v>
      </c>
      <c r="AJ150" s="152"/>
      <c r="AK150" s="152">
        <f t="shared" si="95"/>
        <v>108562.75776990001</v>
      </c>
      <c r="AL150" s="152"/>
      <c r="AM150" s="152">
        <f t="shared" si="96"/>
        <v>0</v>
      </c>
      <c r="AN150" s="152"/>
      <c r="AO150" s="152">
        <f t="shared" si="97"/>
        <v>0</v>
      </c>
      <c r="AP150" s="152"/>
      <c r="AQ150" s="152">
        <f t="shared" si="98"/>
        <v>0</v>
      </c>
      <c r="AR150" s="152"/>
      <c r="AS150" s="152">
        <f t="shared" si="99"/>
        <v>71509.481136450006</v>
      </c>
      <c r="AU150" s="151"/>
    </row>
    <row r="151" spans="1:47" x14ac:dyDescent="0.2">
      <c r="B151" s="451">
        <v>330.3</v>
      </c>
      <c r="D151" s="406" t="s">
        <v>72</v>
      </c>
      <c r="E151" s="583"/>
      <c r="F151" s="142">
        <v>5</v>
      </c>
      <c r="G151" s="131"/>
      <c r="H151" s="309">
        <v>1758.6244999999997</v>
      </c>
      <c r="I151" s="131"/>
      <c r="J151" s="230">
        <f t="shared" si="84"/>
        <v>714.88085924999984</v>
      </c>
      <c r="K151" s="365"/>
      <c r="L151" s="230">
        <f t="shared" si="85"/>
        <v>334.13865499999991</v>
      </c>
      <c r="M151" s="365"/>
      <c r="N151" s="230">
        <f t="shared" si="86"/>
        <v>106.57264469999998</v>
      </c>
      <c r="O151" s="365"/>
      <c r="P151" s="230">
        <f t="shared" si="87"/>
        <v>61.903582399999983</v>
      </c>
      <c r="Q151" s="365"/>
      <c r="R151" s="230">
        <f t="shared" si="88"/>
        <v>52.055285199999993</v>
      </c>
      <c r="S151" s="365"/>
      <c r="T151" s="230">
        <f t="shared" si="89"/>
        <v>0</v>
      </c>
      <c r="U151" s="365"/>
      <c r="V151" s="230">
        <f t="shared" si="90"/>
        <v>489.07347344999994</v>
      </c>
      <c r="W151" s="153"/>
      <c r="X151" s="231">
        <f t="shared" si="83"/>
        <v>0</v>
      </c>
      <c r="Y151" s="407">
        <v>330.3</v>
      </c>
      <c r="Z151" s="365"/>
      <c r="AA151" s="406" t="s">
        <v>72</v>
      </c>
      <c r="AB151" s="130"/>
      <c r="AC151" s="409">
        <f t="shared" si="91"/>
        <v>5</v>
      </c>
      <c r="AD151" s="130"/>
      <c r="AE151" s="409">
        <f t="shared" si="92"/>
        <v>1758.6244999999997</v>
      </c>
      <c r="AG151" s="152">
        <f t="shared" si="93"/>
        <v>527.05976264999981</v>
      </c>
      <c r="AH151" s="152"/>
      <c r="AI151" s="152">
        <f t="shared" si="94"/>
        <v>0</v>
      </c>
      <c r="AJ151" s="152"/>
      <c r="AK151" s="152">
        <f t="shared" si="95"/>
        <v>742.49126389999992</v>
      </c>
      <c r="AL151" s="152"/>
      <c r="AM151" s="152">
        <f t="shared" si="96"/>
        <v>0</v>
      </c>
      <c r="AN151" s="152"/>
      <c r="AO151" s="152">
        <f t="shared" si="97"/>
        <v>0</v>
      </c>
      <c r="AP151" s="152"/>
      <c r="AQ151" s="152">
        <f t="shared" si="98"/>
        <v>0</v>
      </c>
      <c r="AR151" s="152"/>
      <c r="AS151" s="152">
        <f t="shared" si="99"/>
        <v>489.07347344999994</v>
      </c>
      <c r="AU151" s="151"/>
    </row>
    <row r="152" spans="1:47" s="492" customFormat="1" x14ac:dyDescent="0.2">
      <c r="A152" s="498"/>
      <c r="B152" s="499">
        <v>331.1</v>
      </c>
      <c r="C152" s="231"/>
      <c r="D152" s="500" t="s">
        <v>173</v>
      </c>
      <c r="E152" s="583"/>
      <c r="F152" s="308">
        <v>3</v>
      </c>
      <c r="G152" s="237"/>
      <c r="H152" s="309">
        <v>1148283.3552077</v>
      </c>
      <c r="I152" s="237"/>
      <c r="J152" s="501">
        <f t="shared" si="84"/>
        <v>509378.49637013575</v>
      </c>
      <c r="K152" s="231"/>
      <c r="L152" s="501">
        <f t="shared" si="85"/>
        <v>261349.29164527252</v>
      </c>
      <c r="M152" s="231"/>
      <c r="N152" s="501">
        <f t="shared" si="86"/>
        <v>99900.651903069898</v>
      </c>
      <c r="O152" s="231"/>
      <c r="P152" s="501">
        <f t="shared" si="87"/>
        <v>57873.481102468082</v>
      </c>
      <c r="Q152" s="231"/>
      <c r="R152" s="501">
        <f t="shared" si="88"/>
        <v>48916.870931848018</v>
      </c>
      <c r="S152" s="231"/>
      <c r="T152" s="501">
        <f t="shared" si="89"/>
        <v>0</v>
      </c>
      <c r="U152" s="231"/>
      <c r="V152" s="501">
        <f t="shared" si="90"/>
        <v>170864.56325490578</v>
      </c>
      <c r="W152" s="153"/>
      <c r="X152" s="231">
        <f t="shared" si="83"/>
        <v>0</v>
      </c>
      <c r="Y152" s="502">
        <v>331.1</v>
      </c>
      <c r="Z152" s="231"/>
      <c r="AA152" s="500" t="s">
        <v>342</v>
      </c>
      <c r="AB152" s="130"/>
      <c r="AC152" s="503">
        <f t="shared" si="91"/>
        <v>3</v>
      </c>
      <c r="AD152" s="130"/>
      <c r="AE152" s="503">
        <f t="shared" si="92"/>
        <v>1148283.3552077</v>
      </c>
      <c r="AG152" s="394">
        <f t="shared" si="93"/>
        <v>609623.63327976805</v>
      </c>
      <c r="AH152" s="394"/>
      <c r="AI152" s="394">
        <f t="shared" si="94"/>
        <v>367795.15867302637</v>
      </c>
      <c r="AJ152" s="394"/>
      <c r="AK152" s="394">
        <f t="shared" si="95"/>
        <v>0</v>
      </c>
      <c r="AL152" s="394"/>
      <c r="AM152" s="394">
        <f t="shared" si="96"/>
        <v>0</v>
      </c>
      <c r="AN152" s="394"/>
      <c r="AO152" s="394">
        <f t="shared" si="97"/>
        <v>0</v>
      </c>
      <c r="AP152" s="394"/>
      <c r="AQ152" s="394">
        <f t="shared" si="98"/>
        <v>0</v>
      </c>
      <c r="AR152" s="394"/>
      <c r="AS152" s="394">
        <f t="shared" si="99"/>
        <v>170864.56325490578</v>
      </c>
      <c r="AU152" s="151"/>
    </row>
    <row r="153" spans="1:47" s="492" customFormat="1" x14ac:dyDescent="0.2">
      <c r="A153" s="498"/>
      <c r="B153" s="499">
        <v>331.1</v>
      </c>
      <c r="C153" s="231"/>
      <c r="D153" s="500" t="s">
        <v>174</v>
      </c>
      <c r="E153" s="583"/>
      <c r="F153" s="308">
        <v>4</v>
      </c>
      <c r="G153" s="237"/>
      <c r="H153" s="309">
        <v>1370434.2477923001</v>
      </c>
      <c r="I153" s="237"/>
      <c r="J153" s="501">
        <f t="shared" si="84"/>
        <v>630125.66713489953</v>
      </c>
      <c r="K153" s="231"/>
      <c r="L153" s="501">
        <f t="shared" si="85"/>
        <v>295054.4935496822</v>
      </c>
      <c r="M153" s="231"/>
      <c r="N153" s="501">
        <f t="shared" si="86"/>
        <v>94148.832823331017</v>
      </c>
      <c r="O153" s="231"/>
      <c r="P153" s="501">
        <f t="shared" si="87"/>
        <v>54543.283062133545</v>
      </c>
      <c r="Q153" s="231"/>
      <c r="R153" s="501">
        <f t="shared" si="88"/>
        <v>0</v>
      </c>
      <c r="S153" s="231"/>
      <c r="T153" s="501">
        <f t="shared" si="89"/>
        <v>0</v>
      </c>
      <c r="U153" s="231"/>
      <c r="V153" s="501">
        <f t="shared" si="90"/>
        <v>296561.97122225369</v>
      </c>
      <c r="W153" s="153"/>
      <c r="X153" s="231">
        <f t="shared" si="83"/>
        <v>0</v>
      </c>
      <c r="Y153" s="502">
        <v>331.1</v>
      </c>
      <c r="Z153" s="231"/>
      <c r="AA153" s="500" t="s">
        <v>343</v>
      </c>
      <c r="AB153" s="130"/>
      <c r="AC153" s="503">
        <f t="shared" si="91"/>
        <v>4</v>
      </c>
      <c r="AD153" s="130"/>
      <c r="AE153" s="503">
        <f t="shared" si="92"/>
        <v>1370434.2477923001</v>
      </c>
      <c r="AG153" s="394">
        <f t="shared" si="93"/>
        <v>445802.26080683526</v>
      </c>
      <c r="AH153" s="394"/>
      <c r="AI153" s="394">
        <f t="shared" si="94"/>
        <v>0</v>
      </c>
      <c r="AJ153" s="394"/>
      <c r="AK153" s="394">
        <f t="shared" si="95"/>
        <v>628070.01576321106</v>
      </c>
      <c r="AL153" s="394"/>
      <c r="AM153" s="394">
        <f t="shared" si="96"/>
        <v>0</v>
      </c>
      <c r="AN153" s="394"/>
      <c r="AO153" s="394">
        <f t="shared" si="97"/>
        <v>0</v>
      </c>
      <c r="AP153" s="394"/>
      <c r="AQ153" s="394">
        <f t="shared" si="98"/>
        <v>0</v>
      </c>
      <c r="AR153" s="394"/>
      <c r="AS153" s="394">
        <f t="shared" si="99"/>
        <v>296561.97122225369</v>
      </c>
      <c r="AU153" s="151"/>
    </row>
    <row r="154" spans="1:47" s="492" customFormat="1" x14ac:dyDescent="0.2">
      <c r="A154" s="498"/>
      <c r="B154" s="499">
        <v>331.2</v>
      </c>
      <c r="D154" s="500" t="s">
        <v>173</v>
      </c>
      <c r="E154" s="583"/>
      <c r="F154" s="308">
        <v>3</v>
      </c>
      <c r="G154" s="237"/>
      <c r="H154" s="309">
        <v>41434.01446025</v>
      </c>
      <c r="I154" s="237"/>
      <c r="J154" s="501">
        <f t="shared" si="84"/>
        <v>18380.128814566899</v>
      </c>
      <c r="K154" s="231"/>
      <c r="L154" s="501">
        <f t="shared" si="85"/>
        <v>9430.3816911528993</v>
      </c>
      <c r="M154" s="231"/>
      <c r="N154" s="501">
        <f t="shared" si="86"/>
        <v>3604.7592580417499</v>
      </c>
      <c r="O154" s="231"/>
      <c r="P154" s="501">
        <f t="shared" si="87"/>
        <v>2088.2743287966</v>
      </c>
      <c r="Q154" s="231"/>
      <c r="R154" s="501">
        <f t="shared" si="88"/>
        <v>1765.0890160066499</v>
      </c>
      <c r="S154" s="231"/>
      <c r="T154" s="501">
        <f t="shared" si="89"/>
        <v>0</v>
      </c>
      <c r="U154" s="231"/>
      <c r="V154" s="501">
        <f t="shared" si="90"/>
        <v>6165.3813516852006</v>
      </c>
      <c r="W154" s="153"/>
      <c r="X154" s="231">
        <f t="shared" si="83"/>
        <v>0</v>
      </c>
      <c r="Y154" s="502">
        <v>331.2</v>
      </c>
      <c r="AA154" s="500" t="s">
        <v>342</v>
      </c>
      <c r="AB154" s="130"/>
      <c r="AC154" s="503">
        <f t="shared" si="91"/>
        <v>3</v>
      </c>
      <c r="AD154" s="130"/>
      <c r="AE154" s="503">
        <f t="shared" si="92"/>
        <v>41434.01446025</v>
      </c>
      <c r="AG154" s="394">
        <f t="shared" si="93"/>
        <v>21997.318276946728</v>
      </c>
      <c r="AH154" s="394"/>
      <c r="AI154" s="394">
        <f t="shared" si="94"/>
        <v>13271.314831618076</v>
      </c>
      <c r="AJ154" s="394"/>
      <c r="AK154" s="394">
        <f t="shared" si="95"/>
        <v>0</v>
      </c>
      <c r="AL154" s="394"/>
      <c r="AM154" s="394">
        <f t="shared" si="96"/>
        <v>0</v>
      </c>
      <c r="AN154" s="394"/>
      <c r="AO154" s="394">
        <f t="shared" si="97"/>
        <v>0</v>
      </c>
      <c r="AP154" s="394"/>
      <c r="AQ154" s="394">
        <f t="shared" si="98"/>
        <v>0</v>
      </c>
      <c r="AR154" s="394"/>
      <c r="AS154" s="394">
        <f t="shared" si="99"/>
        <v>6165.3813516852006</v>
      </c>
      <c r="AU154" s="151"/>
    </row>
    <row r="155" spans="1:47" s="492" customFormat="1" x14ac:dyDescent="0.2">
      <c r="A155" s="498"/>
      <c r="B155" s="499">
        <v>331.2</v>
      </c>
      <c r="D155" s="500" t="s">
        <v>174</v>
      </c>
      <c r="E155" s="583"/>
      <c r="F155" s="308">
        <v>4</v>
      </c>
      <c r="G155" s="237"/>
      <c r="H155" s="309">
        <v>49449.983039750005</v>
      </c>
      <c r="I155" s="237"/>
      <c r="J155" s="501">
        <f t="shared" si="84"/>
        <v>22737.102201677051</v>
      </c>
      <c r="K155" s="231"/>
      <c r="L155" s="501">
        <f t="shared" si="85"/>
        <v>10646.581348458176</v>
      </c>
      <c r="M155" s="231"/>
      <c r="N155" s="501">
        <f t="shared" si="86"/>
        <v>3397.2138348308254</v>
      </c>
      <c r="O155" s="231"/>
      <c r="P155" s="501">
        <f t="shared" si="87"/>
        <v>1968.1093249820503</v>
      </c>
      <c r="Q155" s="231"/>
      <c r="R155" s="501">
        <f t="shared" si="88"/>
        <v>0</v>
      </c>
      <c r="S155" s="231"/>
      <c r="T155" s="501">
        <f t="shared" si="89"/>
        <v>0</v>
      </c>
      <c r="U155" s="231"/>
      <c r="V155" s="501">
        <f t="shared" si="90"/>
        <v>10700.976329801901</v>
      </c>
      <c r="W155" s="153"/>
      <c r="X155" s="231">
        <f t="shared" si="83"/>
        <v>0</v>
      </c>
      <c r="Y155" s="502">
        <v>331.2</v>
      </c>
      <c r="AA155" s="500" t="s">
        <v>343</v>
      </c>
      <c r="AB155" s="130"/>
      <c r="AC155" s="503">
        <f t="shared" si="91"/>
        <v>4</v>
      </c>
      <c r="AD155" s="130"/>
      <c r="AE155" s="503">
        <f t="shared" si="92"/>
        <v>49449.983039750005</v>
      </c>
      <c r="AG155" s="394">
        <f t="shared" si="93"/>
        <v>16086.079482830679</v>
      </c>
      <c r="AH155" s="394"/>
      <c r="AI155" s="394">
        <f t="shared" si="94"/>
        <v>0</v>
      </c>
      <c r="AJ155" s="394"/>
      <c r="AK155" s="394">
        <f t="shared" si="95"/>
        <v>22662.927227117427</v>
      </c>
      <c r="AL155" s="394"/>
      <c r="AM155" s="394">
        <f t="shared" si="96"/>
        <v>0</v>
      </c>
      <c r="AN155" s="394"/>
      <c r="AO155" s="394">
        <f t="shared" si="97"/>
        <v>0</v>
      </c>
      <c r="AP155" s="394"/>
      <c r="AQ155" s="394">
        <f t="shared" si="98"/>
        <v>0</v>
      </c>
      <c r="AR155" s="394"/>
      <c r="AS155" s="394">
        <f t="shared" si="99"/>
        <v>10700.976329801901</v>
      </c>
      <c r="AU155" s="151"/>
    </row>
    <row r="156" spans="1:47" s="492" customFormat="1" ht="13.5" customHeight="1" x14ac:dyDescent="0.2">
      <c r="A156" s="498"/>
      <c r="B156" s="499">
        <v>331.3</v>
      </c>
      <c r="C156" s="231"/>
      <c r="D156" s="500" t="s">
        <v>173</v>
      </c>
      <c r="E156" s="583"/>
      <c r="F156" s="308">
        <v>3</v>
      </c>
      <c r="G156" s="237"/>
      <c r="H156" s="309">
        <v>15742.068346800002</v>
      </c>
      <c r="I156" s="237"/>
      <c r="J156" s="501">
        <f t="shared" si="84"/>
        <v>6983.181518640481</v>
      </c>
      <c r="K156" s="231"/>
      <c r="L156" s="501">
        <f t="shared" si="85"/>
        <v>3582.8947557316806</v>
      </c>
      <c r="M156" s="231"/>
      <c r="N156" s="501">
        <f t="shared" si="86"/>
        <v>1369.5599461716001</v>
      </c>
      <c r="O156" s="231"/>
      <c r="P156" s="501">
        <f t="shared" si="87"/>
        <v>793.40024467872013</v>
      </c>
      <c r="Q156" s="231"/>
      <c r="R156" s="501">
        <f t="shared" si="88"/>
        <v>670.61211157368007</v>
      </c>
      <c r="S156" s="231"/>
      <c r="T156" s="501">
        <f t="shared" si="89"/>
        <v>0</v>
      </c>
      <c r="U156" s="231"/>
      <c r="V156" s="501">
        <f t="shared" si="90"/>
        <v>2342.4197700038408</v>
      </c>
      <c r="W156" s="153"/>
      <c r="X156" s="231">
        <f t="shared" si="83"/>
        <v>0</v>
      </c>
      <c r="Y156" s="502">
        <v>331.3</v>
      </c>
      <c r="Z156" s="231"/>
      <c r="AA156" s="500" t="s">
        <v>344</v>
      </c>
      <c r="AB156" s="130"/>
      <c r="AC156" s="503">
        <f t="shared" si="91"/>
        <v>3</v>
      </c>
      <c r="AD156" s="130"/>
      <c r="AE156" s="503">
        <f t="shared" si="92"/>
        <v>15742.068346800002</v>
      </c>
      <c r="AG156" s="394">
        <f t="shared" si="93"/>
        <v>8357.4640853161218</v>
      </c>
      <c r="AH156" s="394"/>
      <c r="AI156" s="394">
        <f t="shared" si="94"/>
        <v>5042.1844914800413</v>
      </c>
      <c r="AJ156" s="394"/>
      <c r="AK156" s="394">
        <f t="shared" si="95"/>
        <v>0</v>
      </c>
      <c r="AL156" s="394"/>
      <c r="AM156" s="394">
        <f t="shared" si="96"/>
        <v>0</v>
      </c>
      <c r="AN156" s="394"/>
      <c r="AO156" s="394">
        <f t="shared" si="97"/>
        <v>0</v>
      </c>
      <c r="AP156" s="394"/>
      <c r="AQ156" s="394">
        <f t="shared" si="98"/>
        <v>0</v>
      </c>
      <c r="AR156" s="394"/>
      <c r="AS156" s="394">
        <f t="shared" si="99"/>
        <v>2342.4197700038408</v>
      </c>
      <c r="AU156" s="151"/>
    </row>
    <row r="157" spans="1:47" s="492" customFormat="1" ht="13.5" customHeight="1" x14ac:dyDescent="0.2">
      <c r="A157" s="498"/>
      <c r="B157" s="499">
        <v>331.3</v>
      </c>
      <c r="C157" s="231"/>
      <c r="D157" s="500" t="s">
        <v>174</v>
      </c>
      <c r="E157" s="583"/>
      <c r="F157" s="308">
        <v>4</v>
      </c>
      <c r="G157" s="237"/>
      <c r="H157" s="309">
        <v>18787.583653200003</v>
      </c>
      <c r="I157" s="237"/>
      <c r="J157" s="501">
        <f t="shared" si="84"/>
        <v>8638.5309637413611</v>
      </c>
      <c r="K157" s="231"/>
      <c r="L157" s="501">
        <f t="shared" si="85"/>
        <v>4044.9667605339605</v>
      </c>
      <c r="M157" s="231"/>
      <c r="N157" s="501">
        <f t="shared" si="86"/>
        <v>1290.7069969748402</v>
      </c>
      <c r="O157" s="231"/>
      <c r="P157" s="501">
        <f t="shared" si="87"/>
        <v>747.74582939736013</v>
      </c>
      <c r="Q157" s="231"/>
      <c r="R157" s="501">
        <f t="shared" si="88"/>
        <v>0</v>
      </c>
      <c r="S157" s="231"/>
      <c r="T157" s="501">
        <f t="shared" si="89"/>
        <v>0</v>
      </c>
      <c r="U157" s="231"/>
      <c r="V157" s="501">
        <f t="shared" si="90"/>
        <v>4065.6331025524805</v>
      </c>
      <c r="W157" s="153"/>
      <c r="X157" s="231">
        <f t="shared" si="83"/>
        <v>0</v>
      </c>
      <c r="Y157" s="502">
        <v>331.3</v>
      </c>
      <c r="Z157" s="231"/>
      <c r="AA157" s="500" t="s">
        <v>345</v>
      </c>
      <c r="AB157" s="130"/>
      <c r="AC157" s="503">
        <f t="shared" si="91"/>
        <v>4</v>
      </c>
      <c r="AD157" s="130"/>
      <c r="AE157" s="503">
        <f t="shared" si="92"/>
        <v>18787.583653200003</v>
      </c>
      <c r="AG157" s="394">
        <f t="shared" si="93"/>
        <v>6111.6009623859618</v>
      </c>
      <c r="AH157" s="394"/>
      <c r="AI157" s="394">
        <f t="shared" si="94"/>
        <v>0</v>
      </c>
      <c r="AJ157" s="394"/>
      <c r="AK157" s="394">
        <f t="shared" si="95"/>
        <v>8610.3495882615607</v>
      </c>
      <c r="AL157" s="394"/>
      <c r="AM157" s="394">
        <f t="shared" si="96"/>
        <v>0</v>
      </c>
      <c r="AN157" s="394"/>
      <c r="AO157" s="394">
        <f t="shared" si="97"/>
        <v>0</v>
      </c>
      <c r="AP157" s="394"/>
      <c r="AQ157" s="394">
        <f t="shared" si="98"/>
        <v>0</v>
      </c>
      <c r="AR157" s="394"/>
      <c r="AS157" s="394">
        <f t="shared" si="99"/>
        <v>4065.6331025524805</v>
      </c>
      <c r="AU157" s="151"/>
    </row>
    <row r="158" spans="1:47" s="492" customFormat="1" x14ac:dyDescent="0.2">
      <c r="A158" s="498"/>
      <c r="B158" s="499">
        <v>333.1</v>
      </c>
      <c r="C158" s="231"/>
      <c r="D158" s="500" t="s">
        <v>329</v>
      </c>
      <c r="E158" s="583"/>
      <c r="F158" s="308">
        <v>9</v>
      </c>
      <c r="G158" s="237"/>
      <c r="H158" s="309">
        <v>585571.12</v>
      </c>
      <c r="I158" s="237"/>
      <c r="J158" s="501">
        <f t="shared" si="84"/>
        <v>495276.053296</v>
      </c>
      <c r="K158" s="231"/>
      <c r="L158" s="501">
        <f t="shared" si="85"/>
        <v>76358.474047999989</v>
      </c>
      <c r="M158" s="231"/>
      <c r="N158" s="501">
        <f t="shared" si="86"/>
        <v>3396.3124959999996</v>
      </c>
      <c r="O158" s="231"/>
      <c r="P158" s="501">
        <f t="shared" si="87"/>
        <v>10247.4946</v>
      </c>
      <c r="Q158" s="231"/>
      <c r="R158" s="501">
        <f t="shared" si="88"/>
        <v>292.78555999999998</v>
      </c>
      <c r="S158" s="231"/>
      <c r="T158" s="501">
        <f t="shared" si="89"/>
        <v>0</v>
      </c>
      <c r="U158" s="231"/>
      <c r="V158" s="501">
        <f t="shared" si="90"/>
        <v>0</v>
      </c>
      <c r="W158" s="153"/>
      <c r="X158" s="231">
        <f t="shared" si="83"/>
        <v>0</v>
      </c>
      <c r="Y158" s="502">
        <v>333.1</v>
      </c>
      <c r="Z158" s="231"/>
      <c r="AA158" s="500" t="s">
        <v>329</v>
      </c>
      <c r="AB158" s="130"/>
      <c r="AC158" s="503">
        <f t="shared" si="91"/>
        <v>9</v>
      </c>
      <c r="AD158" s="130"/>
      <c r="AE158" s="503">
        <f t="shared" si="92"/>
        <v>585571.12</v>
      </c>
      <c r="AG158" s="394">
        <f t="shared" si="93"/>
        <v>0</v>
      </c>
      <c r="AH158" s="394"/>
      <c r="AI158" s="394">
        <f t="shared" si="94"/>
        <v>0</v>
      </c>
      <c r="AJ158" s="394"/>
      <c r="AK158" s="394">
        <f t="shared" si="95"/>
        <v>0</v>
      </c>
      <c r="AL158" s="394"/>
      <c r="AM158" s="394">
        <f t="shared" si="96"/>
        <v>0</v>
      </c>
      <c r="AN158" s="394"/>
      <c r="AO158" s="394">
        <f t="shared" si="97"/>
        <v>585571.12</v>
      </c>
      <c r="AP158" s="394"/>
      <c r="AQ158" s="394">
        <f t="shared" si="98"/>
        <v>0</v>
      </c>
      <c r="AR158" s="394"/>
      <c r="AS158" s="394">
        <f t="shared" si="99"/>
        <v>0</v>
      </c>
      <c r="AU158" s="151"/>
    </row>
    <row r="159" spans="1:47" x14ac:dyDescent="0.2">
      <c r="B159" s="451">
        <v>333.2</v>
      </c>
      <c r="D159" s="406" t="s">
        <v>73</v>
      </c>
      <c r="E159" s="583"/>
      <c r="F159" s="142">
        <v>9</v>
      </c>
      <c r="G159" s="131"/>
      <c r="H159" s="309">
        <v>8287.5</v>
      </c>
      <c r="I159" s="131"/>
      <c r="J159" s="230">
        <f t="shared" si="84"/>
        <v>7009.5675000000001</v>
      </c>
      <c r="K159" s="365"/>
      <c r="L159" s="230">
        <f t="shared" si="85"/>
        <v>1080.6899999999998</v>
      </c>
      <c r="M159" s="365"/>
      <c r="N159" s="230">
        <f t="shared" si="86"/>
        <v>48.067499999999995</v>
      </c>
      <c r="O159" s="365"/>
      <c r="P159" s="230">
        <f t="shared" si="87"/>
        <v>145.03125</v>
      </c>
      <c r="Q159" s="365"/>
      <c r="R159" s="230">
        <f t="shared" si="88"/>
        <v>4.1437499999999998</v>
      </c>
      <c r="S159" s="365"/>
      <c r="T159" s="230">
        <f t="shared" si="89"/>
        <v>0</v>
      </c>
      <c r="U159" s="365"/>
      <c r="V159" s="230">
        <f t="shared" si="90"/>
        <v>0</v>
      </c>
      <c r="W159" s="153"/>
      <c r="X159" s="231">
        <f t="shared" si="83"/>
        <v>0</v>
      </c>
      <c r="Y159" s="407">
        <v>333.2</v>
      </c>
      <c r="Z159" s="365"/>
      <c r="AA159" s="406" t="s">
        <v>73</v>
      </c>
      <c r="AB159" s="130"/>
      <c r="AC159" s="409">
        <f t="shared" si="91"/>
        <v>9</v>
      </c>
      <c r="AD159" s="130"/>
      <c r="AE159" s="409">
        <f t="shared" si="92"/>
        <v>8287.5</v>
      </c>
      <c r="AF159" s="127"/>
      <c r="AG159" s="152">
        <f t="shared" si="93"/>
        <v>0</v>
      </c>
      <c r="AH159" s="152"/>
      <c r="AI159" s="152">
        <f t="shared" si="94"/>
        <v>0</v>
      </c>
      <c r="AJ159" s="152"/>
      <c r="AK159" s="152">
        <f t="shared" si="95"/>
        <v>0</v>
      </c>
      <c r="AL159" s="152"/>
      <c r="AM159" s="152">
        <f t="shared" si="96"/>
        <v>0</v>
      </c>
      <c r="AN159" s="152"/>
      <c r="AO159" s="152">
        <f t="shared" si="97"/>
        <v>8287.5</v>
      </c>
      <c r="AP159" s="152"/>
      <c r="AQ159" s="152">
        <f t="shared" si="98"/>
        <v>0</v>
      </c>
      <c r="AR159" s="152"/>
      <c r="AS159" s="152">
        <f t="shared" si="99"/>
        <v>0</v>
      </c>
      <c r="AT159" s="127"/>
      <c r="AU159" s="146"/>
    </row>
    <row r="160" spans="1:47" x14ac:dyDescent="0.2">
      <c r="B160" s="451">
        <v>334.1</v>
      </c>
      <c r="D160" s="406" t="s">
        <v>407</v>
      </c>
      <c r="E160" s="583"/>
      <c r="F160" s="142">
        <v>8</v>
      </c>
      <c r="G160" s="131"/>
      <c r="H160" s="309">
        <v>651609.71950000001</v>
      </c>
      <c r="I160" s="131"/>
      <c r="J160" s="230">
        <f t="shared" si="84"/>
        <v>528585.8044584</v>
      </c>
      <c r="K160" s="365"/>
      <c r="L160" s="230">
        <f t="shared" si="85"/>
        <v>100999.5065225</v>
      </c>
      <c r="M160" s="365"/>
      <c r="N160" s="230">
        <f t="shared" si="86"/>
        <v>6385.7752510999999</v>
      </c>
      <c r="O160" s="365"/>
      <c r="P160" s="230">
        <f t="shared" si="87"/>
        <v>14921.86257655</v>
      </c>
      <c r="Q160" s="365"/>
      <c r="R160" s="230">
        <f t="shared" si="88"/>
        <v>716.77069145000007</v>
      </c>
      <c r="S160" s="365"/>
      <c r="T160" s="230">
        <f t="shared" si="89"/>
        <v>0</v>
      </c>
      <c r="U160" s="365"/>
      <c r="V160" s="230">
        <f t="shared" si="90"/>
        <v>0</v>
      </c>
      <c r="W160" s="153"/>
      <c r="X160" s="231">
        <f t="shared" si="83"/>
        <v>0</v>
      </c>
      <c r="Y160" s="407">
        <v>334.1</v>
      </c>
      <c r="Z160" s="365"/>
      <c r="AA160" s="406" t="s">
        <v>407</v>
      </c>
      <c r="AB160" s="130"/>
      <c r="AC160" s="409">
        <f t="shared" si="91"/>
        <v>8</v>
      </c>
      <c r="AD160" s="130"/>
      <c r="AE160" s="409">
        <f t="shared" si="92"/>
        <v>651609.71950000001</v>
      </c>
      <c r="AG160" s="152">
        <f t="shared" si="93"/>
        <v>0</v>
      </c>
      <c r="AH160" s="152"/>
      <c r="AI160" s="152">
        <f t="shared" si="94"/>
        <v>0</v>
      </c>
      <c r="AJ160" s="152"/>
      <c r="AK160" s="152">
        <f t="shared" si="95"/>
        <v>0</v>
      </c>
      <c r="AL160" s="152"/>
      <c r="AM160" s="152">
        <f t="shared" si="96"/>
        <v>651609.71950000001</v>
      </c>
      <c r="AN160" s="152"/>
      <c r="AO160" s="152">
        <f t="shared" si="97"/>
        <v>0</v>
      </c>
      <c r="AP160" s="152"/>
      <c r="AQ160" s="152">
        <f t="shared" si="98"/>
        <v>0</v>
      </c>
      <c r="AR160" s="152"/>
      <c r="AS160" s="152">
        <f t="shared" si="99"/>
        <v>0</v>
      </c>
      <c r="AU160" s="151"/>
    </row>
    <row r="161" spans="2:47" x14ac:dyDescent="0.2">
      <c r="B161" s="451">
        <v>334.2</v>
      </c>
      <c r="D161" s="406" t="s">
        <v>407</v>
      </c>
      <c r="E161" s="583"/>
      <c r="F161" s="142">
        <v>8</v>
      </c>
      <c r="G161" s="131"/>
      <c r="H161" s="309">
        <v>222.36</v>
      </c>
      <c r="I161" s="131"/>
      <c r="J161" s="230">
        <f t="shared" si="84"/>
        <v>180.37843200000003</v>
      </c>
      <c r="K161" s="365"/>
      <c r="L161" s="230">
        <f t="shared" si="85"/>
        <v>34.465800000000002</v>
      </c>
      <c r="M161" s="365"/>
      <c r="N161" s="230">
        <f t="shared" si="86"/>
        <v>2.179128</v>
      </c>
      <c r="O161" s="365"/>
      <c r="P161" s="230">
        <f t="shared" si="87"/>
        <v>5.0920440000000005</v>
      </c>
      <c r="Q161" s="365"/>
      <c r="R161" s="230">
        <f t="shared" si="88"/>
        <v>0.24459600000000004</v>
      </c>
      <c r="S161" s="365"/>
      <c r="T161" s="230">
        <f t="shared" si="89"/>
        <v>0</v>
      </c>
      <c r="U161" s="365"/>
      <c r="V161" s="230">
        <f t="shared" si="90"/>
        <v>0</v>
      </c>
      <c r="W161" s="153"/>
      <c r="X161" s="231">
        <f t="shared" ref="X161:X188" si="100">+H161-SUM(J161:V161)</f>
        <v>0</v>
      </c>
      <c r="Y161" s="407">
        <v>334.2</v>
      </c>
      <c r="Z161" s="365"/>
      <c r="AA161" s="406" t="s">
        <v>407</v>
      </c>
      <c r="AB161" s="130"/>
      <c r="AC161" s="409">
        <f t="shared" si="91"/>
        <v>8</v>
      </c>
      <c r="AD161" s="130"/>
      <c r="AE161" s="409">
        <f t="shared" si="92"/>
        <v>222.36</v>
      </c>
      <c r="AG161" s="152">
        <f t="shared" si="93"/>
        <v>0</v>
      </c>
      <c r="AH161" s="152"/>
      <c r="AI161" s="152">
        <f t="shared" si="94"/>
        <v>0</v>
      </c>
      <c r="AJ161" s="152"/>
      <c r="AK161" s="152">
        <f t="shared" si="95"/>
        <v>0</v>
      </c>
      <c r="AL161" s="152"/>
      <c r="AM161" s="152">
        <f t="shared" si="96"/>
        <v>222.36</v>
      </c>
      <c r="AN161" s="152"/>
      <c r="AO161" s="152">
        <f t="shared" si="97"/>
        <v>0</v>
      </c>
      <c r="AP161" s="152"/>
      <c r="AQ161" s="152">
        <f t="shared" si="98"/>
        <v>0</v>
      </c>
      <c r="AR161" s="152"/>
      <c r="AS161" s="152">
        <f t="shared" si="99"/>
        <v>0</v>
      </c>
      <c r="AU161" s="151"/>
    </row>
    <row r="162" spans="2:47" x14ac:dyDescent="0.2">
      <c r="B162" s="451">
        <v>335.1</v>
      </c>
      <c r="D162" s="406" t="s">
        <v>74</v>
      </c>
      <c r="E162" s="583"/>
      <c r="F162" s="142">
        <v>7</v>
      </c>
      <c r="G162" s="131"/>
      <c r="H162" s="309">
        <v>162510.06349999999</v>
      </c>
      <c r="I162" s="131"/>
      <c r="J162" s="230">
        <f t="shared" si="84"/>
        <v>0</v>
      </c>
      <c r="K162" s="365"/>
      <c r="L162" s="230">
        <f t="shared" si="85"/>
        <v>0</v>
      </c>
      <c r="M162" s="365"/>
      <c r="N162" s="230">
        <f t="shared" si="86"/>
        <v>0</v>
      </c>
      <c r="O162" s="365"/>
      <c r="P162" s="230">
        <f t="shared" si="87"/>
        <v>0</v>
      </c>
      <c r="Q162" s="365"/>
      <c r="R162" s="230">
        <f t="shared" si="88"/>
        <v>0</v>
      </c>
      <c r="S162" s="365"/>
      <c r="T162" s="230">
        <f t="shared" si="89"/>
        <v>0</v>
      </c>
      <c r="U162" s="365"/>
      <c r="V162" s="230">
        <f t="shared" si="90"/>
        <v>162510.06349999999</v>
      </c>
      <c r="W162" s="153"/>
      <c r="X162" s="231">
        <f t="shared" si="100"/>
        <v>0</v>
      </c>
      <c r="Y162" s="407">
        <v>335.1</v>
      </c>
      <c r="Z162" s="365"/>
      <c r="AA162" s="406" t="s">
        <v>74</v>
      </c>
      <c r="AB162" s="130"/>
      <c r="AC162" s="409">
        <f t="shared" si="91"/>
        <v>7</v>
      </c>
      <c r="AD162" s="130"/>
      <c r="AE162" s="409">
        <f t="shared" si="92"/>
        <v>162510.06349999999</v>
      </c>
      <c r="AG162" s="152">
        <f t="shared" si="93"/>
        <v>0</v>
      </c>
      <c r="AH162" s="152"/>
      <c r="AI162" s="152">
        <f t="shared" si="94"/>
        <v>0</v>
      </c>
      <c r="AJ162" s="152"/>
      <c r="AK162" s="152">
        <f t="shared" si="95"/>
        <v>0</v>
      </c>
      <c r="AL162" s="152"/>
      <c r="AM162" s="152">
        <f t="shared" si="96"/>
        <v>0</v>
      </c>
      <c r="AN162" s="152"/>
      <c r="AO162" s="152">
        <f t="shared" si="97"/>
        <v>0</v>
      </c>
      <c r="AP162" s="152"/>
      <c r="AQ162" s="152">
        <f t="shared" si="98"/>
        <v>0</v>
      </c>
      <c r="AR162" s="152"/>
      <c r="AS162" s="152">
        <f t="shared" si="99"/>
        <v>162510.06349999999</v>
      </c>
      <c r="AU162" s="151"/>
    </row>
    <row r="163" spans="2:47" x14ac:dyDescent="0.2">
      <c r="B163" s="451">
        <v>335.3</v>
      </c>
      <c r="D163" s="406" t="s">
        <v>75</v>
      </c>
      <c r="E163" s="583"/>
      <c r="F163" s="142">
        <v>7</v>
      </c>
      <c r="G163" s="131"/>
      <c r="H163" s="309">
        <v>3541.6695</v>
      </c>
      <c r="I163" s="131"/>
      <c r="J163" s="230">
        <f t="shared" si="84"/>
        <v>0</v>
      </c>
      <c r="K163" s="365"/>
      <c r="L163" s="230">
        <f t="shared" si="85"/>
        <v>0</v>
      </c>
      <c r="M163" s="365"/>
      <c r="N163" s="230">
        <f t="shared" si="86"/>
        <v>0</v>
      </c>
      <c r="O163" s="365"/>
      <c r="P163" s="230">
        <f t="shared" si="87"/>
        <v>0</v>
      </c>
      <c r="Q163" s="365"/>
      <c r="R163" s="230">
        <f t="shared" si="88"/>
        <v>0</v>
      </c>
      <c r="S163" s="365"/>
      <c r="T163" s="230">
        <f t="shared" si="89"/>
        <v>0</v>
      </c>
      <c r="U163" s="365"/>
      <c r="V163" s="230">
        <f t="shared" si="90"/>
        <v>3541.6695</v>
      </c>
      <c r="W163" s="153"/>
      <c r="X163" s="231">
        <f t="shared" si="100"/>
        <v>0</v>
      </c>
      <c r="Y163" s="407">
        <v>335.3</v>
      </c>
      <c r="Z163" s="365"/>
      <c r="AA163" s="406" t="s">
        <v>75</v>
      </c>
      <c r="AB163" s="130"/>
      <c r="AC163" s="409">
        <f t="shared" si="91"/>
        <v>7</v>
      </c>
      <c r="AD163" s="130"/>
      <c r="AE163" s="409">
        <f t="shared" si="92"/>
        <v>3541.6695</v>
      </c>
      <c r="AG163" s="152">
        <f t="shared" si="93"/>
        <v>0</v>
      </c>
      <c r="AH163" s="152"/>
      <c r="AI163" s="152">
        <f t="shared" si="94"/>
        <v>0</v>
      </c>
      <c r="AJ163" s="152"/>
      <c r="AK163" s="152">
        <f t="shared" si="95"/>
        <v>0</v>
      </c>
      <c r="AL163" s="152"/>
      <c r="AM163" s="152">
        <f t="shared" si="96"/>
        <v>0</v>
      </c>
      <c r="AN163" s="152"/>
      <c r="AO163" s="152">
        <f t="shared" si="97"/>
        <v>0</v>
      </c>
      <c r="AP163" s="152"/>
      <c r="AQ163" s="152">
        <f t="shared" si="98"/>
        <v>0</v>
      </c>
      <c r="AR163" s="152"/>
      <c r="AS163" s="152">
        <f t="shared" si="99"/>
        <v>3541.6695</v>
      </c>
      <c r="AU163" s="151"/>
    </row>
    <row r="164" spans="2:47" x14ac:dyDescent="0.2">
      <c r="B164" s="451">
        <v>339.1</v>
      </c>
      <c r="D164" s="406" t="s">
        <v>76</v>
      </c>
      <c r="E164" s="583"/>
      <c r="F164" s="142">
        <v>14</v>
      </c>
      <c r="G164" s="131"/>
      <c r="H164" s="309">
        <v>17685.6865</v>
      </c>
      <c r="I164" s="131"/>
      <c r="J164" s="230">
        <f t="shared" si="84"/>
        <v>10031.321382800001</v>
      </c>
      <c r="K164" s="365"/>
      <c r="L164" s="230">
        <f t="shared" si="85"/>
        <v>3498.2287897000001</v>
      </c>
      <c r="M164" s="365"/>
      <c r="N164" s="230">
        <f t="shared" si="86"/>
        <v>1089.4382883999999</v>
      </c>
      <c r="O164" s="365"/>
      <c r="P164" s="230">
        <f t="shared" si="87"/>
        <v>680.89893025000003</v>
      </c>
      <c r="Q164" s="365"/>
      <c r="R164" s="230">
        <f t="shared" si="88"/>
        <v>337.79661214999999</v>
      </c>
      <c r="S164" s="365"/>
      <c r="T164" s="230">
        <f t="shared" si="89"/>
        <v>0</v>
      </c>
      <c r="U164" s="365"/>
      <c r="V164" s="230">
        <f t="shared" si="90"/>
        <v>2048.0024966999999</v>
      </c>
      <c r="W164" s="153"/>
      <c r="X164" s="231">
        <f t="shared" si="100"/>
        <v>0</v>
      </c>
      <c r="Y164" s="407">
        <v>339.1</v>
      </c>
      <c r="Z164" s="365"/>
      <c r="AA164" s="406" t="s">
        <v>76</v>
      </c>
      <c r="AB164" s="130"/>
      <c r="AC164" s="409">
        <f t="shared" si="91"/>
        <v>14</v>
      </c>
      <c r="AD164" s="130"/>
      <c r="AE164" s="409">
        <f t="shared" si="92"/>
        <v>17685.6865</v>
      </c>
      <c r="AG164" s="152">
        <f t="shared" si="93"/>
        <v>5951.23350725</v>
      </c>
      <c r="AH164" s="152"/>
      <c r="AI164" s="152">
        <f t="shared" si="94"/>
        <v>2408.7905013</v>
      </c>
      <c r="AJ164" s="152"/>
      <c r="AK164" s="152">
        <f t="shared" si="95"/>
        <v>2760.73566265</v>
      </c>
      <c r="AL164" s="152"/>
      <c r="AM164" s="152">
        <f t="shared" si="96"/>
        <v>1121.2725241000001</v>
      </c>
      <c r="AN164" s="152"/>
      <c r="AO164" s="152">
        <f t="shared" si="97"/>
        <v>1368.8721350999999</v>
      </c>
      <c r="AP164" s="152"/>
      <c r="AQ164" s="152">
        <f t="shared" si="98"/>
        <v>2026.7796728999999</v>
      </c>
      <c r="AR164" s="152"/>
      <c r="AS164" s="152">
        <f t="shared" si="99"/>
        <v>2048.0024966999999</v>
      </c>
      <c r="AU164" s="151"/>
    </row>
    <row r="165" spans="2:47" x14ac:dyDescent="0.2">
      <c r="B165" s="451">
        <v>339.2</v>
      </c>
      <c r="D165" s="406" t="s">
        <v>76</v>
      </c>
      <c r="E165" s="583"/>
      <c r="F165" s="142">
        <v>14</v>
      </c>
      <c r="G165" s="237"/>
      <c r="H165" s="309">
        <v>0</v>
      </c>
      <c r="I165" s="131"/>
      <c r="J165" s="230">
        <f t="shared" si="84"/>
        <v>0</v>
      </c>
      <c r="K165" s="365"/>
      <c r="L165" s="230">
        <f t="shared" si="85"/>
        <v>0</v>
      </c>
      <c r="M165" s="365"/>
      <c r="N165" s="230">
        <f t="shared" si="86"/>
        <v>0</v>
      </c>
      <c r="O165" s="365"/>
      <c r="P165" s="230">
        <f t="shared" si="87"/>
        <v>0</v>
      </c>
      <c r="Q165" s="365"/>
      <c r="R165" s="230">
        <f t="shared" si="88"/>
        <v>0</v>
      </c>
      <c r="S165" s="365"/>
      <c r="T165" s="230">
        <f t="shared" si="89"/>
        <v>0</v>
      </c>
      <c r="U165" s="365"/>
      <c r="V165" s="230">
        <f t="shared" si="90"/>
        <v>0</v>
      </c>
      <c r="W165" s="153"/>
      <c r="X165" s="231">
        <f t="shared" si="100"/>
        <v>0</v>
      </c>
      <c r="Y165" s="407">
        <v>339.2</v>
      </c>
      <c r="Z165" s="365"/>
      <c r="AA165" s="406" t="s">
        <v>76</v>
      </c>
      <c r="AB165" s="307"/>
      <c r="AC165" s="409">
        <f t="shared" si="91"/>
        <v>14</v>
      </c>
      <c r="AD165" s="130"/>
      <c r="AE165" s="409">
        <f t="shared" si="92"/>
        <v>0</v>
      </c>
      <c r="AG165" s="152">
        <f t="shared" si="93"/>
        <v>0</v>
      </c>
      <c r="AH165" s="152"/>
      <c r="AI165" s="152">
        <f t="shared" si="94"/>
        <v>0</v>
      </c>
      <c r="AJ165" s="152"/>
      <c r="AK165" s="152">
        <f t="shared" si="95"/>
        <v>0</v>
      </c>
      <c r="AL165" s="152"/>
      <c r="AM165" s="152">
        <f t="shared" si="96"/>
        <v>0</v>
      </c>
      <c r="AN165" s="152"/>
      <c r="AO165" s="152">
        <f t="shared" si="97"/>
        <v>0</v>
      </c>
      <c r="AP165" s="152"/>
      <c r="AQ165" s="152">
        <f t="shared" si="98"/>
        <v>0</v>
      </c>
      <c r="AR165" s="152"/>
      <c r="AS165" s="152">
        <f t="shared" si="99"/>
        <v>0</v>
      </c>
      <c r="AU165" s="151"/>
    </row>
    <row r="166" spans="2:47" x14ac:dyDescent="0.2">
      <c r="B166" s="451">
        <v>340.1</v>
      </c>
      <c r="D166" s="406" t="s">
        <v>77</v>
      </c>
      <c r="E166" s="583"/>
      <c r="F166" s="142">
        <v>14</v>
      </c>
      <c r="G166" s="131"/>
      <c r="H166" s="309">
        <v>186444.508</v>
      </c>
      <c r="I166" s="131"/>
      <c r="J166" s="230">
        <f t="shared" si="84"/>
        <v>105751.3249376</v>
      </c>
      <c r="K166" s="365"/>
      <c r="L166" s="230">
        <f t="shared" si="85"/>
        <v>36878.723682399999</v>
      </c>
      <c r="M166" s="365"/>
      <c r="N166" s="230">
        <f t="shared" si="86"/>
        <v>11484.9816928</v>
      </c>
      <c r="O166" s="365"/>
      <c r="P166" s="230">
        <f t="shared" si="87"/>
        <v>7178.113558</v>
      </c>
      <c r="Q166" s="365"/>
      <c r="R166" s="230">
        <f t="shared" si="88"/>
        <v>3561.0901027999998</v>
      </c>
      <c r="S166" s="365"/>
      <c r="T166" s="230">
        <f t="shared" si="89"/>
        <v>0</v>
      </c>
      <c r="U166" s="365"/>
      <c r="V166" s="230">
        <f t="shared" si="90"/>
        <v>21590.274026399999</v>
      </c>
      <c r="W166" s="153"/>
      <c r="X166" s="231">
        <f t="shared" si="100"/>
        <v>0</v>
      </c>
      <c r="Y166" s="407">
        <v>340.1</v>
      </c>
      <c r="Z166" s="365"/>
      <c r="AA166" s="406" t="s">
        <v>77</v>
      </c>
      <c r="AB166" s="130"/>
      <c r="AC166" s="409">
        <f t="shared" si="91"/>
        <v>14</v>
      </c>
      <c r="AD166" s="130"/>
      <c r="AE166" s="409">
        <f t="shared" si="92"/>
        <v>186444.508</v>
      </c>
      <c r="AG166" s="152">
        <f t="shared" si="93"/>
        <v>62738.576942000007</v>
      </c>
      <c r="AH166" s="152"/>
      <c r="AI166" s="152">
        <f t="shared" si="94"/>
        <v>25393.741989599999</v>
      </c>
      <c r="AJ166" s="152"/>
      <c r="AK166" s="152">
        <f t="shared" si="95"/>
        <v>29103.9876988</v>
      </c>
      <c r="AL166" s="152"/>
      <c r="AM166" s="152">
        <f t="shared" si="96"/>
        <v>11820.5818072</v>
      </c>
      <c r="AN166" s="152"/>
      <c r="AO166" s="152">
        <f t="shared" si="97"/>
        <v>14430.8049192</v>
      </c>
      <c r="AP166" s="152"/>
      <c r="AQ166" s="152">
        <f t="shared" si="98"/>
        <v>21366.540616799997</v>
      </c>
      <c r="AR166" s="152"/>
      <c r="AS166" s="152">
        <f t="shared" si="99"/>
        <v>21590.274026399999</v>
      </c>
      <c r="AU166" s="151"/>
    </row>
    <row r="167" spans="2:47" x14ac:dyDescent="0.2">
      <c r="B167" s="451">
        <v>340.2</v>
      </c>
      <c r="D167" s="406" t="s">
        <v>77</v>
      </c>
      <c r="E167" s="583"/>
      <c r="F167" s="142">
        <v>14</v>
      </c>
      <c r="G167" s="131"/>
      <c r="H167" s="309">
        <v>887.20449999999994</v>
      </c>
      <c r="I167" s="131"/>
      <c r="J167" s="230">
        <f t="shared" si="84"/>
        <v>503.22239239999999</v>
      </c>
      <c r="K167" s="365"/>
      <c r="L167" s="230">
        <f t="shared" si="85"/>
        <v>175.48905009999999</v>
      </c>
      <c r="M167" s="365"/>
      <c r="N167" s="230">
        <f t="shared" si="86"/>
        <v>54.651797199999997</v>
      </c>
      <c r="O167" s="365"/>
      <c r="P167" s="230">
        <f t="shared" si="87"/>
        <v>34.157373249999999</v>
      </c>
      <c r="Q167" s="365"/>
      <c r="R167" s="230">
        <f t="shared" si="88"/>
        <v>16.945605949999997</v>
      </c>
      <c r="S167" s="365"/>
      <c r="T167" s="230">
        <f t="shared" si="89"/>
        <v>0</v>
      </c>
      <c r="U167" s="365"/>
      <c r="V167" s="230">
        <f t="shared" si="90"/>
        <v>102.73828109999999</v>
      </c>
      <c r="W167" s="153"/>
      <c r="X167" s="231">
        <f t="shared" si="100"/>
        <v>0</v>
      </c>
      <c r="Y167" s="407">
        <v>340.2</v>
      </c>
      <c r="Z167" s="365"/>
      <c r="AA167" s="406" t="s">
        <v>77</v>
      </c>
      <c r="AB167" s="130"/>
      <c r="AC167" s="409">
        <f t="shared" si="91"/>
        <v>14</v>
      </c>
      <c r="AD167" s="130"/>
      <c r="AE167" s="409">
        <f t="shared" si="92"/>
        <v>887.20449999999994</v>
      </c>
      <c r="AG167" s="152">
        <f t="shared" si="93"/>
        <v>298.54431425000001</v>
      </c>
      <c r="AH167" s="152"/>
      <c r="AI167" s="152">
        <f t="shared" si="94"/>
        <v>120.83725289999998</v>
      </c>
      <c r="AJ167" s="152"/>
      <c r="AK167" s="152">
        <f t="shared" si="95"/>
        <v>138.49262244999997</v>
      </c>
      <c r="AL167" s="152"/>
      <c r="AM167" s="152">
        <f t="shared" si="96"/>
        <v>56.248765299999995</v>
      </c>
      <c r="AN167" s="152"/>
      <c r="AO167" s="152">
        <f t="shared" si="97"/>
        <v>68.669628299999985</v>
      </c>
      <c r="AP167" s="152"/>
      <c r="AQ167" s="152">
        <f t="shared" si="98"/>
        <v>101.67363569999999</v>
      </c>
      <c r="AR167" s="152"/>
      <c r="AS167" s="152">
        <f t="shared" si="99"/>
        <v>102.73828109999999</v>
      </c>
      <c r="AU167" s="151"/>
    </row>
    <row r="168" spans="2:47" x14ac:dyDescent="0.2">
      <c r="B168" s="451">
        <v>341.1</v>
      </c>
      <c r="D168" s="406" t="s">
        <v>78</v>
      </c>
      <c r="E168" s="583"/>
      <c r="F168" s="142">
        <v>14</v>
      </c>
      <c r="G168" s="131"/>
      <c r="H168" s="309">
        <v>180506.5355</v>
      </c>
      <c r="I168" s="131"/>
      <c r="J168" s="230">
        <f t="shared" si="84"/>
        <v>102383.30693560001</v>
      </c>
      <c r="K168" s="365"/>
      <c r="L168" s="230">
        <f t="shared" si="85"/>
        <v>35704.192721899999</v>
      </c>
      <c r="M168" s="365"/>
      <c r="N168" s="230">
        <f t="shared" si="86"/>
        <v>11119.2025868</v>
      </c>
      <c r="O168" s="365"/>
      <c r="P168" s="230">
        <f t="shared" si="87"/>
        <v>6949.5016167499998</v>
      </c>
      <c r="Q168" s="365"/>
      <c r="R168" s="230">
        <f t="shared" si="88"/>
        <v>3447.6748280499996</v>
      </c>
      <c r="S168" s="365"/>
      <c r="T168" s="230">
        <f t="shared" si="89"/>
        <v>0</v>
      </c>
      <c r="U168" s="365"/>
      <c r="V168" s="230">
        <f t="shared" si="90"/>
        <v>20902.6568109</v>
      </c>
      <c r="W168" s="153"/>
      <c r="X168" s="231">
        <f t="shared" si="100"/>
        <v>0</v>
      </c>
      <c r="Y168" s="407">
        <v>341.1</v>
      </c>
      <c r="Z168" s="365"/>
      <c r="AA168" s="406" t="s">
        <v>78</v>
      </c>
      <c r="AB168" s="130"/>
      <c r="AC168" s="409">
        <f t="shared" si="91"/>
        <v>14</v>
      </c>
      <c r="AD168" s="130"/>
      <c r="AE168" s="409">
        <f t="shared" si="92"/>
        <v>180506.5355</v>
      </c>
      <c r="AG168" s="152">
        <f t="shared" si="93"/>
        <v>60740.449195750007</v>
      </c>
      <c r="AH168" s="152"/>
      <c r="AI168" s="152">
        <f t="shared" si="94"/>
        <v>24584.990135099997</v>
      </c>
      <c r="AJ168" s="152"/>
      <c r="AK168" s="152">
        <f t="shared" si="95"/>
        <v>28177.070191549999</v>
      </c>
      <c r="AL168" s="152"/>
      <c r="AM168" s="152">
        <f t="shared" si="96"/>
        <v>11444.1143507</v>
      </c>
      <c r="AN168" s="152"/>
      <c r="AO168" s="152">
        <f t="shared" si="97"/>
        <v>13971.205847699999</v>
      </c>
      <c r="AP168" s="152"/>
      <c r="AQ168" s="152">
        <f t="shared" si="98"/>
        <v>20686.048968299998</v>
      </c>
      <c r="AR168" s="152"/>
      <c r="AS168" s="152">
        <f t="shared" si="99"/>
        <v>20902.6568109</v>
      </c>
      <c r="AU168" s="151"/>
    </row>
    <row r="169" spans="2:47" x14ac:dyDescent="0.2">
      <c r="B169" s="451">
        <v>341.2</v>
      </c>
      <c r="D169" s="406" t="s">
        <v>78</v>
      </c>
      <c r="E169" s="583"/>
      <c r="F169" s="142">
        <v>14</v>
      </c>
      <c r="G169" s="131"/>
      <c r="H169" s="309">
        <v>0</v>
      </c>
      <c r="I169" s="131"/>
      <c r="J169" s="230">
        <f t="shared" si="84"/>
        <v>0</v>
      </c>
      <c r="K169" s="365"/>
      <c r="L169" s="230">
        <f t="shared" si="85"/>
        <v>0</v>
      </c>
      <c r="M169" s="365"/>
      <c r="N169" s="230">
        <f t="shared" si="86"/>
        <v>0</v>
      </c>
      <c r="O169" s="365"/>
      <c r="P169" s="230">
        <f t="shared" si="87"/>
        <v>0</v>
      </c>
      <c r="Q169" s="365"/>
      <c r="R169" s="230">
        <f t="shared" si="88"/>
        <v>0</v>
      </c>
      <c r="S169" s="365"/>
      <c r="T169" s="230">
        <f t="shared" si="89"/>
        <v>0</v>
      </c>
      <c r="U169" s="365"/>
      <c r="V169" s="230">
        <f t="shared" si="90"/>
        <v>0</v>
      </c>
      <c r="W169" s="153"/>
      <c r="X169" s="231">
        <f t="shared" si="100"/>
        <v>0</v>
      </c>
      <c r="Y169" s="407">
        <v>341.2</v>
      </c>
      <c r="Z169" s="365"/>
      <c r="AA169" s="406" t="s">
        <v>78</v>
      </c>
      <c r="AB169" s="130"/>
      <c r="AC169" s="409">
        <f t="shared" si="91"/>
        <v>14</v>
      </c>
      <c r="AD169" s="130"/>
      <c r="AE169" s="409">
        <f t="shared" si="92"/>
        <v>0</v>
      </c>
      <c r="AG169" s="152">
        <f t="shared" si="93"/>
        <v>0</v>
      </c>
      <c r="AH169" s="152"/>
      <c r="AI169" s="152">
        <f t="shared" si="94"/>
        <v>0</v>
      </c>
      <c r="AJ169" s="152"/>
      <c r="AK169" s="152">
        <f t="shared" si="95"/>
        <v>0</v>
      </c>
      <c r="AL169" s="152"/>
      <c r="AM169" s="152">
        <f t="shared" si="96"/>
        <v>0</v>
      </c>
      <c r="AN169" s="152"/>
      <c r="AO169" s="152">
        <f t="shared" si="97"/>
        <v>0</v>
      </c>
      <c r="AP169" s="152"/>
      <c r="AQ169" s="152">
        <f t="shared" si="98"/>
        <v>0</v>
      </c>
      <c r="AR169" s="152"/>
      <c r="AS169" s="152">
        <f t="shared" si="99"/>
        <v>0</v>
      </c>
      <c r="AU169" s="151"/>
    </row>
    <row r="170" spans="2:47" x14ac:dyDescent="0.2">
      <c r="B170" s="451">
        <v>342.1</v>
      </c>
      <c r="D170" s="406" t="s">
        <v>160</v>
      </c>
      <c r="E170" s="583"/>
      <c r="F170" s="142">
        <v>14</v>
      </c>
      <c r="G170" s="131"/>
      <c r="H170" s="309">
        <v>0</v>
      </c>
      <c r="I170" s="131"/>
      <c r="J170" s="230">
        <f t="shared" si="84"/>
        <v>0</v>
      </c>
      <c r="K170" s="365"/>
      <c r="L170" s="230">
        <f t="shared" si="85"/>
        <v>0</v>
      </c>
      <c r="M170" s="365"/>
      <c r="N170" s="230">
        <f t="shared" si="86"/>
        <v>0</v>
      </c>
      <c r="O170" s="365"/>
      <c r="P170" s="230">
        <f t="shared" si="87"/>
        <v>0</v>
      </c>
      <c r="Q170" s="365"/>
      <c r="R170" s="230">
        <f t="shared" si="88"/>
        <v>0</v>
      </c>
      <c r="S170" s="365"/>
      <c r="T170" s="230">
        <f t="shared" si="89"/>
        <v>0</v>
      </c>
      <c r="U170" s="365"/>
      <c r="V170" s="230">
        <f t="shared" si="90"/>
        <v>0</v>
      </c>
      <c r="W170" s="153"/>
      <c r="X170" s="231">
        <f t="shared" si="100"/>
        <v>0</v>
      </c>
      <c r="Y170" s="407">
        <v>342.1</v>
      </c>
      <c r="Z170" s="365"/>
      <c r="AA170" s="406" t="s">
        <v>160</v>
      </c>
      <c r="AB170" s="130"/>
      <c r="AC170" s="409">
        <f t="shared" si="91"/>
        <v>14</v>
      </c>
      <c r="AD170" s="130"/>
      <c r="AE170" s="409">
        <f t="shared" si="92"/>
        <v>0</v>
      </c>
      <c r="AG170" s="152">
        <f t="shared" si="93"/>
        <v>0</v>
      </c>
      <c r="AH170" s="152"/>
      <c r="AI170" s="152">
        <f t="shared" si="94"/>
        <v>0</v>
      </c>
      <c r="AJ170" s="152"/>
      <c r="AK170" s="152">
        <f t="shared" si="95"/>
        <v>0</v>
      </c>
      <c r="AL170" s="152"/>
      <c r="AM170" s="152">
        <f t="shared" si="96"/>
        <v>0</v>
      </c>
      <c r="AN170" s="152"/>
      <c r="AO170" s="152">
        <f t="shared" si="97"/>
        <v>0</v>
      </c>
      <c r="AP170" s="152"/>
      <c r="AQ170" s="152">
        <f t="shared" si="98"/>
        <v>0</v>
      </c>
      <c r="AR170" s="152"/>
      <c r="AS170" s="152">
        <f t="shared" si="99"/>
        <v>0</v>
      </c>
      <c r="AU170" s="151"/>
    </row>
    <row r="171" spans="2:47" x14ac:dyDescent="0.2">
      <c r="B171" s="451">
        <v>343.1</v>
      </c>
      <c r="D171" s="406" t="s">
        <v>79</v>
      </c>
      <c r="E171" s="583"/>
      <c r="F171" s="142">
        <v>14</v>
      </c>
      <c r="G171" s="131"/>
      <c r="H171" s="309">
        <v>24597.461499999998</v>
      </c>
      <c r="I171" s="131"/>
      <c r="J171" s="230">
        <f t="shared" si="84"/>
        <v>13951.680162799999</v>
      </c>
      <c r="K171" s="365"/>
      <c r="L171" s="230">
        <f t="shared" si="85"/>
        <v>4865.3778846999994</v>
      </c>
      <c r="M171" s="365"/>
      <c r="N171" s="230">
        <f t="shared" si="86"/>
        <v>1515.2036283999998</v>
      </c>
      <c r="O171" s="365"/>
      <c r="P171" s="230">
        <f t="shared" si="87"/>
        <v>947.00226774999987</v>
      </c>
      <c r="Q171" s="365"/>
      <c r="R171" s="230">
        <f t="shared" si="88"/>
        <v>469.81151464999994</v>
      </c>
      <c r="S171" s="365"/>
      <c r="T171" s="230">
        <f t="shared" si="89"/>
        <v>0</v>
      </c>
      <c r="U171" s="365"/>
      <c r="V171" s="230">
        <f t="shared" si="90"/>
        <v>2848.3860416999996</v>
      </c>
      <c r="W171" s="153"/>
      <c r="X171" s="231">
        <f t="shared" si="100"/>
        <v>0</v>
      </c>
      <c r="Y171" s="407">
        <v>343.1</v>
      </c>
      <c r="Z171" s="365"/>
      <c r="AA171" s="406" t="s">
        <v>79</v>
      </c>
      <c r="AB171" s="130"/>
      <c r="AC171" s="409">
        <f t="shared" si="91"/>
        <v>14</v>
      </c>
      <c r="AD171" s="130"/>
      <c r="AE171" s="409">
        <f t="shared" si="92"/>
        <v>24597.461499999998</v>
      </c>
      <c r="AG171" s="152">
        <f t="shared" si="93"/>
        <v>8277.0457947499999</v>
      </c>
      <c r="AH171" s="152"/>
      <c r="AI171" s="152">
        <f t="shared" si="94"/>
        <v>3350.1742562999993</v>
      </c>
      <c r="AJ171" s="152"/>
      <c r="AK171" s="152">
        <f t="shared" si="95"/>
        <v>3839.6637401499993</v>
      </c>
      <c r="AL171" s="152"/>
      <c r="AM171" s="152">
        <f t="shared" si="96"/>
        <v>1559.4790590999999</v>
      </c>
      <c r="AN171" s="152"/>
      <c r="AO171" s="152">
        <f t="shared" si="97"/>
        <v>1903.8435200999998</v>
      </c>
      <c r="AP171" s="152"/>
      <c r="AQ171" s="152">
        <f t="shared" si="98"/>
        <v>2818.8690878999996</v>
      </c>
      <c r="AR171" s="152"/>
      <c r="AS171" s="152">
        <f t="shared" si="99"/>
        <v>2848.3860416999996</v>
      </c>
      <c r="AU171" s="151"/>
    </row>
    <row r="172" spans="2:47" x14ac:dyDescent="0.2">
      <c r="B172" s="451">
        <v>344.1</v>
      </c>
      <c r="D172" s="406" t="s">
        <v>161</v>
      </c>
      <c r="E172" s="583"/>
      <c r="F172" s="142">
        <v>2</v>
      </c>
      <c r="G172" s="131"/>
      <c r="H172" s="309">
        <v>29637.604499999998</v>
      </c>
      <c r="I172" s="131"/>
      <c r="J172" s="230">
        <f t="shared" si="84"/>
        <v>15384.880495949999</v>
      </c>
      <c r="K172" s="365"/>
      <c r="L172" s="230">
        <f t="shared" si="85"/>
        <v>7895.4578387999982</v>
      </c>
      <c r="M172" s="365"/>
      <c r="N172" s="230">
        <f t="shared" si="86"/>
        <v>3017.1081380999999</v>
      </c>
      <c r="O172" s="365"/>
      <c r="P172" s="230">
        <f t="shared" si="87"/>
        <v>1748.6186654999999</v>
      </c>
      <c r="Q172" s="365"/>
      <c r="R172" s="230">
        <f t="shared" si="88"/>
        <v>1478.9164645499998</v>
      </c>
      <c r="S172" s="365"/>
      <c r="T172" s="230">
        <f t="shared" si="89"/>
        <v>0</v>
      </c>
      <c r="U172" s="365"/>
      <c r="V172" s="230">
        <f t="shared" si="90"/>
        <v>112.62289709999999</v>
      </c>
      <c r="W172" s="153"/>
      <c r="X172" s="231">
        <f t="shared" si="100"/>
        <v>0</v>
      </c>
      <c r="Y172" s="407">
        <v>344.1</v>
      </c>
      <c r="Z172" s="365"/>
      <c r="AA172" s="406" t="s">
        <v>161</v>
      </c>
      <c r="AB172" s="130"/>
      <c r="AC172" s="409">
        <f t="shared" si="91"/>
        <v>2</v>
      </c>
      <c r="AD172" s="130"/>
      <c r="AE172" s="409">
        <f t="shared" si="92"/>
        <v>29637.604499999998</v>
      </c>
      <c r="AG172" s="152">
        <f t="shared" si="93"/>
        <v>18410.879915399997</v>
      </c>
      <c r="AH172" s="152"/>
      <c r="AI172" s="152">
        <f t="shared" si="94"/>
        <v>11114.101687499999</v>
      </c>
      <c r="AJ172" s="152"/>
      <c r="AK172" s="152">
        <f t="shared" si="95"/>
        <v>0</v>
      </c>
      <c r="AL172" s="152"/>
      <c r="AM172" s="152">
        <f t="shared" si="96"/>
        <v>0</v>
      </c>
      <c r="AN172" s="152"/>
      <c r="AO172" s="152">
        <f t="shared" si="97"/>
        <v>0</v>
      </c>
      <c r="AP172" s="152"/>
      <c r="AQ172" s="152">
        <f t="shared" si="98"/>
        <v>0</v>
      </c>
      <c r="AR172" s="152"/>
      <c r="AS172" s="152">
        <f t="shared" si="99"/>
        <v>112.62289709999999</v>
      </c>
      <c r="AU172" s="151"/>
    </row>
    <row r="173" spans="2:47" x14ac:dyDescent="0.2">
      <c r="B173" s="451">
        <v>345.1</v>
      </c>
      <c r="D173" s="406" t="s">
        <v>162</v>
      </c>
      <c r="E173" s="583"/>
      <c r="F173" s="142">
        <v>14</v>
      </c>
      <c r="G173" s="131"/>
      <c r="H173" s="309">
        <v>67714.952499999999</v>
      </c>
      <c r="I173" s="131"/>
      <c r="J173" s="230">
        <f t="shared" si="84"/>
        <v>38407.921058</v>
      </c>
      <c r="K173" s="365"/>
      <c r="L173" s="230">
        <f t="shared" si="85"/>
        <v>13394.017604500001</v>
      </c>
      <c r="M173" s="365"/>
      <c r="N173" s="230">
        <f t="shared" si="86"/>
        <v>4171.2410740000005</v>
      </c>
      <c r="O173" s="365"/>
      <c r="P173" s="230">
        <f t="shared" si="87"/>
        <v>2607.02567125</v>
      </c>
      <c r="Q173" s="365"/>
      <c r="R173" s="230">
        <f t="shared" si="88"/>
        <v>1293.3555927499999</v>
      </c>
      <c r="S173" s="365"/>
      <c r="T173" s="230">
        <f t="shared" si="89"/>
        <v>0</v>
      </c>
      <c r="U173" s="365"/>
      <c r="V173" s="230">
        <f t="shared" si="90"/>
        <v>7841.3914994999996</v>
      </c>
      <c r="W173" s="153"/>
      <c r="X173" s="231">
        <f t="shared" si="100"/>
        <v>0</v>
      </c>
      <c r="Y173" s="407">
        <v>345.1</v>
      </c>
      <c r="Z173" s="365"/>
      <c r="AA173" s="406" t="s">
        <v>162</v>
      </c>
      <c r="AB173" s="130"/>
      <c r="AC173" s="409">
        <f t="shared" si="91"/>
        <v>14</v>
      </c>
      <c r="AD173" s="130"/>
      <c r="AE173" s="409">
        <f t="shared" si="92"/>
        <v>67714.952499999999</v>
      </c>
      <c r="AG173" s="152">
        <f t="shared" si="93"/>
        <v>22786.08151625</v>
      </c>
      <c r="AH173" s="152"/>
      <c r="AI173" s="152">
        <f t="shared" si="94"/>
        <v>9222.7765304999994</v>
      </c>
      <c r="AJ173" s="152"/>
      <c r="AK173" s="152">
        <f t="shared" si="95"/>
        <v>10570.30408525</v>
      </c>
      <c r="AL173" s="152"/>
      <c r="AM173" s="152">
        <f t="shared" si="96"/>
        <v>4293.1279884999994</v>
      </c>
      <c r="AN173" s="152"/>
      <c r="AO173" s="152">
        <f t="shared" si="97"/>
        <v>5241.1373235000001</v>
      </c>
      <c r="AP173" s="152"/>
      <c r="AQ173" s="152">
        <f t="shared" si="98"/>
        <v>7760.1335564999999</v>
      </c>
      <c r="AR173" s="152"/>
      <c r="AS173" s="152">
        <f t="shared" si="99"/>
        <v>7841.3914994999996</v>
      </c>
      <c r="AU173" s="151"/>
    </row>
    <row r="174" spans="2:47" x14ac:dyDescent="0.2">
      <c r="B174" s="451">
        <v>346.1</v>
      </c>
      <c r="D174" s="406" t="s">
        <v>80</v>
      </c>
      <c r="E174" s="583"/>
      <c r="F174" s="142">
        <v>14</v>
      </c>
      <c r="G174" s="131"/>
      <c r="H174" s="309">
        <v>276489.5895</v>
      </c>
      <c r="I174" s="131"/>
      <c r="J174" s="230">
        <f t="shared" si="84"/>
        <v>156824.89516440002</v>
      </c>
      <c r="K174" s="365"/>
      <c r="L174" s="230">
        <f t="shared" si="85"/>
        <v>54689.640803100003</v>
      </c>
      <c r="M174" s="365"/>
      <c r="N174" s="230">
        <f t="shared" si="86"/>
        <v>17031.758713200001</v>
      </c>
      <c r="O174" s="365"/>
      <c r="P174" s="230">
        <f t="shared" si="87"/>
        <v>10644.849195749999</v>
      </c>
      <c r="Q174" s="365"/>
      <c r="R174" s="230">
        <f t="shared" si="88"/>
        <v>5280.95115945</v>
      </c>
      <c r="S174" s="365"/>
      <c r="T174" s="230">
        <f t="shared" si="89"/>
        <v>0</v>
      </c>
      <c r="U174" s="365"/>
      <c r="V174" s="230">
        <f t="shared" si="90"/>
        <v>32017.4944641</v>
      </c>
      <c r="W174" s="153"/>
      <c r="X174" s="231">
        <f t="shared" si="100"/>
        <v>0</v>
      </c>
      <c r="Y174" s="407">
        <v>346.1</v>
      </c>
      <c r="Z174" s="365"/>
      <c r="AA174" s="406" t="s">
        <v>80</v>
      </c>
      <c r="AB174" s="130"/>
      <c r="AC174" s="409">
        <f t="shared" si="91"/>
        <v>14</v>
      </c>
      <c r="AD174" s="130"/>
      <c r="AE174" s="409">
        <f t="shared" si="92"/>
        <v>276489.5895</v>
      </c>
      <c r="AG174" s="152">
        <f t="shared" si="93"/>
        <v>93038.746866750007</v>
      </c>
      <c r="AH174" s="152"/>
      <c r="AI174" s="152">
        <f t="shared" si="94"/>
        <v>37657.882089899998</v>
      </c>
      <c r="AJ174" s="152"/>
      <c r="AK174" s="152">
        <f t="shared" si="95"/>
        <v>43160.024920949996</v>
      </c>
      <c r="AL174" s="152"/>
      <c r="AM174" s="152">
        <f t="shared" si="96"/>
        <v>17529.439974299999</v>
      </c>
      <c r="AN174" s="152"/>
      <c r="AO174" s="152">
        <f t="shared" si="97"/>
        <v>21400.294227300001</v>
      </c>
      <c r="AP174" s="152"/>
      <c r="AQ174" s="152">
        <f t="shared" si="98"/>
        <v>31685.7069567</v>
      </c>
      <c r="AR174" s="152"/>
      <c r="AS174" s="152">
        <f t="shared" si="99"/>
        <v>32017.4944641</v>
      </c>
      <c r="AU174" s="151"/>
    </row>
    <row r="175" spans="2:47" x14ac:dyDescent="0.2">
      <c r="B175" s="451">
        <v>346.2</v>
      </c>
      <c r="D175" s="406" t="s">
        <v>80</v>
      </c>
      <c r="E175" s="583"/>
      <c r="F175" s="142">
        <v>14</v>
      </c>
      <c r="G175" s="131"/>
      <c r="H175" s="309">
        <v>0</v>
      </c>
      <c r="I175" s="131"/>
      <c r="J175" s="230">
        <f t="shared" si="84"/>
        <v>0</v>
      </c>
      <c r="K175" s="365"/>
      <c r="L175" s="230">
        <f t="shared" si="85"/>
        <v>0</v>
      </c>
      <c r="M175" s="365"/>
      <c r="N175" s="230">
        <f t="shared" si="86"/>
        <v>0</v>
      </c>
      <c r="O175" s="365"/>
      <c r="P175" s="230">
        <f t="shared" si="87"/>
        <v>0</v>
      </c>
      <c r="Q175" s="365"/>
      <c r="R175" s="230">
        <f t="shared" si="88"/>
        <v>0</v>
      </c>
      <c r="S175" s="365"/>
      <c r="T175" s="230">
        <f t="shared" si="89"/>
        <v>0</v>
      </c>
      <c r="U175" s="365"/>
      <c r="V175" s="230">
        <f t="shared" si="90"/>
        <v>0</v>
      </c>
      <c r="W175" s="153"/>
      <c r="X175" s="231">
        <f t="shared" si="100"/>
        <v>0</v>
      </c>
      <c r="Y175" s="407">
        <v>346.2</v>
      </c>
      <c r="Z175" s="365"/>
      <c r="AA175" s="406" t="s">
        <v>80</v>
      </c>
      <c r="AB175" s="130"/>
      <c r="AC175" s="409">
        <f t="shared" si="91"/>
        <v>14</v>
      </c>
      <c r="AD175" s="130"/>
      <c r="AE175" s="409">
        <f t="shared" si="92"/>
        <v>0</v>
      </c>
      <c r="AG175" s="152">
        <f t="shared" si="93"/>
        <v>0</v>
      </c>
      <c r="AH175" s="152"/>
      <c r="AI175" s="152">
        <f t="shared" si="94"/>
        <v>0</v>
      </c>
      <c r="AJ175" s="152"/>
      <c r="AK175" s="152">
        <f t="shared" si="95"/>
        <v>0</v>
      </c>
      <c r="AL175" s="152"/>
      <c r="AM175" s="152">
        <f t="shared" si="96"/>
        <v>0</v>
      </c>
      <c r="AN175" s="152"/>
      <c r="AO175" s="152">
        <f t="shared" si="97"/>
        <v>0</v>
      </c>
      <c r="AP175" s="152"/>
      <c r="AQ175" s="152">
        <f t="shared" si="98"/>
        <v>0</v>
      </c>
      <c r="AR175" s="152"/>
      <c r="AS175" s="152">
        <f t="shared" si="99"/>
        <v>0</v>
      </c>
      <c r="AU175" s="151"/>
    </row>
    <row r="176" spans="2:47" x14ac:dyDescent="0.2">
      <c r="B176" s="451">
        <v>347.1</v>
      </c>
      <c r="D176" s="406" t="s">
        <v>81</v>
      </c>
      <c r="E176" s="583"/>
      <c r="F176" s="142">
        <v>14</v>
      </c>
      <c r="G176" s="131"/>
      <c r="H176" s="309">
        <v>372.6825</v>
      </c>
      <c r="I176" s="131"/>
      <c r="J176" s="414">
        <f t="shared" si="84"/>
        <v>211.38551400000003</v>
      </c>
      <c r="K176" s="365"/>
      <c r="L176" s="414">
        <f t="shared" si="85"/>
        <v>73.716598500000003</v>
      </c>
      <c r="M176" s="365"/>
      <c r="N176" s="414">
        <f t="shared" si="86"/>
        <v>22.957242000000001</v>
      </c>
      <c r="O176" s="365"/>
      <c r="P176" s="414">
        <f t="shared" si="87"/>
        <v>14.34827625</v>
      </c>
      <c r="Q176" s="365"/>
      <c r="R176" s="414">
        <f t="shared" si="88"/>
        <v>7.1182357499999993</v>
      </c>
      <c r="S176" s="365"/>
      <c r="T176" s="414">
        <f t="shared" si="89"/>
        <v>0</v>
      </c>
      <c r="U176" s="365"/>
      <c r="V176" s="414">
        <f t="shared" si="90"/>
        <v>43.156633499999998</v>
      </c>
      <c r="W176" s="153"/>
      <c r="X176" s="231">
        <f t="shared" si="100"/>
        <v>0</v>
      </c>
      <c r="Y176" s="407">
        <v>347.1</v>
      </c>
      <c r="Z176" s="365"/>
      <c r="AA176" s="406" t="s">
        <v>81</v>
      </c>
      <c r="AB176" s="130"/>
      <c r="AC176" s="409">
        <f t="shared" si="91"/>
        <v>14</v>
      </c>
      <c r="AD176" s="130"/>
      <c r="AE176" s="410">
        <f t="shared" si="92"/>
        <v>372.6825</v>
      </c>
      <c r="AG176" s="139">
        <f t="shared" si="93"/>
        <v>125.40766125</v>
      </c>
      <c r="AH176" s="152"/>
      <c r="AI176" s="139">
        <f t="shared" si="94"/>
        <v>50.759356499999996</v>
      </c>
      <c r="AJ176" s="152"/>
      <c r="AK176" s="139">
        <f t="shared" si="95"/>
        <v>58.175738249999995</v>
      </c>
      <c r="AL176" s="152"/>
      <c r="AM176" s="139">
        <f t="shared" si="96"/>
        <v>23.6280705</v>
      </c>
      <c r="AN176" s="152"/>
      <c r="AO176" s="139">
        <f t="shared" si="97"/>
        <v>28.845625500000001</v>
      </c>
      <c r="AP176" s="152"/>
      <c r="AQ176" s="139">
        <f t="shared" si="98"/>
        <v>42.709414500000001</v>
      </c>
      <c r="AR176" s="152"/>
      <c r="AS176" s="139">
        <f t="shared" si="99"/>
        <v>43.156633499999998</v>
      </c>
      <c r="AU176" s="151"/>
    </row>
    <row r="177" spans="1:47" x14ac:dyDescent="0.2">
      <c r="D177" s="366"/>
      <c r="E177" s="130"/>
      <c r="F177" s="142"/>
      <c r="G177" s="131"/>
      <c r="H177" s="555"/>
      <c r="I177" s="131"/>
      <c r="J177" s="138"/>
      <c r="L177" s="138"/>
      <c r="N177" s="138"/>
      <c r="P177" s="138"/>
      <c r="R177" s="138"/>
      <c r="T177" s="138"/>
      <c r="V177" s="138"/>
      <c r="X177" s="231">
        <f t="shared" si="100"/>
        <v>0</v>
      </c>
      <c r="Y177" s="136"/>
      <c r="Z177" s="365"/>
      <c r="AA177" s="366"/>
      <c r="AB177" s="130"/>
      <c r="AC177" s="142"/>
      <c r="AE177" s="151"/>
      <c r="AG177" s="138"/>
      <c r="AH177" s="138"/>
      <c r="AI177" s="138"/>
      <c r="AJ177" s="138"/>
      <c r="AK177" s="138"/>
      <c r="AL177" s="138"/>
      <c r="AM177" s="138"/>
      <c r="AN177" s="138"/>
      <c r="AO177" s="138"/>
      <c r="AP177" s="138"/>
      <c r="AQ177" s="138"/>
      <c r="AR177" s="138"/>
      <c r="AS177" s="138"/>
      <c r="AU177" s="151"/>
    </row>
    <row r="178" spans="1:47" x14ac:dyDescent="0.2">
      <c r="D178" s="239" t="s">
        <v>165</v>
      </c>
      <c r="E178" s="130"/>
      <c r="F178" s="142"/>
      <c r="G178" s="131"/>
      <c r="H178" s="540">
        <f>SUM(H134:H177)</f>
        <v>9355563.2840000018</v>
      </c>
      <c r="I178" s="131"/>
      <c r="J178" s="139">
        <f>SUM(J134:J177)</f>
        <v>4938364.3967349613</v>
      </c>
      <c r="K178" s="131"/>
      <c r="L178" s="139">
        <f>SUM(L134:L177)</f>
        <v>2053222.7810286314</v>
      </c>
      <c r="N178" s="139">
        <f>SUM(N134:N177)</f>
        <v>689288.88371281978</v>
      </c>
      <c r="P178" s="139">
        <f>SUM(P134:P177)</f>
        <v>421936.80648695643</v>
      </c>
      <c r="R178" s="139">
        <f>SUM(R134:R177)</f>
        <v>274107.41845902841</v>
      </c>
      <c r="T178" s="139">
        <f>SUM(T134:T177)</f>
        <v>0</v>
      </c>
      <c r="V178" s="139">
        <f>SUM(V134:V177)</f>
        <v>978642.99757760298</v>
      </c>
      <c r="X178" s="231">
        <f t="shared" si="100"/>
        <v>0</v>
      </c>
      <c r="Y178" s="136"/>
      <c r="Z178" s="365"/>
      <c r="AA178" s="239" t="s">
        <v>165</v>
      </c>
      <c r="AB178" s="130"/>
      <c r="AC178" s="142"/>
      <c r="AE178" s="139">
        <f>SUM(AE134:AE177)</f>
        <v>9355563.2840000018</v>
      </c>
      <c r="AF178" s="131"/>
      <c r="AG178" s="139">
        <f>SUM(AG134:AG177)</f>
        <v>3952455.1513727834</v>
      </c>
      <c r="AH178" s="146"/>
      <c r="AI178" s="139">
        <f>SUM(AI134:AI177)</f>
        <v>1987500.4599849747</v>
      </c>
      <c r="AJ178" s="146"/>
      <c r="AK178" s="139">
        <f>SUM(AK134:AK177)</f>
        <v>928968.9067155401</v>
      </c>
      <c r="AL178" s="146"/>
      <c r="AM178" s="139">
        <f>SUM(AM134:AM177)</f>
        <v>716946.18038110016</v>
      </c>
      <c r="AN178" s="146"/>
      <c r="AO178" s="139">
        <f>SUM(AO134:AO177)</f>
        <v>673351.22896209988</v>
      </c>
      <c r="AP178" s="146"/>
      <c r="AQ178" s="139">
        <f>SUM(AQ134:AQ177)</f>
        <v>117698.3590059</v>
      </c>
      <c r="AR178" s="146"/>
      <c r="AS178" s="139">
        <f>SUM(AS134:AS177)</f>
        <v>978642.99757760298</v>
      </c>
      <c r="AU178" s="151"/>
    </row>
    <row r="179" spans="1:47" ht="14.25" customHeight="1" x14ac:dyDescent="0.2">
      <c r="D179" s="366"/>
      <c r="E179" s="130"/>
      <c r="F179" s="142"/>
      <c r="G179" s="131"/>
      <c r="H179" s="487"/>
      <c r="I179" s="131"/>
      <c r="J179" s="138"/>
      <c r="L179" s="138"/>
      <c r="N179" s="138"/>
      <c r="P179" s="138"/>
      <c r="R179" s="138"/>
      <c r="T179" s="138"/>
      <c r="V179" s="138"/>
      <c r="X179" s="231">
        <f t="shared" si="100"/>
        <v>0</v>
      </c>
      <c r="Y179" s="136"/>
      <c r="Z179" s="365"/>
      <c r="AA179" s="366"/>
      <c r="AB179" s="130"/>
      <c r="AC179" s="142"/>
      <c r="AU179" s="151"/>
    </row>
    <row r="180" spans="1:47" s="520" customFormat="1" x14ac:dyDescent="0.2">
      <c r="A180" s="511"/>
      <c r="B180" s="512"/>
      <c r="C180" s="513"/>
      <c r="D180" s="514" t="s">
        <v>302</v>
      </c>
      <c r="E180" s="515"/>
      <c r="F180" s="516">
        <v>18</v>
      </c>
      <c r="G180" s="517"/>
      <c r="H180" s="518">
        <v>201120</v>
      </c>
      <c r="I180" s="517"/>
      <c r="J180" s="519">
        <f ca="1">(VLOOKUP($F180,Factors,J$329))*$H180</f>
        <v>101726.496</v>
      </c>
      <c r="K180" s="476"/>
      <c r="L180" s="519">
        <f ca="1">(VLOOKUP($F180,Factors,L$329))*$H180</f>
        <v>44729.087999999996</v>
      </c>
      <c r="M180" s="476"/>
      <c r="N180" s="519">
        <f ca="1">(VLOOKUP($F180,Factors,N$329))*$H180</f>
        <v>15446.015999999998</v>
      </c>
      <c r="O180" s="476"/>
      <c r="P180" s="519">
        <f ca="1">(VLOOKUP($F180,Factors,P$329))*$H180</f>
        <v>9271.6319999999996</v>
      </c>
      <c r="Q180" s="476"/>
      <c r="R180" s="519">
        <f ca="1">(VLOOKUP($F180,Factors,R$329))*$H180</f>
        <v>6033.5999999999995</v>
      </c>
      <c r="S180" s="476"/>
      <c r="T180" s="519">
        <f ca="1">(VLOOKUP($F180,Factors,T$329))*$H180</f>
        <v>0</v>
      </c>
      <c r="U180" s="476"/>
      <c r="V180" s="519">
        <f ca="1">(VLOOKUP($F180,Factors,V$329))*$H180</f>
        <v>23913.168000000001</v>
      </c>
      <c r="X180" s="476">
        <f t="shared" ca="1" si="100"/>
        <v>0</v>
      </c>
      <c r="Y180" s="475"/>
      <c r="Z180" s="513"/>
      <c r="AA180" s="514" t="s">
        <v>178</v>
      </c>
      <c r="AB180" s="515"/>
      <c r="AC180" s="516">
        <f>+F180</f>
        <v>18</v>
      </c>
      <c r="AE180" s="521">
        <f>+H180</f>
        <v>201120</v>
      </c>
      <c r="AG180" s="518">
        <f ca="1">(VLOOKUP($AC180,func,AG$329))*$AE180</f>
        <v>88794.48</v>
      </c>
      <c r="AH180" s="518"/>
      <c r="AI180" s="518">
        <f ca="1">(VLOOKUP($AC180,func,AI$329))*$AE180</f>
        <v>44165.951999999997</v>
      </c>
      <c r="AJ180" s="518"/>
      <c r="AK180" s="518">
        <f ca="1">(VLOOKUP($AC180,func,AK$329))*$AE180</f>
        <v>22002.527999999998</v>
      </c>
      <c r="AL180" s="518"/>
      <c r="AM180" s="518">
        <f ca="1">(VLOOKUP($AC180,func,AM$329))*$AE180</f>
        <v>9130.848</v>
      </c>
      <c r="AN180" s="518"/>
      <c r="AO180" s="518">
        <f ca="1">(VLOOKUP($AC180,func,AO$329))*$AE180</f>
        <v>11926.415999999999</v>
      </c>
      <c r="AP180" s="518"/>
      <c r="AQ180" s="518">
        <f ca="1">(VLOOKUP($AC180,func,AQ$329))*$AE180</f>
        <v>1186.6079999999999</v>
      </c>
      <c r="AR180" s="518"/>
      <c r="AS180" s="518">
        <f ca="1">(VLOOKUP($AC180,func,AS$329))*$AE180</f>
        <v>23913.168000000001</v>
      </c>
      <c r="AU180" s="474"/>
    </row>
    <row r="181" spans="1:47" s="305" customFormat="1" x14ac:dyDescent="0.2">
      <c r="A181" s="503"/>
      <c r="B181" s="450"/>
      <c r="C181" s="367"/>
      <c r="D181" s="230"/>
      <c r="E181" s="209"/>
      <c r="F181" s="140"/>
      <c r="G181" s="210"/>
      <c r="H181" s="527"/>
      <c r="I181" s="210"/>
      <c r="J181" s="152"/>
      <c r="K181" s="211"/>
      <c r="L181" s="152"/>
      <c r="M181" s="211"/>
      <c r="N181" s="152"/>
      <c r="O181" s="211"/>
      <c r="P181" s="152"/>
      <c r="Q181" s="211"/>
      <c r="R181" s="152"/>
      <c r="S181" s="211"/>
      <c r="T181" s="152"/>
      <c r="U181" s="211"/>
      <c r="V181" s="152"/>
      <c r="X181" s="231">
        <f t="shared" si="100"/>
        <v>0</v>
      </c>
      <c r="Y181" s="398"/>
      <c r="Z181" s="367"/>
      <c r="AA181" s="230"/>
      <c r="AB181" s="209"/>
      <c r="AC181" s="140"/>
      <c r="AE181" s="211"/>
      <c r="AG181" s="152"/>
      <c r="AH181" s="152"/>
      <c r="AI181" s="152"/>
      <c r="AJ181" s="152"/>
      <c r="AK181" s="152"/>
      <c r="AL181" s="152"/>
      <c r="AM181" s="152"/>
      <c r="AN181" s="152"/>
      <c r="AO181" s="152"/>
      <c r="AP181" s="152"/>
      <c r="AQ181" s="152"/>
      <c r="AR181" s="152"/>
      <c r="AS181" s="152"/>
      <c r="AU181" s="151"/>
    </row>
    <row r="182" spans="1:47" s="305" customFormat="1" x14ac:dyDescent="0.2">
      <c r="A182" s="548"/>
      <c r="B182" s="450"/>
      <c r="C182" s="367"/>
      <c r="D182" s="352" t="s">
        <v>333</v>
      </c>
      <c r="E182" s="209"/>
      <c r="F182" s="140">
        <v>18</v>
      </c>
      <c r="G182" s="210"/>
      <c r="H182" s="518">
        <v>20447316.666666668</v>
      </c>
      <c r="I182" s="210"/>
      <c r="J182" s="230">
        <f ca="1">(VLOOKUP($F182,Factors,J$329))*$H182</f>
        <v>10342252.770000001</v>
      </c>
      <c r="K182" s="365"/>
      <c r="L182" s="230">
        <f ca="1">(VLOOKUP($F182,Factors,L$329))*$H182</f>
        <v>4547483.2266666666</v>
      </c>
      <c r="M182" s="365"/>
      <c r="N182" s="230">
        <f ca="1">(VLOOKUP($F182,Factors,N$329))*$H182</f>
        <v>1570353.92</v>
      </c>
      <c r="O182" s="365"/>
      <c r="P182" s="230">
        <f ca="1">(VLOOKUP($F182,Factors,P$329))*$H182</f>
        <v>942621.29833333346</v>
      </c>
      <c r="Q182" s="365"/>
      <c r="R182" s="230">
        <f ca="1">(VLOOKUP($F182,Factors,R$329))*$H182</f>
        <v>613419.5</v>
      </c>
      <c r="S182" s="365"/>
      <c r="T182" s="230">
        <f ca="1">(VLOOKUP($F182,Factors,T$329))*$H182</f>
        <v>0</v>
      </c>
      <c r="U182" s="365"/>
      <c r="V182" s="230">
        <f ca="1">(VLOOKUP($F182,Factors,V$329))*$H182</f>
        <v>2431185.9516666671</v>
      </c>
      <c r="W182" s="153"/>
      <c r="X182" s="231">
        <f t="shared" ca="1" si="100"/>
        <v>0</v>
      </c>
      <c r="Y182" s="398"/>
      <c r="Z182" s="367"/>
      <c r="AA182" s="352" t="s">
        <v>333</v>
      </c>
      <c r="AB182" s="209"/>
      <c r="AC182" s="140">
        <f>+F182</f>
        <v>18</v>
      </c>
      <c r="AE182" s="211">
        <f>+H182</f>
        <v>20447316.666666668</v>
      </c>
      <c r="AG182" s="152">
        <f ca="1">(VLOOKUP($AC182,func,AG$329))*$AE182</f>
        <v>9027490.3083333336</v>
      </c>
      <c r="AH182" s="152"/>
      <c r="AI182" s="152">
        <f ca="1">(VLOOKUP($AC182,func,AI$329))*$AE182</f>
        <v>4490230.74</v>
      </c>
      <c r="AJ182" s="152"/>
      <c r="AK182" s="152">
        <f ca="1">(VLOOKUP($AC182,func,AK$329))*$AE182</f>
        <v>2236936.4433333334</v>
      </c>
      <c r="AL182" s="152"/>
      <c r="AM182" s="152">
        <f ca="1">(VLOOKUP($AC182,func,AM$329))*$AE182</f>
        <v>928308.17666666675</v>
      </c>
      <c r="AN182" s="152"/>
      <c r="AO182" s="152">
        <f ca="1">(VLOOKUP($AC182,func,AO$329))*$AE182</f>
        <v>1212525.8783333334</v>
      </c>
      <c r="AP182" s="152"/>
      <c r="AQ182" s="152">
        <f ca="1">(VLOOKUP($AC182,func,AQ$329))*$AE182</f>
        <v>120639.16833333333</v>
      </c>
      <c r="AR182" s="152"/>
      <c r="AS182" s="152">
        <f ca="1">(VLOOKUP($AC182,func,AS$329))*$AE182</f>
        <v>2431185.9516666671</v>
      </c>
      <c r="AU182" s="151"/>
    </row>
    <row r="183" spans="1:47" s="305" customFormat="1" x14ac:dyDescent="0.2">
      <c r="A183" s="548"/>
      <c r="B183" s="450"/>
      <c r="C183" s="367"/>
      <c r="D183" s="352" t="s">
        <v>87</v>
      </c>
      <c r="E183" s="209"/>
      <c r="F183" s="140">
        <v>18</v>
      </c>
      <c r="G183" s="210"/>
      <c r="H183" s="575">
        <v>3546276.8666666667</v>
      </c>
      <c r="I183" s="210"/>
      <c r="J183" s="414">
        <f ca="1">(VLOOKUP($F183,Factors,J$329))*$H183</f>
        <v>1793706.8391600002</v>
      </c>
      <c r="K183" s="210"/>
      <c r="L183" s="414">
        <f ca="1">(VLOOKUP($F183,Factors,L$329))*$H183</f>
        <v>788691.97514666663</v>
      </c>
      <c r="M183" s="210"/>
      <c r="N183" s="414">
        <f ca="1">(VLOOKUP($F183,Factors,N$329))*$H183</f>
        <v>272354.06335999997</v>
      </c>
      <c r="O183" s="210"/>
      <c r="P183" s="414">
        <f ca="1">(VLOOKUP($F183,Factors,P$329))*$H183</f>
        <v>163483.36355333333</v>
      </c>
      <c r="Q183" s="210"/>
      <c r="R183" s="414">
        <f ca="1">(VLOOKUP($F183,Factors,R$329))*$H183</f>
        <v>106388.306</v>
      </c>
      <c r="S183" s="210"/>
      <c r="T183" s="414">
        <f ca="1">(VLOOKUP($F183,Factors,T$329))*$H183</f>
        <v>0</v>
      </c>
      <c r="U183" s="210"/>
      <c r="V183" s="414">
        <f ca="1">(VLOOKUP($F183,Factors,V$329))*$H183</f>
        <v>421652.31944666669</v>
      </c>
      <c r="W183" s="153"/>
      <c r="X183" s="231">
        <f t="shared" ca="1" si="100"/>
        <v>0</v>
      </c>
      <c r="Y183" s="398"/>
      <c r="Z183" s="367"/>
      <c r="AA183" s="352" t="s">
        <v>87</v>
      </c>
      <c r="AB183" s="209"/>
      <c r="AC183" s="140">
        <f>+F183</f>
        <v>18</v>
      </c>
      <c r="AE183" s="223">
        <f>+H183</f>
        <v>3546276.8666666667</v>
      </c>
      <c r="AG183" s="139">
        <f ca="1">(VLOOKUP($AC183,func,AG$329))*$AE183</f>
        <v>1565681.2366333334</v>
      </c>
      <c r="AH183" s="152"/>
      <c r="AI183" s="139">
        <f ca="1">(VLOOKUP($AC183,func,AI$329))*$AE183</f>
        <v>778762.39992</v>
      </c>
      <c r="AJ183" s="152"/>
      <c r="AK183" s="139">
        <f ca="1">(VLOOKUP($AC183,func,AK$329))*$AE183</f>
        <v>387962.6892133333</v>
      </c>
      <c r="AL183" s="152"/>
      <c r="AM183" s="139">
        <f ca="1">(VLOOKUP($AC183,func,AM$329))*$AE183</f>
        <v>161000.96974666667</v>
      </c>
      <c r="AN183" s="152"/>
      <c r="AO183" s="139">
        <f ca="1">(VLOOKUP($AC183,func,AO$329))*$AE183</f>
        <v>210294.21819333333</v>
      </c>
      <c r="AP183" s="152"/>
      <c r="AQ183" s="139">
        <f ca="1">(VLOOKUP($AC183,func,AQ$329))*$AE183</f>
        <v>20923.033513333332</v>
      </c>
      <c r="AR183" s="152"/>
      <c r="AS183" s="139">
        <f ca="1">(VLOOKUP($AC183,func,AS$329))*$AE183</f>
        <v>421652.31944666669</v>
      </c>
      <c r="AU183" s="151"/>
    </row>
    <row r="184" spans="1:47" s="305" customFormat="1" x14ac:dyDescent="0.2">
      <c r="A184" s="548"/>
      <c r="B184" s="450"/>
      <c r="C184" s="367"/>
      <c r="D184" s="352" t="s">
        <v>89</v>
      </c>
      <c r="E184" s="209"/>
      <c r="F184" s="140"/>
      <c r="G184" s="210"/>
      <c r="H184" s="518">
        <f>SUM(H182:H183)</f>
        <v>23993593.533333335</v>
      </c>
      <c r="I184" s="210"/>
      <c r="J184" s="152">
        <f ca="1">SUM(J182:J183)</f>
        <v>12135959.609160002</v>
      </c>
      <c r="K184" s="210"/>
      <c r="L184" s="152">
        <f ca="1">SUM(L182:L183)</f>
        <v>5336175.2018133327</v>
      </c>
      <c r="M184" s="210"/>
      <c r="N184" s="152">
        <f ca="1">SUM(N182:N183)</f>
        <v>1842707.98336</v>
      </c>
      <c r="O184" s="210"/>
      <c r="P184" s="152">
        <f ca="1">SUM(P182:P183)</f>
        <v>1106104.6618866669</v>
      </c>
      <c r="Q184" s="210"/>
      <c r="R184" s="152">
        <f ca="1">SUM(R182:R183)</f>
        <v>719807.80599999998</v>
      </c>
      <c r="S184" s="210"/>
      <c r="T184" s="152">
        <f ca="1">SUM(T182:T183)</f>
        <v>0</v>
      </c>
      <c r="U184" s="210"/>
      <c r="V184" s="152">
        <f ca="1">SUM(V182:V183)</f>
        <v>2852838.2711133338</v>
      </c>
      <c r="W184" s="153"/>
      <c r="X184" s="231">
        <f t="shared" ca="1" si="100"/>
        <v>0</v>
      </c>
      <c r="Y184" s="398"/>
      <c r="Z184" s="367"/>
      <c r="AA184" s="352" t="s">
        <v>89</v>
      </c>
      <c r="AB184" s="209"/>
      <c r="AC184" s="140"/>
      <c r="AE184" s="211">
        <f>SUM(AE182:AE183)</f>
        <v>23993593.533333335</v>
      </c>
      <c r="AG184" s="211">
        <f ca="1">SUM(AG182:AG183)</f>
        <v>10593171.544966668</v>
      </c>
      <c r="AI184" s="211">
        <f ca="1">SUM(AI182:AI183)</f>
        <v>5268993.13992</v>
      </c>
      <c r="AK184" s="211">
        <f ca="1">SUM(AK182:AK183)</f>
        <v>2624899.1325466665</v>
      </c>
      <c r="AM184" s="211">
        <f ca="1">SUM(AM182:AM183)</f>
        <v>1089309.1464133335</v>
      </c>
      <c r="AO184" s="211">
        <f ca="1">SUM(AO182:AO183)</f>
        <v>1422820.0965266668</v>
      </c>
      <c r="AQ184" s="211">
        <f ca="1">SUM(AQ182:AQ183)</f>
        <v>141562.20184666666</v>
      </c>
      <c r="AS184" s="211">
        <f ca="1">SUM(AS182:AS183)</f>
        <v>2852838.2711133338</v>
      </c>
      <c r="AU184" s="151"/>
    </row>
    <row r="185" spans="1:47" s="127" customFormat="1" ht="12.75" customHeight="1" x14ac:dyDescent="0.2">
      <c r="A185" s="498"/>
      <c r="B185" s="444"/>
      <c r="C185" s="365"/>
      <c r="D185" s="366"/>
      <c r="E185" s="130"/>
      <c r="F185" s="142"/>
      <c r="G185" s="131"/>
      <c r="H185" s="487"/>
      <c r="I185" s="131"/>
      <c r="J185" s="138"/>
      <c r="K185" s="146"/>
      <c r="L185" s="138"/>
      <c r="M185" s="146"/>
      <c r="N185" s="138"/>
      <c r="O185" s="146"/>
      <c r="P185" s="138"/>
      <c r="Q185" s="146"/>
      <c r="R185" s="138"/>
      <c r="S185" s="146"/>
      <c r="T185" s="138"/>
      <c r="U185" s="146"/>
      <c r="V185" s="138"/>
      <c r="X185" s="231">
        <f t="shared" si="100"/>
        <v>0</v>
      </c>
      <c r="Y185" s="129"/>
      <c r="Z185" s="365"/>
      <c r="AA185" s="366"/>
      <c r="AB185" s="130"/>
      <c r="AC185" s="142"/>
      <c r="AU185" s="151"/>
    </row>
    <row r="186" spans="1:47" s="127" customFormat="1" x14ac:dyDescent="0.2">
      <c r="A186" s="498"/>
      <c r="B186" s="452"/>
      <c r="C186" s="365"/>
      <c r="D186" s="232" t="s">
        <v>167</v>
      </c>
      <c r="E186" s="130"/>
      <c r="F186" s="142"/>
      <c r="G186" s="131"/>
      <c r="H186" s="487"/>
      <c r="I186" s="131"/>
      <c r="J186" s="138"/>
      <c r="K186" s="146"/>
      <c r="L186" s="138"/>
      <c r="M186" s="146"/>
      <c r="N186" s="138"/>
      <c r="O186" s="146"/>
      <c r="P186" s="138"/>
      <c r="Q186" s="146"/>
      <c r="R186" s="138"/>
      <c r="S186" s="146"/>
      <c r="T186" s="138"/>
      <c r="U186" s="146"/>
      <c r="V186" s="138"/>
      <c r="X186" s="231">
        <f t="shared" si="100"/>
        <v>0</v>
      </c>
      <c r="Z186" s="365"/>
      <c r="AA186" s="232" t="s">
        <v>167</v>
      </c>
      <c r="AB186" s="130"/>
      <c r="AC186" s="142"/>
      <c r="AU186" s="151"/>
    </row>
    <row r="187" spans="1:47" s="127" customFormat="1" x14ac:dyDescent="0.2">
      <c r="A187" s="498"/>
      <c r="B187" s="452"/>
      <c r="C187" s="365"/>
      <c r="D187" s="230" t="s">
        <v>168</v>
      </c>
      <c r="E187" s="130"/>
      <c r="F187" s="142">
        <v>19</v>
      </c>
      <c r="G187" s="131"/>
      <c r="H187" s="309">
        <v>91172.82</v>
      </c>
      <c r="I187" s="131"/>
      <c r="J187" s="230">
        <f ca="1">(VLOOKUP($F187,Factors,J$329))*$H187</f>
        <v>48503.940240000004</v>
      </c>
      <c r="K187" s="365"/>
      <c r="L187" s="230">
        <f ca="1">(VLOOKUP($F187,Factors,L$329))*$H187</f>
        <v>19839.205632000001</v>
      </c>
      <c r="M187" s="365"/>
      <c r="N187" s="230">
        <f ca="1">(VLOOKUP($F187,Factors,N$329))*$H187</f>
        <v>6701.2022699999998</v>
      </c>
      <c r="O187" s="365"/>
      <c r="P187" s="230">
        <f ca="1">(VLOOKUP($F187,Factors,P$329))*$H187</f>
        <v>4066.3077720000006</v>
      </c>
      <c r="Q187" s="365"/>
      <c r="R187" s="230">
        <f ca="1">(VLOOKUP($F187,Factors,R$329))*$H187</f>
        <v>2552.83896</v>
      </c>
      <c r="S187" s="365"/>
      <c r="T187" s="230">
        <f ca="1">(VLOOKUP($F187,Factors,T$329))*$H187</f>
        <v>0</v>
      </c>
      <c r="U187" s="365"/>
      <c r="V187" s="230">
        <f ca="1">(VLOOKUP($F187,Factors,V$329))*$H187</f>
        <v>9509.3251260000015</v>
      </c>
      <c r="W187" s="153"/>
      <c r="X187" s="231">
        <f t="shared" ca="1" si="100"/>
        <v>0</v>
      </c>
      <c r="Z187" s="365"/>
      <c r="AA187" s="230" t="s">
        <v>168</v>
      </c>
      <c r="AB187" s="130"/>
      <c r="AC187" s="142">
        <f>+F187</f>
        <v>19</v>
      </c>
      <c r="AE187" s="146">
        <f>+H187</f>
        <v>91172.82</v>
      </c>
      <c r="AG187" s="152">
        <f ca="1">(VLOOKUP($AC187,func,AG$329))*$AE187</f>
        <v>40836.306078000001</v>
      </c>
      <c r="AH187" s="152"/>
      <c r="AI187" s="152">
        <f ca="1">(VLOOKUP($AC187,func,AI$329))*$AE187</f>
        <v>15608.786784</v>
      </c>
      <c r="AJ187" s="152"/>
      <c r="AK187" s="152">
        <f ca="1">(VLOOKUP($AC187,func,AK$329))*$AE187</f>
        <v>10302.528660000002</v>
      </c>
      <c r="AL187" s="152"/>
      <c r="AM187" s="152">
        <f ca="1">(VLOOKUP($AC187,func,AM$329))*$AE187</f>
        <v>5087.4433560000007</v>
      </c>
      <c r="AN187" s="152"/>
      <c r="AO187" s="152">
        <f ca="1">(VLOOKUP($AC187,func,AO$329))*$AE187</f>
        <v>5397.4309440000006</v>
      </c>
      <c r="AP187" s="152"/>
      <c r="AQ187" s="152">
        <f ca="1">(VLOOKUP($AC187,func,AQ$329))*$AE187</f>
        <v>4430.9990520000001</v>
      </c>
      <c r="AR187" s="152"/>
      <c r="AS187" s="152">
        <f ca="1">(VLOOKUP($AC187,func,AS$329))*$AE187</f>
        <v>9509.3251260000015</v>
      </c>
      <c r="AU187" s="151"/>
    </row>
    <row r="188" spans="1:47" s="127" customFormat="1" x14ac:dyDescent="0.2">
      <c r="A188" s="498"/>
      <c r="C188" s="365"/>
      <c r="D188" s="230" t="s">
        <v>50</v>
      </c>
      <c r="E188" s="130"/>
      <c r="F188" s="142">
        <v>16</v>
      </c>
      <c r="G188" s="131"/>
      <c r="H188" s="540">
        <v>566124.75</v>
      </c>
      <c r="I188" s="131"/>
      <c r="J188" s="414">
        <f>(VLOOKUP($F188,Factors,J$329))*$H188</f>
        <v>319690.64632499998</v>
      </c>
      <c r="K188" s="365"/>
      <c r="L188" s="414">
        <f>(VLOOKUP($F188,Factors,L$329))*$H188</f>
        <v>116168.7987</v>
      </c>
      <c r="M188" s="365"/>
      <c r="N188" s="414">
        <f>(VLOOKUP($F188,Factors,N$329))*$H188</f>
        <v>36571.65885</v>
      </c>
      <c r="O188" s="365"/>
      <c r="P188" s="414">
        <f>(VLOOKUP($F188,Factors,P$329))*$H188</f>
        <v>22814.827425000003</v>
      </c>
      <c r="Q188" s="365"/>
      <c r="R188" s="414">
        <f>(VLOOKUP($F188,Factors,R$329))*$H188</f>
        <v>11548.9449</v>
      </c>
      <c r="S188" s="365"/>
      <c r="T188" s="230">
        <f>(VLOOKUP($F188,Factors,T$329))*$H188</f>
        <v>0</v>
      </c>
      <c r="U188" s="365"/>
      <c r="V188" s="414">
        <f>(VLOOKUP($F188,Factors,V$329))*$H188</f>
        <v>59329.873800000001</v>
      </c>
      <c r="W188" s="305"/>
      <c r="X188" s="365">
        <f t="shared" si="100"/>
        <v>0</v>
      </c>
      <c r="Z188" s="365"/>
      <c r="AA188" s="230" t="s">
        <v>50</v>
      </c>
      <c r="AB188" s="130"/>
      <c r="AC188" s="142">
        <f>+F188</f>
        <v>16</v>
      </c>
      <c r="AE188" s="223">
        <f>+H188</f>
        <v>566124.75</v>
      </c>
      <c r="AG188" s="139">
        <f>(VLOOKUP($AC188,func,AG$329))*$AE188</f>
        <v>201030.89872499998</v>
      </c>
      <c r="AH188" s="152"/>
      <c r="AI188" s="139">
        <f>(VLOOKUP($AC188,func,AI$329))*$AE188</f>
        <v>85088.549924999999</v>
      </c>
      <c r="AJ188" s="152"/>
      <c r="AK188" s="139">
        <f>(VLOOKUP($AC188,func,AK$329))*$AE188</f>
        <v>84409.200225000008</v>
      </c>
      <c r="AL188" s="152"/>
      <c r="AM188" s="139">
        <f>(VLOOKUP($AC188,func,AM$329))*$AE188</f>
        <v>59329.873800000001</v>
      </c>
      <c r="AN188" s="152"/>
      <c r="AO188" s="139">
        <f>(VLOOKUP($AC188,func,AO$329))*$AE188</f>
        <v>24456.589200000002</v>
      </c>
      <c r="AP188" s="152"/>
      <c r="AQ188" s="139">
        <f>(VLOOKUP($AC188,func,AQ$329))*$AE188</f>
        <v>52479.764325000004</v>
      </c>
      <c r="AR188" s="152"/>
      <c r="AS188" s="139">
        <f>(VLOOKUP($AC188,func,AS$329))*$AE188</f>
        <v>59329.873800000001</v>
      </c>
      <c r="AU188" s="146"/>
    </row>
    <row r="189" spans="1:47" s="127" customFormat="1" ht="12.75" customHeight="1" x14ac:dyDescent="0.2">
      <c r="A189" s="549"/>
      <c r="B189" s="444"/>
      <c r="C189" s="365"/>
      <c r="D189" s="130"/>
      <c r="E189" s="130"/>
      <c r="F189" s="142"/>
      <c r="G189" s="131"/>
      <c r="H189" s="487"/>
      <c r="I189" s="131"/>
      <c r="J189" s="138"/>
      <c r="K189" s="146"/>
      <c r="L189" s="146"/>
      <c r="M189" s="146"/>
      <c r="N189" s="146"/>
      <c r="O189" s="146"/>
      <c r="P189" s="146"/>
      <c r="Q189" s="146"/>
      <c r="R189" s="146"/>
      <c r="S189" s="146"/>
      <c r="T189" s="146"/>
      <c r="U189" s="146"/>
      <c r="V189" s="146"/>
      <c r="X189" s="365"/>
      <c r="Y189" s="129"/>
      <c r="Z189" s="365"/>
      <c r="AA189" s="130"/>
      <c r="AB189" s="130"/>
      <c r="AC189" s="142"/>
      <c r="AU189" s="151"/>
    </row>
    <row r="190" spans="1:47" s="127" customFormat="1" x14ac:dyDescent="0.2">
      <c r="A190" s="498"/>
      <c r="B190" s="444"/>
      <c r="C190" s="365"/>
      <c r="D190" s="240" t="s">
        <v>436</v>
      </c>
      <c r="E190" s="130"/>
      <c r="F190" s="142"/>
      <c r="G190" s="131"/>
      <c r="H190" s="540">
        <f>SUM(H187:H189)</f>
        <v>657297.57000000007</v>
      </c>
      <c r="I190" s="131"/>
      <c r="J190" s="139">
        <f ca="1">SUM(J187:J189)</f>
        <v>368194.58656500001</v>
      </c>
      <c r="K190" s="146"/>
      <c r="L190" s="139">
        <f ca="1">SUM(L187:L189)</f>
        <v>136008.00433200001</v>
      </c>
      <c r="M190" s="146"/>
      <c r="N190" s="139">
        <f ca="1">SUM(N187:N189)</f>
        <v>43272.861120000001</v>
      </c>
      <c r="O190" s="146"/>
      <c r="P190" s="139">
        <f ca="1">SUM(P187:P189)</f>
        <v>26881.135197000003</v>
      </c>
      <c r="Q190" s="146"/>
      <c r="R190" s="139">
        <f ca="1">SUM(R187:R189)</f>
        <v>14101.78386</v>
      </c>
      <c r="S190" s="146"/>
      <c r="T190" s="139">
        <f ca="1">SUM(T187:T189)</f>
        <v>0</v>
      </c>
      <c r="U190" s="146"/>
      <c r="V190" s="139">
        <f ca="1">SUM(V187:V189)</f>
        <v>68839.198925999997</v>
      </c>
      <c r="X190" s="365">
        <f ca="1">SUM(J190:V190)-H190</f>
        <v>0</v>
      </c>
      <c r="Y190" s="129"/>
      <c r="Z190" s="365"/>
      <c r="AA190" s="240" t="s">
        <v>436</v>
      </c>
      <c r="AB190" s="130"/>
      <c r="AC190" s="142"/>
      <c r="AE190" s="139">
        <f>SUM(AE187:AE189)</f>
        <v>657297.57000000007</v>
      </c>
      <c r="AF190" s="131"/>
      <c r="AG190" s="139">
        <f ca="1">SUM(AG187:AG189)</f>
        <v>241867.20480299997</v>
      </c>
      <c r="AH190" s="146"/>
      <c r="AI190" s="139">
        <f ca="1">SUM(AI187:AI189)</f>
        <v>100697.336709</v>
      </c>
      <c r="AJ190" s="146"/>
      <c r="AK190" s="139">
        <f ca="1">SUM(AK187:AK189)</f>
        <v>94711.728885000004</v>
      </c>
      <c r="AL190" s="146"/>
      <c r="AM190" s="139">
        <f ca="1">SUM(AM187:AM189)</f>
        <v>64417.317156000005</v>
      </c>
      <c r="AN190" s="146"/>
      <c r="AO190" s="139">
        <f ca="1">SUM(AO187:AO189)</f>
        <v>29854.020144000002</v>
      </c>
      <c r="AP190" s="146"/>
      <c r="AQ190" s="139">
        <f ca="1">SUM(AQ187:AQ189)</f>
        <v>56910.763377000003</v>
      </c>
      <c r="AR190" s="146"/>
      <c r="AS190" s="139">
        <f ca="1">SUM(AS187:AS189)</f>
        <v>68839.198925999997</v>
      </c>
      <c r="AU190" s="151"/>
    </row>
    <row r="191" spans="1:47" ht="7.9" customHeight="1" x14ac:dyDescent="0.2">
      <c r="D191" s="130"/>
      <c r="E191" s="130"/>
      <c r="F191" s="142"/>
      <c r="G191" s="131"/>
      <c r="H191" s="487"/>
      <c r="I191" s="131"/>
      <c r="J191" s="138"/>
      <c r="X191" s="231">
        <f>SUM(J191:V191)-H191</f>
        <v>0</v>
      </c>
      <c r="Y191" s="136"/>
      <c r="Z191" s="365"/>
      <c r="AA191" s="130"/>
      <c r="AB191" s="130"/>
      <c r="AC191" s="142"/>
      <c r="AU191" s="151"/>
    </row>
    <row r="192" spans="1:47" x14ac:dyDescent="0.2">
      <c r="D192" s="130"/>
      <c r="E192" s="130"/>
      <c r="F192" s="142"/>
      <c r="G192" s="131"/>
      <c r="H192" s="487"/>
      <c r="I192" s="131"/>
      <c r="J192" s="138"/>
      <c r="Y192" s="136"/>
      <c r="Z192" s="365"/>
      <c r="AA192" s="130"/>
      <c r="AB192" s="130"/>
      <c r="AC192" s="142"/>
      <c r="AU192" s="151"/>
    </row>
    <row r="193" spans="1:47" ht="9.1999999999999993" customHeight="1" x14ac:dyDescent="0.2">
      <c r="D193" s="130"/>
      <c r="E193" s="130"/>
      <c r="F193" s="142"/>
      <c r="G193" s="131"/>
      <c r="H193" s="487"/>
      <c r="I193" s="131"/>
      <c r="J193" s="138"/>
      <c r="Y193" s="136"/>
      <c r="Z193" s="365"/>
      <c r="AA193" s="130"/>
      <c r="AB193" s="130"/>
      <c r="AC193" s="142"/>
      <c r="AU193" s="151"/>
    </row>
    <row r="194" spans="1:47" x14ac:dyDescent="0.2">
      <c r="D194" s="240" t="s">
        <v>435</v>
      </c>
      <c r="E194" s="130"/>
      <c r="F194" s="142"/>
      <c r="G194" s="131"/>
      <c r="H194" s="540">
        <f>+H190+H178+H131+H184+H180</f>
        <v>58919854.897333339</v>
      </c>
      <c r="I194" s="131"/>
      <c r="J194" s="139">
        <f ca="1">+J190+J178+J131+J184+J180</f>
        <v>31343184.805630963</v>
      </c>
      <c r="K194" s="131"/>
      <c r="L194" s="139">
        <f ca="1">+L190+L178+L131+L184+L180</f>
        <v>12820005.212386962</v>
      </c>
      <c r="M194" s="131"/>
      <c r="N194" s="139">
        <f ca="1">+N190+N178+N131+N184+N180</f>
        <v>4330240.3320508199</v>
      </c>
      <c r="O194" s="131"/>
      <c r="P194" s="139">
        <f ca="1">+P190+P178+P131+P184+P180</f>
        <v>2628850.9532376234</v>
      </c>
      <c r="Q194" s="131"/>
      <c r="R194" s="139">
        <f ca="1">+R190+R178+R131+R184+R180</f>
        <v>1651776.8297630283</v>
      </c>
      <c r="S194" s="131"/>
      <c r="T194" s="139">
        <f ca="1">+T190+T178+T131+T184+T180</f>
        <v>0</v>
      </c>
      <c r="U194" s="131"/>
      <c r="V194" s="139">
        <f ca="1">+V190+V178+V131+V184+V180</f>
        <v>6145796.7642639363</v>
      </c>
      <c r="W194" s="131"/>
      <c r="Y194" s="136"/>
      <c r="Z194" s="365"/>
      <c r="AA194" s="240" t="s">
        <v>435</v>
      </c>
      <c r="AB194" s="130"/>
      <c r="AC194" s="142"/>
      <c r="AE194" s="139">
        <f>+AE190+AE178+AE131+AE184+AE180</f>
        <v>58919854.897333339</v>
      </c>
      <c r="AG194" s="139">
        <f ca="1">+AG190+AG178+AG131+AG184+AG180</f>
        <v>26388797.969192449</v>
      </c>
      <c r="AI194" s="139">
        <f ca="1">+AI190+AI178+AI131+AI184+AI180</f>
        <v>10098129.578060973</v>
      </c>
      <c r="AK194" s="139">
        <f ca="1">+AK190+AK178+AK131+AK184+AK180</f>
        <v>6659638.6162002059</v>
      </c>
      <c r="AM194" s="139">
        <f ca="1">+AM190+AM178+AM131+AM184+AM180</f>
        <v>3285850.6378104342</v>
      </c>
      <c r="AO194" s="139">
        <f ca="1">+AO190+AO178+AO131+AO184+AO180</f>
        <v>3486049.254344767</v>
      </c>
      <c r="AQ194" s="139">
        <f ca="1">+AQ190+AQ178+AQ131+AQ184+AQ180</f>
        <v>2855592.077460567</v>
      </c>
      <c r="AS194" s="139">
        <f ca="1">+AS190+AS178+AS131+AS184+AS180</f>
        <v>6145796.7642639363</v>
      </c>
      <c r="AU194" s="151"/>
    </row>
    <row r="195" spans="1:47" ht="7.9" customHeight="1" x14ac:dyDescent="0.2">
      <c r="D195" s="130"/>
      <c r="E195" s="130"/>
      <c r="F195" s="142"/>
      <c r="G195" s="131"/>
      <c r="H195" s="487"/>
      <c r="I195"/>
      <c r="J195" s="138"/>
      <c r="K195"/>
      <c r="M195"/>
      <c r="O195"/>
      <c r="Q195"/>
      <c r="S195"/>
      <c r="U195"/>
      <c r="X195" s="231">
        <f>SUM(J195:V195)-H195</f>
        <v>0</v>
      </c>
      <c r="Y195" s="136"/>
      <c r="Z195" s="365"/>
      <c r="AA195" s="130"/>
      <c r="AB195" s="130"/>
      <c r="AC195" s="142"/>
      <c r="AU195" s="151"/>
    </row>
    <row r="196" spans="1:47" ht="11.85" customHeight="1" x14ac:dyDescent="0.2">
      <c r="D196" s="240" t="s">
        <v>434</v>
      </c>
      <c r="E196" s="307"/>
      <c r="F196" s="308"/>
      <c r="G196" s="237"/>
      <c r="H196" s="309"/>
      <c r="I196"/>
      <c r="J196" s="309"/>
      <c r="K196" s="151"/>
      <c r="L196" s="309"/>
      <c r="M196" s="151"/>
      <c r="N196" s="309"/>
      <c r="O196" s="151"/>
      <c r="P196" s="309"/>
      <c r="Q196" s="151"/>
      <c r="R196" s="309"/>
      <c r="S196" s="151"/>
      <c r="T196" s="309"/>
      <c r="U196" s="151"/>
      <c r="V196" s="309"/>
      <c r="X196" s="231">
        <f>SUM(J196:V196)-H196</f>
        <v>0</v>
      </c>
      <c r="Y196" s="136"/>
      <c r="Z196" s="365"/>
      <c r="AA196" s="240" t="s">
        <v>434</v>
      </c>
      <c r="AB196" s="307"/>
      <c r="AC196" s="308"/>
      <c r="AE196" s="151"/>
      <c r="AG196" s="309"/>
      <c r="AH196" s="309"/>
      <c r="AI196" s="309"/>
      <c r="AJ196" s="309"/>
      <c r="AK196" s="309"/>
      <c r="AL196" s="309"/>
      <c r="AM196" s="309"/>
      <c r="AN196" s="309"/>
      <c r="AO196" s="309"/>
      <c r="AP196" s="309"/>
      <c r="AQ196" s="309"/>
      <c r="AR196" s="309"/>
      <c r="AS196" s="309"/>
      <c r="AU196" s="151"/>
    </row>
    <row r="197" spans="1:47" s="127" customFormat="1" ht="11.85" customHeight="1" x14ac:dyDescent="0.2">
      <c r="A197" s="498"/>
      <c r="B197" s="444"/>
      <c r="C197" s="365"/>
      <c r="D197" s="130" t="s">
        <v>93</v>
      </c>
      <c r="E197" s="130"/>
      <c r="F197" s="142">
        <v>19</v>
      </c>
      <c r="G197" s="131"/>
      <c r="H197" s="309">
        <v>859283.14</v>
      </c>
      <c r="J197" s="230">
        <f t="shared" ref="J197:J205" ca="1" si="101">(VLOOKUP($F197,Factors,J$329))*$H197</f>
        <v>457138.63048000005</v>
      </c>
      <c r="K197" s="365"/>
      <c r="L197" s="230">
        <f t="shared" ref="L197:L205" ca="1" si="102">(VLOOKUP($F197,Factors,L$329))*$H197</f>
        <v>186980.011264</v>
      </c>
      <c r="M197" s="365"/>
      <c r="N197" s="230">
        <f t="shared" ref="N197:N205" ca="1" si="103">(VLOOKUP($F197,Factors,N$329))*$H197</f>
        <v>63157.310789999996</v>
      </c>
      <c r="O197" s="365"/>
      <c r="P197" s="230">
        <f t="shared" ref="P197:P205" ca="1" si="104">(VLOOKUP($F197,Factors,P$329))*$H197</f>
        <v>38324.028043999999</v>
      </c>
      <c r="Q197" s="365"/>
      <c r="R197" s="230">
        <f t="shared" ref="R197:R205" ca="1" si="105">(VLOOKUP($F197,Factors,R$329))*$H197</f>
        <v>24059.927920000002</v>
      </c>
      <c r="S197" s="365"/>
      <c r="T197" s="230">
        <f t="shared" ref="T197:T205" ca="1" si="106">(VLOOKUP($F197,Factors,T$329))*$H197</f>
        <v>0</v>
      </c>
      <c r="U197" s="365"/>
      <c r="V197" s="230">
        <f t="shared" ref="V197:V205" ca="1" si="107">(VLOOKUP($F197,Factors,V$329))*$H197</f>
        <v>89623.23150200001</v>
      </c>
      <c r="W197" s="305"/>
      <c r="X197" s="365">
        <f t="shared" ref="X197:X205" ca="1" si="108">+H197-SUM(J197:V197)</f>
        <v>0</v>
      </c>
      <c r="Y197" s="129"/>
      <c r="Z197" s="365"/>
      <c r="AA197" s="130" t="s">
        <v>93</v>
      </c>
      <c r="AB197" s="130"/>
      <c r="AC197" s="142">
        <f t="shared" ref="AC197:AC205" si="109">+F197</f>
        <v>19</v>
      </c>
      <c r="AE197" s="146">
        <f t="shared" ref="AE197:AE205" si="110">+H197</f>
        <v>859283.14</v>
      </c>
      <c r="AG197" s="152">
        <f t="shared" ref="AG197:AG205" ca="1" si="111">(VLOOKUP($AC197,func,AG$329))*$AE197</f>
        <v>384872.91840600001</v>
      </c>
      <c r="AH197" s="152"/>
      <c r="AI197" s="152">
        <f t="shared" ref="AI197:AI205" ca="1" si="112">(VLOOKUP($AC197,func,AI$329))*$AE197</f>
        <v>147109.273568</v>
      </c>
      <c r="AJ197" s="152"/>
      <c r="AK197" s="152">
        <f t="shared" ref="AK197:AK205" ca="1" si="113">(VLOOKUP($AC197,func,AK$329))*$AE197</f>
        <v>97098.994820000007</v>
      </c>
      <c r="AL197" s="152"/>
      <c r="AM197" s="152">
        <f t="shared" ref="AM197:AM205" ca="1" si="114">(VLOOKUP($AC197,func,AM$329))*$AE197</f>
        <v>47947.999212000002</v>
      </c>
      <c r="AN197" s="152"/>
      <c r="AO197" s="152">
        <f t="shared" ref="AO197:AO205" ca="1" si="115">(VLOOKUP($AC197,func,AO$329))*$AE197</f>
        <v>50869.561888000004</v>
      </c>
      <c r="AP197" s="152"/>
      <c r="AQ197" s="152">
        <f t="shared" ref="AQ197:AQ205" ca="1" si="116">(VLOOKUP($AC197,func,AQ$329))*$AE197</f>
        <v>41761.160603999997</v>
      </c>
      <c r="AR197" s="152"/>
      <c r="AS197" s="152">
        <f t="shared" ref="AS197:AS205" ca="1" si="117">(VLOOKUP($AC197,func,AS$329))*$AE197</f>
        <v>89623.23150200001</v>
      </c>
      <c r="AU197" s="146"/>
    </row>
    <row r="198" spans="1:47" s="127" customFormat="1" ht="11.85" customHeight="1" x14ac:dyDescent="0.2">
      <c r="A198" s="498"/>
      <c r="B198" s="444"/>
      <c r="C198" s="365"/>
      <c r="D198" s="130" t="s">
        <v>94</v>
      </c>
      <c r="E198" s="130"/>
      <c r="F198" s="142">
        <v>8</v>
      </c>
      <c r="G198" s="131"/>
      <c r="H198" s="309">
        <v>333780</v>
      </c>
      <c r="J198" s="230">
        <f t="shared" si="101"/>
        <v>270762.33600000001</v>
      </c>
      <c r="K198" s="365"/>
      <c r="L198" s="230">
        <f t="shared" si="102"/>
        <v>51735.9</v>
      </c>
      <c r="M198" s="365"/>
      <c r="N198" s="230">
        <f t="shared" si="103"/>
        <v>3271.0439999999999</v>
      </c>
      <c r="O198" s="365"/>
      <c r="P198" s="230">
        <f t="shared" si="104"/>
        <v>7643.5619999999999</v>
      </c>
      <c r="Q198" s="365"/>
      <c r="R198" s="230">
        <f t="shared" si="105"/>
        <v>367.15800000000002</v>
      </c>
      <c r="S198" s="365"/>
      <c r="T198" s="230">
        <f t="shared" si="106"/>
        <v>0</v>
      </c>
      <c r="U198" s="365"/>
      <c r="V198" s="230">
        <f t="shared" si="107"/>
        <v>0</v>
      </c>
      <c r="W198" s="305"/>
      <c r="X198" s="365">
        <f t="shared" si="108"/>
        <v>0</v>
      </c>
      <c r="Y198" s="129"/>
      <c r="Z198" s="365"/>
      <c r="AA198" s="130" t="s">
        <v>94</v>
      </c>
      <c r="AB198" s="130"/>
      <c r="AC198" s="142">
        <f t="shared" si="109"/>
        <v>8</v>
      </c>
      <c r="AE198" s="146">
        <f t="shared" si="110"/>
        <v>333780</v>
      </c>
      <c r="AG198" s="152">
        <f t="shared" si="111"/>
        <v>0</v>
      </c>
      <c r="AH198" s="152"/>
      <c r="AI198" s="152">
        <f t="shared" si="112"/>
        <v>0</v>
      </c>
      <c r="AJ198" s="152"/>
      <c r="AK198" s="152">
        <f t="shared" si="113"/>
        <v>0</v>
      </c>
      <c r="AL198" s="152"/>
      <c r="AM198" s="152">
        <f t="shared" si="114"/>
        <v>333780</v>
      </c>
      <c r="AN198" s="152"/>
      <c r="AO198" s="152">
        <f t="shared" si="115"/>
        <v>0</v>
      </c>
      <c r="AP198" s="152"/>
      <c r="AQ198" s="152">
        <f t="shared" si="116"/>
        <v>0</v>
      </c>
      <c r="AR198" s="152"/>
      <c r="AS198" s="152">
        <f t="shared" si="117"/>
        <v>0</v>
      </c>
      <c r="AU198" s="146"/>
    </row>
    <row r="199" spans="1:47" s="127" customFormat="1" ht="11.85" customHeight="1" x14ac:dyDescent="0.2">
      <c r="A199" s="498"/>
      <c r="B199" s="444"/>
      <c r="C199" s="365"/>
      <c r="D199" s="130" t="s">
        <v>95</v>
      </c>
      <c r="E199" s="130"/>
      <c r="F199" s="142">
        <v>19</v>
      </c>
      <c r="G199" s="131"/>
      <c r="H199" s="554">
        <v>557727.80000000005</v>
      </c>
      <c r="J199" s="230">
        <f t="shared" ca="1" si="101"/>
        <v>296711.18960000004</v>
      </c>
      <c r="K199" s="365"/>
      <c r="L199" s="230">
        <f t="shared" ca="1" si="102"/>
        <v>121361.56928000001</v>
      </c>
      <c r="M199" s="365"/>
      <c r="N199" s="230">
        <f t="shared" ca="1" si="103"/>
        <v>40992.993300000002</v>
      </c>
      <c r="O199" s="365"/>
      <c r="P199" s="230">
        <f t="shared" ca="1" si="104"/>
        <v>24874.659880000003</v>
      </c>
      <c r="Q199" s="365"/>
      <c r="R199" s="230">
        <f t="shared" ca="1" si="105"/>
        <v>15616.378400000001</v>
      </c>
      <c r="S199" s="365"/>
      <c r="T199" s="230">
        <f t="shared" ca="1" si="106"/>
        <v>0</v>
      </c>
      <c r="U199" s="365"/>
      <c r="V199" s="230">
        <f t="shared" ca="1" si="107"/>
        <v>58171.009540000006</v>
      </c>
      <c r="W199" s="305"/>
      <c r="X199" s="365">
        <f t="shared" ca="1" si="108"/>
        <v>0</v>
      </c>
      <c r="Y199" s="129"/>
      <c r="Z199" s="365"/>
      <c r="AA199" s="130" t="s">
        <v>95</v>
      </c>
      <c r="AB199" s="130"/>
      <c r="AC199" s="142">
        <f t="shared" si="109"/>
        <v>19</v>
      </c>
      <c r="AE199" s="146">
        <f t="shared" si="110"/>
        <v>557727.80000000005</v>
      </c>
      <c r="AG199" s="152">
        <f t="shared" ca="1" si="111"/>
        <v>249806.28162000002</v>
      </c>
      <c r="AH199" s="152"/>
      <c r="AI199" s="152">
        <f t="shared" ca="1" si="112"/>
        <v>95482.999360000002</v>
      </c>
      <c r="AJ199" s="152"/>
      <c r="AK199" s="152">
        <f t="shared" ca="1" si="113"/>
        <v>63023.241400000006</v>
      </c>
      <c r="AL199" s="152"/>
      <c r="AM199" s="152">
        <f t="shared" ca="1" si="114"/>
        <v>31121.211240000004</v>
      </c>
      <c r="AN199" s="152"/>
      <c r="AO199" s="152">
        <f t="shared" ca="1" si="115"/>
        <v>33017.485760000003</v>
      </c>
      <c r="AP199" s="152"/>
      <c r="AQ199" s="152">
        <f t="shared" ca="1" si="116"/>
        <v>27105.571080000002</v>
      </c>
      <c r="AR199" s="152"/>
      <c r="AS199" s="152">
        <f t="shared" ca="1" si="117"/>
        <v>58171.009540000006</v>
      </c>
      <c r="AU199" s="146"/>
    </row>
    <row r="200" spans="1:47" s="127" customFormat="1" ht="11.85" customHeight="1" x14ac:dyDescent="0.2">
      <c r="A200" s="498"/>
      <c r="B200" s="444"/>
      <c r="C200" s="365"/>
      <c r="D200" s="130" t="s">
        <v>96</v>
      </c>
      <c r="E200" s="130"/>
      <c r="F200" s="142">
        <v>2</v>
      </c>
      <c r="G200" s="131"/>
      <c r="H200" s="554">
        <v>30040.5</v>
      </c>
      <c r="J200" s="230">
        <f t="shared" si="101"/>
        <v>15594.02355</v>
      </c>
      <c r="K200" s="365"/>
      <c r="L200" s="230">
        <f t="shared" si="102"/>
        <v>8002.7891999999993</v>
      </c>
      <c r="M200" s="365"/>
      <c r="N200" s="230">
        <f t="shared" si="103"/>
        <v>3058.1228999999998</v>
      </c>
      <c r="O200" s="365"/>
      <c r="P200" s="230">
        <f t="shared" si="104"/>
        <v>1772.3895000000002</v>
      </c>
      <c r="Q200" s="365"/>
      <c r="R200" s="230">
        <f t="shared" si="105"/>
        <v>1499.0209500000001</v>
      </c>
      <c r="S200" s="365"/>
      <c r="T200" s="230">
        <f t="shared" si="106"/>
        <v>0</v>
      </c>
      <c r="U200" s="365"/>
      <c r="V200" s="230">
        <f t="shared" si="107"/>
        <v>114.15389999999999</v>
      </c>
      <c r="W200" s="305"/>
      <c r="X200" s="365">
        <f t="shared" si="108"/>
        <v>0</v>
      </c>
      <c r="Y200" s="129"/>
      <c r="Z200" s="365"/>
      <c r="AA200" s="130" t="s">
        <v>96</v>
      </c>
      <c r="AB200" s="130"/>
      <c r="AC200" s="142">
        <f t="shared" si="109"/>
        <v>2</v>
      </c>
      <c r="AE200" s="146">
        <f t="shared" si="110"/>
        <v>30040.5</v>
      </c>
      <c r="AG200" s="152">
        <f t="shared" si="111"/>
        <v>18661.158599999999</v>
      </c>
      <c r="AH200" s="152"/>
      <c r="AI200" s="152">
        <f t="shared" si="112"/>
        <v>11265.1875</v>
      </c>
      <c r="AJ200" s="152"/>
      <c r="AK200" s="152">
        <f t="shared" si="113"/>
        <v>0</v>
      </c>
      <c r="AL200" s="152"/>
      <c r="AM200" s="152">
        <f t="shared" si="114"/>
        <v>0</v>
      </c>
      <c r="AN200" s="152"/>
      <c r="AO200" s="152">
        <f t="shared" si="115"/>
        <v>0</v>
      </c>
      <c r="AP200" s="152"/>
      <c r="AQ200" s="152">
        <f t="shared" si="116"/>
        <v>0</v>
      </c>
      <c r="AR200" s="152"/>
      <c r="AS200" s="152">
        <f t="shared" si="117"/>
        <v>114.15389999999999</v>
      </c>
      <c r="AU200" s="146"/>
    </row>
    <row r="201" spans="1:47" s="127" customFormat="1" ht="11.85" customHeight="1" x14ac:dyDescent="0.2">
      <c r="A201" s="446"/>
      <c r="C201" s="365"/>
      <c r="D201" s="130" t="s">
        <v>97</v>
      </c>
      <c r="E201" s="130"/>
      <c r="F201" s="142">
        <v>14</v>
      </c>
      <c r="G201" s="131"/>
      <c r="H201" s="554">
        <v>65037.52</v>
      </c>
      <c r="J201" s="230">
        <f t="shared" si="101"/>
        <v>36889.281344000003</v>
      </c>
      <c r="K201" s="365"/>
      <c r="L201" s="230">
        <f t="shared" si="102"/>
        <v>12864.421456</v>
      </c>
      <c r="M201" s="365"/>
      <c r="N201" s="230">
        <f t="shared" si="103"/>
        <v>4006.311232</v>
      </c>
      <c r="O201" s="365"/>
      <c r="P201" s="230">
        <f t="shared" si="104"/>
        <v>2503.94452</v>
      </c>
      <c r="Q201" s="365"/>
      <c r="R201" s="230">
        <f t="shared" si="105"/>
        <v>1242.2166319999999</v>
      </c>
      <c r="S201" s="365"/>
      <c r="T201" s="230">
        <f t="shared" si="106"/>
        <v>0</v>
      </c>
      <c r="U201" s="365"/>
      <c r="V201" s="230">
        <f t="shared" si="107"/>
        <v>7531.3448159999998</v>
      </c>
      <c r="W201" s="305"/>
      <c r="X201" s="365">
        <f t="shared" si="108"/>
        <v>0</v>
      </c>
      <c r="Y201" s="129"/>
      <c r="Z201" s="365"/>
      <c r="AA201" s="130" t="s">
        <v>97</v>
      </c>
      <c r="AB201" s="130"/>
      <c r="AC201" s="142">
        <f t="shared" si="109"/>
        <v>14</v>
      </c>
      <c r="AE201" s="146">
        <f t="shared" si="110"/>
        <v>65037.52</v>
      </c>
      <c r="AG201" s="152">
        <f t="shared" si="111"/>
        <v>21885.125479999999</v>
      </c>
      <c r="AH201" s="152"/>
      <c r="AI201" s="152">
        <f t="shared" si="112"/>
        <v>8858.1102239999982</v>
      </c>
      <c r="AJ201" s="152"/>
      <c r="AK201" s="152">
        <f t="shared" si="113"/>
        <v>10152.356871999998</v>
      </c>
      <c r="AL201" s="152"/>
      <c r="AM201" s="152">
        <f t="shared" si="114"/>
        <v>4123.3787679999996</v>
      </c>
      <c r="AN201" s="152"/>
      <c r="AO201" s="152">
        <f t="shared" si="115"/>
        <v>5033.9040479999994</v>
      </c>
      <c r="AP201" s="152"/>
      <c r="AQ201" s="152">
        <f t="shared" si="116"/>
        <v>7453.2997919999989</v>
      </c>
      <c r="AR201" s="152"/>
      <c r="AS201" s="152">
        <f t="shared" si="117"/>
        <v>7531.3448159999998</v>
      </c>
      <c r="AU201" s="146"/>
    </row>
    <row r="202" spans="1:47" s="127" customFormat="1" ht="11.85" customHeight="1" x14ac:dyDescent="0.2">
      <c r="A202" s="446"/>
      <c r="C202" s="365"/>
      <c r="D202" s="130" t="s">
        <v>480</v>
      </c>
      <c r="E202" s="130"/>
      <c r="F202" s="142">
        <v>18</v>
      </c>
      <c r="G202" s="522"/>
      <c r="H202" s="554">
        <v>658446.35</v>
      </c>
      <c r="J202" s="230">
        <f t="shared" ca="1" si="101"/>
        <v>333042.16383000003</v>
      </c>
      <c r="K202" s="365"/>
      <c r="L202" s="230">
        <f t="shared" ca="1" si="102"/>
        <v>146438.46823999999</v>
      </c>
      <c r="M202" s="365"/>
      <c r="N202" s="230">
        <f t="shared" ca="1" si="103"/>
        <v>50568.679679999994</v>
      </c>
      <c r="O202" s="365"/>
      <c r="P202" s="230">
        <f t="shared" ca="1" si="104"/>
        <v>30354.376735000002</v>
      </c>
      <c r="Q202" s="365"/>
      <c r="R202" s="230">
        <f t="shared" ca="1" si="105"/>
        <v>19753.390499999998</v>
      </c>
      <c r="S202" s="365"/>
      <c r="T202" s="230">
        <f t="shared" ca="1" si="106"/>
        <v>0</v>
      </c>
      <c r="U202" s="365"/>
      <c r="V202" s="230">
        <f t="shared" ca="1" si="107"/>
        <v>78289.271015000006</v>
      </c>
      <c r="W202" s="305"/>
      <c r="X202" s="365">
        <f t="shared" ca="1" si="108"/>
        <v>0</v>
      </c>
      <c r="Y202" s="129"/>
      <c r="Z202" s="365"/>
      <c r="AA202" s="130" t="s">
        <v>98</v>
      </c>
      <c r="AB202" s="130"/>
      <c r="AC202" s="142">
        <f t="shared" si="109"/>
        <v>18</v>
      </c>
      <c r="AE202" s="146">
        <f t="shared" si="110"/>
        <v>658446.35</v>
      </c>
      <c r="AG202" s="152">
        <f t="shared" ca="1" si="111"/>
        <v>290704.06352500001</v>
      </c>
      <c r="AH202" s="152"/>
      <c r="AI202" s="152">
        <f t="shared" ca="1" si="112"/>
        <v>144594.81845999998</v>
      </c>
      <c r="AJ202" s="152"/>
      <c r="AK202" s="152">
        <f t="shared" ca="1" si="113"/>
        <v>72034.03069</v>
      </c>
      <c r="AL202" s="152"/>
      <c r="AM202" s="152">
        <f t="shared" ca="1" si="114"/>
        <v>29893.46429</v>
      </c>
      <c r="AN202" s="152"/>
      <c r="AO202" s="152">
        <f t="shared" ca="1" si="115"/>
        <v>39045.868555000001</v>
      </c>
      <c r="AP202" s="152"/>
      <c r="AQ202" s="152">
        <f t="shared" ca="1" si="116"/>
        <v>3884.8334649999997</v>
      </c>
      <c r="AR202" s="152"/>
      <c r="AS202" s="152">
        <f t="shared" ca="1" si="117"/>
        <v>78289.271015000006</v>
      </c>
      <c r="AU202" s="146"/>
    </row>
    <row r="203" spans="1:47" s="127" customFormat="1" ht="13.5" customHeight="1" x14ac:dyDescent="0.2">
      <c r="A203" s="554"/>
      <c r="B203" s="444"/>
      <c r="C203" s="365"/>
      <c r="D203" s="130" t="s">
        <v>101</v>
      </c>
      <c r="E203" s="130"/>
      <c r="F203" s="142">
        <v>19</v>
      </c>
      <c r="G203" s="131"/>
      <c r="H203" s="554">
        <v>59194.203444444429</v>
      </c>
      <c r="J203" s="230">
        <f t="shared" ca="1" si="101"/>
        <v>31491.316232444438</v>
      </c>
      <c r="K203" s="365"/>
      <c r="L203" s="230">
        <f t="shared" ca="1" si="102"/>
        <v>12880.658669511107</v>
      </c>
      <c r="M203" s="365"/>
      <c r="N203" s="230">
        <f t="shared" ca="1" si="103"/>
        <v>4350.7739531666657</v>
      </c>
      <c r="O203" s="365"/>
      <c r="P203" s="230">
        <f t="shared" ca="1" si="104"/>
        <v>2640.0614736222215</v>
      </c>
      <c r="Q203" s="365"/>
      <c r="R203" s="230">
        <f t="shared" ca="1" si="105"/>
        <v>1657.4376964444441</v>
      </c>
      <c r="S203" s="365"/>
      <c r="T203" s="230">
        <f t="shared" ca="1" si="106"/>
        <v>0</v>
      </c>
      <c r="U203" s="365"/>
      <c r="V203" s="230">
        <f t="shared" ca="1" si="107"/>
        <v>6173.9554192555543</v>
      </c>
      <c r="W203" s="305"/>
      <c r="X203" s="365">
        <f t="shared" ca="1" si="108"/>
        <v>0</v>
      </c>
      <c r="Y203" s="129"/>
      <c r="Z203" s="365"/>
      <c r="AA203" s="130" t="s">
        <v>101</v>
      </c>
      <c r="AB203" s="130"/>
      <c r="AC203" s="142">
        <f t="shared" si="109"/>
        <v>19</v>
      </c>
      <c r="AE203" s="146">
        <f t="shared" si="110"/>
        <v>59194.203444444429</v>
      </c>
      <c r="AG203" s="152">
        <f t="shared" ca="1" si="111"/>
        <v>26513.08372276666</v>
      </c>
      <c r="AH203" s="152"/>
      <c r="AI203" s="152">
        <f t="shared" ca="1" si="112"/>
        <v>10134.047629688886</v>
      </c>
      <c r="AJ203" s="152"/>
      <c r="AK203" s="152">
        <f t="shared" ca="1" si="113"/>
        <v>6688.944989222221</v>
      </c>
      <c r="AL203" s="152"/>
      <c r="AM203" s="152">
        <f t="shared" ca="1" si="114"/>
        <v>3303.0365521999993</v>
      </c>
      <c r="AN203" s="152"/>
      <c r="AO203" s="152">
        <f t="shared" ca="1" si="115"/>
        <v>3504.2968439111105</v>
      </c>
      <c r="AP203" s="152"/>
      <c r="AQ203" s="152">
        <f t="shared" ca="1" si="116"/>
        <v>2876.838287399999</v>
      </c>
      <c r="AR203" s="152"/>
      <c r="AS203" s="152">
        <f t="shared" ca="1" si="117"/>
        <v>6173.9554192555543</v>
      </c>
      <c r="AU203" s="146"/>
    </row>
    <row r="204" spans="1:47" s="127" customFormat="1" ht="14.25" customHeight="1" x14ac:dyDescent="0.2">
      <c r="A204" s="498"/>
      <c r="B204" s="444"/>
      <c r="C204" s="365"/>
      <c r="D204" s="130" t="s">
        <v>90</v>
      </c>
      <c r="E204" s="130"/>
      <c r="F204" s="142">
        <v>19</v>
      </c>
      <c r="G204" s="131"/>
      <c r="H204" s="309">
        <v>797245.77</v>
      </c>
      <c r="J204" s="230">
        <f t="shared" ca="1" si="101"/>
        <v>424134.74964000005</v>
      </c>
      <c r="K204" s="365"/>
      <c r="L204" s="230">
        <f t="shared" ca="1" si="102"/>
        <v>173480.67955199999</v>
      </c>
      <c r="M204" s="365"/>
      <c r="N204" s="230">
        <f t="shared" ca="1" si="103"/>
        <v>58597.564095000002</v>
      </c>
      <c r="O204" s="365"/>
      <c r="P204" s="230">
        <f t="shared" ca="1" si="104"/>
        <v>35557.161341999999</v>
      </c>
      <c r="Q204" s="365"/>
      <c r="R204" s="230">
        <f t="shared" ca="1" si="105"/>
        <v>22322.881560000002</v>
      </c>
      <c r="S204" s="365"/>
      <c r="T204" s="230">
        <f t="shared" ca="1" si="106"/>
        <v>0</v>
      </c>
      <c r="U204" s="365"/>
      <c r="V204" s="230">
        <f t="shared" ca="1" si="107"/>
        <v>83152.733810999998</v>
      </c>
      <c r="W204" s="305"/>
      <c r="X204" s="365">
        <f t="shared" ca="1" si="108"/>
        <v>0</v>
      </c>
      <c r="Y204" s="129"/>
      <c r="Z204" s="365"/>
      <c r="AA204" s="130" t="s">
        <v>90</v>
      </c>
      <c r="AB204" s="130"/>
      <c r="AC204" s="142">
        <f t="shared" si="109"/>
        <v>19</v>
      </c>
      <c r="AE204" s="146">
        <f t="shared" si="110"/>
        <v>797245.77</v>
      </c>
      <c r="AG204" s="152">
        <f t="shared" ca="1" si="111"/>
        <v>357086.38038300001</v>
      </c>
      <c r="AH204" s="152"/>
      <c r="AI204" s="152">
        <f t="shared" ca="1" si="112"/>
        <v>136488.47582399999</v>
      </c>
      <c r="AJ204" s="152"/>
      <c r="AK204" s="152">
        <f t="shared" ca="1" si="113"/>
        <v>90088.772010000001</v>
      </c>
      <c r="AL204" s="152"/>
      <c r="AM204" s="152">
        <f t="shared" ca="1" si="114"/>
        <v>44486.313966000002</v>
      </c>
      <c r="AN204" s="152"/>
      <c r="AO204" s="152">
        <f t="shared" ca="1" si="115"/>
        <v>47196.949584000002</v>
      </c>
      <c r="AP204" s="152"/>
      <c r="AQ204" s="152">
        <f t="shared" ca="1" si="116"/>
        <v>38746.144421999998</v>
      </c>
      <c r="AR204" s="152"/>
      <c r="AS204" s="152">
        <f t="shared" ca="1" si="117"/>
        <v>83152.733810999998</v>
      </c>
      <c r="AU204" s="146"/>
    </row>
    <row r="205" spans="1:47" ht="14.25" customHeight="1" x14ac:dyDescent="0.2">
      <c r="D205" s="130" t="s">
        <v>100</v>
      </c>
      <c r="E205" s="307"/>
      <c r="F205" s="308">
        <v>19</v>
      </c>
      <c r="G205" s="237"/>
      <c r="H205" s="540">
        <v>42955.42</v>
      </c>
      <c r="I205"/>
      <c r="J205" s="414">
        <f t="shared" ca="1" si="101"/>
        <v>22852.283439999999</v>
      </c>
      <c r="K205" s="365"/>
      <c r="L205" s="414">
        <f t="shared" ca="1" si="102"/>
        <v>9347.0993919999983</v>
      </c>
      <c r="M205" s="365"/>
      <c r="N205" s="414">
        <f t="shared" ca="1" si="103"/>
        <v>3157.2233699999997</v>
      </c>
      <c r="O205" s="365"/>
      <c r="P205" s="414">
        <f t="shared" ca="1" si="104"/>
        <v>1915.8117319999999</v>
      </c>
      <c r="Q205" s="365"/>
      <c r="R205" s="414">
        <f t="shared" ca="1" si="105"/>
        <v>1202.7517599999999</v>
      </c>
      <c r="S205" s="365"/>
      <c r="T205" s="414">
        <f t="shared" ca="1" si="106"/>
        <v>0</v>
      </c>
      <c r="U205" s="365"/>
      <c r="V205" s="414">
        <f t="shared" ca="1" si="107"/>
        <v>4480.2503059999999</v>
      </c>
      <c r="W205" s="153"/>
      <c r="X205" s="231">
        <f t="shared" ca="1" si="108"/>
        <v>0</v>
      </c>
      <c r="Y205" s="136"/>
      <c r="Z205" s="365"/>
      <c r="AA205" s="130" t="s">
        <v>100</v>
      </c>
      <c r="AB205" s="307"/>
      <c r="AC205" s="308">
        <f t="shared" si="109"/>
        <v>19</v>
      </c>
      <c r="AE205" s="435">
        <f t="shared" si="110"/>
        <v>42955.42</v>
      </c>
      <c r="AG205" s="139">
        <f t="shared" ca="1" si="111"/>
        <v>19239.732618000002</v>
      </c>
      <c r="AH205" s="152"/>
      <c r="AI205" s="139">
        <f t="shared" ca="1" si="112"/>
        <v>7353.9679039999992</v>
      </c>
      <c r="AJ205" s="152"/>
      <c r="AK205" s="139">
        <f t="shared" ca="1" si="113"/>
        <v>4853.9624599999997</v>
      </c>
      <c r="AL205" s="152"/>
      <c r="AM205" s="139">
        <f t="shared" ca="1" si="114"/>
        <v>2396.9124360000001</v>
      </c>
      <c r="AN205" s="152"/>
      <c r="AO205" s="139">
        <f t="shared" ca="1" si="115"/>
        <v>2542.9608640000001</v>
      </c>
      <c r="AP205" s="152"/>
      <c r="AQ205" s="139">
        <f t="shared" ca="1" si="116"/>
        <v>2087.6334119999997</v>
      </c>
      <c r="AR205" s="152"/>
      <c r="AS205" s="139">
        <f t="shared" ca="1" si="117"/>
        <v>4480.2503059999999</v>
      </c>
      <c r="AU205" s="151"/>
    </row>
    <row r="206" spans="1:47" ht="14.25" customHeight="1" x14ac:dyDescent="0.2">
      <c r="D206" s="240" t="s">
        <v>99</v>
      </c>
      <c r="E206" s="307"/>
      <c r="F206" s="308"/>
      <c r="G206" s="237"/>
      <c r="H206" s="309">
        <f>SUM(H197:H205)</f>
        <v>3403710.7034444446</v>
      </c>
      <c r="I206" s="237"/>
      <c r="J206" s="309">
        <f ca="1">SUM(J197:J205)</f>
        <v>1888615.9741164446</v>
      </c>
      <c r="K206" s="237"/>
      <c r="L206" s="309">
        <f ca="1">SUM(L197:L205)</f>
        <v>723091.59705351107</v>
      </c>
      <c r="M206" s="237"/>
      <c r="N206" s="309">
        <f ca="1">SUM(N197:N205)</f>
        <v>231160.02332016669</v>
      </c>
      <c r="O206" s="237"/>
      <c r="P206" s="309">
        <f ca="1">SUM(P197:P205)</f>
        <v>145585.99522662224</v>
      </c>
      <c r="Q206" s="237"/>
      <c r="R206" s="309">
        <f ca="1">SUM(R197:R205)</f>
        <v>87721.163418444441</v>
      </c>
      <c r="S206" s="237"/>
      <c r="T206" s="309">
        <f ca="1">SUM(T197:T205)</f>
        <v>0</v>
      </c>
      <c r="U206" s="237"/>
      <c r="V206" s="309">
        <f ca="1">SUM(V197:V205)</f>
        <v>327535.95030925557</v>
      </c>
      <c r="W206" s="237"/>
      <c r="Y206" s="136"/>
      <c r="Z206" s="365"/>
      <c r="AA206" s="240" t="s">
        <v>99</v>
      </c>
      <c r="AB206" s="307"/>
      <c r="AC206" s="308"/>
      <c r="AE206" s="151">
        <f>SUM(AE197:AE205)</f>
        <v>3403710.7034444446</v>
      </c>
      <c r="AG206" s="151">
        <f ca="1">SUM(AG197:AG205)</f>
        <v>1368768.7443547666</v>
      </c>
      <c r="AI206" s="151">
        <f ca="1">SUM(AI197:AI205)</f>
        <v>561286.8804696888</v>
      </c>
      <c r="AK206" s="151">
        <f ca="1">SUM(AK197:AK205)</f>
        <v>343940.30324122228</v>
      </c>
      <c r="AM206" s="151">
        <f ca="1">SUM(AM197:AM205)</f>
        <v>497052.31646419998</v>
      </c>
      <c r="AO206" s="151">
        <f ca="1">SUM(AO197:AO205)</f>
        <v>181211.02754291109</v>
      </c>
      <c r="AQ206" s="151">
        <f ca="1">SUM(AQ197:AQ205)</f>
        <v>123915.48106239999</v>
      </c>
      <c r="AS206" s="151">
        <f ca="1">SUM(AS197:AS205)</f>
        <v>327535.95030925557</v>
      </c>
      <c r="AU206" s="151"/>
    </row>
    <row r="207" spans="1:47" ht="11.85" customHeight="1" x14ac:dyDescent="0.2">
      <c r="D207" s="240"/>
      <c r="E207" s="307"/>
      <c r="F207" s="308"/>
      <c r="G207" s="237"/>
      <c r="H207" s="487"/>
      <c r="I207"/>
      <c r="J207" s="309"/>
      <c r="K207" s="151"/>
      <c r="L207" s="309"/>
      <c r="M207" s="151"/>
      <c r="N207" s="309"/>
      <c r="O207" s="151"/>
      <c r="P207" s="309"/>
      <c r="Q207" s="151"/>
      <c r="R207" s="309"/>
      <c r="S207" s="151"/>
      <c r="T207" s="309"/>
      <c r="U207" s="151"/>
      <c r="V207" s="309"/>
      <c r="Y207" s="136"/>
      <c r="Z207" s="365"/>
      <c r="AA207" s="240"/>
      <c r="AB207" s="307"/>
      <c r="AC207" s="308"/>
      <c r="AE207" s="151"/>
      <c r="AG207" s="309"/>
      <c r="AH207" s="309"/>
      <c r="AI207" s="309"/>
      <c r="AJ207" s="309"/>
      <c r="AK207" s="309"/>
      <c r="AL207" s="309"/>
      <c r="AM207" s="309"/>
      <c r="AN207" s="309"/>
      <c r="AO207" s="309"/>
      <c r="AP207" s="309"/>
      <c r="AQ207" s="309"/>
      <c r="AR207" s="309"/>
      <c r="AS207" s="309"/>
      <c r="AU207" s="151"/>
    </row>
    <row r="208" spans="1:47" ht="12.2" customHeight="1" x14ac:dyDescent="0.2">
      <c r="D208" s="130"/>
      <c r="E208" s="130"/>
      <c r="F208" s="142"/>
      <c r="G208" s="131"/>
      <c r="H208" s="487"/>
      <c r="I208"/>
      <c r="J208" s="138"/>
      <c r="K208"/>
      <c r="M208"/>
      <c r="O208"/>
      <c r="Q208"/>
      <c r="S208"/>
      <c r="U208"/>
      <c r="X208" s="231">
        <f t="shared" ref="X208:X215" si="118">SUM(J208:V208)-H208</f>
        <v>0</v>
      </c>
      <c r="Y208" s="136"/>
      <c r="Z208" s="365"/>
      <c r="AA208" s="130"/>
      <c r="AB208" s="130"/>
      <c r="AC208" s="142"/>
      <c r="AE208" s="138"/>
      <c r="AG208" s="138"/>
      <c r="AI208" s="146"/>
      <c r="AK208" s="146"/>
      <c r="AM208" s="146"/>
      <c r="AO208" s="146"/>
      <c r="AQ208" s="146"/>
      <c r="AS208" s="146"/>
      <c r="AU208" s="151"/>
    </row>
    <row r="209" spans="1:48" s="574" customFormat="1" x14ac:dyDescent="0.2">
      <c r="A209" s="498"/>
      <c r="B209" s="446"/>
      <c r="C209" s="231"/>
      <c r="D209" s="240" t="s">
        <v>433</v>
      </c>
      <c r="E209" s="130"/>
      <c r="F209" s="308"/>
      <c r="G209" s="237"/>
      <c r="H209" s="309"/>
      <c r="J209" s="309"/>
      <c r="L209" s="151"/>
      <c r="N209" s="151"/>
      <c r="P209" s="151"/>
      <c r="R209" s="151"/>
      <c r="T209" s="151"/>
      <c r="V209" s="151"/>
      <c r="X209" s="231">
        <f t="shared" si="118"/>
        <v>0</v>
      </c>
      <c r="Y209" s="136"/>
      <c r="Z209" s="231"/>
      <c r="AA209" s="240" t="s">
        <v>433</v>
      </c>
      <c r="AB209" s="130"/>
      <c r="AC209" s="308"/>
      <c r="AE209" s="309"/>
      <c r="AG209" s="309"/>
      <c r="AI209" s="151"/>
      <c r="AK209" s="151"/>
      <c r="AM209" s="151"/>
      <c r="AO209" s="151"/>
      <c r="AQ209" s="151"/>
      <c r="AS209" s="151"/>
      <c r="AU209" s="151"/>
    </row>
    <row r="210" spans="1:48" s="574" customFormat="1" ht="13.5" thickBot="1" x14ac:dyDescent="0.25">
      <c r="A210" s="498"/>
      <c r="B210" s="446"/>
      <c r="C210" s="231"/>
      <c r="D210" s="240" t="s">
        <v>432</v>
      </c>
      <c r="E210" s="130"/>
      <c r="F210" s="308"/>
      <c r="G210" s="237"/>
      <c r="H210" s="576">
        <f>H194-H206</f>
        <v>55516144.193888895</v>
      </c>
      <c r="I210" s="237"/>
      <c r="J210" s="576">
        <f ca="1">J194-J206</f>
        <v>29454568.831514519</v>
      </c>
      <c r="K210" s="237"/>
      <c r="L210" s="576">
        <f ca="1">L194-L206</f>
        <v>12096913.615333451</v>
      </c>
      <c r="M210" s="237"/>
      <c r="N210" s="576">
        <f ca="1">N194-N206</f>
        <v>4099080.308730653</v>
      </c>
      <c r="O210" s="237"/>
      <c r="P210" s="576">
        <f ca="1">P194-P206</f>
        <v>2483264.9580110013</v>
      </c>
      <c r="Q210" s="237"/>
      <c r="R210" s="576">
        <f ca="1">R194-R206</f>
        <v>1564055.666344584</v>
      </c>
      <c r="S210" s="237"/>
      <c r="T210" s="576">
        <f ca="1">T194-T206</f>
        <v>0</v>
      </c>
      <c r="U210" s="237"/>
      <c r="V210" s="576">
        <f ca="1">V194-V206</f>
        <v>5818260.8139546812</v>
      </c>
      <c r="X210" s="231">
        <f t="shared" ca="1" si="118"/>
        <v>0</v>
      </c>
      <c r="Y210" s="136"/>
      <c r="Z210" s="231"/>
      <c r="AA210" s="240" t="s">
        <v>432</v>
      </c>
      <c r="AB210" s="130"/>
      <c r="AC210" s="308"/>
      <c r="AE210" s="577">
        <f>AE194-AE206</f>
        <v>55516144.193888895</v>
      </c>
      <c r="AG210" s="577">
        <f ca="1">AG194-AG206</f>
        <v>25020029.224837683</v>
      </c>
      <c r="AI210" s="577">
        <f ca="1">AI194-AI206</f>
        <v>9536842.6975912843</v>
      </c>
      <c r="AK210" s="577">
        <f ca="1">AK194-AK206</f>
        <v>6315698.3129589837</v>
      </c>
      <c r="AM210" s="577">
        <f ca="1">AM194-AM206</f>
        <v>2788798.3213462341</v>
      </c>
      <c r="AO210" s="577">
        <f ca="1">AO194-AO206</f>
        <v>3304838.226801856</v>
      </c>
      <c r="AQ210" s="577">
        <f ca="1">AQ194-AQ206</f>
        <v>2731676.5963981668</v>
      </c>
      <c r="AS210" s="577">
        <f ca="1">AS194-AS206</f>
        <v>5818260.8139546812</v>
      </c>
      <c r="AU210" s="151"/>
      <c r="AV210" s="285"/>
    </row>
    <row r="211" spans="1:48" s="574" customFormat="1" ht="7.9" customHeight="1" thickTop="1" x14ac:dyDescent="0.2">
      <c r="A211" s="498"/>
      <c r="B211" s="446"/>
      <c r="C211" s="231"/>
      <c r="D211" s="130"/>
      <c r="E211" s="130"/>
      <c r="F211" s="308"/>
      <c r="G211" s="237"/>
      <c r="H211" s="309"/>
      <c r="J211" s="309"/>
      <c r="L211" s="151"/>
      <c r="N211" s="151"/>
      <c r="P211" s="151"/>
      <c r="R211" s="151"/>
      <c r="T211" s="151"/>
      <c r="V211" s="151"/>
      <c r="W211" s="151"/>
      <c r="X211" s="231">
        <f t="shared" si="118"/>
        <v>0</v>
      </c>
      <c r="Y211" s="136"/>
      <c r="Z211" s="231"/>
      <c r="AA211" s="130"/>
      <c r="AB211" s="130"/>
      <c r="AC211" s="308"/>
      <c r="AU211" s="151"/>
    </row>
    <row r="212" spans="1:48" s="574" customFormat="1" ht="10.15" customHeight="1" x14ac:dyDescent="0.2">
      <c r="A212" s="498"/>
      <c r="B212" s="446"/>
      <c r="C212" s="231"/>
      <c r="D212" s="130"/>
      <c r="E212" s="130"/>
      <c r="F212" s="308"/>
      <c r="G212" s="237"/>
      <c r="H212" s="309"/>
      <c r="J212" s="309"/>
      <c r="L212" s="151"/>
      <c r="N212" s="151"/>
      <c r="P212" s="151"/>
      <c r="R212" s="151"/>
      <c r="T212" s="151"/>
      <c r="V212" s="151"/>
      <c r="W212" s="151"/>
      <c r="X212" s="231">
        <f t="shared" si="118"/>
        <v>0</v>
      </c>
      <c r="Y212" s="136"/>
      <c r="Z212" s="231"/>
      <c r="AA212" s="130"/>
      <c r="AB212" s="130"/>
      <c r="AC212" s="308"/>
      <c r="AU212" s="151"/>
    </row>
    <row r="213" spans="1:48" s="574" customFormat="1" x14ac:dyDescent="0.2">
      <c r="A213" s="498"/>
      <c r="B213" s="446"/>
      <c r="C213" s="231"/>
      <c r="D213" s="130" t="s">
        <v>10</v>
      </c>
      <c r="E213" s="130"/>
      <c r="F213" s="308">
        <v>20</v>
      </c>
      <c r="G213" s="237"/>
      <c r="H213" s="540"/>
      <c r="J213" s="540">
        <f ca="1">(VLOOKUP($F213,Factors,J$329))*-$V213</f>
        <v>4725009.6070125969</v>
      </c>
      <c r="K213" s="540"/>
      <c r="L213" s="540">
        <f ca="1">(VLOOKUP($F213,Factors,L$329))*-$V213</f>
        <v>902994.07832576649</v>
      </c>
      <c r="M213" s="540"/>
      <c r="N213" s="540">
        <f ca="1">(VLOOKUP($F213,Factors,N$329))*-$V213</f>
        <v>57018.955976755875</v>
      </c>
      <c r="O213" s="540"/>
      <c r="P213" s="540">
        <f ca="1">(VLOOKUP($F213,Factors,P$329))*-$V213</f>
        <v>133238.1726395622</v>
      </c>
      <c r="Q213" s="540"/>
      <c r="R213" s="540">
        <f ca="1">(VLOOKUP($F213,Factors,R$329))*-$V213</f>
        <v>0</v>
      </c>
      <c r="S213" s="540"/>
      <c r="T213" s="540">
        <f ca="1">(VLOOKUP($F213,Factors,T$329))*-$V213</f>
        <v>0</v>
      </c>
      <c r="V213" s="435">
        <f ca="1">+-V210</f>
        <v>-5818260.8139546812</v>
      </c>
      <c r="W213" s="151"/>
      <c r="X213" s="231">
        <f t="shared" ca="1" si="118"/>
        <v>0</v>
      </c>
      <c r="Y213" s="136"/>
      <c r="Z213" s="231"/>
      <c r="AA213" s="130" t="s">
        <v>10</v>
      </c>
      <c r="AB213" s="130"/>
      <c r="AC213" s="308">
        <f>+F213</f>
        <v>20</v>
      </c>
      <c r="AE213" s="151">
        <f>+H213</f>
        <v>0</v>
      </c>
      <c r="AG213" s="309">
        <f>(VLOOKUP($AC213,func,AG$329))*$AE213</f>
        <v>0</v>
      </c>
      <c r="AH213" s="309"/>
      <c r="AI213" s="309">
        <f>(VLOOKUP($AC213,func,AI$329))*$AE213</f>
        <v>0</v>
      </c>
      <c r="AJ213" s="309"/>
      <c r="AK213" s="309">
        <f>(VLOOKUP($AC213,func,AK$329))*$AE213</f>
        <v>0</v>
      </c>
      <c r="AL213" s="309"/>
      <c r="AM213" s="309">
        <f ca="1">-AS213</f>
        <v>5818260.8139546812</v>
      </c>
      <c r="AN213" s="309"/>
      <c r="AO213" s="309">
        <f>(VLOOKUP($AC213,func,AO$329))*$AE213</f>
        <v>0</v>
      </c>
      <c r="AP213" s="309"/>
      <c r="AQ213" s="309">
        <f>(VLOOKUP($AC213,func,AQ$329))*$AE213</f>
        <v>0</v>
      </c>
      <c r="AR213" s="309"/>
      <c r="AS213" s="309">
        <f ca="1">+V213</f>
        <v>-5818260.8139546812</v>
      </c>
      <c r="AU213" s="151"/>
    </row>
    <row r="214" spans="1:48" s="574" customFormat="1" ht="10.15" customHeight="1" x14ac:dyDescent="0.2">
      <c r="A214" s="498"/>
      <c r="B214" s="446"/>
      <c r="C214" s="231"/>
      <c r="D214" s="130"/>
      <c r="E214" s="130"/>
      <c r="F214" s="308"/>
      <c r="G214" s="237"/>
      <c r="H214" s="309"/>
      <c r="J214" s="309"/>
      <c r="L214" s="151"/>
      <c r="N214" s="151"/>
      <c r="P214" s="151"/>
      <c r="R214" s="151"/>
      <c r="T214" s="151"/>
      <c r="V214" s="151"/>
      <c r="W214" s="151"/>
      <c r="X214" s="231">
        <f t="shared" si="118"/>
        <v>0</v>
      </c>
      <c r="Y214" s="136"/>
      <c r="Z214" s="231"/>
      <c r="AA214" s="130"/>
      <c r="AB214" s="130"/>
      <c r="AC214" s="308"/>
      <c r="AU214" s="151"/>
    </row>
    <row r="215" spans="1:48" s="574" customFormat="1" ht="13.5" thickBot="1" x14ac:dyDescent="0.25">
      <c r="A215" s="498"/>
      <c r="B215" s="446"/>
      <c r="C215" s="231"/>
      <c r="D215" s="240" t="s">
        <v>150</v>
      </c>
      <c r="E215" s="130"/>
      <c r="F215" s="308"/>
      <c r="G215" s="237"/>
      <c r="H215" s="576">
        <f>H210+H213</f>
        <v>55516144.193888895</v>
      </c>
      <c r="I215" s="578"/>
      <c r="J215" s="576">
        <f ca="1">J210+J213</f>
        <v>34179578.438527115</v>
      </c>
      <c r="K215" s="578"/>
      <c r="L215" s="576">
        <f ca="1">L210+L213</f>
        <v>12999907.693659218</v>
      </c>
      <c r="M215" s="578"/>
      <c r="N215" s="576">
        <f ca="1">N210+N213</f>
        <v>4156099.2647074088</v>
      </c>
      <c r="O215" s="578"/>
      <c r="P215" s="576">
        <f ca="1">P210+P213</f>
        <v>2616503.1306505636</v>
      </c>
      <c r="Q215" s="578"/>
      <c r="R215" s="576">
        <f ca="1">R210+R213</f>
        <v>1564055.666344584</v>
      </c>
      <c r="S215" s="578"/>
      <c r="T215" s="576">
        <f ca="1">T210+T213</f>
        <v>0</v>
      </c>
      <c r="U215" s="578"/>
      <c r="V215" s="576">
        <f ca="1">V210+V213</f>
        <v>0</v>
      </c>
      <c r="X215" s="231">
        <f t="shared" ca="1" si="118"/>
        <v>0</v>
      </c>
      <c r="Y215" s="136"/>
      <c r="Z215" s="231"/>
      <c r="AA215" s="240" t="s">
        <v>150</v>
      </c>
      <c r="AB215" s="130"/>
      <c r="AC215" s="308"/>
      <c r="AE215" s="576">
        <f>AE210+AE213</f>
        <v>55516144.193888895</v>
      </c>
      <c r="AF215" s="578"/>
      <c r="AG215" s="576">
        <f ca="1">AG210+AG213</f>
        <v>25020029.224837683</v>
      </c>
      <c r="AH215" s="578"/>
      <c r="AI215" s="576">
        <f ca="1">AI210+AI213</f>
        <v>9536842.6975912843</v>
      </c>
      <c r="AJ215" s="578"/>
      <c r="AK215" s="576">
        <f ca="1">AK210+AK213</f>
        <v>6315698.3129589837</v>
      </c>
      <c r="AL215" s="578"/>
      <c r="AM215" s="576">
        <f ca="1">AM210+AM213</f>
        <v>8607059.1353009157</v>
      </c>
      <c r="AN215" s="578"/>
      <c r="AO215" s="576">
        <f ca="1">AO210+AO213</f>
        <v>3304838.226801856</v>
      </c>
      <c r="AP215" s="578"/>
      <c r="AQ215" s="576">
        <f ca="1">AQ210+AQ213</f>
        <v>2731676.5963981668</v>
      </c>
      <c r="AR215" s="578"/>
      <c r="AS215" s="576">
        <f ca="1">AS210+AS213</f>
        <v>0</v>
      </c>
      <c r="AU215" s="151"/>
    </row>
    <row r="216" spans="1:48" ht="13.5" thickTop="1" x14ac:dyDescent="0.2">
      <c r="D216" s="130"/>
      <c r="E216" s="130"/>
      <c r="F216" s="142"/>
      <c r="G216" s="131"/>
      <c r="H216" s="528"/>
      <c r="I216" s="212"/>
      <c r="J216" s="212"/>
      <c r="K216" s="212"/>
      <c r="L216" s="212"/>
      <c r="M216" s="212"/>
      <c r="N216" s="212"/>
      <c r="O216" s="212"/>
      <c r="P216" s="212"/>
      <c r="Q216" s="212"/>
      <c r="R216" s="212"/>
      <c r="S216" s="212"/>
      <c r="T216" s="212"/>
      <c r="U216" s="212"/>
      <c r="V216" s="212"/>
      <c r="Y216" s="136"/>
      <c r="Z216" s="365"/>
      <c r="AA216" s="130"/>
      <c r="AB216" s="130"/>
      <c r="AC216" s="142"/>
    </row>
    <row r="217" spans="1:48" x14ac:dyDescent="0.2">
      <c r="D217" s="130"/>
      <c r="E217" s="130"/>
      <c r="F217" s="142"/>
      <c r="G217" s="131"/>
      <c r="H217" s="528"/>
      <c r="I217" s="212"/>
      <c r="J217" s="212"/>
      <c r="K217" s="212"/>
      <c r="L217" s="212"/>
      <c r="M217" s="212"/>
      <c r="N217" s="212"/>
      <c r="O217" s="212"/>
      <c r="P217" s="212"/>
      <c r="Q217" s="212"/>
      <c r="R217" s="212"/>
      <c r="S217" s="212"/>
      <c r="T217" s="212"/>
      <c r="U217" s="212"/>
      <c r="V217" s="296"/>
      <c r="Y217" s="136"/>
      <c r="Z217" s="365"/>
      <c r="AA217" s="130"/>
      <c r="AB217" s="130"/>
      <c r="AC217" s="142"/>
      <c r="AG217" s="151"/>
      <c r="AM217" s="284"/>
      <c r="AO217" s="284"/>
      <c r="AQ217" s="231"/>
    </row>
    <row r="218" spans="1:48" x14ac:dyDescent="0.2">
      <c r="D218" s="130"/>
      <c r="E218" s="130"/>
      <c r="F218" s="142"/>
      <c r="G218" s="131"/>
      <c r="H218" s="528"/>
      <c r="I218" s="212"/>
      <c r="J218" s="212"/>
      <c r="K218" s="212"/>
      <c r="L218" s="212"/>
      <c r="M218" s="212"/>
      <c r="N218" s="212"/>
      <c r="O218" s="212"/>
      <c r="P218" s="212"/>
      <c r="Q218" s="212"/>
      <c r="R218" s="212"/>
      <c r="S218" s="212"/>
      <c r="T218" s="212"/>
      <c r="U218" s="212"/>
      <c r="V218" s="295"/>
      <c r="Y218" s="136"/>
      <c r="Z218" s="365"/>
      <c r="AA218" s="130"/>
      <c r="AB218" s="130"/>
      <c r="AC218" s="142"/>
      <c r="AG218" s="231"/>
      <c r="AM218" s="285"/>
      <c r="AN218" s="285"/>
      <c r="AO218" s="285"/>
      <c r="AP218" s="285"/>
    </row>
    <row r="219" spans="1:48" x14ac:dyDescent="0.2">
      <c r="D219" s="130"/>
      <c r="E219" s="130"/>
      <c r="F219" s="142"/>
      <c r="G219" s="131"/>
      <c r="H219" s="528"/>
      <c r="I219" s="212"/>
      <c r="J219" s="212"/>
      <c r="K219" s="212"/>
      <c r="L219" s="212"/>
      <c r="M219" s="212"/>
      <c r="N219" s="212"/>
      <c r="O219" s="212"/>
      <c r="P219" s="212"/>
      <c r="Q219" s="212"/>
      <c r="R219" s="212"/>
      <c r="S219" s="212"/>
      <c r="T219" s="212"/>
      <c r="U219" s="212"/>
      <c r="V219" s="212"/>
      <c r="Y219" s="136"/>
      <c r="Z219" s="365"/>
      <c r="AA219" s="130"/>
      <c r="AB219" s="130"/>
      <c r="AC219" s="142"/>
      <c r="AG219" s="462"/>
      <c r="AI219" s="462"/>
      <c r="AM219" s="285"/>
      <c r="AO219" s="285"/>
      <c r="AQ219" s="285"/>
    </row>
    <row r="220" spans="1:48" x14ac:dyDescent="0.2">
      <c r="D220" s="130"/>
      <c r="E220" s="130"/>
      <c r="F220" s="142"/>
      <c r="G220" s="131"/>
      <c r="H220" s="528"/>
      <c r="I220" s="212"/>
      <c r="J220" s="212"/>
      <c r="K220" s="212"/>
      <c r="L220" s="212"/>
      <c r="M220" s="212"/>
      <c r="N220" s="212"/>
      <c r="O220" s="212"/>
      <c r="P220" s="212"/>
      <c r="Q220" s="212"/>
      <c r="R220" s="212"/>
      <c r="S220" s="212"/>
      <c r="T220" s="212"/>
      <c r="U220" s="212"/>
      <c r="V220" s="212"/>
      <c r="Y220" s="136"/>
      <c r="Z220" s="365"/>
      <c r="AA220" s="130"/>
      <c r="AB220" s="130"/>
      <c r="AC220" s="142"/>
      <c r="AQ220" s="286"/>
    </row>
    <row r="221" spans="1:48" x14ac:dyDescent="0.2">
      <c r="D221" s="130"/>
      <c r="E221" s="130"/>
      <c r="F221" s="142"/>
      <c r="G221" s="131"/>
      <c r="H221" s="528"/>
      <c r="I221" s="212"/>
      <c r="J221" s="212"/>
      <c r="K221" s="212"/>
      <c r="L221" s="212"/>
      <c r="M221" s="212"/>
      <c r="N221" s="212"/>
      <c r="O221" s="212"/>
      <c r="P221" s="212"/>
      <c r="Q221" s="212"/>
      <c r="R221" s="212"/>
      <c r="S221" s="212"/>
      <c r="T221" s="212"/>
      <c r="U221" s="212"/>
      <c r="V221" s="212"/>
      <c r="Y221" s="136"/>
      <c r="Z221" s="365"/>
      <c r="AA221" s="130"/>
      <c r="AB221" s="130"/>
      <c r="AC221" s="142"/>
      <c r="AG221" s="462"/>
      <c r="AQ221" s="286"/>
    </row>
    <row r="222" spans="1:48" x14ac:dyDescent="0.2">
      <c r="D222" s="130"/>
      <c r="E222" s="130"/>
      <c r="F222" s="142"/>
      <c r="G222" s="131"/>
      <c r="H222" s="528"/>
      <c r="I222" s="212"/>
      <c r="J222" s="212"/>
      <c r="K222" s="212"/>
      <c r="L222" s="212"/>
      <c r="M222" s="212"/>
      <c r="N222" s="212"/>
      <c r="O222" s="212"/>
      <c r="P222" s="212"/>
      <c r="Q222" s="212"/>
      <c r="R222" s="212"/>
      <c r="S222" s="212"/>
      <c r="T222" s="212"/>
      <c r="U222" s="212"/>
      <c r="V222" s="212"/>
      <c r="Y222" s="136"/>
      <c r="Z222" s="365"/>
      <c r="AA222" s="130"/>
      <c r="AB222" s="130"/>
      <c r="AC222" s="142"/>
      <c r="AQ222" s="286"/>
    </row>
    <row r="223" spans="1:48" x14ac:dyDescent="0.2">
      <c r="D223" s="130"/>
      <c r="E223" s="130"/>
      <c r="F223" s="142"/>
      <c r="G223" s="131"/>
      <c r="H223" s="528"/>
      <c r="I223" s="212"/>
      <c r="J223" s="212"/>
      <c r="K223" s="212"/>
      <c r="L223" s="212"/>
      <c r="M223" s="212"/>
      <c r="N223" s="212"/>
      <c r="O223" s="212"/>
      <c r="P223" s="212"/>
      <c r="Q223" s="212"/>
      <c r="R223" s="212"/>
      <c r="S223" s="212"/>
      <c r="T223" s="212"/>
      <c r="U223" s="212"/>
      <c r="V223" s="212"/>
      <c r="Y223" s="136"/>
      <c r="Z223" s="365"/>
      <c r="AA223" s="130"/>
      <c r="AB223" s="130"/>
      <c r="AC223" s="142"/>
      <c r="AQ223" s="286"/>
    </row>
    <row r="224" spans="1:48" x14ac:dyDescent="0.2">
      <c r="D224" s="263" t="s">
        <v>133</v>
      </c>
      <c r="X224" s="231">
        <f t="shared" ref="X224:X255" si="119">SUM(J224:V224)-H224</f>
        <v>0</v>
      </c>
      <c r="Y224" s="136"/>
      <c r="Z224" s="365"/>
      <c r="AA224" s="263" t="s">
        <v>133</v>
      </c>
      <c r="AB224" s="132"/>
      <c r="AC224" s="143"/>
    </row>
    <row r="225" spans="1:47" x14ac:dyDescent="0.2">
      <c r="A225" s="446"/>
      <c r="B225" s="463">
        <v>301</v>
      </c>
      <c r="D225" s="210" t="s">
        <v>158</v>
      </c>
      <c r="F225" s="143">
        <v>17</v>
      </c>
      <c r="H225" s="553">
        <v>0</v>
      </c>
      <c r="I225" s="214"/>
      <c r="J225" s="213">
        <f t="shared" ref="J225:J271" si="120">(VLOOKUP($F225,Factors,J$329))*$H225</f>
        <v>0</v>
      </c>
      <c r="K225" s="214"/>
      <c r="L225" s="213">
        <f t="shared" ref="L225:L271" si="121">(VLOOKUP($F225,Factors,L$329))*$H225</f>
        <v>0</v>
      </c>
      <c r="M225" s="214"/>
      <c r="N225" s="213">
        <f t="shared" ref="N225:N271" si="122">(VLOOKUP($F225,Factors,N$329))*$H225</f>
        <v>0</v>
      </c>
      <c r="O225" s="214"/>
      <c r="P225" s="213">
        <f t="shared" ref="P225:P271" si="123">(VLOOKUP($F225,Factors,P$329))*$H225</f>
        <v>0</v>
      </c>
      <c r="Q225" s="214"/>
      <c r="R225" s="213">
        <f t="shared" ref="R225:R271" si="124">(VLOOKUP($F225,Factors,R$329))*$H225</f>
        <v>0</v>
      </c>
      <c r="S225" s="214"/>
      <c r="T225" s="213">
        <f t="shared" ref="T225:T271" si="125">(VLOOKUP($F225,Factors,T$329))*$H225</f>
        <v>0</v>
      </c>
      <c r="U225" s="214"/>
      <c r="V225" s="213">
        <f t="shared" ref="V225:V271" si="126">(VLOOKUP($F225,Factors,V$329))*$H225</f>
        <v>0</v>
      </c>
      <c r="X225" s="231">
        <f t="shared" si="119"/>
        <v>0</v>
      </c>
      <c r="Z225" s="365"/>
      <c r="AA225" s="210" t="s">
        <v>158</v>
      </c>
      <c r="AB225" s="132"/>
      <c r="AC225" s="143">
        <f t="shared" ref="AC225:AC271" si="127">+F225</f>
        <v>17</v>
      </c>
      <c r="AD225" s="132"/>
      <c r="AE225" s="413">
        <f t="shared" ref="AE225:AE271" si="128">+H225</f>
        <v>0</v>
      </c>
      <c r="AG225" s="138">
        <f t="shared" ref="AG225:AG271" si="129">(VLOOKUP($AC225,func,AG$329))*$AE225</f>
        <v>0</v>
      </c>
      <c r="AH225" s="138"/>
      <c r="AI225" s="138">
        <f t="shared" ref="AI225:AI271" si="130">(VLOOKUP($AC225,func,AI$329))*$AE225</f>
        <v>0</v>
      </c>
      <c r="AJ225" s="138"/>
      <c r="AK225" s="138">
        <f t="shared" ref="AK225:AK271" si="131">(VLOOKUP($AC225,func,AK$329))*$AE225</f>
        <v>0</v>
      </c>
      <c r="AL225" s="138"/>
      <c r="AM225" s="138">
        <f t="shared" ref="AM225:AM271" si="132">(VLOOKUP($AC225,func,AM$329))*$AE225</f>
        <v>0</v>
      </c>
      <c r="AN225" s="138"/>
      <c r="AO225" s="138">
        <f t="shared" ref="AO225:AO271" si="133">(VLOOKUP($AC225,func,AO$329))*$AE225</f>
        <v>0</v>
      </c>
      <c r="AP225" s="138"/>
      <c r="AQ225" s="138">
        <f t="shared" ref="AQ225:AQ271" si="134">(VLOOKUP($AC225,func,AQ$329))*$AE225</f>
        <v>0</v>
      </c>
      <c r="AR225" s="138"/>
      <c r="AS225" s="138">
        <f t="shared" ref="AS225:AS271" si="135">(VLOOKUP($AC225,func,AS$329))*$AE225</f>
        <v>0</v>
      </c>
      <c r="AU225" s="151"/>
    </row>
    <row r="226" spans="1:47" x14ac:dyDescent="0.2">
      <c r="A226" s="446"/>
      <c r="B226" s="463">
        <v>303.10000000000002</v>
      </c>
      <c r="D226" s="406" t="s">
        <v>82</v>
      </c>
      <c r="F226" s="143">
        <v>2</v>
      </c>
      <c r="H226" s="309">
        <v>29200</v>
      </c>
      <c r="J226" s="138">
        <f t="shared" si="120"/>
        <v>15157.72</v>
      </c>
      <c r="L226" s="138">
        <f t="shared" si="121"/>
        <v>7778.8799999999992</v>
      </c>
      <c r="N226" s="138">
        <f t="shared" si="122"/>
        <v>2972.56</v>
      </c>
      <c r="P226" s="138">
        <f t="shared" si="123"/>
        <v>1722.8000000000002</v>
      </c>
      <c r="R226" s="138">
        <f t="shared" si="124"/>
        <v>1457.08</v>
      </c>
      <c r="T226" s="138">
        <f t="shared" si="125"/>
        <v>0</v>
      </c>
      <c r="V226" s="138">
        <f t="shared" si="126"/>
        <v>110.96</v>
      </c>
      <c r="X226" s="231">
        <f t="shared" si="119"/>
        <v>0</v>
      </c>
      <c r="Z226" s="365"/>
      <c r="AA226" s="406" t="s">
        <v>82</v>
      </c>
      <c r="AB226" s="132"/>
      <c r="AC226" s="143">
        <f t="shared" si="127"/>
        <v>2</v>
      </c>
      <c r="AD226" s="132"/>
      <c r="AE226" s="413">
        <f t="shared" si="128"/>
        <v>29200</v>
      </c>
      <c r="AG226" s="138">
        <f t="shared" si="129"/>
        <v>18139.04</v>
      </c>
      <c r="AH226" s="138"/>
      <c r="AI226" s="138">
        <f t="shared" si="130"/>
        <v>10950</v>
      </c>
      <c r="AJ226" s="138"/>
      <c r="AK226" s="138">
        <f t="shared" si="131"/>
        <v>0</v>
      </c>
      <c r="AL226" s="138"/>
      <c r="AM226" s="138">
        <f t="shared" si="132"/>
        <v>0</v>
      </c>
      <c r="AN226" s="138"/>
      <c r="AO226" s="138">
        <f t="shared" si="133"/>
        <v>0</v>
      </c>
      <c r="AP226" s="138"/>
      <c r="AQ226" s="138">
        <f t="shared" si="134"/>
        <v>0</v>
      </c>
      <c r="AR226" s="138"/>
      <c r="AS226" s="138">
        <f t="shared" si="135"/>
        <v>110.96</v>
      </c>
      <c r="AU226" s="151"/>
    </row>
    <row r="227" spans="1:47" x14ac:dyDescent="0.2">
      <c r="A227" s="446"/>
      <c r="B227" s="463">
        <v>303.2</v>
      </c>
      <c r="D227" s="406" t="s">
        <v>83</v>
      </c>
      <c r="F227" s="143">
        <v>2</v>
      </c>
      <c r="H227" s="309">
        <v>368719.46</v>
      </c>
      <c r="J227" s="138">
        <f t="shared" si="120"/>
        <v>191402.27168600002</v>
      </c>
      <c r="L227" s="138">
        <f t="shared" si="121"/>
        <v>98226.864143999992</v>
      </c>
      <c r="N227" s="138">
        <f t="shared" si="122"/>
        <v>37535.641028000005</v>
      </c>
      <c r="P227" s="138">
        <f t="shared" si="123"/>
        <v>21754.448140000004</v>
      </c>
      <c r="R227" s="138">
        <f t="shared" si="124"/>
        <v>18399.101054000002</v>
      </c>
      <c r="T227" s="138">
        <f t="shared" si="125"/>
        <v>0</v>
      </c>
      <c r="V227" s="138">
        <f t="shared" si="126"/>
        <v>1401.1339480000001</v>
      </c>
      <c r="X227" s="231">
        <f t="shared" si="119"/>
        <v>0</v>
      </c>
      <c r="Z227" s="365"/>
      <c r="AA227" s="406" t="s">
        <v>83</v>
      </c>
      <c r="AB227" s="132"/>
      <c r="AC227" s="143">
        <f t="shared" si="127"/>
        <v>2</v>
      </c>
      <c r="AD227" s="132"/>
      <c r="AE227" s="413">
        <f t="shared" si="128"/>
        <v>368719.46</v>
      </c>
      <c r="AG227" s="138">
        <f t="shared" si="129"/>
        <v>229048.528552</v>
      </c>
      <c r="AH227" s="138"/>
      <c r="AI227" s="138">
        <f t="shared" si="130"/>
        <v>138269.79750000002</v>
      </c>
      <c r="AJ227" s="138"/>
      <c r="AK227" s="138">
        <f t="shared" si="131"/>
        <v>0</v>
      </c>
      <c r="AL227" s="138"/>
      <c r="AM227" s="138">
        <f t="shared" si="132"/>
        <v>0</v>
      </c>
      <c r="AN227" s="138"/>
      <c r="AO227" s="138">
        <f t="shared" si="133"/>
        <v>0</v>
      </c>
      <c r="AP227" s="138"/>
      <c r="AQ227" s="138">
        <f t="shared" si="134"/>
        <v>0</v>
      </c>
      <c r="AR227" s="138"/>
      <c r="AS227" s="138">
        <f t="shared" si="135"/>
        <v>1401.1339480000001</v>
      </c>
      <c r="AU227" s="151"/>
    </row>
    <row r="228" spans="1:47" x14ac:dyDescent="0.2">
      <c r="A228" s="446"/>
      <c r="B228" s="463">
        <v>303.3</v>
      </c>
      <c r="D228" s="406" t="s">
        <v>84</v>
      </c>
      <c r="F228" s="143">
        <v>3</v>
      </c>
      <c r="H228" s="309">
        <v>293659.15999999997</v>
      </c>
      <c r="J228" s="138">
        <f t="shared" si="120"/>
        <v>130267.20337599999</v>
      </c>
      <c r="L228" s="138">
        <f t="shared" si="121"/>
        <v>66836.824815999993</v>
      </c>
      <c r="N228" s="138">
        <f t="shared" si="122"/>
        <v>25548.346919999996</v>
      </c>
      <c r="P228" s="138">
        <f t="shared" si="123"/>
        <v>14800.421664</v>
      </c>
      <c r="R228" s="138">
        <f t="shared" si="124"/>
        <v>12509.880215999998</v>
      </c>
      <c r="T228" s="138">
        <f t="shared" si="125"/>
        <v>0</v>
      </c>
      <c r="V228" s="138">
        <f t="shared" si="126"/>
        <v>43696.483008000003</v>
      </c>
      <c r="X228" s="231">
        <f t="shared" si="119"/>
        <v>0</v>
      </c>
      <c r="Z228" s="365"/>
      <c r="AA228" s="406" t="s">
        <v>84</v>
      </c>
      <c r="AB228" s="132"/>
      <c r="AC228" s="143">
        <f t="shared" si="127"/>
        <v>3</v>
      </c>
      <c r="AD228" s="132"/>
      <c r="AE228" s="413">
        <f t="shared" si="128"/>
        <v>293659.15999999997</v>
      </c>
      <c r="AG228" s="138">
        <f t="shared" si="129"/>
        <v>155903.648044</v>
      </c>
      <c r="AH228" s="138"/>
      <c r="AI228" s="138">
        <f t="shared" si="130"/>
        <v>94059.028948000006</v>
      </c>
      <c r="AJ228" s="138"/>
      <c r="AK228" s="138">
        <f t="shared" si="131"/>
        <v>0</v>
      </c>
      <c r="AL228" s="138"/>
      <c r="AM228" s="138">
        <f t="shared" si="132"/>
        <v>0</v>
      </c>
      <c r="AN228" s="138"/>
      <c r="AO228" s="138">
        <f t="shared" si="133"/>
        <v>0</v>
      </c>
      <c r="AP228" s="138"/>
      <c r="AQ228" s="138">
        <f t="shared" si="134"/>
        <v>0</v>
      </c>
      <c r="AR228" s="138"/>
      <c r="AS228" s="138">
        <f t="shared" si="135"/>
        <v>43696.483008000003</v>
      </c>
      <c r="AU228" s="151"/>
    </row>
    <row r="229" spans="1:47" x14ac:dyDescent="0.2">
      <c r="A229" s="446"/>
      <c r="B229" s="463">
        <v>303.39999999999998</v>
      </c>
      <c r="D229" s="406" t="s">
        <v>85</v>
      </c>
      <c r="F229" s="143">
        <v>2</v>
      </c>
      <c r="H229" s="309">
        <v>2599548.25</v>
      </c>
      <c r="J229" s="138">
        <f t="shared" si="120"/>
        <v>1349425.496575</v>
      </c>
      <c r="L229" s="138">
        <f t="shared" si="121"/>
        <v>692519.65379999997</v>
      </c>
      <c r="N229" s="138">
        <f t="shared" si="122"/>
        <v>264634.01185000001</v>
      </c>
      <c r="P229" s="138">
        <f t="shared" si="123"/>
        <v>153373.34675</v>
      </c>
      <c r="R229" s="138">
        <f t="shared" si="124"/>
        <v>129717.457675</v>
      </c>
      <c r="T229" s="138">
        <f t="shared" si="125"/>
        <v>0</v>
      </c>
      <c r="V229" s="138">
        <f t="shared" si="126"/>
        <v>9878.2833499999997</v>
      </c>
      <c r="X229" s="231">
        <f t="shared" si="119"/>
        <v>0</v>
      </c>
      <c r="Z229" s="365"/>
      <c r="AA229" s="406" t="s">
        <v>85</v>
      </c>
      <c r="AB229" s="132"/>
      <c r="AC229" s="143">
        <f t="shared" si="127"/>
        <v>2</v>
      </c>
      <c r="AD229" s="132"/>
      <c r="AE229" s="413">
        <f t="shared" si="128"/>
        <v>2599548.25</v>
      </c>
      <c r="AG229" s="138">
        <f t="shared" si="129"/>
        <v>1614839.3728999998</v>
      </c>
      <c r="AH229" s="138"/>
      <c r="AI229" s="138">
        <f t="shared" si="130"/>
        <v>974830.59375</v>
      </c>
      <c r="AJ229" s="138"/>
      <c r="AK229" s="138">
        <f t="shared" si="131"/>
        <v>0</v>
      </c>
      <c r="AL229" s="138"/>
      <c r="AM229" s="138">
        <f t="shared" si="132"/>
        <v>0</v>
      </c>
      <c r="AN229" s="138"/>
      <c r="AO229" s="138">
        <f t="shared" si="133"/>
        <v>0</v>
      </c>
      <c r="AP229" s="138"/>
      <c r="AQ229" s="138">
        <f t="shared" si="134"/>
        <v>0</v>
      </c>
      <c r="AR229" s="138"/>
      <c r="AS229" s="138">
        <f t="shared" si="135"/>
        <v>9878.2833499999997</v>
      </c>
      <c r="AU229" s="151"/>
    </row>
    <row r="230" spans="1:47" x14ac:dyDescent="0.2">
      <c r="A230" s="446"/>
      <c r="B230" s="463">
        <v>304.10000000000002</v>
      </c>
      <c r="D230" s="406" t="s">
        <v>60</v>
      </c>
      <c r="F230" s="143">
        <v>2</v>
      </c>
      <c r="H230" s="309">
        <v>10629494.810000001</v>
      </c>
      <c r="J230" s="138">
        <f t="shared" si="120"/>
        <v>5517770.7558710007</v>
      </c>
      <c r="L230" s="138">
        <f t="shared" si="121"/>
        <v>2831697.417384</v>
      </c>
      <c r="N230" s="138">
        <f t="shared" si="122"/>
        <v>1082082.5716580001</v>
      </c>
      <c r="P230" s="138">
        <f t="shared" si="123"/>
        <v>627140.19379000005</v>
      </c>
      <c r="R230" s="138">
        <f t="shared" si="124"/>
        <v>530411.791019</v>
      </c>
      <c r="T230" s="138">
        <f t="shared" si="125"/>
        <v>0</v>
      </c>
      <c r="V230" s="138">
        <f t="shared" si="126"/>
        <v>40392.080278000001</v>
      </c>
      <c r="X230" s="231">
        <f t="shared" si="119"/>
        <v>0</v>
      </c>
      <c r="Z230" s="365"/>
      <c r="AA230" s="406" t="s">
        <v>60</v>
      </c>
      <c r="AB230" s="132"/>
      <c r="AC230" s="143">
        <f t="shared" si="127"/>
        <v>2</v>
      </c>
      <c r="AD230" s="132"/>
      <c r="AE230" s="413">
        <f t="shared" si="128"/>
        <v>10629494.810000001</v>
      </c>
      <c r="AG230" s="138">
        <f t="shared" si="129"/>
        <v>6603042.1759719998</v>
      </c>
      <c r="AH230" s="138"/>
      <c r="AI230" s="138">
        <f t="shared" si="130"/>
        <v>3986060.55375</v>
      </c>
      <c r="AJ230" s="138"/>
      <c r="AK230" s="138">
        <f t="shared" si="131"/>
        <v>0</v>
      </c>
      <c r="AL230" s="138"/>
      <c r="AM230" s="138">
        <f t="shared" si="132"/>
        <v>0</v>
      </c>
      <c r="AN230" s="138"/>
      <c r="AO230" s="138">
        <f t="shared" si="133"/>
        <v>0</v>
      </c>
      <c r="AP230" s="138"/>
      <c r="AQ230" s="138">
        <f t="shared" si="134"/>
        <v>0</v>
      </c>
      <c r="AR230" s="138"/>
      <c r="AS230" s="138">
        <f t="shared" si="135"/>
        <v>40392.080278000001</v>
      </c>
      <c r="AU230" s="151"/>
    </row>
    <row r="231" spans="1:47" x14ac:dyDescent="0.2">
      <c r="A231" s="446"/>
      <c r="B231" s="463">
        <v>304.2</v>
      </c>
      <c r="D231" s="406" t="s">
        <v>61</v>
      </c>
      <c r="F231" s="143">
        <v>2</v>
      </c>
      <c r="H231" s="309">
        <v>55700747.889999993</v>
      </c>
      <c r="J231" s="138">
        <f t="shared" si="120"/>
        <v>28914258.229698997</v>
      </c>
      <c r="L231" s="138">
        <f t="shared" si="121"/>
        <v>14838679.237895997</v>
      </c>
      <c r="N231" s="138">
        <f t="shared" si="122"/>
        <v>5670336.135201999</v>
      </c>
      <c r="P231" s="138">
        <f t="shared" si="123"/>
        <v>3286344.1255099997</v>
      </c>
      <c r="R231" s="138">
        <f t="shared" si="124"/>
        <v>2779467.3197109997</v>
      </c>
      <c r="T231" s="138">
        <f t="shared" si="125"/>
        <v>0</v>
      </c>
      <c r="V231" s="138">
        <f t="shared" si="126"/>
        <v>211662.84198199998</v>
      </c>
      <c r="X231" s="231">
        <f t="shared" si="119"/>
        <v>0</v>
      </c>
      <c r="Z231" s="365"/>
      <c r="AA231" s="406" t="s">
        <v>61</v>
      </c>
      <c r="AB231" s="132"/>
      <c r="AC231" s="143">
        <f t="shared" si="127"/>
        <v>2</v>
      </c>
      <c r="AD231" s="132"/>
      <c r="AE231" s="413">
        <f t="shared" si="128"/>
        <v>55700747.889999993</v>
      </c>
      <c r="AG231" s="138">
        <f t="shared" si="129"/>
        <v>34601304.589267991</v>
      </c>
      <c r="AH231" s="138"/>
      <c r="AI231" s="138">
        <f t="shared" si="130"/>
        <v>20887780.458749998</v>
      </c>
      <c r="AJ231" s="138"/>
      <c r="AK231" s="138">
        <f t="shared" si="131"/>
        <v>0</v>
      </c>
      <c r="AL231" s="138"/>
      <c r="AM231" s="138">
        <f t="shared" si="132"/>
        <v>0</v>
      </c>
      <c r="AN231" s="138"/>
      <c r="AO231" s="138">
        <f t="shared" si="133"/>
        <v>0</v>
      </c>
      <c r="AP231" s="138"/>
      <c r="AQ231" s="138">
        <f t="shared" si="134"/>
        <v>0</v>
      </c>
      <c r="AR231" s="138"/>
      <c r="AS231" s="138">
        <f t="shared" si="135"/>
        <v>211662.84198199998</v>
      </c>
      <c r="AU231" s="151"/>
    </row>
    <row r="232" spans="1:47" x14ac:dyDescent="0.2">
      <c r="A232" s="446"/>
      <c r="B232" s="463">
        <v>304.3</v>
      </c>
      <c r="D232" s="406" t="s">
        <v>62</v>
      </c>
      <c r="F232" s="143">
        <v>3</v>
      </c>
      <c r="H232" s="309">
        <v>5436426.6100000003</v>
      </c>
      <c r="J232" s="138">
        <f t="shared" si="120"/>
        <v>2411598.8441960001</v>
      </c>
      <c r="L232" s="138">
        <f t="shared" si="121"/>
        <v>1237330.6964360001</v>
      </c>
      <c r="N232" s="138">
        <f t="shared" si="122"/>
        <v>472969.11507</v>
      </c>
      <c r="P232" s="138">
        <f t="shared" si="123"/>
        <v>273995.901144</v>
      </c>
      <c r="R232" s="138">
        <f t="shared" si="124"/>
        <v>231591.773586</v>
      </c>
      <c r="T232" s="138">
        <f t="shared" si="125"/>
        <v>0</v>
      </c>
      <c r="V232" s="138">
        <f t="shared" si="126"/>
        <v>808940.27956800011</v>
      </c>
      <c r="X232" s="231">
        <f t="shared" si="119"/>
        <v>0</v>
      </c>
      <c r="Z232" s="365"/>
      <c r="AA232" s="406" t="s">
        <v>62</v>
      </c>
      <c r="AB232" s="132"/>
      <c r="AC232" s="143">
        <f t="shared" si="127"/>
        <v>3</v>
      </c>
      <c r="AD232" s="132"/>
      <c r="AE232" s="413">
        <f t="shared" si="128"/>
        <v>5436426.6100000003</v>
      </c>
      <c r="AG232" s="138">
        <f t="shared" si="129"/>
        <v>2886198.8872490004</v>
      </c>
      <c r="AH232" s="138"/>
      <c r="AI232" s="138">
        <f t="shared" si="130"/>
        <v>1741287.4431830002</v>
      </c>
      <c r="AJ232" s="138"/>
      <c r="AK232" s="138">
        <f t="shared" si="131"/>
        <v>0</v>
      </c>
      <c r="AL232" s="138"/>
      <c r="AM232" s="138">
        <f t="shared" si="132"/>
        <v>0</v>
      </c>
      <c r="AN232" s="138"/>
      <c r="AO232" s="138">
        <f t="shared" si="133"/>
        <v>0</v>
      </c>
      <c r="AP232" s="138"/>
      <c r="AQ232" s="138">
        <f t="shared" si="134"/>
        <v>0</v>
      </c>
      <c r="AR232" s="138"/>
      <c r="AS232" s="138">
        <f t="shared" si="135"/>
        <v>808940.27956800011</v>
      </c>
      <c r="AU232" s="151"/>
    </row>
    <row r="233" spans="1:47" x14ac:dyDescent="0.2">
      <c r="A233" s="446"/>
      <c r="B233" s="463">
        <v>304.39999999999998</v>
      </c>
      <c r="D233" s="406" t="s">
        <v>63</v>
      </c>
      <c r="F233" s="143">
        <v>14</v>
      </c>
      <c r="H233" s="309">
        <v>6871568.0699999994</v>
      </c>
      <c r="J233" s="138">
        <f t="shared" si="120"/>
        <v>3897553.409304</v>
      </c>
      <c r="L233" s="138">
        <f t="shared" si="121"/>
        <v>1359196.1642459999</v>
      </c>
      <c r="N233" s="138">
        <f t="shared" si="122"/>
        <v>423288.59311199997</v>
      </c>
      <c r="P233" s="138">
        <f t="shared" si="123"/>
        <v>264555.37069499999</v>
      </c>
      <c r="R233" s="138">
        <f t="shared" si="124"/>
        <v>131246.95013699998</v>
      </c>
      <c r="T233" s="138">
        <f t="shared" si="125"/>
        <v>0</v>
      </c>
      <c r="V233" s="138">
        <f t="shared" si="126"/>
        <v>795727.58250599995</v>
      </c>
      <c r="X233" s="231">
        <f t="shared" si="119"/>
        <v>0</v>
      </c>
      <c r="Z233" s="365"/>
      <c r="AA233" s="406" t="s">
        <v>63</v>
      </c>
      <c r="AB233" s="132"/>
      <c r="AC233" s="143">
        <f t="shared" si="127"/>
        <v>14</v>
      </c>
      <c r="AD233" s="132"/>
      <c r="AE233" s="413">
        <f t="shared" si="128"/>
        <v>6871568.0699999994</v>
      </c>
      <c r="AG233" s="138">
        <f t="shared" si="129"/>
        <v>2312282.6555550001</v>
      </c>
      <c r="AH233" s="138"/>
      <c r="AI233" s="138">
        <f t="shared" si="130"/>
        <v>935907.57113399985</v>
      </c>
      <c r="AJ233" s="138"/>
      <c r="AK233" s="138">
        <f t="shared" si="131"/>
        <v>1072651.7757269999</v>
      </c>
      <c r="AL233" s="138"/>
      <c r="AM233" s="138">
        <f t="shared" si="132"/>
        <v>435657.41563799995</v>
      </c>
      <c r="AN233" s="138"/>
      <c r="AO233" s="138">
        <f t="shared" si="133"/>
        <v>531859.36861799995</v>
      </c>
      <c r="AP233" s="138"/>
      <c r="AQ233" s="138">
        <f t="shared" si="134"/>
        <v>787481.70082199993</v>
      </c>
      <c r="AR233" s="138"/>
      <c r="AS233" s="138">
        <f t="shared" si="135"/>
        <v>795727.58250599995</v>
      </c>
      <c r="AU233" s="151"/>
    </row>
    <row r="234" spans="1:47" x14ac:dyDescent="0.2">
      <c r="A234" s="446"/>
      <c r="B234" s="463">
        <v>304.5</v>
      </c>
      <c r="D234" s="406" t="s">
        <v>64</v>
      </c>
      <c r="F234" s="143">
        <v>14</v>
      </c>
      <c r="H234" s="309">
        <v>18609.120000000003</v>
      </c>
      <c r="J234" s="138">
        <f t="shared" si="120"/>
        <v>10555.092864000002</v>
      </c>
      <c r="L234" s="138">
        <f t="shared" si="121"/>
        <v>3680.8839360000006</v>
      </c>
      <c r="N234" s="138">
        <f t="shared" si="122"/>
        <v>1146.3217920000002</v>
      </c>
      <c r="P234" s="138">
        <f t="shared" si="123"/>
        <v>716.45112000000006</v>
      </c>
      <c r="R234" s="138">
        <f t="shared" si="124"/>
        <v>355.43419200000005</v>
      </c>
      <c r="T234" s="138">
        <f t="shared" si="125"/>
        <v>0</v>
      </c>
      <c r="V234" s="138">
        <f t="shared" si="126"/>
        <v>2154.9360960000004</v>
      </c>
      <c r="X234" s="231">
        <f t="shared" si="119"/>
        <v>0</v>
      </c>
      <c r="Z234" s="365"/>
      <c r="AA234" s="406" t="s">
        <v>64</v>
      </c>
      <c r="AB234" s="132"/>
      <c r="AC234" s="143">
        <f t="shared" si="127"/>
        <v>14</v>
      </c>
      <c r="AD234" s="132"/>
      <c r="AE234" s="413">
        <f t="shared" si="128"/>
        <v>18609.120000000003</v>
      </c>
      <c r="AG234" s="138">
        <f t="shared" si="129"/>
        <v>6261.9688800000013</v>
      </c>
      <c r="AH234" s="138"/>
      <c r="AI234" s="138">
        <f t="shared" si="130"/>
        <v>2534.562144</v>
      </c>
      <c r="AJ234" s="138"/>
      <c r="AK234" s="138">
        <f t="shared" si="131"/>
        <v>2904.883632</v>
      </c>
      <c r="AL234" s="138"/>
      <c r="AM234" s="138">
        <f t="shared" si="132"/>
        <v>1179.8182080000001</v>
      </c>
      <c r="AN234" s="138"/>
      <c r="AO234" s="138">
        <f t="shared" si="133"/>
        <v>1440.3458880000001</v>
      </c>
      <c r="AP234" s="138"/>
      <c r="AQ234" s="138">
        <f t="shared" si="134"/>
        <v>2132.6051520000001</v>
      </c>
      <c r="AR234" s="138"/>
      <c r="AS234" s="138">
        <f t="shared" si="135"/>
        <v>2154.9360960000004</v>
      </c>
      <c r="AU234" s="151"/>
    </row>
    <row r="235" spans="1:47" x14ac:dyDescent="0.2">
      <c r="A235" s="446"/>
      <c r="B235" s="463">
        <v>304.60000000000002</v>
      </c>
      <c r="D235" s="406" t="s">
        <v>65</v>
      </c>
      <c r="F235" s="143">
        <v>2</v>
      </c>
      <c r="H235" s="309">
        <v>3322138.88</v>
      </c>
      <c r="J235" s="138">
        <f t="shared" si="120"/>
        <v>1724522.2926079999</v>
      </c>
      <c r="L235" s="138">
        <f t="shared" si="121"/>
        <v>885017.79763199983</v>
      </c>
      <c r="N235" s="138">
        <f t="shared" si="122"/>
        <v>338193.73798400001</v>
      </c>
      <c r="P235" s="138">
        <f t="shared" si="123"/>
        <v>196006.19392000002</v>
      </c>
      <c r="R235" s="138">
        <f t="shared" si="124"/>
        <v>165774.73011199999</v>
      </c>
      <c r="T235" s="138">
        <f t="shared" si="125"/>
        <v>0</v>
      </c>
      <c r="V235" s="138">
        <f t="shared" si="126"/>
        <v>12624.127743999999</v>
      </c>
      <c r="X235" s="231">
        <f t="shared" si="119"/>
        <v>0</v>
      </c>
      <c r="Z235" s="365"/>
      <c r="AA235" s="406" t="s">
        <v>65</v>
      </c>
      <c r="AB235" s="132"/>
      <c r="AC235" s="143">
        <f t="shared" si="127"/>
        <v>2</v>
      </c>
      <c r="AD235" s="132"/>
      <c r="AE235" s="413">
        <f t="shared" si="128"/>
        <v>3322138.88</v>
      </c>
      <c r="AG235" s="138">
        <f t="shared" si="129"/>
        <v>2063712.6722559999</v>
      </c>
      <c r="AH235" s="138"/>
      <c r="AI235" s="138">
        <f t="shared" si="130"/>
        <v>1245802.08</v>
      </c>
      <c r="AJ235" s="138"/>
      <c r="AK235" s="138">
        <f t="shared" si="131"/>
        <v>0</v>
      </c>
      <c r="AL235" s="138"/>
      <c r="AM235" s="138">
        <f t="shared" si="132"/>
        <v>0</v>
      </c>
      <c r="AN235" s="138"/>
      <c r="AO235" s="138">
        <f t="shared" si="133"/>
        <v>0</v>
      </c>
      <c r="AP235" s="138"/>
      <c r="AQ235" s="138">
        <f t="shared" si="134"/>
        <v>0</v>
      </c>
      <c r="AR235" s="138"/>
      <c r="AS235" s="138">
        <f t="shared" si="135"/>
        <v>12624.127743999999</v>
      </c>
      <c r="AU235" s="151"/>
    </row>
    <row r="236" spans="1:47" x14ac:dyDescent="0.2">
      <c r="A236" s="446"/>
      <c r="B236" s="463">
        <v>306</v>
      </c>
      <c r="D236" s="406" t="s">
        <v>66</v>
      </c>
      <c r="F236" s="143">
        <v>2</v>
      </c>
      <c r="H236" s="309">
        <v>462088.93999999994</v>
      </c>
      <c r="J236" s="138">
        <f t="shared" si="120"/>
        <v>239870.36875399997</v>
      </c>
      <c r="L236" s="138">
        <f t="shared" si="121"/>
        <v>123100.49361599998</v>
      </c>
      <c r="N236" s="138">
        <f t="shared" si="122"/>
        <v>47040.654091999997</v>
      </c>
      <c r="P236" s="138">
        <f t="shared" si="123"/>
        <v>27263.247459999999</v>
      </c>
      <c r="R236" s="138">
        <f t="shared" si="124"/>
        <v>23058.238105999997</v>
      </c>
      <c r="T236" s="138">
        <f t="shared" si="125"/>
        <v>0</v>
      </c>
      <c r="V236" s="138">
        <f t="shared" si="126"/>
        <v>1755.9379719999997</v>
      </c>
      <c r="X236" s="231">
        <f t="shared" si="119"/>
        <v>0</v>
      </c>
      <c r="Z236" s="365"/>
      <c r="AA236" s="406" t="s">
        <v>66</v>
      </c>
      <c r="AB236" s="132"/>
      <c r="AC236" s="143">
        <f t="shared" si="127"/>
        <v>2</v>
      </c>
      <c r="AD236" s="132"/>
      <c r="AE236" s="413">
        <f t="shared" si="128"/>
        <v>462088.93999999994</v>
      </c>
      <c r="AG236" s="138">
        <f t="shared" si="129"/>
        <v>287049.64952799998</v>
      </c>
      <c r="AH236" s="138"/>
      <c r="AI236" s="138">
        <f t="shared" si="130"/>
        <v>173283.35249999998</v>
      </c>
      <c r="AJ236" s="138"/>
      <c r="AK236" s="138">
        <f t="shared" si="131"/>
        <v>0</v>
      </c>
      <c r="AL236" s="138"/>
      <c r="AM236" s="138">
        <f t="shared" si="132"/>
        <v>0</v>
      </c>
      <c r="AN236" s="138"/>
      <c r="AO236" s="138">
        <f t="shared" si="133"/>
        <v>0</v>
      </c>
      <c r="AP236" s="138"/>
      <c r="AQ236" s="138">
        <f t="shared" si="134"/>
        <v>0</v>
      </c>
      <c r="AR236" s="138"/>
      <c r="AS236" s="138">
        <f t="shared" si="135"/>
        <v>1755.9379719999997</v>
      </c>
      <c r="AU236" s="151"/>
    </row>
    <row r="237" spans="1:47" x14ac:dyDescent="0.2">
      <c r="A237" s="446"/>
      <c r="B237" s="463">
        <v>309</v>
      </c>
      <c r="D237" s="406" t="s">
        <v>159</v>
      </c>
      <c r="F237" s="143">
        <v>2</v>
      </c>
      <c r="H237" s="309">
        <v>2043287.71</v>
      </c>
      <c r="J237" s="138">
        <f t="shared" si="120"/>
        <v>1060670.650261</v>
      </c>
      <c r="L237" s="138">
        <f t="shared" si="121"/>
        <v>544331.84594399994</v>
      </c>
      <c r="N237" s="138">
        <f t="shared" si="122"/>
        <v>208006.68887799999</v>
      </c>
      <c r="P237" s="138">
        <f t="shared" si="123"/>
        <v>120553.97489000001</v>
      </c>
      <c r="R237" s="138">
        <f t="shared" si="124"/>
        <v>101960.056729</v>
      </c>
      <c r="T237" s="138">
        <f t="shared" si="125"/>
        <v>0</v>
      </c>
      <c r="V237" s="138">
        <f t="shared" si="126"/>
        <v>7764.4932979999994</v>
      </c>
      <c r="X237" s="231">
        <f t="shared" si="119"/>
        <v>0</v>
      </c>
      <c r="Z237" s="365"/>
      <c r="AA237" s="406" t="s">
        <v>159</v>
      </c>
      <c r="AB237" s="132"/>
      <c r="AC237" s="143">
        <f t="shared" si="127"/>
        <v>2</v>
      </c>
      <c r="AD237" s="132"/>
      <c r="AE237" s="413">
        <f t="shared" si="128"/>
        <v>2043287.71</v>
      </c>
      <c r="AG237" s="138">
        <f t="shared" si="129"/>
        <v>1269290.3254519999</v>
      </c>
      <c r="AH237" s="138"/>
      <c r="AI237" s="138">
        <f t="shared" si="130"/>
        <v>766232.89124999999</v>
      </c>
      <c r="AJ237" s="138"/>
      <c r="AK237" s="138">
        <f t="shared" si="131"/>
        <v>0</v>
      </c>
      <c r="AL237" s="138"/>
      <c r="AM237" s="138">
        <f t="shared" si="132"/>
        <v>0</v>
      </c>
      <c r="AN237" s="138"/>
      <c r="AO237" s="138">
        <f t="shared" si="133"/>
        <v>0</v>
      </c>
      <c r="AP237" s="138"/>
      <c r="AQ237" s="138">
        <f t="shared" si="134"/>
        <v>0</v>
      </c>
      <c r="AR237" s="138"/>
      <c r="AS237" s="138">
        <f t="shared" si="135"/>
        <v>7764.4932979999994</v>
      </c>
      <c r="AU237" s="151"/>
    </row>
    <row r="238" spans="1:47" s="551" customFormat="1" x14ac:dyDescent="0.2">
      <c r="A238" s="446"/>
      <c r="B238" s="463">
        <v>310.10000000000002</v>
      </c>
      <c r="D238" s="365" t="s">
        <v>490</v>
      </c>
      <c r="E238" s="132"/>
      <c r="F238" s="143">
        <v>3</v>
      </c>
      <c r="G238" s="127"/>
      <c r="H238" s="309">
        <v>1502920.9400000002</v>
      </c>
      <c r="I238" s="127"/>
      <c r="J238" s="138">
        <f t="shared" si="120"/>
        <v>666695.72898400004</v>
      </c>
      <c r="K238" s="146"/>
      <c r="L238" s="138">
        <f t="shared" si="121"/>
        <v>342064.80594400002</v>
      </c>
      <c r="M238" s="146"/>
      <c r="N238" s="138">
        <f t="shared" si="122"/>
        <v>130754.12178</v>
      </c>
      <c r="O238" s="146"/>
      <c r="P238" s="138">
        <f t="shared" si="123"/>
        <v>75747.215376000007</v>
      </c>
      <c r="Q238" s="146"/>
      <c r="R238" s="138">
        <f t="shared" si="124"/>
        <v>64024.432044000008</v>
      </c>
      <c r="S238" s="146"/>
      <c r="T238" s="138">
        <f t="shared" si="125"/>
        <v>0</v>
      </c>
      <c r="U238" s="146"/>
      <c r="V238" s="138">
        <f t="shared" si="126"/>
        <v>223634.63587200004</v>
      </c>
      <c r="X238" s="231">
        <f t="shared" si="119"/>
        <v>0</v>
      </c>
      <c r="Z238" s="365"/>
      <c r="AA238" s="365" t="s">
        <v>490</v>
      </c>
      <c r="AB238" s="132"/>
      <c r="AC238" s="143">
        <f t="shared" si="127"/>
        <v>3</v>
      </c>
      <c r="AD238" s="132"/>
      <c r="AE238" s="413">
        <f t="shared" si="128"/>
        <v>1502920.9400000002</v>
      </c>
      <c r="AG238" s="138">
        <f t="shared" si="129"/>
        <v>797900.72704600019</v>
      </c>
      <c r="AH238" s="138"/>
      <c r="AI238" s="138">
        <f t="shared" si="130"/>
        <v>481385.57708200009</v>
      </c>
      <c r="AJ238" s="138"/>
      <c r="AK238" s="138">
        <f t="shared" si="131"/>
        <v>0</v>
      </c>
      <c r="AL238" s="138"/>
      <c r="AM238" s="138">
        <f t="shared" si="132"/>
        <v>0</v>
      </c>
      <c r="AN238" s="138"/>
      <c r="AO238" s="138">
        <f t="shared" si="133"/>
        <v>0</v>
      </c>
      <c r="AP238" s="138"/>
      <c r="AQ238" s="138">
        <f t="shared" si="134"/>
        <v>0</v>
      </c>
      <c r="AR238" s="138"/>
      <c r="AS238" s="138">
        <f t="shared" si="135"/>
        <v>223634.63587200004</v>
      </c>
      <c r="AU238" s="151"/>
    </row>
    <row r="239" spans="1:47" x14ac:dyDescent="0.2">
      <c r="A239" s="446"/>
      <c r="B239" s="463">
        <v>310.3</v>
      </c>
      <c r="D239" s="406" t="s">
        <v>67</v>
      </c>
      <c r="F239" s="143">
        <v>3</v>
      </c>
      <c r="H239" s="309">
        <v>1302694.08</v>
      </c>
      <c r="J239" s="138">
        <f t="shared" si="120"/>
        <v>577875.093888</v>
      </c>
      <c r="L239" s="138">
        <f t="shared" si="121"/>
        <v>296493.17260799999</v>
      </c>
      <c r="N239" s="138">
        <f t="shared" si="122"/>
        <v>113334.38496</v>
      </c>
      <c r="P239" s="138">
        <f t="shared" si="123"/>
        <v>65655.781631999998</v>
      </c>
      <c r="R239" s="138">
        <f t="shared" si="124"/>
        <v>55494.767808000004</v>
      </c>
      <c r="T239" s="138">
        <f t="shared" si="125"/>
        <v>0</v>
      </c>
      <c r="V239" s="138">
        <f t="shared" si="126"/>
        <v>193840.87910400002</v>
      </c>
      <c r="X239" s="231">
        <f t="shared" si="119"/>
        <v>0</v>
      </c>
      <c r="Z239" s="365"/>
      <c r="AA239" s="406" t="s">
        <v>67</v>
      </c>
      <c r="AB239" s="132"/>
      <c r="AC239" s="143">
        <f t="shared" si="127"/>
        <v>3</v>
      </c>
      <c r="AD239" s="132"/>
      <c r="AE239" s="413">
        <f t="shared" si="128"/>
        <v>1302694.08</v>
      </c>
      <c r="AG239" s="138">
        <f t="shared" si="129"/>
        <v>691600.28707200009</v>
      </c>
      <c r="AH239" s="138"/>
      <c r="AI239" s="138">
        <f t="shared" si="130"/>
        <v>417252.91382400005</v>
      </c>
      <c r="AJ239" s="138"/>
      <c r="AK239" s="138">
        <f t="shared" si="131"/>
        <v>0</v>
      </c>
      <c r="AL239" s="138"/>
      <c r="AM239" s="138">
        <f t="shared" si="132"/>
        <v>0</v>
      </c>
      <c r="AN239" s="138"/>
      <c r="AO239" s="138">
        <f t="shared" si="133"/>
        <v>0</v>
      </c>
      <c r="AP239" s="138"/>
      <c r="AQ239" s="138">
        <f t="shared" si="134"/>
        <v>0</v>
      </c>
      <c r="AR239" s="138"/>
      <c r="AS239" s="138">
        <f t="shared" si="135"/>
        <v>193840.87910400002</v>
      </c>
      <c r="AU239" s="151"/>
    </row>
    <row r="240" spans="1:47" x14ac:dyDescent="0.2">
      <c r="A240" s="446"/>
      <c r="B240" s="463">
        <v>311.10000000000002</v>
      </c>
      <c r="D240" s="406" t="s">
        <v>68</v>
      </c>
      <c r="F240" s="143">
        <v>3</v>
      </c>
      <c r="H240" s="309">
        <v>1703874.6800000002</v>
      </c>
      <c r="J240" s="138">
        <f t="shared" si="120"/>
        <v>755838.80804800009</v>
      </c>
      <c r="L240" s="138">
        <f t="shared" si="121"/>
        <v>387801.87716800004</v>
      </c>
      <c r="N240" s="138">
        <f t="shared" si="122"/>
        <v>148237.09716</v>
      </c>
      <c r="P240" s="138">
        <f t="shared" si="123"/>
        <v>85875.283872000015</v>
      </c>
      <c r="R240" s="138">
        <f t="shared" si="124"/>
        <v>72585.06136800001</v>
      </c>
      <c r="T240" s="138">
        <f t="shared" si="125"/>
        <v>0</v>
      </c>
      <c r="V240" s="138">
        <f t="shared" si="126"/>
        <v>253536.55238400004</v>
      </c>
      <c r="X240" s="231">
        <f t="shared" si="119"/>
        <v>0</v>
      </c>
      <c r="Z240" s="365"/>
      <c r="AA240" s="406" t="s">
        <v>68</v>
      </c>
      <c r="AB240" s="132"/>
      <c r="AC240" s="143">
        <f t="shared" si="127"/>
        <v>3</v>
      </c>
      <c r="AD240" s="132"/>
      <c r="AE240" s="413">
        <f t="shared" si="128"/>
        <v>1703874.6800000002</v>
      </c>
      <c r="AG240" s="138">
        <f t="shared" si="129"/>
        <v>904587.06761200016</v>
      </c>
      <c r="AH240" s="138"/>
      <c r="AI240" s="138">
        <f t="shared" si="130"/>
        <v>545751.06000400009</v>
      </c>
      <c r="AJ240" s="138"/>
      <c r="AK240" s="138">
        <f t="shared" si="131"/>
        <v>0</v>
      </c>
      <c r="AL240" s="138"/>
      <c r="AM240" s="138">
        <f t="shared" si="132"/>
        <v>0</v>
      </c>
      <c r="AN240" s="138"/>
      <c r="AO240" s="138">
        <f t="shared" si="133"/>
        <v>0</v>
      </c>
      <c r="AP240" s="138"/>
      <c r="AQ240" s="138">
        <f t="shared" si="134"/>
        <v>0</v>
      </c>
      <c r="AR240" s="138"/>
      <c r="AS240" s="138">
        <f t="shared" si="135"/>
        <v>253536.55238400004</v>
      </c>
      <c r="AU240" s="151"/>
    </row>
    <row r="241" spans="1:48" x14ac:dyDescent="0.2">
      <c r="A241" s="446"/>
      <c r="B241" s="463">
        <v>311.2</v>
      </c>
      <c r="D241" s="406" t="s">
        <v>68</v>
      </c>
      <c r="F241" s="143">
        <v>3</v>
      </c>
      <c r="H241" s="309">
        <v>229902.83000000007</v>
      </c>
      <c r="J241" s="138">
        <f t="shared" si="120"/>
        <v>101984.89538800003</v>
      </c>
      <c r="L241" s="138">
        <f t="shared" si="121"/>
        <v>52325.884108000013</v>
      </c>
      <c r="N241" s="138">
        <f t="shared" si="122"/>
        <v>20001.546210000004</v>
      </c>
      <c r="P241" s="138">
        <f t="shared" si="123"/>
        <v>11587.102632000004</v>
      </c>
      <c r="R241" s="138">
        <f t="shared" si="124"/>
        <v>9793.8605580000021</v>
      </c>
      <c r="T241" s="138">
        <f t="shared" si="125"/>
        <v>0</v>
      </c>
      <c r="V241" s="138">
        <f t="shared" si="126"/>
        <v>34209.541104000018</v>
      </c>
      <c r="X241" s="231">
        <f t="shared" si="119"/>
        <v>0</v>
      </c>
      <c r="Z241" s="365"/>
      <c r="AA241" s="406" t="s">
        <v>68</v>
      </c>
      <c r="AB241" s="132"/>
      <c r="AC241" s="143">
        <f t="shared" si="127"/>
        <v>3</v>
      </c>
      <c r="AD241" s="132"/>
      <c r="AE241" s="413">
        <f t="shared" si="128"/>
        <v>229902.83000000007</v>
      </c>
      <c r="AG241" s="138">
        <f t="shared" si="129"/>
        <v>122055.41244700005</v>
      </c>
      <c r="AH241" s="138"/>
      <c r="AI241" s="138">
        <f t="shared" si="130"/>
        <v>73637.876449000032</v>
      </c>
      <c r="AJ241" s="138"/>
      <c r="AK241" s="138">
        <f t="shared" si="131"/>
        <v>0</v>
      </c>
      <c r="AL241" s="138"/>
      <c r="AM241" s="138">
        <f t="shared" si="132"/>
        <v>0</v>
      </c>
      <c r="AN241" s="138"/>
      <c r="AO241" s="138">
        <f t="shared" si="133"/>
        <v>0</v>
      </c>
      <c r="AP241" s="138"/>
      <c r="AQ241" s="138">
        <f t="shared" si="134"/>
        <v>0</v>
      </c>
      <c r="AR241" s="138"/>
      <c r="AS241" s="138">
        <f t="shared" si="135"/>
        <v>34209.541104000018</v>
      </c>
      <c r="AU241" s="151"/>
    </row>
    <row r="242" spans="1:48" x14ac:dyDescent="0.2">
      <c r="A242" s="446"/>
      <c r="B242" s="463">
        <v>311.3</v>
      </c>
      <c r="D242" s="406" t="s">
        <v>68</v>
      </c>
      <c r="F242" s="143">
        <v>3</v>
      </c>
      <c r="H242" s="309">
        <v>1301440.5899999999</v>
      </c>
      <c r="J242" s="138">
        <f t="shared" si="120"/>
        <v>577319.04572399997</v>
      </c>
      <c r="L242" s="138">
        <f t="shared" si="121"/>
        <v>296207.87828399998</v>
      </c>
      <c r="N242" s="138">
        <f t="shared" si="122"/>
        <v>113225.33132999999</v>
      </c>
      <c r="P242" s="138">
        <f t="shared" si="123"/>
        <v>65592.605735999998</v>
      </c>
      <c r="R242" s="138">
        <f t="shared" si="124"/>
        <v>55441.369133999993</v>
      </c>
      <c r="T242" s="138">
        <f t="shared" si="125"/>
        <v>0</v>
      </c>
      <c r="V242" s="138">
        <f t="shared" si="126"/>
        <v>193654.359792</v>
      </c>
      <c r="X242" s="231">
        <f t="shared" si="119"/>
        <v>0</v>
      </c>
      <c r="Z242" s="365"/>
      <c r="AA242" s="406" t="s">
        <v>68</v>
      </c>
      <c r="AB242" s="132"/>
      <c r="AC242" s="143">
        <f t="shared" si="127"/>
        <v>3</v>
      </c>
      <c r="AD242" s="132"/>
      <c r="AE242" s="413">
        <f t="shared" si="128"/>
        <v>1301440.5899999999</v>
      </c>
      <c r="AG242" s="138">
        <f t="shared" si="129"/>
        <v>690934.80923100002</v>
      </c>
      <c r="AH242" s="138"/>
      <c r="AI242" s="138">
        <f t="shared" si="130"/>
        <v>416851.42097699997</v>
      </c>
      <c r="AJ242" s="138"/>
      <c r="AK242" s="138">
        <f t="shared" si="131"/>
        <v>0</v>
      </c>
      <c r="AL242" s="138"/>
      <c r="AM242" s="138">
        <f t="shared" si="132"/>
        <v>0</v>
      </c>
      <c r="AN242" s="138"/>
      <c r="AO242" s="138">
        <f t="shared" si="133"/>
        <v>0</v>
      </c>
      <c r="AP242" s="138"/>
      <c r="AQ242" s="138">
        <f t="shared" si="134"/>
        <v>0</v>
      </c>
      <c r="AR242" s="138"/>
      <c r="AS242" s="138">
        <f t="shared" si="135"/>
        <v>193654.359792</v>
      </c>
      <c r="AU242" s="151"/>
    </row>
    <row r="243" spans="1:48" x14ac:dyDescent="0.2">
      <c r="A243" s="446"/>
      <c r="B243" s="463">
        <v>320.10000000000002</v>
      </c>
      <c r="D243" s="406" t="s">
        <v>69</v>
      </c>
      <c r="F243" s="143">
        <v>2</v>
      </c>
      <c r="H243" s="309">
        <v>21886338.960000001</v>
      </c>
      <c r="J243" s="138">
        <f t="shared" si="120"/>
        <v>11361198.554136001</v>
      </c>
      <c r="L243" s="138">
        <f t="shared" si="121"/>
        <v>5830520.6989439996</v>
      </c>
      <c r="N243" s="138">
        <f t="shared" si="122"/>
        <v>2228029.3061279999</v>
      </c>
      <c r="P243" s="138">
        <f t="shared" si="123"/>
        <v>1291293.9986400001</v>
      </c>
      <c r="R243" s="138">
        <f t="shared" si="124"/>
        <v>1092128.3141040001</v>
      </c>
      <c r="T243" s="138">
        <f t="shared" si="125"/>
        <v>0</v>
      </c>
      <c r="V243" s="138">
        <f t="shared" si="126"/>
        <v>83168.088048000005</v>
      </c>
      <c r="X243" s="231">
        <f t="shared" si="119"/>
        <v>0</v>
      </c>
      <c r="Z243" s="365"/>
      <c r="AA243" s="406" t="s">
        <v>69</v>
      </c>
      <c r="AB243" s="132"/>
      <c r="AC243" s="143">
        <f t="shared" si="127"/>
        <v>2</v>
      </c>
      <c r="AD243" s="132"/>
      <c r="AE243" s="413">
        <f t="shared" si="128"/>
        <v>21886338.960000001</v>
      </c>
      <c r="AG243" s="138">
        <f t="shared" si="129"/>
        <v>13595793.761952</v>
      </c>
      <c r="AH243" s="138"/>
      <c r="AI243" s="138">
        <f t="shared" si="130"/>
        <v>8207377.1100000003</v>
      </c>
      <c r="AJ243" s="138"/>
      <c r="AK243" s="138">
        <f t="shared" si="131"/>
        <v>0</v>
      </c>
      <c r="AL243" s="138"/>
      <c r="AM243" s="138">
        <f t="shared" si="132"/>
        <v>0</v>
      </c>
      <c r="AN243" s="138"/>
      <c r="AO243" s="138">
        <f t="shared" si="133"/>
        <v>0</v>
      </c>
      <c r="AP243" s="138"/>
      <c r="AQ243" s="138">
        <f t="shared" si="134"/>
        <v>0</v>
      </c>
      <c r="AR243" s="138"/>
      <c r="AS243" s="138">
        <f t="shared" si="135"/>
        <v>83168.088048000005</v>
      </c>
      <c r="AU243" s="151"/>
    </row>
    <row r="244" spans="1:48" x14ac:dyDescent="0.2">
      <c r="A244" s="446"/>
      <c r="B244" s="463">
        <v>320.2</v>
      </c>
      <c r="D244" s="406" t="s">
        <v>70</v>
      </c>
      <c r="F244" s="143">
        <v>2</v>
      </c>
      <c r="H244" s="309">
        <v>16740.420000000013</v>
      </c>
      <c r="J244" s="138">
        <f t="shared" si="120"/>
        <v>8689.9520220000068</v>
      </c>
      <c r="L244" s="138">
        <f t="shared" si="121"/>
        <v>4459.6478880000031</v>
      </c>
      <c r="N244" s="138">
        <f t="shared" si="122"/>
        <v>1704.1747560000013</v>
      </c>
      <c r="P244" s="138">
        <f t="shared" si="123"/>
        <v>987.68478000000084</v>
      </c>
      <c r="R244" s="138">
        <f t="shared" si="124"/>
        <v>835.34695800000065</v>
      </c>
      <c r="T244" s="138">
        <f t="shared" si="125"/>
        <v>0</v>
      </c>
      <c r="V244" s="138">
        <f t="shared" si="126"/>
        <v>63.613596000000051</v>
      </c>
      <c r="X244" s="231">
        <f t="shared" si="119"/>
        <v>0</v>
      </c>
      <c r="Z244" s="365"/>
      <c r="AA244" s="406" t="s">
        <v>70</v>
      </c>
      <c r="AB244" s="132"/>
      <c r="AC244" s="143">
        <f t="shared" si="127"/>
        <v>2</v>
      </c>
      <c r="AD244" s="132"/>
      <c r="AE244" s="413">
        <f t="shared" si="128"/>
        <v>16740.420000000013</v>
      </c>
      <c r="AG244" s="138">
        <f t="shared" si="129"/>
        <v>10399.148904000007</v>
      </c>
      <c r="AH244" s="138"/>
      <c r="AI244" s="138">
        <f t="shared" si="130"/>
        <v>6277.6575000000048</v>
      </c>
      <c r="AJ244" s="138"/>
      <c r="AK244" s="138">
        <f t="shared" si="131"/>
        <v>0</v>
      </c>
      <c r="AL244" s="138"/>
      <c r="AM244" s="138">
        <f t="shared" si="132"/>
        <v>0</v>
      </c>
      <c r="AN244" s="138"/>
      <c r="AO244" s="138">
        <f t="shared" si="133"/>
        <v>0</v>
      </c>
      <c r="AP244" s="138"/>
      <c r="AQ244" s="138">
        <f t="shared" si="134"/>
        <v>0</v>
      </c>
      <c r="AR244" s="138"/>
      <c r="AS244" s="138">
        <f t="shared" si="135"/>
        <v>63.613596000000051</v>
      </c>
      <c r="AU244" s="151"/>
    </row>
    <row r="245" spans="1:48" x14ac:dyDescent="0.2">
      <c r="A245" s="446"/>
      <c r="B245" s="463">
        <v>330.1</v>
      </c>
      <c r="D245" s="406" t="s">
        <v>71</v>
      </c>
      <c r="F245" s="143">
        <v>5</v>
      </c>
      <c r="H245" s="309">
        <v>4470882.2</v>
      </c>
      <c r="J245" s="138">
        <f t="shared" si="120"/>
        <v>1817413.6143</v>
      </c>
      <c r="L245" s="138">
        <f t="shared" si="121"/>
        <v>849467.61800000002</v>
      </c>
      <c r="N245" s="138">
        <f t="shared" si="122"/>
        <v>270935.46132</v>
      </c>
      <c r="P245" s="138">
        <f t="shared" si="123"/>
        <v>157375.05343999999</v>
      </c>
      <c r="R245" s="138">
        <f t="shared" si="124"/>
        <v>132338.11312000002</v>
      </c>
      <c r="T245" s="138">
        <f t="shared" si="125"/>
        <v>0</v>
      </c>
      <c r="V245" s="138">
        <f t="shared" si="126"/>
        <v>1243352.3398200001</v>
      </c>
      <c r="X245" s="231">
        <f t="shared" si="119"/>
        <v>0</v>
      </c>
      <c r="Z245" s="365"/>
      <c r="AA245" s="406" t="s">
        <v>71</v>
      </c>
      <c r="AB245" s="132"/>
      <c r="AC245" s="143">
        <f t="shared" si="127"/>
        <v>5</v>
      </c>
      <c r="AD245" s="132"/>
      <c r="AE245" s="413">
        <f t="shared" si="128"/>
        <v>4470882.2</v>
      </c>
      <c r="AG245" s="138">
        <f t="shared" si="129"/>
        <v>1339923.3953399998</v>
      </c>
      <c r="AH245" s="138"/>
      <c r="AI245" s="138">
        <f t="shared" si="130"/>
        <v>0</v>
      </c>
      <c r="AJ245" s="138"/>
      <c r="AK245" s="138">
        <f t="shared" si="131"/>
        <v>1887606.4648400003</v>
      </c>
      <c r="AL245" s="138"/>
      <c r="AM245" s="138">
        <f t="shared" si="132"/>
        <v>0</v>
      </c>
      <c r="AN245" s="138"/>
      <c r="AO245" s="138">
        <f t="shared" si="133"/>
        <v>0</v>
      </c>
      <c r="AP245" s="138"/>
      <c r="AQ245" s="138">
        <f t="shared" si="134"/>
        <v>0</v>
      </c>
      <c r="AR245" s="138"/>
      <c r="AS245" s="138">
        <f t="shared" si="135"/>
        <v>1243352.3398200001</v>
      </c>
      <c r="AU245" s="151"/>
    </row>
    <row r="246" spans="1:48" x14ac:dyDescent="0.2">
      <c r="A246" s="446"/>
      <c r="B246" s="463">
        <v>330.3</v>
      </c>
      <c r="D246" s="406" t="s">
        <v>72</v>
      </c>
      <c r="F246" s="143">
        <v>5</v>
      </c>
      <c r="H246" s="309">
        <v>41767.21</v>
      </c>
      <c r="J246" s="138">
        <f t="shared" si="120"/>
        <v>16978.370864999997</v>
      </c>
      <c r="L246" s="138">
        <f t="shared" si="121"/>
        <v>7935.7699000000002</v>
      </c>
      <c r="N246" s="138">
        <f t="shared" si="122"/>
        <v>2531.0929259999998</v>
      </c>
      <c r="P246" s="138">
        <f t="shared" si="123"/>
        <v>1470.2057919999997</v>
      </c>
      <c r="R246" s="138">
        <f t="shared" si="124"/>
        <v>1236.3094160000001</v>
      </c>
      <c r="T246" s="138">
        <f t="shared" si="125"/>
        <v>0</v>
      </c>
      <c r="V246" s="138">
        <f t="shared" si="126"/>
        <v>11615.461101000001</v>
      </c>
      <c r="X246" s="231">
        <f t="shared" si="119"/>
        <v>0</v>
      </c>
      <c r="Z246" s="365"/>
      <c r="AA246" s="406" t="s">
        <v>72</v>
      </c>
      <c r="AB246" s="132"/>
      <c r="AC246" s="143">
        <f t="shared" si="127"/>
        <v>5</v>
      </c>
      <c r="AD246" s="132"/>
      <c r="AE246" s="413">
        <f t="shared" si="128"/>
        <v>41767.21</v>
      </c>
      <c r="AG246" s="138">
        <f t="shared" si="129"/>
        <v>12517.632836999999</v>
      </c>
      <c r="AH246" s="138"/>
      <c r="AI246" s="138">
        <f t="shared" si="130"/>
        <v>0</v>
      </c>
      <c r="AJ246" s="138"/>
      <c r="AK246" s="138">
        <f t="shared" si="131"/>
        <v>17634.116062000001</v>
      </c>
      <c r="AL246" s="138"/>
      <c r="AM246" s="138">
        <f t="shared" si="132"/>
        <v>0</v>
      </c>
      <c r="AN246" s="138"/>
      <c r="AO246" s="138">
        <f t="shared" si="133"/>
        <v>0</v>
      </c>
      <c r="AP246" s="138"/>
      <c r="AQ246" s="138">
        <f t="shared" si="134"/>
        <v>0</v>
      </c>
      <c r="AR246" s="138"/>
      <c r="AS246" s="138">
        <f t="shared" si="135"/>
        <v>11615.461101000001</v>
      </c>
      <c r="AU246" s="151"/>
    </row>
    <row r="247" spans="1:48" s="353" customFormat="1" x14ac:dyDescent="0.2">
      <c r="A247" s="550"/>
      <c r="B247" s="463">
        <v>331.1</v>
      </c>
      <c r="C247" s="504"/>
      <c r="D247" s="406" t="s">
        <v>173</v>
      </c>
      <c r="E247" s="505"/>
      <c r="F247" s="506">
        <v>3</v>
      </c>
      <c r="H247" s="554">
        <v>65732818.435940012</v>
      </c>
      <c r="J247" s="507">
        <f t="shared" si="120"/>
        <v>29159078.258182988</v>
      </c>
      <c r="K247" s="508"/>
      <c r="L247" s="507">
        <f t="shared" si="121"/>
        <v>14960789.476019947</v>
      </c>
      <c r="M247" s="508"/>
      <c r="N247" s="507">
        <f t="shared" si="122"/>
        <v>5718755.2039267803</v>
      </c>
      <c r="O247" s="508"/>
      <c r="P247" s="507">
        <f t="shared" si="123"/>
        <v>3312934.0491713765</v>
      </c>
      <c r="Q247" s="508"/>
      <c r="R247" s="507">
        <f t="shared" si="124"/>
        <v>2800218.0653710444</v>
      </c>
      <c r="S247" s="508"/>
      <c r="T247" s="507">
        <f t="shared" si="125"/>
        <v>0</v>
      </c>
      <c r="U247" s="508"/>
      <c r="V247" s="507">
        <f t="shared" si="126"/>
        <v>9781043.3832678758</v>
      </c>
      <c r="X247" s="504">
        <f t="shared" si="119"/>
        <v>0</v>
      </c>
      <c r="Z247" s="504"/>
      <c r="AA247" s="406" t="s">
        <v>342</v>
      </c>
      <c r="AB247" s="505"/>
      <c r="AC247" s="506">
        <f t="shared" si="127"/>
        <v>3</v>
      </c>
      <c r="AD247" s="505"/>
      <c r="AE247" s="509">
        <f t="shared" si="128"/>
        <v>65732818.435940012</v>
      </c>
      <c r="AG247" s="507">
        <f t="shared" si="129"/>
        <v>34897553.307640553</v>
      </c>
      <c r="AH247" s="507"/>
      <c r="AI247" s="507">
        <f t="shared" si="130"/>
        <v>21054221.745031588</v>
      </c>
      <c r="AJ247" s="507"/>
      <c r="AK247" s="507">
        <f t="shared" si="131"/>
        <v>0</v>
      </c>
      <c r="AL247" s="507"/>
      <c r="AM247" s="507">
        <f t="shared" si="132"/>
        <v>0</v>
      </c>
      <c r="AN247" s="507"/>
      <c r="AO247" s="507">
        <f t="shared" si="133"/>
        <v>0</v>
      </c>
      <c r="AP247" s="507"/>
      <c r="AQ247" s="507">
        <f t="shared" si="134"/>
        <v>0</v>
      </c>
      <c r="AR247" s="507"/>
      <c r="AS247" s="507">
        <f t="shared" si="135"/>
        <v>9781043.3832678758</v>
      </c>
      <c r="AU247" s="508"/>
    </row>
    <row r="248" spans="1:48" s="353" customFormat="1" x14ac:dyDescent="0.2">
      <c r="A248" s="550"/>
      <c r="B248" s="463">
        <v>331.1</v>
      </c>
      <c r="C248" s="504"/>
      <c r="D248" s="406" t="s">
        <v>174</v>
      </c>
      <c r="E248" s="505"/>
      <c r="F248" s="506">
        <v>4</v>
      </c>
      <c r="H248" s="554">
        <v>78449718.164060012</v>
      </c>
      <c r="J248" s="507">
        <f t="shared" si="120"/>
        <v>36071180.411834791</v>
      </c>
      <c r="K248" s="508"/>
      <c r="L248" s="507">
        <f t="shared" si="121"/>
        <v>16890224.320722118</v>
      </c>
      <c r="M248" s="508"/>
      <c r="N248" s="507">
        <f t="shared" si="122"/>
        <v>5389495.6378709227</v>
      </c>
      <c r="O248" s="508"/>
      <c r="P248" s="507">
        <f t="shared" si="123"/>
        <v>3122298.7829295886</v>
      </c>
      <c r="Q248" s="508"/>
      <c r="R248" s="507">
        <f t="shared" si="124"/>
        <v>0</v>
      </c>
      <c r="S248" s="508"/>
      <c r="T248" s="507">
        <f t="shared" si="125"/>
        <v>0</v>
      </c>
      <c r="U248" s="508"/>
      <c r="V248" s="507">
        <f t="shared" si="126"/>
        <v>16976519.010702584</v>
      </c>
      <c r="X248" s="504">
        <f t="shared" si="119"/>
        <v>0</v>
      </c>
      <c r="Z248" s="504"/>
      <c r="AA248" s="406" t="s">
        <v>343</v>
      </c>
      <c r="AB248" s="505"/>
      <c r="AC248" s="506">
        <f t="shared" si="127"/>
        <v>4</v>
      </c>
      <c r="AD248" s="505"/>
      <c r="AE248" s="509">
        <f t="shared" si="128"/>
        <v>78449718.164060012</v>
      </c>
      <c r="AG248" s="507">
        <f t="shared" si="129"/>
        <v>25519693.318768725</v>
      </c>
      <c r="AH248" s="507"/>
      <c r="AI248" s="507">
        <f t="shared" si="130"/>
        <v>0</v>
      </c>
      <c r="AJ248" s="507"/>
      <c r="AK248" s="507">
        <f t="shared" si="131"/>
        <v>35953505.834588699</v>
      </c>
      <c r="AL248" s="507"/>
      <c r="AM248" s="507">
        <f t="shared" si="132"/>
        <v>0</v>
      </c>
      <c r="AN248" s="507"/>
      <c r="AO248" s="507">
        <f t="shared" si="133"/>
        <v>0</v>
      </c>
      <c r="AP248" s="507"/>
      <c r="AQ248" s="507">
        <f t="shared" si="134"/>
        <v>0</v>
      </c>
      <c r="AR248" s="507"/>
      <c r="AS248" s="507">
        <f t="shared" si="135"/>
        <v>16976519.010702584</v>
      </c>
      <c r="AU248" s="508"/>
    </row>
    <row r="249" spans="1:48" s="353" customFormat="1" x14ac:dyDescent="0.2">
      <c r="A249" s="550"/>
      <c r="B249" s="463">
        <v>331.2</v>
      </c>
      <c r="C249" s="504"/>
      <c r="D249" s="406" t="s">
        <v>173</v>
      </c>
      <c r="E249" s="505"/>
      <c r="F249" s="506">
        <v>3</v>
      </c>
      <c r="H249" s="554">
        <v>2300845.0875530001</v>
      </c>
      <c r="J249" s="507">
        <f t="shared" si="120"/>
        <v>1020654.8808385108</v>
      </c>
      <c r="K249" s="508"/>
      <c r="L249" s="507">
        <f t="shared" si="121"/>
        <v>523672.34192706284</v>
      </c>
      <c r="M249" s="508"/>
      <c r="N249" s="507">
        <f t="shared" si="122"/>
        <v>200173.52261711098</v>
      </c>
      <c r="O249" s="508"/>
      <c r="P249" s="507">
        <f t="shared" si="123"/>
        <v>115962.59241267121</v>
      </c>
      <c r="Q249" s="508"/>
      <c r="R249" s="507">
        <f t="shared" si="124"/>
        <v>98016.000729757798</v>
      </c>
      <c r="S249" s="508"/>
      <c r="T249" s="507">
        <f t="shared" si="125"/>
        <v>0</v>
      </c>
      <c r="U249" s="508"/>
      <c r="V249" s="507">
        <f t="shared" si="126"/>
        <v>342365.74902788643</v>
      </c>
      <c r="X249" s="504">
        <f t="shared" si="119"/>
        <v>0</v>
      </c>
      <c r="Z249" s="504"/>
      <c r="AA249" s="406" t="s">
        <v>342</v>
      </c>
      <c r="AB249" s="505"/>
      <c r="AC249" s="506">
        <f t="shared" si="127"/>
        <v>3</v>
      </c>
      <c r="AD249" s="505"/>
      <c r="AE249" s="509">
        <f t="shared" si="128"/>
        <v>2300845.0875530001</v>
      </c>
      <c r="AG249" s="507">
        <f t="shared" si="129"/>
        <v>1221518.6569818878</v>
      </c>
      <c r="AH249" s="507"/>
      <c r="AI249" s="507">
        <f t="shared" si="130"/>
        <v>736960.681543226</v>
      </c>
      <c r="AJ249" s="507"/>
      <c r="AK249" s="507">
        <f t="shared" si="131"/>
        <v>0</v>
      </c>
      <c r="AL249" s="507"/>
      <c r="AM249" s="507">
        <f t="shared" si="132"/>
        <v>0</v>
      </c>
      <c r="AN249" s="507"/>
      <c r="AO249" s="507">
        <f t="shared" si="133"/>
        <v>0</v>
      </c>
      <c r="AP249" s="507"/>
      <c r="AQ249" s="507">
        <f t="shared" si="134"/>
        <v>0</v>
      </c>
      <c r="AR249" s="507"/>
      <c r="AS249" s="507">
        <f t="shared" si="135"/>
        <v>342365.74902788643</v>
      </c>
      <c r="AU249" s="508"/>
    </row>
    <row r="250" spans="1:48" s="353" customFormat="1" x14ac:dyDescent="0.2">
      <c r="A250" s="550"/>
      <c r="B250" s="463">
        <v>331.2</v>
      </c>
      <c r="C250" s="504"/>
      <c r="D250" s="406" t="s">
        <v>174</v>
      </c>
      <c r="E250" s="505"/>
      <c r="F250" s="506">
        <v>4</v>
      </c>
      <c r="H250" s="554">
        <v>2745974.5824470003</v>
      </c>
      <c r="J250" s="507">
        <f t="shared" si="120"/>
        <v>1262599.1130091308</v>
      </c>
      <c r="K250" s="508"/>
      <c r="L250" s="507">
        <f t="shared" si="121"/>
        <v>591208.3276008392</v>
      </c>
      <c r="M250" s="508"/>
      <c r="N250" s="507">
        <f t="shared" si="122"/>
        <v>188648.45381410891</v>
      </c>
      <c r="O250" s="508"/>
      <c r="P250" s="507">
        <f t="shared" si="123"/>
        <v>109289.78838139062</v>
      </c>
      <c r="Q250" s="508"/>
      <c r="R250" s="507">
        <f t="shared" si="124"/>
        <v>0</v>
      </c>
      <c r="S250" s="508"/>
      <c r="T250" s="507">
        <f t="shared" si="125"/>
        <v>0</v>
      </c>
      <c r="U250" s="508"/>
      <c r="V250" s="507">
        <f t="shared" si="126"/>
        <v>594228.89964153082</v>
      </c>
      <c r="X250" s="504">
        <f t="shared" si="119"/>
        <v>0</v>
      </c>
      <c r="Z250" s="504"/>
      <c r="AA250" s="406" t="s">
        <v>343</v>
      </c>
      <c r="AB250" s="505"/>
      <c r="AC250" s="506">
        <f t="shared" si="127"/>
        <v>4</v>
      </c>
      <c r="AD250" s="505"/>
      <c r="AE250" s="509">
        <f t="shared" si="128"/>
        <v>2745974.5824470003</v>
      </c>
      <c r="AG250" s="507">
        <f t="shared" si="129"/>
        <v>893265.53167000925</v>
      </c>
      <c r="AH250" s="507"/>
      <c r="AI250" s="507">
        <f t="shared" si="130"/>
        <v>0</v>
      </c>
      <c r="AJ250" s="507"/>
      <c r="AK250" s="507">
        <f t="shared" si="131"/>
        <v>1258480.1511354602</v>
      </c>
      <c r="AL250" s="507"/>
      <c r="AM250" s="507">
        <f t="shared" si="132"/>
        <v>0</v>
      </c>
      <c r="AN250" s="507"/>
      <c r="AO250" s="507">
        <f t="shared" si="133"/>
        <v>0</v>
      </c>
      <c r="AP250" s="507"/>
      <c r="AQ250" s="507">
        <f t="shared" si="134"/>
        <v>0</v>
      </c>
      <c r="AR250" s="507"/>
      <c r="AS250" s="507">
        <f t="shared" si="135"/>
        <v>594228.89964153082</v>
      </c>
      <c r="AU250" s="508"/>
    </row>
    <row r="251" spans="1:48" s="353" customFormat="1" x14ac:dyDescent="0.2">
      <c r="A251" s="550"/>
      <c r="B251" s="463">
        <v>331.3</v>
      </c>
      <c r="C251" s="504"/>
      <c r="D251" s="406" t="s">
        <v>173</v>
      </c>
      <c r="E251" s="505"/>
      <c r="F251" s="506">
        <v>3</v>
      </c>
      <c r="H251" s="554">
        <v>903835.96952099993</v>
      </c>
      <c r="J251" s="507">
        <f t="shared" si="120"/>
        <v>400941.63607951556</v>
      </c>
      <c r="K251" s="508"/>
      <c r="L251" s="507">
        <f t="shared" si="121"/>
        <v>205713.06666297957</v>
      </c>
      <c r="M251" s="508"/>
      <c r="N251" s="507">
        <f t="shared" si="122"/>
        <v>78633.72934832699</v>
      </c>
      <c r="O251" s="508"/>
      <c r="P251" s="507">
        <f t="shared" si="123"/>
        <v>45553.332863858399</v>
      </c>
      <c r="Q251" s="508"/>
      <c r="R251" s="507">
        <f t="shared" si="124"/>
        <v>38503.412301594595</v>
      </c>
      <c r="S251" s="508"/>
      <c r="T251" s="507">
        <f t="shared" si="125"/>
        <v>0</v>
      </c>
      <c r="U251" s="508"/>
      <c r="V251" s="507">
        <f t="shared" si="126"/>
        <v>134490.79226472479</v>
      </c>
      <c r="X251" s="504">
        <f t="shared" si="119"/>
        <v>0</v>
      </c>
      <c r="Z251" s="504"/>
      <c r="AA251" s="406" t="s">
        <v>344</v>
      </c>
      <c r="AB251" s="505"/>
      <c r="AC251" s="506">
        <f t="shared" si="127"/>
        <v>3</v>
      </c>
      <c r="AD251" s="505"/>
      <c r="AE251" s="509">
        <f t="shared" si="128"/>
        <v>903835.96952099993</v>
      </c>
      <c r="AG251" s="507">
        <f t="shared" si="129"/>
        <v>479846.51621869887</v>
      </c>
      <c r="AH251" s="507"/>
      <c r="AI251" s="507">
        <f t="shared" si="130"/>
        <v>289498.66103757633</v>
      </c>
      <c r="AJ251" s="507"/>
      <c r="AK251" s="507">
        <f t="shared" si="131"/>
        <v>0</v>
      </c>
      <c r="AL251" s="507"/>
      <c r="AM251" s="507">
        <f t="shared" si="132"/>
        <v>0</v>
      </c>
      <c r="AN251" s="507"/>
      <c r="AO251" s="507">
        <f t="shared" si="133"/>
        <v>0</v>
      </c>
      <c r="AP251" s="507"/>
      <c r="AQ251" s="507">
        <f t="shared" si="134"/>
        <v>0</v>
      </c>
      <c r="AR251" s="507"/>
      <c r="AS251" s="507">
        <f t="shared" si="135"/>
        <v>134490.79226472479</v>
      </c>
      <c r="AU251" s="508"/>
    </row>
    <row r="252" spans="1:48" s="353" customFormat="1" x14ac:dyDescent="0.2">
      <c r="A252" s="550"/>
      <c r="B252" s="463">
        <v>331.3</v>
      </c>
      <c r="C252" s="504"/>
      <c r="D252" s="406" t="s">
        <v>174</v>
      </c>
      <c r="E252" s="505"/>
      <c r="F252" s="506">
        <v>4</v>
      </c>
      <c r="H252" s="554">
        <v>1078695.2204789999</v>
      </c>
      <c r="J252" s="507">
        <f t="shared" si="120"/>
        <v>495984.06237624411</v>
      </c>
      <c r="K252" s="508"/>
      <c r="L252" s="507">
        <f t="shared" si="121"/>
        <v>232243.08096912867</v>
      </c>
      <c r="M252" s="508"/>
      <c r="N252" s="507">
        <f t="shared" si="122"/>
        <v>74106.361646907288</v>
      </c>
      <c r="O252" s="508"/>
      <c r="P252" s="507">
        <f t="shared" si="123"/>
        <v>42932.069775064199</v>
      </c>
      <c r="Q252" s="508"/>
      <c r="R252" s="507">
        <f t="shared" si="124"/>
        <v>0</v>
      </c>
      <c r="S252" s="508"/>
      <c r="T252" s="507">
        <f t="shared" si="125"/>
        <v>0</v>
      </c>
      <c r="U252" s="508"/>
      <c r="V252" s="507">
        <f t="shared" si="126"/>
        <v>233429.64571165555</v>
      </c>
      <c r="X252" s="504">
        <f t="shared" si="119"/>
        <v>0</v>
      </c>
      <c r="Z252" s="504"/>
      <c r="AA252" s="406" t="s">
        <v>345</v>
      </c>
      <c r="AB252" s="505"/>
      <c r="AC252" s="506">
        <f t="shared" si="127"/>
        <v>4</v>
      </c>
      <c r="AD252" s="505"/>
      <c r="AE252" s="509">
        <f t="shared" si="128"/>
        <v>1078695.2204789999</v>
      </c>
      <c r="AG252" s="507">
        <f t="shared" si="129"/>
        <v>350899.55522181868</v>
      </c>
      <c r="AH252" s="507"/>
      <c r="AI252" s="507">
        <f t="shared" si="130"/>
        <v>0</v>
      </c>
      <c r="AJ252" s="507"/>
      <c r="AK252" s="507">
        <f t="shared" si="131"/>
        <v>494366.01954552566</v>
      </c>
      <c r="AL252" s="507"/>
      <c r="AM252" s="507">
        <f t="shared" si="132"/>
        <v>0</v>
      </c>
      <c r="AN252" s="507"/>
      <c r="AO252" s="507">
        <f t="shared" si="133"/>
        <v>0</v>
      </c>
      <c r="AP252" s="507"/>
      <c r="AQ252" s="507">
        <f t="shared" si="134"/>
        <v>0</v>
      </c>
      <c r="AR252" s="507"/>
      <c r="AS252" s="507">
        <f t="shared" si="135"/>
        <v>233429.64571165555</v>
      </c>
      <c r="AU252" s="508"/>
    </row>
    <row r="253" spans="1:48" x14ac:dyDescent="0.2">
      <c r="A253" s="446"/>
      <c r="B253" s="463">
        <v>333.1</v>
      </c>
      <c r="D253" s="406" t="s">
        <v>329</v>
      </c>
      <c r="F253" s="143">
        <v>9</v>
      </c>
      <c r="H253" s="309">
        <v>16916317.57</v>
      </c>
      <c r="J253" s="138">
        <f t="shared" si="120"/>
        <v>14307821.400706001</v>
      </c>
      <c r="L253" s="138">
        <f t="shared" si="121"/>
        <v>2205887.8111279998</v>
      </c>
      <c r="N253" s="138">
        <f t="shared" si="122"/>
        <v>98114.64190599999</v>
      </c>
      <c r="P253" s="138">
        <f t="shared" si="123"/>
        <v>296035.55747500004</v>
      </c>
      <c r="R253" s="138">
        <f t="shared" si="124"/>
        <v>8458.1587849999996</v>
      </c>
      <c r="T253" s="138">
        <f t="shared" si="125"/>
        <v>0</v>
      </c>
      <c r="V253" s="138">
        <f t="shared" si="126"/>
        <v>0</v>
      </c>
      <c r="X253" s="231">
        <f t="shared" si="119"/>
        <v>0</v>
      </c>
      <c r="Z253" s="365"/>
      <c r="AA253" s="406" t="s">
        <v>329</v>
      </c>
      <c r="AB253" s="132"/>
      <c r="AC253" s="143">
        <f t="shared" si="127"/>
        <v>9</v>
      </c>
      <c r="AD253" s="132"/>
      <c r="AE253" s="413">
        <f t="shared" si="128"/>
        <v>16916317.57</v>
      </c>
      <c r="AF253" s="127"/>
      <c r="AG253" s="138">
        <f t="shared" si="129"/>
        <v>0</v>
      </c>
      <c r="AH253" s="138"/>
      <c r="AI253" s="138">
        <f t="shared" si="130"/>
        <v>0</v>
      </c>
      <c r="AJ253" s="138"/>
      <c r="AK253" s="138">
        <f t="shared" si="131"/>
        <v>0</v>
      </c>
      <c r="AL253" s="138"/>
      <c r="AM253" s="138">
        <f t="shared" si="132"/>
        <v>0</v>
      </c>
      <c r="AN253" s="138"/>
      <c r="AO253" s="138">
        <f t="shared" si="133"/>
        <v>16916317.57</v>
      </c>
      <c r="AP253" s="138"/>
      <c r="AQ253" s="138">
        <f t="shared" si="134"/>
        <v>0</v>
      </c>
      <c r="AR253" s="138"/>
      <c r="AS253" s="138">
        <f t="shared" si="135"/>
        <v>0</v>
      </c>
      <c r="AT253" s="127"/>
      <c r="AU253" s="146"/>
      <c r="AV253" s="127"/>
    </row>
    <row r="254" spans="1:48" x14ac:dyDescent="0.2">
      <c r="A254" s="446"/>
      <c r="B254" s="463">
        <v>333.2</v>
      </c>
      <c r="D254" s="406" t="s">
        <v>73</v>
      </c>
      <c r="F254" s="143">
        <v>9</v>
      </c>
      <c r="H254" s="309">
        <v>285187.5</v>
      </c>
      <c r="J254" s="138">
        <f t="shared" si="120"/>
        <v>241211.58749999999</v>
      </c>
      <c r="L254" s="138">
        <f t="shared" si="121"/>
        <v>37188.449999999997</v>
      </c>
      <c r="N254" s="138">
        <f t="shared" si="122"/>
        <v>1654.0874999999999</v>
      </c>
      <c r="P254" s="138">
        <f t="shared" si="123"/>
        <v>4990.7812500000009</v>
      </c>
      <c r="R254" s="138">
        <f t="shared" si="124"/>
        <v>142.59375</v>
      </c>
      <c r="T254" s="138">
        <f t="shared" si="125"/>
        <v>0</v>
      </c>
      <c r="V254" s="138">
        <f t="shared" si="126"/>
        <v>0</v>
      </c>
      <c r="X254" s="231">
        <f t="shared" si="119"/>
        <v>0</v>
      </c>
      <c r="Z254" s="365"/>
      <c r="AA254" s="406" t="s">
        <v>73</v>
      </c>
      <c r="AB254" s="132"/>
      <c r="AC254" s="143">
        <f t="shared" si="127"/>
        <v>9</v>
      </c>
      <c r="AD254" s="132"/>
      <c r="AE254" s="413">
        <f t="shared" si="128"/>
        <v>285187.5</v>
      </c>
      <c r="AG254" s="138">
        <f t="shared" si="129"/>
        <v>0</v>
      </c>
      <c r="AH254" s="138"/>
      <c r="AI254" s="138">
        <f t="shared" si="130"/>
        <v>0</v>
      </c>
      <c r="AJ254" s="138"/>
      <c r="AK254" s="138">
        <f t="shared" si="131"/>
        <v>0</v>
      </c>
      <c r="AL254" s="138"/>
      <c r="AM254" s="138">
        <f t="shared" si="132"/>
        <v>0</v>
      </c>
      <c r="AN254" s="138"/>
      <c r="AO254" s="138">
        <f t="shared" si="133"/>
        <v>285187.5</v>
      </c>
      <c r="AP254" s="138"/>
      <c r="AQ254" s="138">
        <f t="shared" si="134"/>
        <v>0</v>
      </c>
      <c r="AR254" s="138"/>
      <c r="AS254" s="138">
        <f t="shared" si="135"/>
        <v>0</v>
      </c>
      <c r="AU254" s="151"/>
    </row>
    <row r="255" spans="1:48" x14ac:dyDescent="0.2">
      <c r="A255" s="446"/>
      <c r="B255" s="463">
        <v>334.1</v>
      </c>
      <c r="D255" s="406" t="s">
        <v>407</v>
      </c>
      <c r="F255" s="143">
        <v>8</v>
      </c>
      <c r="H255" s="309">
        <v>12600837.83</v>
      </c>
      <c r="J255" s="138">
        <f t="shared" si="120"/>
        <v>10221799.647696</v>
      </c>
      <c r="L255" s="138">
        <f t="shared" si="121"/>
        <v>1953129.86365</v>
      </c>
      <c r="N255" s="138">
        <f t="shared" si="122"/>
        <v>123488.21073399999</v>
      </c>
      <c r="P255" s="138">
        <f t="shared" si="123"/>
        <v>288559.186307</v>
      </c>
      <c r="R255" s="138">
        <f t="shared" si="124"/>
        <v>13860.921613</v>
      </c>
      <c r="T255" s="138">
        <f t="shared" si="125"/>
        <v>0</v>
      </c>
      <c r="V255" s="138">
        <f t="shared" si="126"/>
        <v>0</v>
      </c>
      <c r="X255" s="231">
        <f t="shared" si="119"/>
        <v>0</v>
      </c>
      <c r="Z255" s="365"/>
      <c r="AA255" s="406" t="s">
        <v>407</v>
      </c>
      <c r="AB255" s="132"/>
      <c r="AC255" s="143">
        <f t="shared" si="127"/>
        <v>8</v>
      </c>
      <c r="AD255" s="132"/>
      <c r="AE255" s="413">
        <f t="shared" si="128"/>
        <v>12600837.83</v>
      </c>
      <c r="AG255" s="138">
        <f t="shared" si="129"/>
        <v>0</v>
      </c>
      <c r="AH255" s="138"/>
      <c r="AI255" s="138">
        <f t="shared" si="130"/>
        <v>0</v>
      </c>
      <c r="AJ255" s="138"/>
      <c r="AK255" s="138">
        <f t="shared" si="131"/>
        <v>0</v>
      </c>
      <c r="AL255" s="138"/>
      <c r="AM255" s="138">
        <f t="shared" si="132"/>
        <v>12600837.83</v>
      </c>
      <c r="AN255" s="138"/>
      <c r="AO255" s="138">
        <f t="shared" si="133"/>
        <v>0</v>
      </c>
      <c r="AP255" s="138"/>
      <c r="AQ255" s="138">
        <f t="shared" si="134"/>
        <v>0</v>
      </c>
      <c r="AR255" s="138"/>
      <c r="AS255" s="138">
        <f t="shared" si="135"/>
        <v>0</v>
      </c>
      <c r="AU255" s="151"/>
    </row>
    <row r="256" spans="1:48" x14ac:dyDescent="0.2">
      <c r="A256" s="446"/>
      <c r="B256" s="463">
        <v>334.2</v>
      </c>
      <c r="D256" s="406" t="s">
        <v>407</v>
      </c>
      <c r="F256" s="143">
        <v>8</v>
      </c>
      <c r="H256" s="309">
        <v>1071.2000000000007</v>
      </c>
      <c r="J256" s="138">
        <f t="shared" si="120"/>
        <v>868.95744000000059</v>
      </c>
      <c r="L256" s="138">
        <f t="shared" si="121"/>
        <v>166.03600000000012</v>
      </c>
      <c r="N256" s="138">
        <f t="shared" si="122"/>
        <v>10.497760000000007</v>
      </c>
      <c r="P256" s="138">
        <f t="shared" si="123"/>
        <v>24.530480000000018</v>
      </c>
      <c r="R256" s="138">
        <f t="shared" si="124"/>
        <v>1.1783200000000009</v>
      </c>
      <c r="T256" s="138">
        <f t="shared" si="125"/>
        <v>0</v>
      </c>
      <c r="V256" s="138">
        <f t="shared" si="126"/>
        <v>0</v>
      </c>
      <c r="X256" s="231">
        <f t="shared" ref="X256:X274" si="136">SUM(J256:V256)-H256</f>
        <v>0</v>
      </c>
      <c r="Z256" s="365"/>
      <c r="AA256" s="406" t="s">
        <v>407</v>
      </c>
      <c r="AB256" s="132"/>
      <c r="AC256" s="143">
        <f t="shared" si="127"/>
        <v>8</v>
      </c>
      <c r="AD256" s="132"/>
      <c r="AE256" s="413">
        <f t="shared" si="128"/>
        <v>1071.2000000000007</v>
      </c>
      <c r="AG256" s="138">
        <f t="shared" si="129"/>
        <v>0</v>
      </c>
      <c r="AH256" s="138"/>
      <c r="AI256" s="138">
        <f t="shared" si="130"/>
        <v>0</v>
      </c>
      <c r="AJ256" s="138"/>
      <c r="AK256" s="138">
        <f t="shared" si="131"/>
        <v>0</v>
      </c>
      <c r="AL256" s="138"/>
      <c r="AM256" s="138">
        <f t="shared" si="132"/>
        <v>1071.2000000000007</v>
      </c>
      <c r="AN256" s="138"/>
      <c r="AO256" s="138">
        <f t="shared" si="133"/>
        <v>0</v>
      </c>
      <c r="AP256" s="138"/>
      <c r="AQ256" s="138">
        <f t="shared" si="134"/>
        <v>0</v>
      </c>
      <c r="AR256" s="138"/>
      <c r="AS256" s="138">
        <f t="shared" si="135"/>
        <v>0</v>
      </c>
      <c r="AU256" s="151"/>
    </row>
    <row r="257" spans="1:47" x14ac:dyDescent="0.2">
      <c r="A257" s="446"/>
      <c r="B257" s="463">
        <v>335.1</v>
      </c>
      <c r="D257" s="406" t="s">
        <v>74</v>
      </c>
      <c r="F257" s="143">
        <v>7</v>
      </c>
      <c r="H257" s="309">
        <v>6161040.5499999998</v>
      </c>
      <c r="J257" s="138">
        <f t="shared" si="120"/>
        <v>0</v>
      </c>
      <c r="L257" s="138">
        <f t="shared" si="121"/>
        <v>0</v>
      </c>
      <c r="N257" s="138">
        <f t="shared" si="122"/>
        <v>0</v>
      </c>
      <c r="P257" s="138">
        <f t="shared" si="123"/>
        <v>0</v>
      </c>
      <c r="R257" s="138">
        <f t="shared" si="124"/>
        <v>0</v>
      </c>
      <c r="T257" s="138">
        <f t="shared" si="125"/>
        <v>0</v>
      </c>
      <c r="V257" s="138">
        <f t="shared" si="126"/>
        <v>6161040.5499999998</v>
      </c>
      <c r="X257" s="231">
        <f t="shared" si="136"/>
        <v>0</v>
      </c>
      <c r="Z257" s="365"/>
      <c r="AA257" s="406" t="s">
        <v>74</v>
      </c>
      <c r="AB257" s="132"/>
      <c r="AC257" s="143">
        <f t="shared" si="127"/>
        <v>7</v>
      </c>
      <c r="AD257" s="132"/>
      <c r="AE257" s="413">
        <f t="shared" si="128"/>
        <v>6161040.5499999998</v>
      </c>
      <c r="AG257" s="138">
        <f t="shared" si="129"/>
        <v>0</v>
      </c>
      <c r="AH257" s="138"/>
      <c r="AI257" s="138">
        <f t="shared" si="130"/>
        <v>0</v>
      </c>
      <c r="AJ257" s="138"/>
      <c r="AK257" s="138">
        <f t="shared" si="131"/>
        <v>0</v>
      </c>
      <c r="AL257" s="138"/>
      <c r="AM257" s="138">
        <f t="shared" si="132"/>
        <v>0</v>
      </c>
      <c r="AN257" s="138"/>
      <c r="AO257" s="138">
        <f t="shared" si="133"/>
        <v>0</v>
      </c>
      <c r="AP257" s="138"/>
      <c r="AQ257" s="138">
        <f t="shared" si="134"/>
        <v>0</v>
      </c>
      <c r="AR257" s="138"/>
      <c r="AS257" s="138">
        <f t="shared" si="135"/>
        <v>6161040.5499999998</v>
      </c>
      <c r="AU257" s="151"/>
    </row>
    <row r="258" spans="1:47" x14ac:dyDescent="0.2">
      <c r="A258" s="446"/>
      <c r="B258" s="463">
        <v>335.3</v>
      </c>
      <c r="D258" s="406" t="s">
        <v>75</v>
      </c>
      <c r="F258" s="143">
        <v>7</v>
      </c>
      <c r="H258" s="309">
        <v>109583.31</v>
      </c>
      <c r="J258" s="138">
        <f t="shared" si="120"/>
        <v>0</v>
      </c>
      <c r="L258" s="138">
        <f t="shared" si="121"/>
        <v>0</v>
      </c>
      <c r="N258" s="138">
        <f t="shared" si="122"/>
        <v>0</v>
      </c>
      <c r="P258" s="138">
        <f t="shared" si="123"/>
        <v>0</v>
      </c>
      <c r="R258" s="138">
        <f t="shared" si="124"/>
        <v>0</v>
      </c>
      <c r="T258" s="138">
        <f t="shared" si="125"/>
        <v>0</v>
      </c>
      <c r="V258" s="138">
        <f t="shared" si="126"/>
        <v>109583.31</v>
      </c>
      <c r="X258" s="231">
        <f t="shared" si="136"/>
        <v>0</v>
      </c>
      <c r="Z258" s="365"/>
      <c r="AA258" s="406" t="s">
        <v>75</v>
      </c>
      <c r="AB258" s="132"/>
      <c r="AC258" s="143">
        <f t="shared" si="127"/>
        <v>7</v>
      </c>
      <c r="AD258" s="132"/>
      <c r="AE258" s="413">
        <f t="shared" si="128"/>
        <v>109583.31</v>
      </c>
      <c r="AG258" s="138">
        <f t="shared" si="129"/>
        <v>0</v>
      </c>
      <c r="AH258" s="138"/>
      <c r="AI258" s="138">
        <f t="shared" si="130"/>
        <v>0</v>
      </c>
      <c r="AJ258" s="138"/>
      <c r="AK258" s="138">
        <f t="shared" si="131"/>
        <v>0</v>
      </c>
      <c r="AL258" s="138"/>
      <c r="AM258" s="138">
        <f t="shared" si="132"/>
        <v>0</v>
      </c>
      <c r="AN258" s="138"/>
      <c r="AO258" s="138">
        <f t="shared" si="133"/>
        <v>0</v>
      </c>
      <c r="AP258" s="138"/>
      <c r="AQ258" s="138">
        <f t="shared" si="134"/>
        <v>0</v>
      </c>
      <c r="AR258" s="138"/>
      <c r="AS258" s="138">
        <f t="shared" si="135"/>
        <v>109583.31</v>
      </c>
      <c r="AU258" s="151"/>
    </row>
    <row r="259" spans="1:47" x14ac:dyDescent="0.2">
      <c r="A259" s="446"/>
      <c r="B259" s="463">
        <v>339.1</v>
      </c>
      <c r="D259" s="406" t="s">
        <v>76</v>
      </c>
      <c r="F259" s="143">
        <v>14</v>
      </c>
      <c r="H259" s="309">
        <v>130380.68999999994</v>
      </c>
      <c r="J259" s="138">
        <f t="shared" si="120"/>
        <v>73951.927367999975</v>
      </c>
      <c r="L259" s="138">
        <f t="shared" si="121"/>
        <v>25789.300481999988</v>
      </c>
      <c r="N259" s="138">
        <f t="shared" si="122"/>
        <v>8031.4505039999967</v>
      </c>
      <c r="P259" s="138">
        <f t="shared" si="123"/>
        <v>5019.6565649999975</v>
      </c>
      <c r="R259" s="138">
        <f t="shared" si="124"/>
        <v>2490.2711789999989</v>
      </c>
      <c r="T259" s="138">
        <f t="shared" si="125"/>
        <v>0</v>
      </c>
      <c r="V259" s="138">
        <f t="shared" si="126"/>
        <v>15098.083901999993</v>
      </c>
      <c r="X259" s="231">
        <f t="shared" si="136"/>
        <v>0</v>
      </c>
      <c r="Z259" s="365"/>
      <c r="AA259" s="406" t="s">
        <v>76</v>
      </c>
      <c r="AB259" s="132"/>
      <c r="AC259" s="143">
        <f t="shared" si="127"/>
        <v>14</v>
      </c>
      <c r="AD259" s="132"/>
      <c r="AE259" s="413">
        <f t="shared" si="128"/>
        <v>130380.68999999994</v>
      </c>
      <c r="AG259" s="138">
        <f t="shared" si="129"/>
        <v>43873.102184999982</v>
      </c>
      <c r="AH259" s="138"/>
      <c r="AI259" s="138">
        <f t="shared" si="130"/>
        <v>17757.849977999991</v>
      </c>
      <c r="AJ259" s="138"/>
      <c r="AK259" s="138">
        <f t="shared" si="131"/>
        <v>20352.425708999988</v>
      </c>
      <c r="AL259" s="138"/>
      <c r="AM259" s="138">
        <f t="shared" si="132"/>
        <v>8266.1357459999963</v>
      </c>
      <c r="AN259" s="138"/>
      <c r="AO259" s="138">
        <f t="shared" si="133"/>
        <v>10091.465405999996</v>
      </c>
      <c r="AP259" s="138"/>
      <c r="AQ259" s="138">
        <f t="shared" si="134"/>
        <v>14941.627073999993</v>
      </c>
      <c r="AR259" s="138"/>
      <c r="AS259" s="138">
        <f t="shared" si="135"/>
        <v>15098.083901999993</v>
      </c>
      <c r="AU259" s="151"/>
    </row>
    <row r="260" spans="1:47" x14ac:dyDescent="0.2">
      <c r="A260" s="446"/>
      <c r="B260" s="463">
        <v>339.2</v>
      </c>
      <c r="D260" s="406" t="s">
        <v>76</v>
      </c>
      <c r="F260" s="143">
        <v>14</v>
      </c>
      <c r="H260" s="309">
        <v>0</v>
      </c>
      <c r="J260" s="138">
        <f t="shared" si="120"/>
        <v>0</v>
      </c>
      <c r="L260" s="138">
        <f t="shared" si="121"/>
        <v>0</v>
      </c>
      <c r="N260" s="138">
        <f t="shared" si="122"/>
        <v>0</v>
      </c>
      <c r="P260" s="138">
        <f t="shared" si="123"/>
        <v>0</v>
      </c>
      <c r="R260" s="138">
        <f t="shared" si="124"/>
        <v>0</v>
      </c>
      <c r="T260" s="138">
        <f t="shared" si="125"/>
        <v>0</v>
      </c>
      <c r="V260" s="138">
        <f t="shared" si="126"/>
        <v>0</v>
      </c>
      <c r="X260" s="231">
        <f t="shared" si="136"/>
        <v>0</v>
      </c>
      <c r="Z260" s="365"/>
      <c r="AA260" s="406" t="s">
        <v>76</v>
      </c>
      <c r="AB260" s="132"/>
      <c r="AC260" s="143">
        <f t="shared" si="127"/>
        <v>14</v>
      </c>
      <c r="AD260" s="132"/>
      <c r="AE260" s="413">
        <f t="shared" si="128"/>
        <v>0</v>
      </c>
      <c r="AG260" s="138">
        <f t="shared" si="129"/>
        <v>0</v>
      </c>
      <c r="AH260" s="138"/>
      <c r="AI260" s="138">
        <f t="shared" si="130"/>
        <v>0</v>
      </c>
      <c r="AJ260" s="138"/>
      <c r="AK260" s="138">
        <f t="shared" si="131"/>
        <v>0</v>
      </c>
      <c r="AL260" s="138"/>
      <c r="AM260" s="138">
        <f t="shared" si="132"/>
        <v>0</v>
      </c>
      <c r="AN260" s="138"/>
      <c r="AO260" s="138">
        <f t="shared" si="133"/>
        <v>0</v>
      </c>
      <c r="AP260" s="138"/>
      <c r="AQ260" s="138">
        <f t="shared" si="134"/>
        <v>0</v>
      </c>
      <c r="AR260" s="138"/>
      <c r="AS260" s="138">
        <f t="shared" si="135"/>
        <v>0</v>
      </c>
      <c r="AU260" s="151"/>
    </row>
    <row r="261" spans="1:47" x14ac:dyDescent="0.2">
      <c r="A261" s="446"/>
      <c r="B261" s="463">
        <v>340.1</v>
      </c>
      <c r="D261" s="406" t="s">
        <v>77</v>
      </c>
      <c r="F261" s="143">
        <v>14</v>
      </c>
      <c r="H261" s="309">
        <v>720605.08000000007</v>
      </c>
      <c r="J261" s="138">
        <f t="shared" si="120"/>
        <v>408727.20137600007</v>
      </c>
      <c r="L261" s="138">
        <f t="shared" si="121"/>
        <v>142535.68482400003</v>
      </c>
      <c r="N261" s="138">
        <f t="shared" si="122"/>
        <v>44389.272928000006</v>
      </c>
      <c r="P261" s="138">
        <f t="shared" si="123"/>
        <v>27743.295580000002</v>
      </c>
      <c r="R261" s="138">
        <f t="shared" si="124"/>
        <v>13763.557028000001</v>
      </c>
      <c r="T261" s="138">
        <f t="shared" si="125"/>
        <v>0</v>
      </c>
      <c r="V261" s="138">
        <f t="shared" si="126"/>
        <v>83446.068264000016</v>
      </c>
      <c r="X261" s="231">
        <f t="shared" si="136"/>
        <v>0</v>
      </c>
      <c r="Z261" s="365"/>
      <c r="AA261" s="406" t="s">
        <v>77</v>
      </c>
      <c r="AB261" s="132"/>
      <c r="AC261" s="143">
        <f t="shared" si="127"/>
        <v>14</v>
      </c>
      <c r="AD261" s="132"/>
      <c r="AE261" s="413">
        <f t="shared" si="128"/>
        <v>720605.08000000007</v>
      </c>
      <c r="AG261" s="138">
        <f t="shared" si="129"/>
        <v>242483.60942000005</v>
      </c>
      <c r="AH261" s="138"/>
      <c r="AI261" s="138">
        <f t="shared" si="130"/>
        <v>98146.411896000005</v>
      </c>
      <c r="AJ261" s="138"/>
      <c r="AK261" s="138">
        <f t="shared" si="131"/>
        <v>112486.452988</v>
      </c>
      <c r="AL261" s="138"/>
      <c r="AM261" s="138">
        <f t="shared" si="132"/>
        <v>45686.362072000004</v>
      </c>
      <c r="AN261" s="138"/>
      <c r="AO261" s="138">
        <f t="shared" si="133"/>
        <v>55774.833192000006</v>
      </c>
      <c r="AP261" s="138"/>
      <c r="AQ261" s="138">
        <f t="shared" si="134"/>
        <v>82581.342168000003</v>
      </c>
      <c r="AR261" s="138"/>
      <c r="AS261" s="138">
        <f t="shared" si="135"/>
        <v>83446.068264000016</v>
      </c>
      <c r="AU261" s="151"/>
    </row>
    <row r="262" spans="1:47" x14ac:dyDescent="0.2">
      <c r="A262" s="446"/>
      <c r="B262" s="463">
        <v>340.2</v>
      </c>
      <c r="D262" s="406" t="s">
        <v>77</v>
      </c>
      <c r="F262" s="143">
        <v>14</v>
      </c>
      <c r="H262" s="309">
        <v>4044.1200000000008</v>
      </c>
      <c r="J262" s="138">
        <f t="shared" si="120"/>
        <v>2293.8248640000006</v>
      </c>
      <c r="L262" s="138">
        <f t="shared" si="121"/>
        <v>799.92693600000018</v>
      </c>
      <c r="N262" s="138">
        <f t="shared" si="122"/>
        <v>249.11779200000007</v>
      </c>
      <c r="P262" s="138">
        <f t="shared" si="123"/>
        <v>155.69862000000003</v>
      </c>
      <c r="R262" s="138">
        <f t="shared" si="124"/>
        <v>77.242692000000005</v>
      </c>
      <c r="T262" s="138">
        <f t="shared" si="125"/>
        <v>0</v>
      </c>
      <c r="V262" s="138">
        <f t="shared" si="126"/>
        <v>468.30909600000007</v>
      </c>
      <c r="X262" s="231">
        <f t="shared" si="136"/>
        <v>0</v>
      </c>
      <c r="Z262" s="365"/>
      <c r="AA262" s="406" t="s">
        <v>77</v>
      </c>
      <c r="AB262" s="132"/>
      <c r="AC262" s="143">
        <f t="shared" si="127"/>
        <v>14</v>
      </c>
      <c r="AD262" s="132"/>
      <c r="AE262" s="413">
        <f t="shared" si="128"/>
        <v>4044.1200000000008</v>
      </c>
      <c r="AG262" s="138">
        <f t="shared" si="129"/>
        <v>1360.8463800000004</v>
      </c>
      <c r="AH262" s="138"/>
      <c r="AI262" s="138">
        <f t="shared" si="130"/>
        <v>550.80914400000006</v>
      </c>
      <c r="AJ262" s="138"/>
      <c r="AK262" s="138">
        <f t="shared" si="131"/>
        <v>631.28713200000004</v>
      </c>
      <c r="AL262" s="138"/>
      <c r="AM262" s="138">
        <f t="shared" si="132"/>
        <v>256.39720800000003</v>
      </c>
      <c r="AN262" s="138"/>
      <c r="AO262" s="138">
        <f t="shared" si="133"/>
        <v>313.01488800000004</v>
      </c>
      <c r="AP262" s="138"/>
      <c r="AQ262" s="138">
        <f t="shared" si="134"/>
        <v>463.45615200000009</v>
      </c>
      <c r="AR262" s="138"/>
      <c r="AS262" s="138">
        <f t="shared" si="135"/>
        <v>468.30909600000007</v>
      </c>
      <c r="AU262" s="151"/>
    </row>
    <row r="263" spans="1:47" x14ac:dyDescent="0.2">
      <c r="A263" s="446"/>
      <c r="B263" s="463">
        <v>341.1</v>
      </c>
      <c r="D263" s="406" t="s">
        <v>78</v>
      </c>
      <c r="F263" s="143">
        <v>14</v>
      </c>
      <c r="H263" s="309">
        <v>762859</v>
      </c>
      <c r="J263" s="138">
        <f t="shared" si="120"/>
        <v>432693.62480000005</v>
      </c>
      <c r="L263" s="138">
        <f t="shared" si="121"/>
        <v>150893.51019999999</v>
      </c>
      <c r="N263" s="138">
        <f t="shared" si="122"/>
        <v>46992.114399999999</v>
      </c>
      <c r="P263" s="138">
        <f t="shared" si="123"/>
        <v>29370.071499999998</v>
      </c>
      <c r="R263" s="138">
        <f t="shared" si="124"/>
        <v>14570.606899999999</v>
      </c>
      <c r="T263" s="138">
        <f t="shared" si="125"/>
        <v>0</v>
      </c>
      <c r="V263" s="138">
        <f t="shared" si="126"/>
        <v>88339.072199999995</v>
      </c>
      <c r="X263" s="231">
        <f t="shared" si="136"/>
        <v>0</v>
      </c>
      <c r="Z263" s="365"/>
      <c r="AA263" s="406" t="s">
        <v>78</v>
      </c>
      <c r="AB263" s="132"/>
      <c r="AC263" s="143">
        <f t="shared" si="127"/>
        <v>14</v>
      </c>
      <c r="AD263" s="132"/>
      <c r="AE263" s="413">
        <f t="shared" si="128"/>
        <v>762859</v>
      </c>
      <c r="AG263" s="138">
        <f t="shared" si="129"/>
        <v>256702.05350000001</v>
      </c>
      <c r="AH263" s="138"/>
      <c r="AI263" s="138">
        <f t="shared" si="130"/>
        <v>103901.39579999998</v>
      </c>
      <c r="AJ263" s="138"/>
      <c r="AK263" s="138">
        <f t="shared" si="131"/>
        <v>119082.28989999999</v>
      </c>
      <c r="AL263" s="138"/>
      <c r="AM263" s="138">
        <f t="shared" si="132"/>
        <v>48365.260600000001</v>
      </c>
      <c r="AN263" s="138"/>
      <c r="AO263" s="138">
        <f t="shared" si="133"/>
        <v>59045.286599999999</v>
      </c>
      <c r="AP263" s="138"/>
      <c r="AQ263" s="138">
        <f t="shared" si="134"/>
        <v>87423.641399999993</v>
      </c>
      <c r="AR263" s="138"/>
      <c r="AS263" s="138">
        <f t="shared" si="135"/>
        <v>88339.072199999995</v>
      </c>
      <c r="AU263" s="151"/>
    </row>
    <row r="264" spans="1:47" x14ac:dyDescent="0.2">
      <c r="A264" s="446"/>
      <c r="B264" s="463">
        <v>341.2</v>
      </c>
      <c r="D264" s="406" t="s">
        <v>78</v>
      </c>
      <c r="F264" s="143">
        <v>14</v>
      </c>
      <c r="H264" s="309">
        <v>0</v>
      </c>
      <c r="J264" s="138">
        <f t="shared" si="120"/>
        <v>0</v>
      </c>
      <c r="L264" s="138">
        <f t="shared" si="121"/>
        <v>0</v>
      </c>
      <c r="N264" s="138">
        <f t="shared" si="122"/>
        <v>0</v>
      </c>
      <c r="P264" s="138">
        <f t="shared" si="123"/>
        <v>0</v>
      </c>
      <c r="R264" s="138">
        <f t="shared" si="124"/>
        <v>0</v>
      </c>
      <c r="T264" s="138">
        <f t="shared" si="125"/>
        <v>0</v>
      </c>
      <c r="V264" s="138">
        <f t="shared" si="126"/>
        <v>0</v>
      </c>
      <c r="X264" s="231">
        <f t="shared" si="136"/>
        <v>0</v>
      </c>
      <c r="Z264" s="365"/>
      <c r="AA264" s="406" t="s">
        <v>78</v>
      </c>
      <c r="AB264" s="132"/>
      <c r="AC264" s="143">
        <f t="shared" si="127"/>
        <v>14</v>
      </c>
      <c r="AD264" s="132"/>
      <c r="AE264" s="413">
        <f t="shared" si="128"/>
        <v>0</v>
      </c>
      <c r="AG264" s="138">
        <f t="shared" si="129"/>
        <v>0</v>
      </c>
      <c r="AH264" s="138"/>
      <c r="AI264" s="138">
        <f t="shared" si="130"/>
        <v>0</v>
      </c>
      <c r="AJ264" s="138"/>
      <c r="AK264" s="138">
        <f t="shared" si="131"/>
        <v>0</v>
      </c>
      <c r="AL264" s="138"/>
      <c r="AM264" s="138">
        <f t="shared" si="132"/>
        <v>0</v>
      </c>
      <c r="AN264" s="138"/>
      <c r="AO264" s="138">
        <f t="shared" si="133"/>
        <v>0</v>
      </c>
      <c r="AP264" s="138"/>
      <c r="AQ264" s="138">
        <f t="shared" si="134"/>
        <v>0</v>
      </c>
      <c r="AR264" s="138"/>
      <c r="AS264" s="138">
        <f t="shared" si="135"/>
        <v>0</v>
      </c>
      <c r="AU264" s="151"/>
    </row>
    <row r="265" spans="1:47" ht="15" customHeight="1" x14ac:dyDescent="0.2">
      <c r="A265" s="446"/>
      <c r="B265" s="463">
        <v>342.1</v>
      </c>
      <c r="D265" s="406" t="s">
        <v>160</v>
      </c>
      <c r="F265" s="143">
        <v>14</v>
      </c>
      <c r="H265" s="309">
        <v>0</v>
      </c>
      <c r="J265" s="138">
        <f t="shared" si="120"/>
        <v>0</v>
      </c>
      <c r="L265" s="138">
        <f t="shared" si="121"/>
        <v>0</v>
      </c>
      <c r="N265" s="138">
        <f t="shared" si="122"/>
        <v>0</v>
      </c>
      <c r="P265" s="138">
        <f t="shared" si="123"/>
        <v>0</v>
      </c>
      <c r="R265" s="138">
        <f t="shared" si="124"/>
        <v>0</v>
      </c>
      <c r="T265" s="138">
        <f t="shared" si="125"/>
        <v>0</v>
      </c>
      <c r="V265" s="138">
        <f t="shared" si="126"/>
        <v>0</v>
      </c>
      <c r="X265" s="231">
        <f t="shared" si="136"/>
        <v>0</v>
      </c>
      <c r="Z265" s="365"/>
      <c r="AA265" s="406" t="s">
        <v>160</v>
      </c>
      <c r="AB265" s="132"/>
      <c r="AC265" s="143">
        <f t="shared" si="127"/>
        <v>14</v>
      </c>
      <c r="AD265" s="132"/>
      <c r="AE265" s="413">
        <f t="shared" si="128"/>
        <v>0</v>
      </c>
      <c r="AG265" s="138">
        <f t="shared" si="129"/>
        <v>0</v>
      </c>
      <c r="AH265" s="138"/>
      <c r="AI265" s="138">
        <f t="shared" si="130"/>
        <v>0</v>
      </c>
      <c r="AJ265" s="138"/>
      <c r="AK265" s="138">
        <f t="shared" si="131"/>
        <v>0</v>
      </c>
      <c r="AL265" s="138"/>
      <c r="AM265" s="138">
        <f t="shared" si="132"/>
        <v>0</v>
      </c>
      <c r="AN265" s="138"/>
      <c r="AO265" s="138">
        <f t="shared" si="133"/>
        <v>0</v>
      </c>
      <c r="AP265" s="138"/>
      <c r="AQ265" s="138">
        <f t="shared" si="134"/>
        <v>0</v>
      </c>
      <c r="AR265" s="138"/>
      <c r="AS265" s="138">
        <f t="shared" si="135"/>
        <v>0</v>
      </c>
      <c r="AU265" s="151"/>
    </row>
    <row r="266" spans="1:47" x14ac:dyDescent="0.2">
      <c r="A266" s="446"/>
      <c r="B266" s="463">
        <v>343.1</v>
      </c>
      <c r="D266" s="406" t="s">
        <v>79</v>
      </c>
      <c r="F266" s="143">
        <v>14</v>
      </c>
      <c r="H266" s="309">
        <v>95475.609999999986</v>
      </c>
      <c r="J266" s="138">
        <f t="shared" si="120"/>
        <v>54153.765991999993</v>
      </c>
      <c r="L266" s="138">
        <f t="shared" si="121"/>
        <v>18885.075657999998</v>
      </c>
      <c r="N266" s="138">
        <f t="shared" si="122"/>
        <v>5881.297575999999</v>
      </c>
      <c r="P266" s="138">
        <f t="shared" si="123"/>
        <v>3675.8109849999996</v>
      </c>
      <c r="R266" s="138">
        <f t="shared" si="124"/>
        <v>1823.5841509999996</v>
      </c>
      <c r="T266" s="138">
        <f t="shared" si="125"/>
        <v>0</v>
      </c>
      <c r="V266" s="138">
        <f t="shared" si="126"/>
        <v>11056.075637999998</v>
      </c>
      <c r="X266" s="231">
        <f t="shared" si="136"/>
        <v>0</v>
      </c>
      <c r="Z266" s="365"/>
      <c r="AA266" s="406" t="s">
        <v>79</v>
      </c>
      <c r="AB266" s="132"/>
      <c r="AC266" s="143">
        <f t="shared" si="127"/>
        <v>14</v>
      </c>
      <c r="AD266" s="132"/>
      <c r="AE266" s="413">
        <f t="shared" si="128"/>
        <v>95475.609999999986</v>
      </c>
      <c r="AG266" s="138">
        <f t="shared" si="129"/>
        <v>32127.542764999998</v>
      </c>
      <c r="AH266" s="138"/>
      <c r="AI266" s="138">
        <f t="shared" si="130"/>
        <v>13003.778081999997</v>
      </c>
      <c r="AJ266" s="138"/>
      <c r="AK266" s="138">
        <f t="shared" si="131"/>
        <v>14903.742720999997</v>
      </c>
      <c r="AL266" s="138"/>
      <c r="AM266" s="138">
        <f t="shared" si="132"/>
        <v>6053.1536739999992</v>
      </c>
      <c r="AN266" s="138"/>
      <c r="AO266" s="138">
        <f t="shared" si="133"/>
        <v>7389.8122139999987</v>
      </c>
      <c r="AP266" s="138"/>
      <c r="AQ266" s="138">
        <f t="shared" si="134"/>
        <v>10941.504905999998</v>
      </c>
      <c r="AR266" s="138"/>
      <c r="AS266" s="138">
        <f t="shared" si="135"/>
        <v>11056.075637999998</v>
      </c>
      <c r="AU266" s="151"/>
    </row>
    <row r="267" spans="1:47" x14ac:dyDescent="0.2">
      <c r="A267" s="446"/>
      <c r="B267" s="463">
        <v>344.1</v>
      </c>
      <c r="D267" s="406" t="s">
        <v>161</v>
      </c>
      <c r="F267" s="143">
        <v>2</v>
      </c>
      <c r="H267" s="309">
        <v>275113.13</v>
      </c>
      <c r="J267" s="138">
        <f t="shared" si="120"/>
        <v>142811.225783</v>
      </c>
      <c r="L267" s="138">
        <f t="shared" si="121"/>
        <v>73290.137831999993</v>
      </c>
      <c r="N267" s="138">
        <f t="shared" si="122"/>
        <v>28006.516634</v>
      </c>
      <c r="P267" s="138">
        <f t="shared" si="123"/>
        <v>16231.674670000002</v>
      </c>
      <c r="R267" s="138">
        <f t="shared" si="124"/>
        <v>13728.145187</v>
      </c>
      <c r="T267" s="138">
        <f t="shared" si="125"/>
        <v>0</v>
      </c>
      <c r="V267" s="138">
        <f t="shared" si="126"/>
        <v>1045.4298940000001</v>
      </c>
      <c r="X267" s="231">
        <f t="shared" si="136"/>
        <v>0</v>
      </c>
      <c r="Z267" s="365"/>
      <c r="AA267" s="406" t="s">
        <v>161</v>
      </c>
      <c r="AB267" s="132"/>
      <c r="AC267" s="143">
        <f t="shared" si="127"/>
        <v>2</v>
      </c>
      <c r="AD267" s="132"/>
      <c r="AE267" s="413">
        <f t="shared" si="128"/>
        <v>275113.13</v>
      </c>
      <c r="AG267" s="138">
        <f t="shared" si="129"/>
        <v>170900.27635599999</v>
      </c>
      <c r="AH267" s="138"/>
      <c r="AI267" s="138">
        <f t="shared" si="130"/>
        <v>103167.42375</v>
      </c>
      <c r="AJ267" s="138"/>
      <c r="AK267" s="138">
        <f t="shared" si="131"/>
        <v>0</v>
      </c>
      <c r="AL267" s="138"/>
      <c r="AM267" s="138">
        <f t="shared" si="132"/>
        <v>0</v>
      </c>
      <c r="AN267" s="138"/>
      <c r="AO267" s="138">
        <f t="shared" si="133"/>
        <v>0</v>
      </c>
      <c r="AP267" s="138"/>
      <c r="AQ267" s="138">
        <f t="shared" si="134"/>
        <v>0</v>
      </c>
      <c r="AR267" s="138"/>
      <c r="AS267" s="138">
        <f t="shared" si="135"/>
        <v>1045.4298940000001</v>
      </c>
      <c r="AU267" s="151"/>
    </row>
    <row r="268" spans="1:47" x14ac:dyDescent="0.2">
      <c r="A268" s="446"/>
      <c r="B268" s="463">
        <v>345.1</v>
      </c>
      <c r="D268" s="406" t="s">
        <v>162</v>
      </c>
      <c r="F268" s="143">
        <v>14</v>
      </c>
      <c r="H268" s="309">
        <v>389222.46000000008</v>
      </c>
      <c r="J268" s="138">
        <f t="shared" si="120"/>
        <v>220766.97931200007</v>
      </c>
      <c r="L268" s="138">
        <f t="shared" si="121"/>
        <v>76988.202588000015</v>
      </c>
      <c r="N268" s="138">
        <f t="shared" si="122"/>
        <v>23976.103536000006</v>
      </c>
      <c r="P268" s="138">
        <f t="shared" si="123"/>
        <v>14985.064710000002</v>
      </c>
      <c r="R268" s="138">
        <f t="shared" si="124"/>
        <v>7434.1489860000011</v>
      </c>
      <c r="T268" s="138">
        <f t="shared" si="125"/>
        <v>0</v>
      </c>
      <c r="V268" s="138">
        <f t="shared" si="126"/>
        <v>45071.960868000009</v>
      </c>
      <c r="X268" s="231">
        <f t="shared" si="136"/>
        <v>0</v>
      </c>
      <c r="Z268" s="365"/>
      <c r="AA268" s="406" t="s">
        <v>162</v>
      </c>
      <c r="AB268" s="132"/>
      <c r="AC268" s="143">
        <f t="shared" si="127"/>
        <v>14</v>
      </c>
      <c r="AD268" s="132"/>
      <c r="AE268" s="413">
        <f t="shared" si="128"/>
        <v>389222.46000000008</v>
      </c>
      <c r="AG268" s="138">
        <f t="shared" si="129"/>
        <v>130973.35779000004</v>
      </c>
      <c r="AH268" s="138"/>
      <c r="AI268" s="138">
        <f t="shared" si="130"/>
        <v>53012.099052000005</v>
      </c>
      <c r="AJ268" s="138"/>
      <c r="AK268" s="138">
        <f t="shared" si="131"/>
        <v>60757.626006000006</v>
      </c>
      <c r="AL268" s="138"/>
      <c r="AM268" s="138">
        <f t="shared" si="132"/>
        <v>24676.703964000004</v>
      </c>
      <c r="AN268" s="138"/>
      <c r="AO268" s="138">
        <f t="shared" si="133"/>
        <v>30125.818404000005</v>
      </c>
      <c r="AP268" s="138"/>
      <c r="AQ268" s="138">
        <f t="shared" si="134"/>
        <v>44604.893916000008</v>
      </c>
      <c r="AR268" s="138"/>
      <c r="AS268" s="138">
        <f t="shared" si="135"/>
        <v>45071.960868000009</v>
      </c>
      <c r="AU268" s="151"/>
    </row>
    <row r="269" spans="1:47" x14ac:dyDescent="0.2">
      <c r="A269" s="446"/>
      <c r="B269" s="463">
        <v>346.1</v>
      </c>
      <c r="D269" s="406" t="s">
        <v>80</v>
      </c>
      <c r="F269" s="143">
        <v>14</v>
      </c>
      <c r="H269" s="309">
        <v>4941937.62</v>
      </c>
      <c r="J269" s="138">
        <f t="shared" si="120"/>
        <v>2803067.0180640002</v>
      </c>
      <c r="L269" s="138">
        <f t="shared" si="121"/>
        <v>977515.26123599999</v>
      </c>
      <c r="N269" s="138">
        <f t="shared" si="122"/>
        <v>304423.35739200003</v>
      </c>
      <c r="P269" s="138">
        <f t="shared" si="123"/>
        <v>190264.59836999999</v>
      </c>
      <c r="R269" s="138">
        <f t="shared" si="124"/>
        <v>94391.008541999996</v>
      </c>
      <c r="T269" s="138">
        <f t="shared" si="125"/>
        <v>0</v>
      </c>
      <c r="V269" s="138">
        <f t="shared" si="126"/>
        <v>572276.37639600004</v>
      </c>
      <c r="X269" s="231">
        <f t="shared" si="136"/>
        <v>0</v>
      </c>
      <c r="Z269" s="365"/>
      <c r="AA269" s="406" t="s">
        <v>80</v>
      </c>
      <c r="AB269" s="132"/>
      <c r="AC269" s="143">
        <f t="shared" si="127"/>
        <v>14</v>
      </c>
      <c r="AD269" s="132"/>
      <c r="AE269" s="413">
        <f t="shared" si="128"/>
        <v>4941937.62</v>
      </c>
      <c r="AG269" s="138">
        <f t="shared" si="129"/>
        <v>1662962.0091300001</v>
      </c>
      <c r="AH269" s="138"/>
      <c r="AI269" s="138">
        <f t="shared" si="130"/>
        <v>673091.90384399996</v>
      </c>
      <c r="AJ269" s="138"/>
      <c r="AK269" s="138">
        <f t="shared" si="131"/>
        <v>771436.462482</v>
      </c>
      <c r="AL269" s="138"/>
      <c r="AM269" s="138">
        <f t="shared" si="132"/>
        <v>313318.84510799998</v>
      </c>
      <c r="AN269" s="138"/>
      <c r="AO269" s="138">
        <f t="shared" si="133"/>
        <v>382505.97178799997</v>
      </c>
      <c r="AP269" s="138"/>
      <c r="AQ269" s="138">
        <f t="shared" si="134"/>
        <v>566346.05125200003</v>
      </c>
      <c r="AR269" s="138"/>
      <c r="AS269" s="138">
        <f t="shared" si="135"/>
        <v>572276.37639600004</v>
      </c>
      <c r="AU269" s="151"/>
    </row>
    <row r="270" spans="1:47" x14ac:dyDescent="0.2">
      <c r="A270" s="446"/>
      <c r="B270" s="463">
        <v>346.2</v>
      </c>
      <c r="D270" s="406" t="s">
        <v>80</v>
      </c>
      <c r="F270" s="143">
        <v>14</v>
      </c>
      <c r="H270" s="309">
        <v>0</v>
      </c>
      <c r="J270" s="138">
        <f t="shared" si="120"/>
        <v>0</v>
      </c>
      <c r="L270" s="138">
        <f t="shared" si="121"/>
        <v>0</v>
      </c>
      <c r="N270" s="138">
        <f t="shared" si="122"/>
        <v>0</v>
      </c>
      <c r="P270" s="138">
        <f t="shared" si="123"/>
        <v>0</v>
      </c>
      <c r="R270" s="138">
        <f t="shared" si="124"/>
        <v>0</v>
      </c>
      <c r="T270" s="138">
        <f t="shared" si="125"/>
        <v>0</v>
      </c>
      <c r="V270" s="138">
        <f t="shared" si="126"/>
        <v>0</v>
      </c>
      <c r="X270" s="231">
        <f t="shared" si="136"/>
        <v>0</v>
      </c>
      <c r="Z270" s="365"/>
      <c r="AA270" s="406" t="s">
        <v>80</v>
      </c>
      <c r="AB270" s="132"/>
      <c r="AC270" s="143">
        <f t="shared" si="127"/>
        <v>14</v>
      </c>
      <c r="AD270" s="132"/>
      <c r="AE270" s="413">
        <f t="shared" si="128"/>
        <v>0</v>
      </c>
      <c r="AG270" s="138">
        <f t="shared" si="129"/>
        <v>0</v>
      </c>
      <c r="AH270" s="138"/>
      <c r="AI270" s="138">
        <f t="shared" si="130"/>
        <v>0</v>
      </c>
      <c r="AJ270" s="138"/>
      <c r="AK270" s="138">
        <f t="shared" si="131"/>
        <v>0</v>
      </c>
      <c r="AL270" s="138"/>
      <c r="AM270" s="138">
        <f t="shared" si="132"/>
        <v>0</v>
      </c>
      <c r="AN270" s="138"/>
      <c r="AO270" s="138">
        <f t="shared" si="133"/>
        <v>0</v>
      </c>
      <c r="AP270" s="138"/>
      <c r="AQ270" s="138">
        <f t="shared" si="134"/>
        <v>0</v>
      </c>
      <c r="AR270" s="138"/>
      <c r="AS270" s="138">
        <f t="shared" si="135"/>
        <v>0</v>
      </c>
      <c r="AU270" s="151"/>
    </row>
    <row r="271" spans="1:47" x14ac:dyDescent="0.2">
      <c r="A271" s="446"/>
      <c r="B271" s="463">
        <v>347.1</v>
      </c>
      <c r="D271" s="406" t="s">
        <v>81</v>
      </c>
      <c r="F271" s="143">
        <v>14</v>
      </c>
      <c r="H271" s="540">
        <v>1023.0800000000745</v>
      </c>
      <c r="J271" s="139">
        <f t="shared" si="120"/>
        <v>580.29097600004229</v>
      </c>
      <c r="L271" s="139">
        <f t="shared" si="121"/>
        <v>202.36522400001473</v>
      </c>
      <c r="N271" s="139">
        <f t="shared" si="122"/>
        <v>63.021728000004593</v>
      </c>
      <c r="P271" s="139">
        <f t="shared" si="123"/>
        <v>39.388580000002868</v>
      </c>
      <c r="R271" s="139">
        <f t="shared" si="124"/>
        <v>19.540828000001422</v>
      </c>
      <c r="T271" s="139">
        <f t="shared" si="125"/>
        <v>0</v>
      </c>
      <c r="V271" s="139">
        <f t="shared" si="126"/>
        <v>118.47266400000863</v>
      </c>
      <c r="X271" s="231">
        <f t="shared" si="136"/>
        <v>0</v>
      </c>
      <c r="Z271" s="365"/>
      <c r="AA271" s="406" t="s">
        <v>81</v>
      </c>
      <c r="AB271" s="132"/>
      <c r="AC271" s="143">
        <f t="shared" si="127"/>
        <v>14</v>
      </c>
      <c r="AD271" s="132"/>
      <c r="AE271" s="413">
        <f t="shared" si="128"/>
        <v>1023.0800000000745</v>
      </c>
      <c r="AG271" s="138">
        <f t="shared" si="129"/>
        <v>344.26642000002511</v>
      </c>
      <c r="AH271" s="138"/>
      <c r="AI271" s="138">
        <f t="shared" si="130"/>
        <v>139.34349600001013</v>
      </c>
      <c r="AJ271" s="138"/>
      <c r="AK271" s="138">
        <f t="shared" si="131"/>
        <v>159.70278800001162</v>
      </c>
      <c r="AL271" s="138"/>
      <c r="AM271" s="138">
        <f t="shared" si="132"/>
        <v>64.863272000004727</v>
      </c>
      <c r="AN271" s="138"/>
      <c r="AO271" s="138">
        <f t="shared" si="133"/>
        <v>79.186392000005767</v>
      </c>
      <c r="AP271" s="138"/>
      <c r="AQ271" s="138">
        <f t="shared" si="134"/>
        <v>117.24496800000853</v>
      </c>
      <c r="AR271" s="138"/>
      <c r="AS271" s="138">
        <f t="shared" si="135"/>
        <v>118.47266400000863</v>
      </c>
      <c r="AU271" s="151"/>
    </row>
    <row r="272" spans="1:47" ht="16.7" customHeight="1" x14ac:dyDescent="0.2">
      <c r="A272" s="446"/>
      <c r="H272" s="309"/>
      <c r="J272" s="130"/>
      <c r="K272" s="130"/>
      <c r="L272" s="142"/>
      <c r="X272" s="231">
        <f t="shared" si="136"/>
        <v>0</v>
      </c>
      <c r="Y272" s="136"/>
      <c r="Z272" s="365"/>
      <c r="AA272" s="132"/>
      <c r="AB272" s="132"/>
      <c r="AC272" s="143"/>
      <c r="AE272" s="572"/>
      <c r="AF272" s="559"/>
      <c r="AG272" s="572"/>
      <c r="AH272" s="559"/>
      <c r="AI272" s="572"/>
      <c r="AJ272" s="559"/>
      <c r="AK272" s="572"/>
      <c r="AL272" s="559"/>
      <c r="AM272" s="572"/>
      <c r="AN272" s="559"/>
      <c r="AO272" s="572"/>
      <c r="AP272" s="559"/>
      <c r="AQ272" s="572"/>
      <c r="AR272" s="559"/>
      <c r="AS272" s="572"/>
      <c r="AU272" s="151"/>
    </row>
    <row r="273" spans="1:49" x14ac:dyDescent="0.2">
      <c r="A273" s="446"/>
      <c r="D273" s="238" t="s">
        <v>163</v>
      </c>
      <c r="H273" s="540">
        <f>SUM(H225:H272)</f>
        <v>314838637.01999998</v>
      </c>
      <c r="I273" s="131"/>
      <c r="J273" s="139">
        <f>SUM(J225:J272)</f>
        <v>158668232.2127471</v>
      </c>
      <c r="L273" s="139">
        <f>SUM(L225:L272)</f>
        <v>69822796.352354079</v>
      </c>
      <c r="N273" s="139">
        <f>SUM(N225:N272)</f>
        <v>23937599.493770152</v>
      </c>
      <c r="P273" s="139">
        <f>SUM(P225:P272)</f>
        <v>14369877.337608946</v>
      </c>
      <c r="R273" s="139">
        <f>SUM(R225:R272)</f>
        <v>8717325.8234103955</v>
      </c>
      <c r="T273" s="139">
        <f>SUM(T225:T272)</f>
        <v>0</v>
      </c>
      <c r="V273" s="139">
        <f>SUM(V225:V272)</f>
        <v>39322805.800109267</v>
      </c>
      <c r="X273" s="231">
        <f t="shared" si="136"/>
        <v>0</v>
      </c>
      <c r="Y273" s="136"/>
      <c r="Z273" s="365"/>
      <c r="AA273" s="238" t="s">
        <v>163</v>
      </c>
      <c r="AB273" s="132"/>
      <c r="AC273" s="143"/>
      <c r="AE273" s="139">
        <f>SUM(AE225:AE272)</f>
        <v>314838637.01999998</v>
      </c>
      <c r="AG273" s="139">
        <f>SUM(AG225:AG272)</f>
        <v>136117289.70654467</v>
      </c>
      <c r="AH273" s="131"/>
      <c r="AI273" s="139">
        <f>SUM(AI225:AI272)</f>
        <v>64248984.05139938</v>
      </c>
      <c r="AJ273" s="146"/>
      <c r="AK273" s="139">
        <f>SUM(AK225:AK272)</f>
        <v>41786959.235256687</v>
      </c>
      <c r="AL273" s="146"/>
      <c r="AM273" s="139">
        <f>SUM(AM225:AM272)</f>
        <v>13485433.985490002</v>
      </c>
      <c r="AN273" s="146"/>
      <c r="AO273" s="139">
        <f>SUM(AO225:AO272)</f>
        <v>18280130.173390001</v>
      </c>
      <c r="AP273" s="146"/>
      <c r="AQ273" s="139">
        <f>SUM(AQ225:AQ272)</f>
        <v>1597034.0678100002</v>
      </c>
      <c r="AR273" s="146"/>
      <c r="AS273" s="139">
        <f>SUM(AS225:AS272)</f>
        <v>39322805.800109267</v>
      </c>
      <c r="AT273" s="146"/>
      <c r="AU273" s="151"/>
      <c r="AW273" s="183"/>
    </row>
    <row r="274" spans="1:49" ht="15" customHeight="1" x14ac:dyDescent="0.2">
      <c r="J274" s="130"/>
      <c r="K274" s="130"/>
      <c r="L274" s="142"/>
      <c r="X274" s="231">
        <f t="shared" si="136"/>
        <v>0</v>
      </c>
      <c r="Y274" s="136"/>
      <c r="Z274" s="365"/>
      <c r="AA274" s="132"/>
      <c r="AB274" s="132"/>
      <c r="AC274" s="143"/>
      <c r="AU274" s="151"/>
    </row>
    <row r="275" spans="1:49" s="127" customFormat="1" ht="15" customHeight="1" x14ac:dyDescent="0.2">
      <c r="A275" s="498"/>
      <c r="B275" s="444"/>
      <c r="C275" s="365"/>
      <c r="D275" s="132" t="s">
        <v>341</v>
      </c>
      <c r="E275" s="132"/>
      <c r="F275" s="143"/>
      <c r="H275" s="488"/>
      <c r="J275" s="138"/>
      <c r="K275" s="146"/>
      <c r="L275" s="138"/>
      <c r="M275" s="146"/>
      <c r="N275" s="138"/>
      <c r="O275" s="146"/>
      <c r="P275" s="138"/>
      <c r="Q275" s="146"/>
      <c r="R275" s="138"/>
      <c r="S275" s="146"/>
      <c r="T275" s="138"/>
      <c r="U275" s="146"/>
      <c r="V275" s="138"/>
      <c r="X275" s="365"/>
      <c r="Y275" s="129"/>
      <c r="Z275" s="365"/>
      <c r="AA275" s="132" t="s">
        <v>341</v>
      </c>
      <c r="AB275" s="132"/>
      <c r="AC275" s="143"/>
      <c r="AD275" s="132"/>
      <c r="AE275" s="413"/>
      <c r="AG275" s="138"/>
      <c r="AH275" s="138"/>
      <c r="AI275" s="138"/>
      <c r="AJ275" s="138"/>
      <c r="AK275" s="138"/>
      <c r="AL275" s="138"/>
      <c r="AM275" s="138"/>
      <c r="AN275" s="138"/>
      <c r="AO275" s="138"/>
      <c r="AP275" s="138"/>
      <c r="AQ275" s="138"/>
      <c r="AR275" s="138"/>
      <c r="AS275" s="138"/>
      <c r="AU275" s="146"/>
    </row>
    <row r="276" spans="1:49" s="127" customFormat="1" ht="15" customHeight="1" x14ac:dyDescent="0.2">
      <c r="A276" s="498"/>
      <c r="B276" s="444"/>
      <c r="C276" s="365"/>
      <c r="D276" s="406" t="s">
        <v>289</v>
      </c>
      <c r="E276" s="132"/>
      <c r="F276" s="143">
        <v>3</v>
      </c>
      <c r="H276" s="151">
        <v>6291032.4899999993</v>
      </c>
      <c r="J276" s="138">
        <f t="shared" ref="J276:J282" si="137">(VLOOKUP($F276,Factors,J$329))*$H276</f>
        <v>2790702.0125639997</v>
      </c>
      <c r="K276" s="146"/>
      <c r="L276" s="138">
        <f t="shared" ref="L276:L282" si="138">(VLOOKUP($F276,Factors,L$329))*$H276</f>
        <v>1431838.9947239999</v>
      </c>
      <c r="M276" s="146"/>
      <c r="N276" s="138">
        <f t="shared" ref="N276:N282" si="139">(VLOOKUP($F276,Factors,N$329))*$H276</f>
        <v>547319.82662999991</v>
      </c>
      <c r="O276" s="146"/>
      <c r="P276" s="138">
        <f t="shared" ref="P276:P282" si="140">(VLOOKUP($F276,Factors,P$329))*$H276</f>
        <v>317068.03749599995</v>
      </c>
      <c r="Q276" s="146"/>
      <c r="R276" s="138">
        <f t="shared" ref="R276:R282" si="141">(VLOOKUP($F276,Factors,R$329))*$H276</f>
        <v>267997.98407399998</v>
      </c>
      <c r="S276" s="146"/>
      <c r="T276" s="138">
        <f t="shared" ref="T276:T282" si="142">(VLOOKUP($F276,Factors,T$329))*$H276</f>
        <v>0</v>
      </c>
      <c r="U276" s="146"/>
      <c r="V276" s="138">
        <f t="shared" ref="V276:V282" si="143">(VLOOKUP($F276,Factors,V$329))*$H276</f>
        <v>936105.63451200002</v>
      </c>
      <c r="W276"/>
      <c r="X276" s="231">
        <f t="shared" ref="X276:X303" si="144">SUM(J276:V276)-H276</f>
        <v>0</v>
      </c>
      <c r="Y276" s="129"/>
      <c r="Z276" s="365"/>
      <c r="AA276" s="406" t="s">
        <v>289</v>
      </c>
      <c r="AB276" s="132"/>
      <c r="AC276" s="143">
        <f t="shared" ref="AC276:AC282" si="145">+F276</f>
        <v>3</v>
      </c>
      <c r="AD276" s="132"/>
      <c r="AE276" s="413">
        <f t="shared" ref="AE276:AE282" si="146">+H276</f>
        <v>6291032.4899999993</v>
      </c>
      <c r="AG276" s="138">
        <f t="shared" ref="AG276:AG282" si="147">(VLOOKUP($AC276,func,AG$329))*$AE276</f>
        <v>3339909.148941</v>
      </c>
      <c r="AH276" s="138"/>
      <c r="AI276" s="138">
        <f t="shared" ref="AI276:AI282" si="148">(VLOOKUP($AC276,func,AI$329))*$AE276</f>
        <v>2015017.706547</v>
      </c>
      <c r="AJ276" s="138"/>
      <c r="AK276" s="138">
        <f t="shared" ref="AK276:AK282" si="149">(VLOOKUP($AC276,func,AK$329))*$AE276</f>
        <v>0</v>
      </c>
      <c r="AL276" s="138"/>
      <c r="AM276" s="138">
        <f t="shared" ref="AM276:AM282" si="150">(VLOOKUP($AC276,func,AM$329))*$AE276</f>
        <v>0</v>
      </c>
      <c r="AN276" s="138"/>
      <c r="AO276" s="138">
        <f t="shared" ref="AO276:AO282" si="151">(VLOOKUP($AC276,func,AO$329))*$AE276</f>
        <v>0</v>
      </c>
      <c r="AP276" s="138"/>
      <c r="AQ276" s="138">
        <f t="shared" ref="AQ276:AQ282" si="152">(VLOOKUP($AC276,func,AQ$329))*$AE276</f>
        <v>0</v>
      </c>
      <c r="AR276" s="138"/>
      <c r="AS276" s="138">
        <f t="shared" ref="AS276:AS282" si="153">(VLOOKUP($AC276,func,AS$329))*$AE276</f>
        <v>936105.63451200002</v>
      </c>
      <c r="AT276"/>
      <c r="AU276" s="151"/>
    </row>
    <row r="277" spans="1:49" s="127" customFormat="1" ht="15" customHeight="1" x14ac:dyDescent="0.2">
      <c r="A277" s="498"/>
      <c r="B277" s="444"/>
      <c r="C277" s="365"/>
      <c r="D277" s="406" t="s">
        <v>290</v>
      </c>
      <c r="E277" s="132"/>
      <c r="F277" s="143">
        <v>4</v>
      </c>
      <c r="H277" s="151">
        <v>12760432.789999997</v>
      </c>
      <c r="J277" s="138">
        <f t="shared" si="137"/>
        <v>5867246.9968419988</v>
      </c>
      <c r="K277" s="146"/>
      <c r="L277" s="138">
        <f t="shared" si="138"/>
        <v>2747321.1796869994</v>
      </c>
      <c r="M277" s="146"/>
      <c r="N277" s="138">
        <f t="shared" si="139"/>
        <v>876641.73267299973</v>
      </c>
      <c r="O277" s="146"/>
      <c r="P277" s="138">
        <f t="shared" si="140"/>
        <v>507865.22504199989</v>
      </c>
      <c r="Q277" s="146"/>
      <c r="R277" s="138">
        <f t="shared" si="141"/>
        <v>0</v>
      </c>
      <c r="S277" s="146"/>
      <c r="T277" s="138">
        <f t="shared" si="142"/>
        <v>0</v>
      </c>
      <c r="U277" s="146"/>
      <c r="V277" s="138">
        <f t="shared" si="143"/>
        <v>2761357.655755999</v>
      </c>
      <c r="W277"/>
      <c r="X277" s="231">
        <f t="shared" si="144"/>
        <v>0</v>
      </c>
      <c r="Y277" s="129"/>
      <c r="Z277" s="365"/>
      <c r="AA277" s="406" t="s">
        <v>290</v>
      </c>
      <c r="AB277" s="132"/>
      <c r="AC277" s="143">
        <f t="shared" si="145"/>
        <v>4</v>
      </c>
      <c r="AD277" s="132"/>
      <c r="AE277" s="413">
        <f t="shared" si="146"/>
        <v>12760432.789999997</v>
      </c>
      <c r="AG277" s="138">
        <f t="shared" si="147"/>
        <v>4150968.7865869994</v>
      </c>
      <c r="AH277" s="138"/>
      <c r="AI277" s="138">
        <f t="shared" si="148"/>
        <v>0</v>
      </c>
      <c r="AJ277" s="138"/>
      <c r="AK277" s="138">
        <f t="shared" si="149"/>
        <v>5848106.3476569988</v>
      </c>
      <c r="AL277" s="138"/>
      <c r="AM277" s="138">
        <f t="shared" si="150"/>
        <v>0</v>
      </c>
      <c r="AN277" s="138"/>
      <c r="AO277" s="138">
        <f t="shared" si="151"/>
        <v>0</v>
      </c>
      <c r="AP277" s="138"/>
      <c r="AQ277" s="138">
        <f t="shared" si="152"/>
        <v>0</v>
      </c>
      <c r="AR277" s="138"/>
      <c r="AS277" s="138">
        <f t="shared" si="153"/>
        <v>2761357.655755999</v>
      </c>
      <c r="AT277"/>
      <c r="AU277" s="151"/>
    </row>
    <row r="278" spans="1:49" s="127" customFormat="1" ht="15" customHeight="1" x14ac:dyDescent="0.2">
      <c r="A278" s="498"/>
      <c r="B278" s="444"/>
      <c r="C278" s="365"/>
      <c r="D278" s="406" t="s">
        <v>301</v>
      </c>
      <c r="E278" s="132"/>
      <c r="F278" s="143">
        <v>3</v>
      </c>
      <c r="H278" s="151">
        <v>325161.83</v>
      </c>
      <c r="J278" s="138">
        <f t="shared" si="137"/>
        <v>144241.78778800002</v>
      </c>
      <c r="K278" s="146"/>
      <c r="L278" s="138">
        <f t="shared" si="138"/>
        <v>74006.832508000007</v>
      </c>
      <c r="M278" s="146"/>
      <c r="N278" s="138">
        <f t="shared" si="139"/>
        <v>28289.07921</v>
      </c>
      <c r="O278" s="146"/>
      <c r="P278" s="138">
        <f t="shared" si="140"/>
        <v>16388.156232000001</v>
      </c>
      <c r="Q278" s="146"/>
      <c r="R278" s="138">
        <f t="shared" si="141"/>
        <v>13851.893958000001</v>
      </c>
      <c r="S278" s="146"/>
      <c r="T278" s="138">
        <f t="shared" si="142"/>
        <v>0</v>
      </c>
      <c r="U278" s="146"/>
      <c r="V278" s="138">
        <f t="shared" si="143"/>
        <v>48384.08030400001</v>
      </c>
      <c r="W278"/>
      <c r="X278" s="231">
        <f t="shared" si="144"/>
        <v>0</v>
      </c>
      <c r="Y278" s="129"/>
      <c r="Z278" s="365"/>
      <c r="AA278" s="132" t="s">
        <v>291</v>
      </c>
      <c r="AB278" s="132"/>
      <c r="AC278" s="143">
        <f t="shared" si="145"/>
        <v>3</v>
      </c>
      <c r="AD278" s="132"/>
      <c r="AE278" s="413">
        <f t="shared" si="146"/>
        <v>325161.83</v>
      </c>
      <c r="AG278" s="138">
        <f t="shared" si="147"/>
        <v>172628.41554700001</v>
      </c>
      <c r="AH278" s="138"/>
      <c r="AI278" s="138">
        <f t="shared" si="148"/>
        <v>104149.33414900002</v>
      </c>
      <c r="AJ278" s="138"/>
      <c r="AK278" s="138">
        <f t="shared" si="149"/>
        <v>0</v>
      </c>
      <c r="AL278" s="138"/>
      <c r="AM278" s="138">
        <f t="shared" si="150"/>
        <v>0</v>
      </c>
      <c r="AN278" s="138"/>
      <c r="AO278" s="138">
        <f t="shared" si="151"/>
        <v>0</v>
      </c>
      <c r="AP278" s="138"/>
      <c r="AQ278" s="138">
        <f t="shared" si="152"/>
        <v>0</v>
      </c>
      <c r="AR278" s="138"/>
      <c r="AS278" s="138">
        <f t="shared" si="153"/>
        <v>48384.08030400001</v>
      </c>
      <c r="AT278"/>
      <c r="AU278" s="151"/>
    </row>
    <row r="279" spans="1:49" s="127" customFormat="1" ht="15" customHeight="1" x14ac:dyDescent="0.2">
      <c r="A279" s="498"/>
      <c r="B279" s="444"/>
      <c r="C279" s="365"/>
      <c r="D279" s="406" t="s">
        <v>300</v>
      </c>
      <c r="E279" s="132"/>
      <c r="F279" s="143">
        <v>2</v>
      </c>
      <c r="H279" s="151">
        <v>2638464.11</v>
      </c>
      <c r="J279" s="138">
        <f t="shared" si="137"/>
        <v>1369626.7195009999</v>
      </c>
      <c r="K279" s="146"/>
      <c r="L279" s="138">
        <f t="shared" si="138"/>
        <v>702886.83890399989</v>
      </c>
      <c r="M279" s="146"/>
      <c r="N279" s="138">
        <f t="shared" si="139"/>
        <v>268595.64639800001</v>
      </c>
      <c r="O279" s="146"/>
      <c r="P279" s="138">
        <f t="shared" si="140"/>
        <v>155669.38248999999</v>
      </c>
      <c r="Q279" s="146"/>
      <c r="R279" s="138">
        <f t="shared" si="141"/>
        <v>131659.35908900001</v>
      </c>
      <c r="S279" s="146"/>
      <c r="T279" s="138">
        <f t="shared" si="142"/>
        <v>0</v>
      </c>
      <c r="U279" s="146"/>
      <c r="V279" s="138">
        <f t="shared" si="143"/>
        <v>10026.163617999999</v>
      </c>
      <c r="W279"/>
      <c r="X279" s="231">
        <f t="shared" si="144"/>
        <v>0</v>
      </c>
      <c r="Y279" s="129"/>
      <c r="Z279" s="365"/>
      <c r="AA279" s="132" t="s">
        <v>292</v>
      </c>
      <c r="AB279" s="132"/>
      <c r="AC279" s="143">
        <f t="shared" si="145"/>
        <v>2</v>
      </c>
      <c r="AD279" s="132"/>
      <c r="AE279" s="413">
        <f t="shared" si="146"/>
        <v>2638464.11</v>
      </c>
      <c r="AG279" s="138">
        <f t="shared" si="147"/>
        <v>1639013.9051319999</v>
      </c>
      <c r="AH279" s="138"/>
      <c r="AI279" s="138">
        <f t="shared" si="148"/>
        <v>989424.04125000001</v>
      </c>
      <c r="AJ279" s="138"/>
      <c r="AK279" s="138">
        <f t="shared" si="149"/>
        <v>0</v>
      </c>
      <c r="AL279" s="138"/>
      <c r="AM279" s="138">
        <f t="shared" si="150"/>
        <v>0</v>
      </c>
      <c r="AN279" s="138"/>
      <c r="AO279" s="138">
        <f t="shared" si="151"/>
        <v>0</v>
      </c>
      <c r="AP279" s="138"/>
      <c r="AQ279" s="138">
        <f t="shared" si="152"/>
        <v>0</v>
      </c>
      <c r="AR279" s="138"/>
      <c r="AS279" s="138">
        <f t="shared" si="153"/>
        <v>10026.163617999999</v>
      </c>
      <c r="AT279"/>
      <c r="AU279" s="151"/>
    </row>
    <row r="280" spans="1:49" s="127" customFormat="1" ht="15" customHeight="1" x14ac:dyDescent="0.2">
      <c r="A280" s="498"/>
      <c r="B280" s="444"/>
      <c r="C280" s="365"/>
      <c r="D280" s="406" t="s">
        <v>299</v>
      </c>
      <c r="E280" s="132"/>
      <c r="F280" s="143">
        <v>5</v>
      </c>
      <c r="H280" s="151">
        <v>50421.990000000005</v>
      </c>
      <c r="J280" s="138">
        <f t="shared" si="137"/>
        <v>20496.538935</v>
      </c>
      <c r="K280" s="146"/>
      <c r="L280" s="138">
        <f t="shared" si="138"/>
        <v>9580.178100000001</v>
      </c>
      <c r="M280" s="146"/>
      <c r="N280" s="138">
        <f t="shared" si="139"/>
        <v>3055.5725940000002</v>
      </c>
      <c r="O280" s="146"/>
      <c r="P280" s="138">
        <f t="shared" si="140"/>
        <v>1774.8540479999999</v>
      </c>
      <c r="Q280" s="146"/>
      <c r="R280" s="138">
        <f t="shared" si="141"/>
        <v>1492.4909040000002</v>
      </c>
      <c r="S280" s="146"/>
      <c r="T280" s="138">
        <f t="shared" si="142"/>
        <v>0</v>
      </c>
      <c r="U280" s="146"/>
      <c r="V280" s="138">
        <f t="shared" si="143"/>
        <v>14022.355419000001</v>
      </c>
      <c r="W280"/>
      <c r="X280" s="231">
        <f t="shared" si="144"/>
        <v>0</v>
      </c>
      <c r="Y280" s="129"/>
      <c r="Z280" s="365"/>
      <c r="AA280" s="132" t="s">
        <v>293</v>
      </c>
      <c r="AB280" s="132"/>
      <c r="AC280" s="143">
        <f t="shared" si="145"/>
        <v>5</v>
      </c>
      <c r="AD280" s="132"/>
      <c r="AE280" s="413">
        <f t="shared" si="146"/>
        <v>50421.990000000005</v>
      </c>
      <c r="AG280" s="138">
        <f t="shared" si="147"/>
        <v>15111.470402999999</v>
      </c>
      <c r="AH280" s="138"/>
      <c r="AI280" s="138">
        <f t="shared" si="148"/>
        <v>0</v>
      </c>
      <c r="AJ280" s="138"/>
      <c r="AK280" s="138">
        <f t="shared" si="149"/>
        <v>21288.164178000003</v>
      </c>
      <c r="AL280" s="138"/>
      <c r="AM280" s="138">
        <f t="shared" si="150"/>
        <v>0</v>
      </c>
      <c r="AN280" s="138"/>
      <c r="AO280" s="138">
        <f t="shared" si="151"/>
        <v>0</v>
      </c>
      <c r="AP280" s="138"/>
      <c r="AQ280" s="138">
        <f t="shared" si="152"/>
        <v>0</v>
      </c>
      <c r="AR280" s="138"/>
      <c r="AS280" s="138">
        <f t="shared" si="153"/>
        <v>14022.355419000001</v>
      </c>
      <c r="AT280"/>
      <c r="AU280" s="151"/>
    </row>
    <row r="281" spans="1:49" s="127" customFormat="1" ht="15" customHeight="1" x14ac:dyDescent="0.2">
      <c r="A281" s="498"/>
      <c r="B281" s="444"/>
      <c r="C281" s="365"/>
      <c r="D281" s="406" t="s">
        <v>298</v>
      </c>
      <c r="E281" s="132"/>
      <c r="F281" s="143">
        <v>8</v>
      </c>
      <c r="H281" s="151">
        <v>79065.89</v>
      </c>
      <c r="J281" s="138">
        <f t="shared" si="137"/>
        <v>64138.249968000004</v>
      </c>
      <c r="K281" s="146"/>
      <c r="L281" s="138">
        <f t="shared" si="138"/>
        <v>12255.212949999999</v>
      </c>
      <c r="M281" s="146"/>
      <c r="N281" s="138">
        <f t="shared" si="139"/>
        <v>774.84572200000002</v>
      </c>
      <c r="O281" s="146"/>
      <c r="P281" s="138">
        <f t="shared" si="140"/>
        <v>1810.6088810000001</v>
      </c>
      <c r="Q281" s="146"/>
      <c r="R281" s="138">
        <f t="shared" si="141"/>
        <v>86.972479000000007</v>
      </c>
      <c r="S281" s="146"/>
      <c r="T281" s="138">
        <f t="shared" si="142"/>
        <v>0</v>
      </c>
      <c r="U281" s="146"/>
      <c r="V281" s="138">
        <f t="shared" si="143"/>
        <v>0</v>
      </c>
      <c r="W281"/>
      <c r="X281" s="231">
        <f t="shared" si="144"/>
        <v>0</v>
      </c>
      <c r="Y281" s="129"/>
      <c r="Z281" s="365"/>
      <c r="AA281" s="132" t="s">
        <v>294</v>
      </c>
      <c r="AB281" s="132"/>
      <c r="AC281" s="143">
        <f t="shared" si="145"/>
        <v>8</v>
      </c>
      <c r="AD281" s="132"/>
      <c r="AE281" s="413">
        <f t="shared" si="146"/>
        <v>79065.89</v>
      </c>
      <c r="AG281" s="138">
        <f t="shared" si="147"/>
        <v>0</v>
      </c>
      <c r="AH281" s="138"/>
      <c r="AI281" s="138">
        <f t="shared" si="148"/>
        <v>0</v>
      </c>
      <c r="AJ281" s="138"/>
      <c r="AK281" s="138">
        <f t="shared" si="149"/>
        <v>0</v>
      </c>
      <c r="AL281" s="138"/>
      <c r="AM281" s="138">
        <f t="shared" si="150"/>
        <v>79065.89</v>
      </c>
      <c r="AN281" s="138"/>
      <c r="AO281" s="138">
        <f t="shared" si="151"/>
        <v>0</v>
      </c>
      <c r="AP281" s="138"/>
      <c r="AQ281" s="138">
        <f t="shared" si="152"/>
        <v>0</v>
      </c>
      <c r="AR281" s="138"/>
      <c r="AS281" s="138">
        <f t="shared" si="153"/>
        <v>0</v>
      </c>
      <c r="AT281"/>
      <c r="AU281" s="151"/>
    </row>
    <row r="282" spans="1:49" s="127" customFormat="1" ht="15" customHeight="1" x14ac:dyDescent="0.2">
      <c r="A282" s="498"/>
      <c r="B282" s="444"/>
      <c r="C282" s="365"/>
      <c r="D282" s="132" t="s">
        <v>297</v>
      </c>
      <c r="E282" s="132"/>
      <c r="F282" s="143">
        <v>14</v>
      </c>
      <c r="H282" s="435">
        <v>115842.81</v>
      </c>
      <c r="J282" s="139">
        <f t="shared" si="137"/>
        <v>65706.041832000003</v>
      </c>
      <c r="K282" s="146"/>
      <c r="L282" s="139">
        <f t="shared" si="138"/>
        <v>22913.707817999999</v>
      </c>
      <c r="M282" s="146"/>
      <c r="N282" s="139">
        <f t="shared" si="139"/>
        <v>7135.9170960000001</v>
      </c>
      <c r="O282" s="146"/>
      <c r="P282" s="139">
        <f t="shared" si="140"/>
        <v>4459.9481850000002</v>
      </c>
      <c r="Q282" s="146"/>
      <c r="R282" s="139">
        <f t="shared" si="141"/>
        <v>2212.597671</v>
      </c>
      <c r="S282" s="146"/>
      <c r="T282" s="139">
        <f t="shared" si="142"/>
        <v>0</v>
      </c>
      <c r="U282" s="146"/>
      <c r="V282" s="139">
        <f t="shared" si="143"/>
        <v>13414.597398</v>
      </c>
      <c r="W282"/>
      <c r="X282" s="231">
        <f t="shared" si="144"/>
        <v>0</v>
      </c>
      <c r="Y282" s="129"/>
      <c r="Z282" s="365"/>
      <c r="AA282" s="132" t="s">
        <v>295</v>
      </c>
      <c r="AB282" s="132"/>
      <c r="AC282" s="143">
        <f t="shared" si="145"/>
        <v>14</v>
      </c>
      <c r="AD282" s="132"/>
      <c r="AE282" s="471">
        <f t="shared" si="146"/>
        <v>115842.81</v>
      </c>
      <c r="AG282" s="139">
        <f t="shared" si="147"/>
        <v>38981.105565000005</v>
      </c>
      <c r="AH282" s="138"/>
      <c r="AI282" s="139">
        <f t="shared" si="148"/>
        <v>15777.790721999998</v>
      </c>
      <c r="AJ282" s="138"/>
      <c r="AK282" s="139">
        <f t="shared" si="149"/>
        <v>18083.062640999997</v>
      </c>
      <c r="AL282" s="138"/>
      <c r="AM282" s="139">
        <f t="shared" si="150"/>
        <v>7344.4341539999996</v>
      </c>
      <c r="AN282" s="138"/>
      <c r="AO282" s="139">
        <f t="shared" si="151"/>
        <v>8966.2334940000001</v>
      </c>
      <c r="AP282" s="138"/>
      <c r="AQ282" s="139">
        <f t="shared" si="152"/>
        <v>13275.586025999999</v>
      </c>
      <c r="AR282" s="138"/>
      <c r="AS282" s="139">
        <f t="shared" si="153"/>
        <v>13414.597398</v>
      </c>
      <c r="AT282"/>
      <c r="AU282" s="151"/>
    </row>
    <row r="283" spans="1:49" s="127" customFormat="1" ht="15" customHeight="1" x14ac:dyDescent="0.2">
      <c r="A283" s="498"/>
      <c r="B283" s="444"/>
      <c r="C283" s="365"/>
      <c r="D283" s="132"/>
      <c r="E283" s="132"/>
      <c r="F283" s="143"/>
      <c r="H283" s="151"/>
      <c r="J283" s="138"/>
      <c r="K283" s="146"/>
      <c r="L283" s="138"/>
      <c r="M283" s="146"/>
      <c r="N283" s="138"/>
      <c r="O283" s="146"/>
      <c r="P283" s="138"/>
      <c r="Q283" s="146"/>
      <c r="R283" s="138"/>
      <c r="S283" s="146"/>
      <c r="T283" s="138"/>
      <c r="U283" s="146"/>
      <c r="V283" s="138"/>
      <c r="X283" s="231">
        <f t="shared" si="144"/>
        <v>0</v>
      </c>
      <c r="Y283" s="129"/>
      <c r="Z283" s="365"/>
      <c r="AA283" s="132"/>
      <c r="AB283" s="132"/>
      <c r="AC283" s="143"/>
      <c r="AD283" s="132"/>
      <c r="AE283" s="413"/>
      <c r="AG283" s="138"/>
      <c r="AH283" s="138"/>
      <c r="AI283" s="138"/>
      <c r="AJ283" s="138"/>
      <c r="AK283" s="138"/>
      <c r="AL283" s="138"/>
      <c r="AM283" s="138"/>
      <c r="AN283" s="138"/>
      <c r="AO283" s="138"/>
      <c r="AP283" s="138"/>
      <c r="AQ283" s="138"/>
      <c r="AR283" s="138"/>
      <c r="AS283" s="138"/>
      <c r="AU283" s="151"/>
    </row>
    <row r="284" spans="1:49" s="127" customFormat="1" ht="15" customHeight="1" x14ac:dyDescent="0.2">
      <c r="A284" s="498"/>
      <c r="B284" s="444"/>
      <c r="C284" s="365"/>
      <c r="D284" s="132" t="s">
        <v>296</v>
      </c>
      <c r="E284" s="132"/>
      <c r="F284" s="143"/>
      <c r="H284" s="151">
        <f>SUM(H276:H283)</f>
        <v>22260421.909999993</v>
      </c>
      <c r="J284" s="146">
        <f>SUM(J276:J283)</f>
        <v>10322158.347429998</v>
      </c>
      <c r="K284" s="127" t="s">
        <v>500</v>
      </c>
      <c r="L284" s="146">
        <f>SUM(L276:L283)</f>
        <v>5000802.9446909986</v>
      </c>
      <c r="M284" s="127" t="s">
        <v>500</v>
      </c>
      <c r="N284" s="146">
        <f>SUM(N276:N283)</f>
        <v>1731812.6203229998</v>
      </c>
      <c r="O284" s="127" t="s">
        <v>500</v>
      </c>
      <c r="P284" s="146">
        <f>SUM(P276:P283)</f>
        <v>1005036.2123739996</v>
      </c>
      <c r="Q284" s="127" t="s">
        <v>500</v>
      </c>
      <c r="R284" s="146">
        <f>SUM(R276:R283)</f>
        <v>417301.29817499995</v>
      </c>
      <c r="T284" s="146">
        <f>SUM(T276:T283)</f>
        <v>0</v>
      </c>
      <c r="V284" s="146">
        <f>SUM(V276:V283)</f>
        <v>3783310.4870069996</v>
      </c>
      <c r="W284" s="127" t="s">
        <v>500</v>
      </c>
      <c r="X284" s="231">
        <f t="shared" si="144"/>
        <v>0</v>
      </c>
      <c r="Y284" s="129"/>
      <c r="Z284" s="365"/>
      <c r="AA284" s="132" t="s">
        <v>296</v>
      </c>
      <c r="AB284" s="132"/>
      <c r="AC284" s="143"/>
      <c r="AD284" s="132"/>
      <c r="AE284" s="413">
        <f>SUM(AE276:AE283)</f>
        <v>22260421.909999993</v>
      </c>
      <c r="AF284" s="132"/>
      <c r="AG284" s="413">
        <f>SUM(AG276:AG283)</f>
        <v>9356612.8321749996</v>
      </c>
      <c r="AH284" s="132"/>
      <c r="AI284" s="413">
        <f>SUM(AI276:AI283)</f>
        <v>3124368.8726680004</v>
      </c>
      <c r="AJ284" s="132"/>
      <c r="AK284" s="413">
        <f>SUM(AK276:AK283)</f>
        <v>5887477.574475999</v>
      </c>
      <c r="AL284" s="132"/>
      <c r="AM284" s="413">
        <f>SUM(AM276:AM283)</f>
        <v>86410.324154000002</v>
      </c>
      <c r="AN284" s="132"/>
      <c r="AO284" s="413">
        <f>SUM(AO276:AO283)</f>
        <v>8966.2334940000001</v>
      </c>
      <c r="AP284" s="132"/>
      <c r="AQ284" s="413">
        <f>SUM(AQ276:AQ283)</f>
        <v>13275.586025999999</v>
      </c>
      <c r="AR284" s="132"/>
      <c r="AS284" s="413">
        <f>SUM(AS276:AS283)</f>
        <v>3783310.4870069996</v>
      </c>
      <c r="AU284" s="151"/>
    </row>
    <row r="285" spans="1:49" s="127" customFormat="1" ht="15" customHeight="1" x14ac:dyDescent="0.2">
      <c r="A285" s="498"/>
      <c r="B285" s="444"/>
      <c r="C285" s="365"/>
      <c r="D285" s="132"/>
      <c r="E285" s="132"/>
      <c r="F285" s="143"/>
      <c r="H285" s="151"/>
      <c r="J285" s="138"/>
      <c r="K285" s="146"/>
      <c r="L285" s="138"/>
      <c r="M285" s="146"/>
      <c r="N285" s="138"/>
      <c r="O285" s="146"/>
      <c r="P285" s="138"/>
      <c r="Q285" s="146"/>
      <c r="R285" s="138"/>
      <c r="S285" s="146"/>
      <c r="T285" s="138"/>
      <c r="U285" s="146"/>
      <c r="V285" s="138"/>
      <c r="X285" s="231">
        <f t="shared" si="144"/>
        <v>0</v>
      </c>
      <c r="Y285" s="129"/>
      <c r="Z285" s="365"/>
      <c r="AA285" s="132"/>
      <c r="AB285" s="132"/>
      <c r="AC285" s="143"/>
      <c r="AD285" s="132"/>
      <c r="AE285" s="413"/>
      <c r="AG285" s="138"/>
      <c r="AH285" s="138"/>
      <c r="AI285" s="138"/>
      <c r="AJ285" s="138"/>
      <c r="AK285" s="138"/>
      <c r="AL285" s="138"/>
      <c r="AM285" s="138"/>
      <c r="AN285" s="138"/>
      <c r="AO285" s="138"/>
      <c r="AP285" s="138"/>
      <c r="AQ285" s="138"/>
      <c r="AR285" s="138"/>
      <c r="AS285" s="138"/>
      <c r="AU285" s="151"/>
    </row>
    <row r="286" spans="1:49" s="127" customFormat="1" ht="15" customHeight="1" x14ac:dyDescent="0.2">
      <c r="A286" s="498"/>
      <c r="B286" s="444"/>
      <c r="C286" s="365"/>
      <c r="D286" s="132" t="s">
        <v>9</v>
      </c>
      <c r="E286" s="132"/>
      <c r="F286" s="143">
        <v>4</v>
      </c>
      <c r="H286" s="151">
        <v>-32162326.190000001</v>
      </c>
      <c r="J286" s="138">
        <f>(VLOOKUP($F286,Factors,J$329))*$H286</f>
        <v>-14788237.582162</v>
      </c>
      <c r="K286" s="146"/>
      <c r="L286" s="138">
        <f>(VLOOKUP($F286,Factors,L$329))*$H286</f>
        <v>-6924548.8287070002</v>
      </c>
      <c r="M286" s="146"/>
      <c r="N286" s="138">
        <f>(VLOOKUP($F286,Factors,N$329))*$H286</f>
        <v>-2209551.8092530002</v>
      </c>
      <c r="O286" s="146"/>
      <c r="P286" s="138">
        <f>(VLOOKUP($F286,Factors,P$329))*$H286</f>
        <v>-1280060.5823620001</v>
      </c>
      <c r="Q286" s="146"/>
      <c r="R286" s="138">
        <f>(VLOOKUP($F286,Factors,R$329))*$H286</f>
        <v>0</v>
      </c>
      <c r="S286" s="146"/>
      <c r="T286" s="138">
        <f>(VLOOKUP($F286,Factors,T$329))*$H286</f>
        <v>0</v>
      </c>
      <c r="U286" s="146"/>
      <c r="V286" s="138">
        <f>(VLOOKUP($F286,Factors,V$329))*$H286</f>
        <v>-6959927.3875159994</v>
      </c>
      <c r="X286" s="231">
        <f t="shared" si="144"/>
        <v>0</v>
      </c>
      <c r="Y286" s="129"/>
      <c r="Z286" s="365"/>
      <c r="AA286" s="132" t="s">
        <v>9</v>
      </c>
      <c r="AB286" s="132"/>
      <c r="AC286" s="143">
        <f>+F286</f>
        <v>4</v>
      </c>
      <c r="AD286" s="132"/>
      <c r="AE286" s="413">
        <f>+H286</f>
        <v>-32162326.190000001</v>
      </c>
      <c r="AG286" s="138">
        <f>(VLOOKUP($AC286,func,AG$329))*$AE286</f>
        <v>-10462404.709607001</v>
      </c>
      <c r="AH286" s="138"/>
      <c r="AI286" s="138">
        <f>(VLOOKUP($AC286,func,AI$329))*$AE286</f>
        <v>0</v>
      </c>
      <c r="AJ286" s="138"/>
      <c r="AK286" s="138">
        <f>(VLOOKUP($AC286,func,AK$329))*$AE286</f>
        <v>-14739994.092877001</v>
      </c>
      <c r="AL286" s="138"/>
      <c r="AM286" s="138">
        <f>(VLOOKUP($AC286,func,AM$329))*$AE286</f>
        <v>0</v>
      </c>
      <c r="AN286" s="138"/>
      <c r="AO286" s="138">
        <f>(VLOOKUP($AC286,func,AO$329))*$AE286</f>
        <v>0</v>
      </c>
      <c r="AP286" s="138"/>
      <c r="AQ286" s="138">
        <f>(VLOOKUP($AC286,func,AQ$329))*$AE286</f>
        <v>0</v>
      </c>
      <c r="AR286" s="138"/>
      <c r="AS286" s="138">
        <f>(VLOOKUP($AC286,func,AS$329))*$AE286</f>
        <v>-6959927.3875159994</v>
      </c>
      <c r="AU286" s="151"/>
    </row>
    <row r="287" spans="1:49" ht="15" customHeight="1" x14ac:dyDescent="0.2">
      <c r="J287" s="130"/>
      <c r="K287" s="130"/>
      <c r="L287" s="142"/>
      <c r="X287" s="231">
        <f t="shared" si="144"/>
        <v>0</v>
      </c>
      <c r="Y287" s="136"/>
      <c r="Z287" s="365"/>
      <c r="AA287" s="132"/>
      <c r="AB287" s="132"/>
      <c r="AC287" s="143"/>
      <c r="AU287" s="151"/>
    </row>
    <row r="288" spans="1:49" x14ac:dyDescent="0.2">
      <c r="D288" s="241" t="s">
        <v>169</v>
      </c>
      <c r="X288" s="231">
        <f t="shared" si="144"/>
        <v>0</v>
      </c>
      <c r="Y288" s="136"/>
      <c r="Z288" s="365"/>
      <c r="AA288" s="241" t="s">
        <v>169</v>
      </c>
      <c r="AB288" s="132"/>
      <c r="AC288" s="143"/>
      <c r="AU288" s="151"/>
    </row>
    <row r="289" spans="1:47" x14ac:dyDescent="0.2">
      <c r="D289" s="152" t="s">
        <v>170</v>
      </c>
      <c r="H289" s="487"/>
      <c r="J289" s="138"/>
      <c r="L289" s="138"/>
      <c r="N289" s="138"/>
      <c r="P289" s="138"/>
      <c r="R289" s="138"/>
      <c r="T289" s="138"/>
      <c r="V289" s="138"/>
      <c r="X289" s="231">
        <f t="shared" si="144"/>
        <v>0</v>
      </c>
      <c r="Y289" s="136"/>
      <c r="Z289" s="365"/>
      <c r="AA289" s="152" t="s">
        <v>170</v>
      </c>
      <c r="AB289" s="132"/>
      <c r="AC289" s="143"/>
      <c r="AU289" s="151"/>
    </row>
    <row r="290" spans="1:47" x14ac:dyDescent="0.2">
      <c r="A290" s="446"/>
      <c r="D290" s="152" t="s">
        <v>88</v>
      </c>
      <c r="F290" s="143">
        <v>17</v>
      </c>
      <c r="H290" s="309">
        <v>2458510.9999999995</v>
      </c>
      <c r="J290" s="138">
        <f t="shared" ref="J290:J298" si="154">(VLOOKUP($F290,Factors,J$329))*$H290</f>
        <v>1239089.5439999998</v>
      </c>
      <c r="L290" s="138">
        <f t="shared" ref="L290:L298" si="155">(VLOOKUP($F290,Factors,L$329))*$H290</f>
        <v>545297.73979999986</v>
      </c>
      <c r="N290" s="138">
        <f t="shared" ref="N290:N298" si="156">(VLOOKUP($F290,Factors,N$329))*$H290</f>
        <v>186846.83599999995</v>
      </c>
      <c r="P290" s="138">
        <f t="shared" ref="P290:P298" si="157">(VLOOKUP($F290,Factors,P$329))*$H290</f>
        <v>112108.10159999998</v>
      </c>
      <c r="R290" s="138">
        <f t="shared" ref="R290:R298" si="158">(VLOOKUP($F290,Factors,R$329))*$H290</f>
        <v>68100.75469999999</v>
      </c>
      <c r="T290" s="138">
        <f t="shared" ref="T290:T298" si="159">(VLOOKUP($F290,Factors,T$329))*$H290</f>
        <v>0</v>
      </c>
      <c r="V290" s="138">
        <f t="shared" ref="V290:V298" si="160">(VLOOKUP($F290,Factors,V$329))*$H290</f>
        <v>307068.02389999991</v>
      </c>
      <c r="X290" s="231">
        <f t="shared" si="144"/>
        <v>0</v>
      </c>
      <c r="Y290" s="136"/>
      <c r="Z290" s="365"/>
      <c r="AA290" s="152" t="s">
        <v>88</v>
      </c>
      <c r="AB290" s="132"/>
      <c r="AC290" s="143">
        <f t="shared" ref="AC290:AC298" si="161">+F290</f>
        <v>17</v>
      </c>
      <c r="AE290" s="151">
        <f t="shared" ref="AE290:AE298" si="162">+H290</f>
        <v>2458510.9999999995</v>
      </c>
      <c r="AG290" s="138">
        <f t="shared" ref="AG290:AG298" si="163">(VLOOKUP($AC290,func,AG$329))*$AE290</f>
        <v>1062814.3052999999</v>
      </c>
      <c r="AH290" s="138"/>
      <c r="AI290" s="138">
        <f t="shared" ref="AI290:AI298" si="164">(VLOOKUP($AC290,func,AI$329))*$AE290</f>
        <v>501782.09509999992</v>
      </c>
      <c r="AJ290" s="138"/>
      <c r="AK290" s="138">
        <f t="shared" ref="AK290:AK298" si="165">(VLOOKUP($AC290,func,AK$329))*$AE290</f>
        <v>326244.40969999996</v>
      </c>
      <c r="AL290" s="138"/>
      <c r="AM290" s="138">
        <f t="shared" ref="AM290:AM298" si="166">(VLOOKUP($AC290,func,AM$329))*$AE290</f>
        <v>105224.27079999997</v>
      </c>
      <c r="AN290" s="138"/>
      <c r="AO290" s="138">
        <f t="shared" ref="AO290:AO298" si="167">(VLOOKUP($AC290,func,AO$329))*$AE290</f>
        <v>142839.48909999998</v>
      </c>
      <c r="AP290" s="138"/>
      <c r="AQ290" s="138">
        <f t="shared" ref="AQ290:AQ298" si="168">(VLOOKUP($AC290,func,AQ$329))*$AE290</f>
        <v>12538.406099999998</v>
      </c>
      <c r="AR290" s="138"/>
      <c r="AS290" s="138">
        <f t="shared" ref="AS290:AS298" si="169">(VLOOKUP($AC290,func,AS$329))*$AE290</f>
        <v>307068.02389999991</v>
      </c>
      <c r="AU290" s="151"/>
    </row>
    <row r="291" spans="1:47" x14ac:dyDescent="0.2">
      <c r="A291" s="446"/>
      <c r="D291" s="152" t="s">
        <v>175</v>
      </c>
      <c r="F291" s="143">
        <v>14</v>
      </c>
      <c r="H291" s="309">
        <v>1222016.67</v>
      </c>
      <c r="J291" s="138">
        <f t="shared" si="154"/>
        <v>693127.85522400006</v>
      </c>
      <c r="L291" s="138">
        <f t="shared" si="155"/>
        <v>241714.89732599998</v>
      </c>
      <c r="N291" s="138">
        <f t="shared" si="156"/>
        <v>75276.226871999999</v>
      </c>
      <c r="P291" s="138">
        <f t="shared" si="157"/>
        <v>47047.641794999996</v>
      </c>
      <c r="R291" s="138">
        <f t="shared" si="158"/>
        <v>23340.518396999996</v>
      </c>
      <c r="T291" s="138">
        <f t="shared" si="159"/>
        <v>0</v>
      </c>
      <c r="V291" s="138">
        <f t="shared" si="160"/>
        <v>141509.530386</v>
      </c>
      <c r="X291" s="231">
        <f t="shared" si="144"/>
        <v>0</v>
      </c>
      <c r="Y291" s="136"/>
      <c r="Z291" s="365"/>
      <c r="AA291" s="152" t="s">
        <v>175</v>
      </c>
      <c r="AB291" s="132"/>
      <c r="AC291" s="143">
        <f t="shared" si="161"/>
        <v>14</v>
      </c>
      <c r="AD291" s="551"/>
      <c r="AE291" s="151">
        <f t="shared" si="162"/>
        <v>1222016.67</v>
      </c>
      <c r="AF291" s="551"/>
      <c r="AG291" s="138">
        <f t="shared" si="163"/>
        <v>411208.60945500003</v>
      </c>
      <c r="AH291" s="138"/>
      <c r="AI291" s="138">
        <f t="shared" si="164"/>
        <v>166438.67045399998</v>
      </c>
      <c r="AJ291" s="138"/>
      <c r="AK291" s="138">
        <f t="shared" si="165"/>
        <v>190756.80218699996</v>
      </c>
      <c r="AL291" s="138"/>
      <c r="AM291" s="138">
        <f t="shared" si="166"/>
        <v>77475.856877999991</v>
      </c>
      <c r="AN291" s="138"/>
      <c r="AO291" s="138">
        <f t="shared" si="167"/>
        <v>94584.090257999997</v>
      </c>
      <c r="AP291" s="138"/>
      <c r="AQ291" s="138">
        <f t="shared" si="168"/>
        <v>140043.11038199998</v>
      </c>
      <c r="AR291" s="138"/>
      <c r="AS291" s="138">
        <f t="shared" si="169"/>
        <v>141509.530386</v>
      </c>
      <c r="AT291" s="551"/>
      <c r="AU291" s="151"/>
    </row>
    <row r="292" spans="1:47" s="351" customFormat="1" x14ac:dyDescent="0.2">
      <c r="A292" s="550"/>
      <c r="B292" s="550"/>
      <c r="C292" s="504"/>
      <c r="D292" s="539" t="s">
        <v>491</v>
      </c>
      <c r="E292" s="505"/>
      <c r="F292" s="506">
        <v>8</v>
      </c>
      <c r="G292" s="353"/>
      <c r="H292" s="554">
        <v>409404.67</v>
      </c>
      <c r="I292" s="353"/>
      <c r="J292" s="507">
        <f t="shared" si="154"/>
        <v>332109.06830400001</v>
      </c>
      <c r="K292" s="508"/>
      <c r="L292" s="507">
        <f t="shared" si="155"/>
        <v>63457.723849999995</v>
      </c>
      <c r="M292" s="508"/>
      <c r="N292" s="507">
        <f t="shared" si="156"/>
        <v>4012.1657659999996</v>
      </c>
      <c r="O292" s="508"/>
      <c r="P292" s="507">
        <f t="shared" si="157"/>
        <v>9375.3669429999991</v>
      </c>
      <c r="Q292" s="508"/>
      <c r="R292" s="507">
        <f t="shared" si="158"/>
        <v>450.34513700000002</v>
      </c>
      <c r="S292" s="508"/>
      <c r="T292" s="507">
        <f t="shared" si="159"/>
        <v>0</v>
      </c>
      <c r="U292" s="508"/>
      <c r="V292" s="507">
        <f t="shared" si="160"/>
        <v>0</v>
      </c>
      <c r="X292" s="476">
        <f t="shared" si="144"/>
        <v>0</v>
      </c>
      <c r="Y292" s="483"/>
      <c r="Z292" s="504"/>
      <c r="AA292" s="539" t="s">
        <v>491</v>
      </c>
      <c r="AB292" s="505"/>
      <c r="AC292" s="143">
        <f t="shared" si="161"/>
        <v>8</v>
      </c>
      <c r="AD292" s="551"/>
      <c r="AE292" s="151">
        <f t="shared" si="162"/>
        <v>409404.67</v>
      </c>
      <c r="AF292" s="551"/>
      <c r="AG292" s="138">
        <f t="shared" si="163"/>
        <v>0</v>
      </c>
      <c r="AH292" s="138"/>
      <c r="AI292" s="138">
        <f t="shared" si="164"/>
        <v>0</v>
      </c>
      <c r="AJ292" s="138"/>
      <c r="AK292" s="138">
        <f t="shared" si="165"/>
        <v>0</v>
      </c>
      <c r="AL292" s="138"/>
      <c r="AM292" s="138">
        <f t="shared" si="166"/>
        <v>409404.67</v>
      </c>
      <c r="AN292" s="138"/>
      <c r="AO292" s="138">
        <f t="shared" si="167"/>
        <v>0</v>
      </c>
      <c r="AP292" s="138"/>
      <c r="AQ292" s="138">
        <f t="shared" si="168"/>
        <v>0</v>
      </c>
      <c r="AR292" s="138"/>
      <c r="AS292" s="138">
        <f t="shared" si="169"/>
        <v>0</v>
      </c>
      <c r="AT292" s="551"/>
      <c r="AU292" s="151"/>
    </row>
    <row r="293" spans="1:47" s="351" customFormat="1" x14ac:dyDescent="0.2">
      <c r="A293" s="550"/>
      <c r="B293" s="550"/>
      <c r="C293" s="504"/>
      <c r="D293" s="539" t="s">
        <v>176</v>
      </c>
      <c r="E293" s="505"/>
      <c r="F293" s="506">
        <v>14</v>
      </c>
      <c r="G293" s="353"/>
      <c r="H293" s="554">
        <v>727246.70000000065</v>
      </c>
      <c r="I293" s="353"/>
      <c r="J293" s="507">
        <f t="shared" si="154"/>
        <v>412494.32824000041</v>
      </c>
      <c r="K293" s="508"/>
      <c r="L293" s="507">
        <f t="shared" si="155"/>
        <v>143849.39726000014</v>
      </c>
      <c r="M293" s="508"/>
      <c r="N293" s="507">
        <f t="shared" si="156"/>
        <v>44798.396720000041</v>
      </c>
      <c r="O293" s="508"/>
      <c r="P293" s="507">
        <f t="shared" si="157"/>
        <v>27998.997950000026</v>
      </c>
      <c r="Q293" s="508"/>
      <c r="R293" s="507">
        <f t="shared" si="158"/>
        <v>13890.411970000012</v>
      </c>
      <c r="S293" s="508"/>
      <c r="T293" s="507">
        <f t="shared" si="159"/>
        <v>0</v>
      </c>
      <c r="U293" s="508"/>
      <c r="V293" s="507">
        <f t="shared" si="160"/>
        <v>84215.167860000074</v>
      </c>
      <c r="X293" s="476">
        <f t="shared" si="144"/>
        <v>0</v>
      </c>
      <c r="Y293" s="483"/>
      <c r="Z293" s="504"/>
      <c r="AA293" s="539" t="s">
        <v>176</v>
      </c>
      <c r="AB293" s="505"/>
      <c r="AC293" s="143">
        <f t="shared" si="161"/>
        <v>14</v>
      </c>
      <c r="AD293" s="551"/>
      <c r="AE293" s="151">
        <f t="shared" si="162"/>
        <v>727246.70000000065</v>
      </c>
      <c r="AF293" s="551"/>
      <c r="AG293" s="138">
        <f t="shared" si="163"/>
        <v>244718.51455000023</v>
      </c>
      <c r="AH293" s="138"/>
      <c r="AI293" s="138">
        <f t="shared" si="164"/>
        <v>99051.000540000081</v>
      </c>
      <c r="AJ293" s="138"/>
      <c r="AK293" s="138">
        <f t="shared" si="165"/>
        <v>113523.20987000009</v>
      </c>
      <c r="AL293" s="138"/>
      <c r="AM293" s="138">
        <f t="shared" si="166"/>
        <v>46107.440780000041</v>
      </c>
      <c r="AN293" s="138"/>
      <c r="AO293" s="138">
        <f t="shared" si="167"/>
        <v>56288.894580000051</v>
      </c>
      <c r="AP293" s="138"/>
      <c r="AQ293" s="138">
        <f t="shared" si="168"/>
        <v>83342.471820000064</v>
      </c>
      <c r="AR293" s="138"/>
      <c r="AS293" s="138">
        <f t="shared" si="169"/>
        <v>84215.167860000074</v>
      </c>
      <c r="AT293" s="551"/>
      <c r="AU293" s="151"/>
    </row>
    <row r="294" spans="1:47" s="351" customFormat="1" x14ac:dyDescent="0.2">
      <c r="A294" s="550"/>
      <c r="B294" s="550"/>
      <c r="C294" s="504"/>
      <c r="D294" s="539" t="s">
        <v>86</v>
      </c>
      <c r="E294" s="505"/>
      <c r="F294" s="506">
        <v>5</v>
      </c>
      <c r="G294" s="353"/>
      <c r="H294" s="554">
        <v>1914030.76</v>
      </c>
      <c r="I294" s="353"/>
      <c r="J294" s="507">
        <f t="shared" si="154"/>
        <v>778053.50393999997</v>
      </c>
      <c r="K294" s="508"/>
      <c r="L294" s="507">
        <f t="shared" si="155"/>
        <v>363665.8444</v>
      </c>
      <c r="M294" s="508"/>
      <c r="N294" s="507">
        <f t="shared" si="156"/>
        <v>115990.264056</v>
      </c>
      <c r="O294" s="508"/>
      <c r="P294" s="507">
        <f t="shared" si="157"/>
        <v>67373.88275199999</v>
      </c>
      <c r="Q294" s="508"/>
      <c r="R294" s="507">
        <f t="shared" si="158"/>
        <v>56655.310496000006</v>
      </c>
      <c r="S294" s="508"/>
      <c r="T294" s="507">
        <f t="shared" si="159"/>
        <v>0</v>
      </c>
      <c r="U294" s="508"/>
      <c r="V294" s="507">
        <f t="shared" si="160"/>
        <v>532291.95435600006</v>
      </c>
      <c r="X294" s="476">
        <f t="shared" si="144"/>
        <v>0</v>
      </c>
      <c r="Y294" s="483"/>
      <c r="Z294" s="504"/>
      <c r="AA294" s="539" t="s">
        <v>86</v>
      </c>
      <c r="AB294" s="505"/>
      <c r="AC294" s="143">
        <f t="shared" si="161"/>
        <v>5</v>
      </c>
      <c r="AD294" s="551"/>
      <c r="AE294" s="151">
        <f t="shared" si="162"/>
        <v>1914030.76</v>
      </c>
      <c r="AF294" s="551"/>
      <c r="AG294" s="138">
        <f t="shared" si="163"/>
        <v>573635.01877199998</v>
      </c>
      <c r="AH294" s="138"/>
      <c r="AI294" s="138">
        <f t="shared" si="164"/>
        <v>0</v>
      </c>
      <c r="AJ294" s="138"/>
      <c r="AK294" s="138">
        <f t="shared" si="165"/>
        <v>808103.78687200008</v>
      </c>
      <c r="AL294" s="138"/>
      <c r="AM294" s="138">
        <f t="shared" si="166"/>
        <v>0</v>
      </c>
      <c r="AN294" s="138"/>
      <c r="AO294" s="138">
        <f t="shared" si="167"/>
        <v>0</v>
      </c>
      <c r="AP294" s="138"/>
      <c r="AQ294" s="138">
        <f t="shared" si="168"/>
        <v>0</v>
      </c>
      <c r="AR294" s="138"/>
      <c r="AS294" s="138">
        <f t="shared" si="169"/>
        <v>532291.95435600006</v>
      </c>
      <c r="AT294" s="551"/>
      <c r="AU294" s="151"/>
    </row>
    <row r="295" spans="1:47" s="351" customFormat="1" x14ac:dyDescent="0.2">
      <c r="A295" s="550"/>
      <c r="B295" s="550"/>
      <c r="C295" s="504"/>
      <c r="D295" s="539" t="s">
        <v>479</v>
      </c>
      <c r="E295" s="505"/>
      <c r="F295" s="506">
        <f>+F150</f>
        <v>5</v>
      </c>
      <c r="G295" s="353"/>
      <c r="H295" s="554">
        <v>435835.92</v>
      </c>
      <c r="I295" s="353"/>
      <c r="J295" s="507">
        <f t="shared" si="154"/>
        <v>177167.30147999999</v>
      </c>
      <c r="K295" s="508"/>
      <c r="L295" s="507">
        <f t="shared" si="155"/>
        <v>82808.824800000002</v>
      </c>
      <c r="M295" s="508"/>
      <c r="N295" s="507">
        <f t="shared" si="156"/>
        <v>26411.656751999999</v>
      </c>
      <c r="O295" s="508"/>
      <c r="P295" s="507">
        <f t="shared" si="157"/>
        <v>15341.424383999998</v>
      </c>
      <c r="Q295" s="508"/>
      <c r="R295" s="507">
        <f t="shared" si="158"/>
        <v>12900.743232000001</v>
      </c>
      <c r="S295" s="508"/>
      <c r="T295" s="507">
        <f t="shared" si="159"/>
        <v>0</v>
      </c>
      <c r="U295" s="508"/>
      <c r="V295" s="507">
        <f t="shared" si="160"/>
        <v>121205.969352</v>
      </c>
      <c r="X295" s="476">
        <f t="shared" si="144"/>
        <v>0</v>
      </c>
      <c r="Y295" s="483"/>
      <c r="Z295" s="504"/>
      <c r="AA295" s="539" t="s">
        <v>479</v>
      </c>
      <c r="AB295" s="505"/>
      <c r="AC295" s="143">
        <f t="shared" si="161"/>
        <v>5</v>
      </c>
      <c r="AD295" s="551"/>
      <c r="AE295" s="151">
        <f t="shared" si="162"/>
        <v>435835.92</v>
      </c>
      <c r="AF295" s="551"/>
      <c r="AG295" s="138">
        <f t="shared" si="163"/>
        <v>130620.02522399998</v>
      </c>
      <c r="AH295" s="138"/>
      <c r="AI295" s="138">
        <f t="shared" si="164"/>
        <v>0</v>
      </c>
      <c r="AJ295" s="138"/>
      <c r="AK295" s="138">
        <f t="shared" si="165"/>
        <v>184009.92542400002</v>
      </c>
      <c r="AL295" s="138"/>
      <c r="AM295" s="138">
        <f t="shared" si="166"/>
        <v>0</v>
      </c>
      <c r="AN295" s="138"/>
      <c r="AO295" s="138">
        <f t="shared" si="167"/>
        <v>0</v>
      </c>
      <c r="AP295" s="138"/>
      <c r="AQ295" s="138">
        <f t="shared" si="168"/>
        <v>0</v>
      </c>
      <c r="AR295" s="138"/>
      <c r="AS295" s="138">
        <f t="shared" si="169"/>
        <v>121205.969352</v>
      </c>
      <c r="AT295" s="551"/>
      <c r="AU295" s="151"/>
    </row>
    <row r="296" spans="1:47" s="351" customFormat="1" x14ac:dyDescent="0.2">
      <c r="A296" s="550"/>
      <c r="B296" s="550"/>
      <c r="C296" s="504"/>
      <c r="D296" s="539" t="s">
        <v>492</v>
      </c>
      <c r="E296" s="505"/>
      <c r="F296" s="506">
        <v>2</v>
      </c>
      <c r="G296" s="353"/>
      <c r="H296" s="554">
        <v>1497705.94</v>
      </c>
      <c r="I296" s="353"/>
      <c r="J296" s="507">
        <f t="shared" si="154"/>
        <v>777459.15345400001</v>
      </c>
      <c r="K296" s="508"/>
      <c r="L296" s="507">
        <f t="shared" si="155"/>
        <v>398988.86241599993</v>
      </c>
      <c r="M296" s="508"/>
      <c r="N296" s="507">
        <f t="shared" si="156"/>
        <v>152466.46469200001</v>
      </c>
      <c r="O296" s="508"/>
      <c r="P296" s="507">
        <f t="shared" si="157"/>
        <v>88364.650460000004</v>
      </c>
      <c r="Q296" s="508"/>
      <c r="R296" s="507">
        <f t="shared" si="158"/>
        <v>74735.52640599999</v>
      </c>
      <c r="S296" s="508"/>
      <c r="T296" s="507">
        <f t="shared" si="159"/>
        <v>0</v>
      </c>
      <c r="U296" s="508"/>
      <c r="V296" s="507">
        <f t="shared" si="160"/>
        <v>5691.2825720000001</v>
      </c>
      <c r="X296" s="476">
        <f t="shared" si="144"/>
        <v>0</v>
      </c>
      <c r="Y296" s="483"/>
      <c r="Z296" s="504"/>
      <c r="AA296" s="539" t="s">
        <v>492</v>
      </c>
      <c r="AB296" s="505"/>
      <c r="AC296" s="143">
        <f t="shared" si="161"/>
        <v>2</v>
      </c>
      <c r="AD296" s="551"/>
      <c r="AE296" s="151">
        <f t="shared" si="162"/>
        <v>1497705.94</v>
      </c>
      <c r="AF296" s="551"/>
      <c r="AG296" s="138">
        <f t="shared" si="163"/>
        <v>930374.92992799997</v>
      </c>
      <c r="AH296" s="138"/>
      <c r="AI296" s="138">
        <f t="shared" si="164"/>
        <v>561639.72750000004</v>
      </c>
      <c r="AJ296" s="138"/>
      <c r="AK296" s="138">
        <f t="shared" si="165"/>
        <v>0</v>
      </c>
      <c r="AL296" s="138"/>
      <c r="AM296" s="138">
        <f t="shared" si="166"/>
        <v>0</v>
      </c>
      <c r="AN296" s="138"/>
      <c r="AO296" s="138">
        <f t="shared" si="167"/>
        <v>0</v>
      </c>
      <c r="AP296" s="138"/>
      <c r="AQ296" s="138">
        <f t="shared" si="168"/>
        <v>0</v>
      </c>
      <c r="AR296" s="138"/>
      <c r="AS296" s="138">
        <f t="shared" si="169"/>
        <v>5691.2825720000001</v>
      </c>
      <c r="AT296" s="551"/>
      <c r="AU296" s="151"/>
    </row>
    <row r="297" spans="1:47" x14ac:dyDescent="0.2">
      <c r="A297" s="446"/>
      <c r="D297" s="152" t="s">
        <v>493</v>
      </c>
      <c r="F297" s="143">
        <v>17</v>
      </c>
      <c r="H297" s="554">
        <v>-10853214.200000001</v>
      </c>
      <c r="J297" s="138">
        <f t="shared" si="154"/>
        <v>-5470019.9568000007</v>
      </c>
      <c r="L297" s="138">
        <f t="shared" si="155"/>
        <v>-2407242.9095600001</v>
      </c>
      <c r="N297" s="138">
        <f t="shared" si="156"/>
        <v>-824844.27920000011</v>
      </c>
      <c r="P297" s="138">
        <f t="shared" si="157"/>
        <v>-494906.56752000004</v>
      </c>
      <c r="R297" s="138">
        <f t="shared" si="158"/>
        <v>-300634.03334000002</v>
      </c>
      <c r="T297" s="138">
        <f t="shared" si="159"/>
        <v>0</v>
      </c>
      <c r="V297" s="138">
        <f t="shared" si="160"/>
        <v>-1355566.4535800002</v>
      </c>
      <c r="X297" s="476">
        <f t="shared" si="144"/>
        <v>0</v>
      </c>
      <c r="Y297" s="136"/>
      <c r="Z297" s="365"/>
      <c r="AA297" s="152" t="s">
        <v>340</v>
      </c>
      <c r="AB297" s="132"/>
      <c r="AC297" s="143">
        <f t="shared" si="161"/>
        <v>17</v>
      </c>
      <c r="AD297" s="551"/>
      <c r="AE297" s="151">
        <f t="shared" si="162"/>
        <v>-10853214.200000001</v>
      </c>
      <c r="AF297" s="551"/>
      <c r="AG297" s="138">
        <f t="shared" si="163"/>
        <v>-4691844.498660001</v>
      </c>
      <c r="AH297" s="138"/>
      <c r="AI297" s="138">
        <f t="shared" si="164"/>
        <v>-2215141.0182200004</v>
      </c>
      <c r="AJ297" s="138"/>
      <c r="AK297" s="138">
        <f t="shared" si="165"/>
        <v>-1440221.5243400002</v>
      </c>
      <c r="AL297" s="138"/>
      <c r="AM297" s="138">
        <f t="shared" si="166"/>
        <v>-464517.56776000001</v>
      </c>
      <c r="AN297" s="138"/>
      <c r="AO297" s="138">
        <f t="shared" si="167"/>
        <v>-630571.74502000003</v>
      </c>
      <c r="AP297" s="138"/>
      <c r="AQ297" s="138">
        <f t="shared" si="168"/>
        <v>-55351.392420000011</v>
      </c>
      <c r="AR297" s="138"/>
      <c r="AS297" s="138">
        <f t="shared" si="169"/>
        <v>-1355566.4535800002</v>
      </c>
      <c r="AT297" s="551"/>
      <c r="AU297" s="151"/>
    </row>
    <row r="298" spans="1:47" x14ac:dyDescent="0.2">
      <c r="A298" s="446"/>
      <c r="D298" s="152" t="s">
        <v>177</v>
      </c>
      <c r="F298" s="143">
        <v>19</v>
      </c>
      <c r="H298" s="309">
        <v>65036.55</v>
      </c>
      <c r="J298" s="138">
        <f t="shared" ca="1" si="154"/>
        <v>34599.444600000003</v>
      </c>
      <c r="L298" s="138">
        <f t="shared" ca="1" si="155"/>
        <v>14151.95328</v>
      </c>
      <c r="N298" s="138">
        <f t="shared" ca="1" si="156"/>
        <v>4780.1864249999999</v>
      </c>
      <c r="P298" s="138">
        <f t="shared" ca="1" si="157"/>
        <v>2900.63013</v>
      </c>
      <c r="R298" s="138">
        <f t="shared" ca="1" si="158"/>
        <v>1821.0234</v>
      </c>
      <c r="T298" s="138">
        <f t="shared" ca="1" si="159"/>
        <v>0</v>
      </c>
      <c r="V298" s="138">
        <f t="shared" ca="1" si="160"/>
        <v>6783.3121650000003</v>
      </c>
      <c r="X298" s="476">
        <f t="shared" ca="1" si="144"/>
        <v>0</v>
      </c>
      <c r="Y298" s="136"/>
      <c r="Z298" s="365"/>
      <c r="AA298" s="152" t="s">
        <v>177</v>
      </c>
      <c r="AB298" s="132"/>
      <c r="AC298" s="143">
        <f t="shared" si="161"/>
        <v>19</v>
      </c>
      <c r="AE298" s="151">
        <f t="shared" si="162"/>
        <v>65036.55</v>
      </c>
      <c r="AG298" s="138">
        <f t="shared" ca="1" si="163"/>
        <v>29129.870745000004</v>
      </c>
      <c r="AH298" s="138"/>
      <c r="AI298" s="138">
        <f t="shared" ca="1" si="164"/>
        <v>11134.25736</v>
      </c>
      <c r="AJ298" s="138"/>
      <c r="AK298" s="138">
        <f t="shared" ca="1" si="165"/>
        <v>7349.1301500000009</v>
      </c>
      <c r="AL298" s="138"/>
      <c r="AM298" s="138">
        <f t="shared" ca="1" si="166"/>
        <v>3629.0394900000001</v>
      </c>
      <c r="AN298" s="138"/>
      <c r="AO298" s="138">
        <f t="shared" ca="1" si="167"/>
        <v>3850.1637600000004</v>
      </c>
      <c r="AP298" s="138"/>
      <c r="AQ298" s="138">
        <f t="shared" ca="1" si="168"/>
        <v>3160.7763300000001</v>
      </c>
      <c r="AR298" s="138"/>
      <c r="AS298" s="138">
        <f t="shared" ca="1" si="169"/>
        <v>6783.3121650000003</v>
      </c>
      <c r="AU298" s="151"/>
    </row>
    <row r="299" spans="1:47" x14ac:dyDescent="0.2">
      <c r="D299" s="152"/>
      <c r="H299" s="540"/>
      <c r="I299" s="131"/>
      <c r="J299" s="139"/>
      <c r="L299" s="139"/>
      <c r="N299" s="139"/>
      <c r="P299" s="139"/>
      <c r="R299" s="139"/>
      <c r="T299" s="139"/>
      <c r="V299" s="139"/>
      <c r="X299" s="476">
        <f t="shared" si="144"/>
        <v>0</v>
      </c>
      <c r="Y299" s="136"/>
      <c r="Z299" s="365"/>
      <c r="AA299" s="152"/>
      <c r="AB299" s="132"/>
      <c r="AC299" s="143"/>
      <c r="AE299" s="151"/>
      <c r="AG299" s="138"/>
      <c r="AH299" s="138"/>
      <c r="AI299" s="138"/>
      <c r="AJ299" s="138"/>
      <c r="AK299" s="138"/>
      <c r="AL299" s="138"/>
      <c r="AM299" s="138"/>
      <c r="AN299" s="138"/>
      <c r="AO299" s="138"/>
      <c r="AP299" s="138"/>
      <c r="AQ299" s="138"/>
      <c r="AR299" s="138"/>
      <c r="AS299" s="138"/>
      <c r="AU299" s="151"/>
    </row>
    <row r="300" spans="1:47" ht="7.9" customHeight="1" x14ac:dyDescent="0.2">
      <c r="H300" s="151"/>
      <c r="X300" s="476">
        <f t="shared" si="144"/>
        <v>0</v>
      </c>
      <c r="Y300" s="136"/>
      <c r="Z300" s="365"/>
      <c r="AA300" s="132"/>
      <c r="AB300" s="132"/>
      <c r="AC300" s="143"/>
      <c r="AU300" s="151"/>
    </row>
    <row r="301" spans="1:47" x14ac:dyDescent="0.2">
      <c r="D301" s="132" t="s">
        <v>269</v>
      </c>
      <c r="H301" s="540">
        <f>SUM(H289:H300)</f>
        <v>-2123425.9900000012</v>
      </c>
      <c r="I301" s="131"/>
      <c r="J301" s="139">
        <f ca="1">SUM(J289:J300)</f>
        <v>-1025919.7575580003</v>
      </c>
      <c r="L301" s="139">
        <f ca="1">SUM(L289:L300)</f>
        <v>-553307.6664280002</v>
      </c>
      <c r="N301" s="139">
        <f ca="1">SUM(N289:N300)</f>
        <v>-214262.08191700009</v>
      </c>
      <c r="P301" s="139">
        <f ca="1">SUM(P289:P300)</f>
        <v>-124395.871506</v>
      </c>
      <c r="R301" s="139">
        <f ca="1">SUM(R289:R300)</f>
        <v>-48739.399602000027</v>
      </c>
      <c r="T301" s="139">
        <f ca="1">SUM(T289:T300)</f>
        <v>0</v>
      </c>
      <c r="V301" s="139">
        <f ca="1">SUM(V289:V300)</f>
        <v>-156801.21298900014</v>
      </c>
      <c r="X301" s="476">
        <f t="shared" ca="1" si="144"/>
        <v>0</v>
      </c>
      <c r="Y301" s="136"/>
      <c r="Z301" s="365"/>
      <c r="AA301" s="132" t="s">
        <v>269</v>
      </c>
      <c r="AB301" s="132"/>
      <c r="AC301" s="143"/>
      <c r="AE301" s="139">
        <f>SUM(AE289:AE300)</f>
        <v>-2123425.9900000012</v>
      </c>
      <c r="AF301" s="131"/>
      <c r="AG301" s="139">
        <f ca="1">SUM(AG289:AG300)</f>
        <v>-1309343.224686001</v>
      </c>
      <c r="AH301" s="146"/>
      <c r="AI301" s="139">
        <f ca="1">SUM(AI289:AI300)</f>
        <v>-875095.26726600027</v>
      </c>
      <c r="AJ301" s="146"/>
      <c r="AK301" s="139">
        <f ca="1">SUM(AK289:AK300)</f>
        <v>189765.73986299979</v>
      </c>
      <c r="AL301" s="146"/>
      <c r="AM301" s="139">
        <f ca="1">SUM(AM289:AM300)</f>
        <v>177323.710188</v>
      </c>
      <c r="AN301" s="146"/>
      <c r="AO301" s="139">
        <f ca="1">SUM(AO289:AO300)</f>
        <v>-333009.10732199997</v>
      </c>
      <c r="AP301" s="146"/>
      <c r="AQ301" s="139">
        <f ca="1">SUM(AQ289:AQ300)</f>
        <v>183733.37221200002</v>
      </c>
      <c r="AR301" s="146"/>
      <c r="AS301" s="139">
        <f ca="1">SUM(AS289:AS300)</f>
        <v>-156801.21298900014</v>
      </c>
      <c r="AU301" s="151"/>
    </row>
    <row r="302" spans="1:47" x14ac:dyDescent="0.2">
      <c r="H302" s="151"/>
      <c r="X302" s="476">
        <f t="shared" si="144"/>
        <v>0</v>
      </c>
      <c r="Y302" s="136"/>
      <c r="Z302" s="365"/>
      <c r="AA302" s="132"/>
      <c r="AB302" s="132"/>
      <c r="AC302" s="143"/>
      <c r="AE302" s="146"/>
      <c r="AF302" s="127"/>
      <c r="AG302" s="146"/>
      <c r="AH302" s="146"/>
      <c r="AI302" s="146"/>
      <c r="AJ302" s="146"/>
      <c r="AK302" s="146"/>
      <c r="AL302" s="146"/>
      <c r="AM302" s="146"/>
      <c r="AN302" s="146"/>
      <c r="AO302" s="146"/>
      <c r="AP302" s="146"/>
      <c r="AQ302" s="146"/>
      <c r="AR302" s="146"/>
      <c r="AS302" s="146"/>
      <c r="AU302" s="151"/>
    </row>
    <row r="303" spans="1:47" ht="13.5" thickBot="1" x14ac:dyDescent="0.25">
      <c r="D303" s="263" t="s">
        <v>270</v>
      </c>
      <c r="H303" s="573">
        <f>H273+H301+H284+H286</f>
        <v>302813306.74999994</v>
      </c>
      <c r="J303" s="215">
        <f ca="1">J273+J301+J284+J286</f>
        <v>153176233.22045711</v>
      </c>
      <c r="K303" s="127"/>
      <c r="L303" s="215">
        <f ca="1">L273+L301+L284+L286</f>
        <v>67345742.801910087</v>
      </c>
      <c r="M303" s="127"/>
      <c r="N303" s="215">
        <f ca="1">N273+N301+N284+N286</f>
        <v>23245598.222923152</v>
      </c>
      <c r="O303" s="127"/>
      <c r="P303" s="215">
        <f ca="1">P273+P301+P284+P286</f>
        <v>13970457.096114947</v>
      </c>
      <c r="Q303" s="127"/>
      <c r="R303" s="215">
        <f ca="1">R273+R301+R284+R286</f>
        <v>9085887.7219833955</v>
      </c>
      <c r="S303" s="127"/>
      <c r="T303" s="215">
        <f ca="1">T273+T301+T284+T286</f>
        <v>0</v>
      </c>
      <c r="U303" s="127"/>
      <c r="V303" s="215">
        <f ca="1">V273+V301+V284+V286</f>
        <v>35989387.686611265</v>
      </c>
      <c r="X303" s="476">
        <f t="shared" ca="1" si="144"/>
        <v>0</v>
      </c>
      <c r="Y303" s="136"/>
      <c r="Z303" s="365"/>
      <c r="AA303" s="263" t="s">
        <v>270</v>
      </c>
      <c r="AB303" s="132"/>
      <c r="AC303" s="143"/>
      <c r="AE303" s="215">
        <f>AE273+AE301+AE284+AE286</f>
        <v>302813306.74999994</v>
      </c>
      <c r="AG303" s="215">
        <f ca="1">AG273+AG301+AG284+AG286</f>
        <v>133702154.60442665</v>
      </c>
      <c r="AI303" s="215">
        <f ca="1">AI273+AI301+AI284+AI286</f>
        <v>66498257.65680138</v>
      </c>
      <c r="AK303" s="215">
        <f ca="1">AK273+AK301+AK284+AK286</f>
        <v>33124208.456718683</v>
      </c>
      <c r="AM303" s="215">
        <f ca="1">AM273+AM301+AM284+AM286</f>
        <v>13749168.019832002</v>
      </c>
      <c r="AO303" s="215">
        <f ca="1">AO273+AO301+AO284+AO286</f>
        <v>17956087.299562</v>
      </c>
      <c r="AQ303" s="215">
        <f ca="1">AQ273+AQ301+AQ284+AQ286</f>
        <v>1794043.0260480002</v>
      </c>
      <c r="AS303" s="215">
        <f ca="1">AS273+AS301+AS284+AS286</f>
        <v>35989387.686611265</v>
      </c>
      <c r="AU303" s="151"/>
    </row>
    <row r="304" spans="1:47" ht="13.5" thickTop="1" x14ac:dyDescent="0.2">
      <c r="H304" s="151"/>
      <c r="Y304" s="183"/>
      <c r="AU304" s="151"/>
    </row>
    <row r="305" spans="4:48" x14ac:dyDescent="0.2">
      <c r="H305" s="151"/>
      <c r="Y305" s="183"/>
      <c r="AU305" s="151"/>
    </row>
    <row r="306" spans="4:48" x14ac:dyDescent="0.2">
      <c r="H306" s="151"/>
      <c r="Y306" s="183"/>
    </row>
    <row r="307" spans="4:48" x14ac:dyDescent="0.2">
      <c r="H307" s="151"/>
      <c r="Y307" s="183"/>
    </row>
    <row r="308" spans="4:48" x14ac:dyDescent="0.2">
      <c r="D308" s="243" t="s">
        <v>347</v>
      </c>
      <c r="I308" s="146"/>
      <c r="Y308" s="183"/>
      <c r="AA308" s="243" t="s">
        <v>347</v>
      </c>
      <c r="AB308" s="132"/>
      <c r="AC308" s="143"/>
      <c r="AD308" s="127"/>
      <c r="AE308" s="146"/>
      <c r="AF308" s="146"/>
      <c r="AG308" s="146"/>
      <c r="AH308" s="146"/>
      <c r="AI308" s="146"/>
      <c r="AJ308" s="146"/>
      <c r="AK308" s="146"/>
      <c r="AL308" s="146"/>
      <c r="AM308" s="146"/>
      <c r="AN308" s="146"/>
      <c r="AO308" s="146"/>
      <c r="AP308" s="146"/>
      <c r="AQ308" s="146"/>
      <c r="AR308" s="146"/>
      <c r="AS308" s="146"/>
      <c r="AU308" s="183"/>
    </row>
    <row r="309" spans="4:48" x14ac:dyDescent="0.2">
      <c r="D309" s="243" t="s">
        <v>348</v>
      </c>
      <c r="J309" s="261"/>
      <c r="K309" s="261"/>
      <c r="L309" s="261"/>
      <c r="M309" s="261"/>
      <c r="N309" s="261"/>
      <c r="O309" s="261"/>
      <c r="P309" s="261"/>
      <c r="Q309" s="261"/>
      <c r="R309" s="261"/>
      <c r="S309" s="261"/>
      <c r="T309" s="261"/>
      <c r="U309" s="261"/>
      <c r="V309" s="261"/>
      <c r="W309" s="262"/>
      <c r="X309" s="560"/>
      <c r="Y309" s="183"/>
      <c r="AA309" s="243" t="s">
        <v>348</v>
      </c>
      <c r="AB309" s="132"/>
      <c r="AC309" s="143"/>
      <c r="AD309" s="127"/>
      <c r="AE309" s="146"/>
      <c r="AF309" s="127"/>
      <c r="AG309" s="261"/>
      <c r="AH309" s="261"/>
      <c r="AI309" s="261"/>
      <c r="AJ309" s="261"/>
      <c r="AK309" s="261"/>
      <c r="AL309" s="261"/>
      <c r="AM309" s="261"/>
      <c r="AN309" s="261"/>
      <c r="AO309" s="261"/>
      <c r="AP309" s="261"/>
      <c r="AQ309" s="261"/>
      <c r="AR309" s="261"/>
      <c r="AS309" s="261"/>
      <c r="AT309" s="262"/>
      <c r="AU309" s="261"/>
    </row>
    <row r="310" spans="4:48" x14ac:dyDescent="0.2">
      <c r="D310" s="243" t="s">
        <v>349</v>
      </c>
      <c r="H310" s="488">
        <f>+SUM(H67:H74)+SUM(H78:H81)</f>
        <v>3931456.8200000003</v>
      </c>
      <c r="J310" s="146">
        <f>+SUM(J67:J74)+SUM(J78:J81)</f>
        <v>1953198.6124700001</v>
      </c>
      <c r="K310" s="127"/>
      <c r="L310" s="146">
        <f>+SUM(L67:L74)+SUM(L78:L81)</f>
        <v>746860.59005600004</v>
      </c>
      <c r="M310" s="127"/>
      <c r="N310" s="146">
        <f>+SUM(N67:N74)+SUM(N78:N81)</f>
        <v>224125.19905399994</v>
      </c>
      <c r="O310" s="127"/>
      <c r="P310" s="146">
        <f>+SUM(P67:P74)+SUM(P78:P81)</f>
        <v>139475.795797</v>
      </c>
      <c r="Q310" s="127"/>
      <c r="R310" s="146">
        <f>+SUM(R67:R74)+SUM(R78:R81)</f>
        <v>38265.086359000001</v>
      </c>
      <c r="S310" s="127"/>
      <c r="T310" s="146">
        <f>+SUM(T67:T74)+SUM(T78:T81)</f>
        <v>0</v>
      </c>
      <c r="U310" s="127"/>
      <c r="V310" s="146">
        <f>+SUM(V67:V74)+SUM(V78:V81)</f>
        <v>829531.53626399999</v>
      </c>
      <c r="X310" s="231">
        <f>SUM(J310:V310)-H310</f>
        <v>0</v>
      </c>
      <c r="Y310" s="183"/>
      <c r="AA310" s="243" t="s">
        <v>349</v>
      </c>
      <c r="AB310" s="132"/>
      <c r="AC310" s="143"/>
      <c r="AD310" s="127"/>
      <c r="AE310" s="146">
        <f>+SUM(AE67:AE74)+SUM(AE78:AE81)</f>
        <v>3931456.8200000003</v>
      </c>
      <c r="AF310" s="127"/>
      <c r="AG310" s="146">
        <f>+SUM(AG67:AG74)+SUM(AG78:AG81)</f>
        <v>1128805.7860559998</v>
      </c>
      <c r="AH310" s="127"/>
      <c r="AI310" s="146">
        <f>+SUM(AI67:AI74)+SUM(AI78:AI81)</f>
        <v>225909.55876799999</v>
      </c>
      <c r="AJ310" s="127"/>
      <c r="AK310" s="146">
        <f>+SUM(AK67:AK74)+SUM(AK78:AK81)</f>
        <v>1063187.108912</v>
      </c>
      <c r="AL310" s="127"/>
      <c r="AM310" s="146">
        <f>+SUM(AM67:AM74)+SUM(AM78:AM81)</f>
        <v>0</v>
      </c>
      <c r="AN310" s="127"/>
      <c r="AO310" s="146">
        <f>+SUM(AO67:AO74)+SUM(AO78:AO81)</f>
        <v>684022.83</v>
      </c>
      <c r="AP310" s="127"/>
      <c r="AQ310" s="146">
        <f>+SUM(AQ67:AQ74)+SUM(AQ78:AQ81)</f>
        <v>0</v>
      </c>
      <c r="AR310" s="127"/>
      <c r="AS310" s="146">
        <f>+SUM(AS67:AS74)+SUM(AS78:AS81)</f>
        <v>829531.53626399999</v>
      </c>
      <c r="AU310" s="183">
        <f>SUM(AG310:AS310)-AE310</f>
        <v>0</v>
      </c>
    </row>
    <row r="311" spans="4:48" x14ac:dyDescent="0.2">
      <c r="D311" s="243" t="s">
        <v>139</v>
      </c>
      <c r="H311" s="529"/>
      <c r="I311" s="244"/>
      <c r="J311" s="261">
        <f>ROUND(J310/$H310,4)</f>
        <v>0.49680000000000002</v>
      </c>
      <c r="K311" s="261"/>
      <c r="L311" s="261">
        <f>ROUND(L310/$H310,4)</f>
        <v>0.19</v>
      </c>
      <c r="M311" s="261"/>
      <c r="N311" s="261">
        <f>ROUND(N310/$H310,4)</f>
        <v>5.7000000000000002E-2</v>
      </c>
      <c r="O311" s="261"/>
      <c r="P311" s="261">
        <f>ROUND(P310/$H310,4)</f>
        <v>3.5499999999999997E-2</v>
      </c>
      <c r="Q311" s="261"/>
      <c r="R311" s="261">
        <f>ROUND(R310/$H310,4)</f>
        <v>9.7000000000000003E-3</v>
      </c>
      <c r="S311" s="261"/>
      <c r="T311" s="261">
        <f>ROUND(T310/$H310,4)</f>
        <v>0</v>
      </c>
      <c r="U311" s="261"/>
      <c r="V311" s="261">
        <f>ROUND(V310/$H310,4)</f>
        <v>0.21099999999999999</v>
      </c>
      <c r="W311" s="262"/>
      <c r="X311" s="565">
        <f>SUM(J311:V311)</f>
        <v>1.0000000000000002</v>
      </c>
      <c r="Y311" s="183"/>
      <c r="AA311" s="243" t="s">
        <v>139</v>
      </c>
      <c r="AB311" s="132"/>
      <c r="AC311" s="143"/>
      <c r="AD311" s="127"/>
      <c r="AE311" s="244"/>
      <c r="AF311" s="244"/>
      <c r="AG311" s="261">
        <f>ROUND(AG310/$H310,4)</f>
        <v>0.28710000000000002</v>
      </c>
      <c r="AH311" s="261"/>
      <c r="AI311" s="261">
        <f>ROUND(AI310/$H310,4)</f>
        <v>5.7500000000000002E-2</v>
      </c>
      <c r="AJ311" s="261"/>
      <c r="AK311" s="261">
        <f>ROUND(AK310/$H310,4)</f>
        <v>0.27039999999999997</v>
      </c>
      <c r="AL311" s="261"/>
      <c r="AM311" s="261">
        <f>ROUND(AM310/$H310,4)</f>
        <v>0</v>
      </c>
      <c r="AN311" s="261"/>
      <c r="AO311" s="261">
        <f>ROUND(AO310/$H310,4)</f>
        <v>0.17399999999999999</v>
      </c>
      <c r="AP311" s="261"/>
      <c r="AQ311" s="261">
        <f>ROUND(AQ310/$H310,4)</f>
        <v>0</v>
      </c>
      <c r="AR311" s="261"/>
      <c r="AS311" s="261">
        <f>ROUND(AS310/$H310,4)</f>
        <v>0.21099999999999999</v>
      </c>
      <c r="AT311" s="262"/>
      <c r="AU311" s="261">
        <f>SUM(AG311:AS311)</f>
        <v>0.99999999999999989</v>
      </c>
    </row>
    <row r="312" spans="4:48" x14ac:dyDescent="0.2">
      <c r="D312" s="243" t="s">
        <v>350</v>
      </c>
      <c r="H312" s="488">
        <f>+H25+H50+H86+H105-H14-H31-H32-H33-H55-H37</f>
        <v>11831625.440000001</v>
      </c>
      <c r="J312" s="146">
        <f>+J25+J50+J86+J105-J14-J31-J32-J33-J55-J37</f>
        <v>6711712.2355863014</v>
      </c>
      <c r="K312" s="127"/>
      <c r="L312" s="146">
        <f>+L25+L50+L86+L105-L14-L31-L32-L33-L55-L37</f>
        <v>2340315.5013234993</v>
      </c>
      <c r="M312" s="127"/>
      <c r="N312" s="146">
        <f>+N25+N50+N86+N105-N14-N31-N32-N33-N55-N37</f>
        <v>728296.32089949981</v>
      </c>
      <c r="O312" s="127"/>
      <c r="P312" s="146">
        <f>+P25+P50+P86+P105-P14-P31-P32-P33-P55-P37</f>
        <v>455047.60280469997</v>
      </c>
      <c r="Q312" s="127"/>
      <c r="R312" s="146">
        <f>+R25+R50+R86+R105-R14-R31-R32-R33-R55-R37</f>
        <v>226471.4981749999</v>
      </c>
      <c r="S312" s="127"/>
      <c r="T312" s="146">
        <f>+T25+T50+T86+T105-T14-T31-T32-T33-T55-T37</f>
        <v>0</v>
      </c>
      <c r="U312" s="127"/>
      <c r="V312" s="146">
        <f>+V25+V50+V86+V105-V14-V31-V32-V33-V55-V37</f>
        <v>1369782.2812110002</v>
      </c>
      <c r="X312" s="231">
        <f>SUM(J312:V312)-H312</f>
        <v>0</v>
      </c>
      <c r="Y312" s="183"/>
      <c r="AA312" s="243" t="s">
        <v>350</v>
      </c>
      <c r="AB312" s="132"/>
      <c r="AC312" s="143"/>
      <c r="AD312" s="127"/>
      <c r="AE312" s="146">
        <f>+AE25+AE50+AE86+AE105-AE14-AE31-AE32-AE33-AE55-AE37</f>
        <v>11831625.440000001</v>
      </c>
      <c r="AF312" s="127"/>
      <c r="AG312" s="146">
        <f>+AG25+AG50+AG86+AG105-AG14-AG31-AG32-AG33-AG55-AG37</f>
        <v>3981016.0967650004</v>
      </c>
      <c r="AH312" s="127"/>
      <c r="AI312" s="146">
        <f>+AI25+AI50+AI86+AI105-AI14-AI31-AI32-AI33-AI55-AI37</f>
        <v>1611757.632704</v>
      </c>
      <c r="AJ312" s="127"/>
      <c r="AK312" s="146">
        <f>+AK25+AK50+AK86+AK105-AK14-AK31-AK32-AK33-AK55-AK37</f>
        <v>1847419.7945399999</v>
      </c>
      <c r="AL312" s="127"/>
      <c r="AM312" s="146">
        <f>+AM25+AM50+AM86+AM105-AM14-AM31-AM32-AM33-AM55-AM37</f>
        <v>750318.59</v>
      </c>
      <c r="AN312" s="127"/>
      <c r="AO312" s="146">
        <f>+AO25+AO50+AO86+AO105-AO14-AO31-AO32-AO33-AO55-AO37</f>
        <v>915247.07477999991</v>
      </c>
      <c r="AP312" s="127"/>
      <c r="AQ312" s="146">
        <f>+AQ25+AQ50+AQ86+AQ105-AQ14-AQ31-AQ32-AQ33-AQ55-AQ37</f>
        <v>1356083.9700000004</v>
      </c>
      <c r="AR312" s="127"/>
      <c r="AS312" s="146">
        <f>+AS25+AS50+AS86+AS105-AS14-AS31-AS32-AS33-AS55-AS37</f>
        <v>1369782.2812110002</v>
      </c>
      <c r="AU312" s="183">
        <f>SUM(AG312:AS312)-AE312</f>
        <v>0</v>
      </c>
      <c r="AV312" s="151"/>
    </row>
    <row r="313" spans="4:48" x14ac:dyDescent="0.2">
      <c r="D313" s="243" t="s">
        <v>351</v>
      </c>
      <c r="J313" s="261">
        <f>ROUND(J312/$H312,4)-0.0001</f>
        <v>0.56720000000000004</v>
      </c>
      <c r="K313" s="261"/>
      <c r="L313" s="261">
        <f>ROUND(L312/$H312,4)</f>
        <v>0.1978</v>
      </c>
      <c r="M313" s="261"/>
      <c r="N313" s="261">
        <f>ROUND(N312/$H312,4)</f>
        <v>6.1600000000000002E-2</v>
      </c>
      <c r="O313" s="261"/>
      <c r="P313" s="261">
        <f>ROUND(P312/$H312,4)</f>
        <v>3.85E-2</v>
      </c>
      <c r="Q313" s="261"/>
      <c r="R313" s="261">
        <f>ROUND(R312/$H312,4)</f>
        <v>1.9099999999999999E-2</v>
      </c>
      <c r="S313" s="261"/>
      <c r="T313" s="261">
        <f>ROUND(T312/$H312,4)</f>
        <v>0</v>
      </c>
      <c r="U313" s="261"/>
      <c r="V313" s="261">
        <f>ROUND(V312/$H312,4)</f>
        <v>0.1158</v>
      </c>
      <c r="W313" s="262"/>
      <c r="X313" s="565">
        <f>SUM(J313:V313)</f>
        <v>1</v>
      </c>
      <c r="Y313" s="183"/>
      <c r="AA313" s="243" t="s">
        <v>351</v>
      </c>
      <c r="AB313" s="132"/>
      <c r="AC313" s="143"/>
      <c r="AD313" s="127"/>
      <c r="AE313" s="146"/>
      <c r="AF313" s="127"/>
      <c r="AG313" s="261">
        <f>ROUND(AG312/$H312,4)</f>
        <v>0.33650000000000002</v>
      </c>
      <c r="AH313" s="261"/>
      <c r="AI313" s="261">
        <f>ROUND(AI312/$H312,4)</f>
        <v>0.13619999999999999</v>
      </c>
      <c r="AJ313" s="261"/>
      <c r="AK313" s="261">
        <f>ROUND(AK312/$H312,4)</f>
        <v>0.15609999999999999</v>
      </c>
      <c r="AL313" s="261"/>
      <c r="AM313" s="261">
        <f>ROUND(AM312/$H312,4)</f>
        <v>6.3399999999999998E-2</v>
      </c>
      <c r="AN313" s="261"/>
      <c r="AO313" s="261">
        <f>ROUND(AO312/$H312,4)</f>
        <v>7.7399999999999997E-2</v>
      </c>
      <c r="AP313" s="261"/>
      <c r="AQ313" s="261">
        <f>ROUND(AQ312/$H312,4)</f>
        <v>0.11459999999999999</v>
      </c>
      <c r="AR313" s="261"/>
      <c r="AS313" s="261">
        <f>ROUND(AS312/$H312,4)</f>
        <v>0.1158</v>
      </c>
      <c r="AT313" s="262"/>
      <c r="AU313" s="261">
        <f>SUM(AG313:AS313)</f>
        <v>1</v>
      </c>
    </row>
    <row r="314" spans="4:48" x14ac:dyDescent="0.2">
      <c r="D314" s="243" t="s">
        <v>346</v>
      </c>
      <c r="H314" s="488">
        <f>+H131</f>
        <v>24712280.510000002</v>
      </c>
      <c r="J314" s="488">
        <f t="shared" ref="J314" ca="1" si="170">+J131</f>
        <v>13798939.717170998</v>
      </c>
      <c r="K314" s="127"/>
      <c r="L314" s="488">
        <f t="shared" ref="L314" ca="1" si="171">+L131</f>
        <v>5249870.1372129992</v>
      </c>
      <c r="M314" s="127"/>
      <c r="N314" s="488">
        <f t="shared" ref="N314" ca="1" si="172">+N131</f>
        <v>1739524.5878579998</v>
      </c>
      <c r="O314" s="127"/>
      <c r="P314" s="488">
        <f t="shared" ref="P314" ca="1" si="173">+P131</f>
        <v>1064656.7176669999</v>
      </c>
      <c r="Q314" s="127"/>
      <c r="R314" s="488">
        <f t="shared" ref="R314" ca="1" si="174">+R131</f>
        <v>637726.22144399979</v>
      </c>
      <c r="S314" s="127"/>
      <c r="T314" s="488">
        <f t="shared" ref="T314" ca="1" si="175">+T131</f>
        <v>0</v>
      </c>
      <c r="U314" s="127"/>
      <c r="V314" s="488">
        <f t="shared" ref="V314" ca="1" si="176">+V131</f>
        <v>2221563.1286470001</v>
      </c>
      <c r="W314" s="262"/>
      <c r="X314" s="231">
        <f ca="1">SUM(J314:V314)-H314</f>
        <v>0</v>
      </c>
      <c r="Y314" s="183"/>
      <c r="AA314" s="243" t="s">
        <v>346</v>
      </c>
      <c r="AB314" s="132"/>
      <c r="AC314" s="143"/>
      <c r="AD314" s="127"/>
      <c r="AE314" s="146">
        <f>+AE131</f>
        <v>24712280.510000002</v>
      </c>
      <c r="AF314" s="127"/>
      <c r="AG314" s="146">
        <f t="shared" ref="AG314" ca="1" si="177">+AG131</f>
        <v>11512509.588049997</v>
      </c>
      <c r="AH314" s="127"/>
      <c r="AI314" s="146">
        <f t="shared" ref="AI314" ca="1" si="178">+AI131</f>
        <v>2696772.6894469997</v>
      </c>
      <c r="AJ314" s="127"/>
      <c r="AK314" s="146">
        <f t="shared" ref="AK314" ca="1" si="179">+AK131</f>
        <v>2989056.3200529991</v>
      </c>
      <c r="AL314" s="127"/>
      <c r="AM314" s="146">
        <f t="shared" ref="AM314" ca="1" si="180">+AM131</f>
        <v>1406047.14586</v>
      </c>
      <c r="AN314" s="127"/>
      <c r="AO314" s="146">
        <f t="shared" ref="AO314" ca="1" si="181">+AO131</f>
        <v>1348097.4927119999</v>
      </c>
      <c r="AP314" s="127"/>
      <c r="AQ314" s="146">
        <f t="shared" ref="AQ314:AS314" ca="1" si="182">+AQ131</f>
        <v>2538234.1452310001</v>
      </c>
      <c r="AR314" s="127"/>
      <c r="AS314" s="146">
        <f t="shared" ca="1" si="182"/>
        <v>2221563.1286470001</v>
      </c>
      <c r="AT314" s="262"/>
      <c r="AU314" s="183">
        <f ca="1">SUM(AG314:AS314)-AE314</f>
        <v>0</v>
      </c>
    </row>
    <row r="315" spans="4:48" x14ac:dyDescent="0.2">
      <c r="D315" s="243" t="s">
        <v>140</v>
      </c>
      <c r="J315" s="261">
        <f ca="1">+ROUND(J314/$H$314,4)</f>
        <v>0.55840000000000001</v>
      </c>
      <c r="K315" s="127"/>
      <c r="L315" s="261">
        <f ca="1">+ROUND(L314/$H$314,4)</f>
        <v>0.21240000000000001</v>
      </c>
      <c r="M315" s="127"/>
      <c r="N315" s="261">
        <f ca="1">+ROUND(N314/$H$314,4)</f>
        <v>7.0400000000000004E-2</v>
      </c>
      <c r="O315" s="127"/>
      <c r="P315" s="261">
        <f ca="1">+ROUND(P314/$H$314,4)</f>
        <v>4.3099999999999999E-2</v>
      </c>
      <c r="Q315" s="127"/>
      <c r="R315" s="261">
        <f ca="1">+ROUND(R314/$H$314,4)</f>
        <v>2.58E-2</v>
      </c>
      <c r="S315" s="127"/>
      <c r="T315" s="261">
        <f ca="1">+ROUND(T314/$H$314,4)</f>
        <v>0</v>
      </c>
      <c r="U315" s="127"/>
      <c r="V315" s="261">
        <f ca="1">+ROUND(V314/$H$314,4)</f>
        <v>8.9899999999999994E-2</v>
      </c>
      <c r="W315" s="262"/>
      <c r="X315" s="565">
        <f ca="1">SUM(J315:V315)</f>
        <v>1.0000000000000002</v>
      </c>
      <c r="Y315" s="183"/>
      <c r="AA315" s="243" t="s">
        <v>140</v>
      </c>
      <c r="AB315" s="132"/>
      <c r="AC315" s="143"/>
      <c r="AD315" s="127"/>
      <c r="AE315" s="146"/>
      <c r="AF315" s="127"/>
      <c r="AG315" s="261">
        <f ca="1">+ROUND(AG314/$AE$314,4)-0.0001</f>
        <v>0.46579999999999999</v>
      </c>
      <c r="AH315" s="127"/>
      <c r="AI315" s="261">
        <f ca="1">+ROUND(AI314/$AE$314,4)</f>
        <v>0.1091</v>
      </c>
      <c r="AJ315" s="127"/>
      <c r="AK315" s="261">
        <f ca="1">+ROUND(AK314/$AE$314,4)</f>
        <v>0.121</v>
      </c>
      <c r="AL315" s="127"/>
      <c r="AM315" s="261">
        <f ca="1">+ROUND(AM314/$AE$314,4)</f>
        <v>5.6899999999999999E-2</v>
      </c>
      <c r="AN315" s="127"/>
      <c r="AO315" s="261">
        <f ca="1">+ROUND(AO314/$AE$314,4)</f>
        <v>5.4600000000000003E-2</v>
      </c>
      <c r="AP315" s="127"/>
      <c r="AQ315" s="261">
        <f ca="1">+ROUND(AQ314/$AE$314,4)</f>
        <v>0.1027</v>
      </c>
      <c r="AR315" s="127"/>
      <c r="AS315" s="261">
        <f ca="1">+ROUND(AS314/$AE$314,4)</f>
        <v>8.9899999999999994E-2</v>
      </c>
      <c r="AT315" s="262"/>
      <c r="AU315" s="261">
        <f ca="1">SUM(AG315:AS315)</f>
        <v>0.99999999999999989</v>
      </c>
    </row>
    <row r="316" spans="4:48" x14ac:dyDescent="0.2">
      <c r="D316" s="243" t="s">
        <v>141</v>
      </c>
      <c r="H316" s="488">
        <f>+H29+H30+H44+H54+H66+H67+H68+H69+H90+H89+H91+H92+H108</f>
        <v>7931951.7999999998</v>
      </c>
      <c r="J316" s="146">
        <f>+J29+J30+J44+J54+J66+J67+J68+J69+J90+J89+J91+J92+J108</f>
        <v>4478989.9356936002</v>
      </c>
      <c r="K316" s="127"/>
      <c r="L316" s="146">
        <f>+L29+L30+L44+L54+L66+L67+L68+L69+L90+L89+L91+L92+L108</f>
        <v>1627316.0343809999</v>
      </c>
      <c r="M316" s="127"/>
      <c r="N316" s="146">
        <f>+N29+N30+N44+N54+N66+N67+N68+N69+N90+N89+N91+N92+N108</f>
        <v>512278.432745</v>
      </c>
      <c r="O316" s="127"/>
      <c r="P316" s="146">
        <f>+P29+P30+P44+P54+P66+P67+P68+P69+P90+P89+P91+P92+P108</f>
        <v>319886.50970539998</v>
      </c>
      <c r="Q316" s="127"/>
      <c r="R316" s="146">
        <f>+R29+R30+R44+R54+R66+R67+R68+R69+R90+R89+R91+R92+R108</f>
        <v>161957.75785299999</v>
      </c>
      <c r="S316" s="127"/>
      <c r="T316" s="146">
        <f>+T29+T30+T44+T54+T66+T67+T68+T69+T90+T89+T91+T92+T108</f>
        <v>0</v>
      </c>
      <c r="U316" s="127"/>
      <c r="V316" s="146">
        <f>+V29+V30+V44+V54+V66+V67+V68+V69+V90+V89+V91+V92+V108</f>
        <v>831523.12962200004</v>
      </c>
      <c r="W316" s="127"/>
      <c r="X316" s="231">
        <f>SUM(J316:V316)-H316</f>
        <v>0</v>
      </c>
      <c r="Y316" s="183"/>
      <c r="AA316" s="243" t="s">
        <v>141</v>
      </c>
      <c r="AB316" s="132"/>
      <c r="AC316" s="143"/>
      <c r="AD316" s="127"/>
      <c r="AE316" s="146">
        <f>+AE29+AE30+AE44+AE54+AE66+AE67+AE68+AE69+AE90+AE89+AE91+AE92+AE108</f>
        <v>7931951.7999999998</v>
      </c>
      <c r="AF316" s="127"/>
      <c r="AG316" s="146">
        <f>+AG29+AG30+AG44+AG54+AG66+AG67+AG68+AG69+AG90+AG89+AG91+AG92+AG108</f>
        <v>2815168.494494</v>
      </c>
      <c r="AH316" s="127"/>
      <c r="AI316" s="146">
        <f>+AI29+AI30+AI44+AI54+AI66+AI67+AI68+AI69+AI90+AI89+AI91+AI92+AI108</f>
        <v>1192529.4528299998</v>
      </c>
      <c r="AJ316" s="127"/>
      <c r="AK316" s="146">
        <f>+AK29+AK30+AK44+AK54+AK66+AK67+AK68+AK69+AK90+AK89+AK91+AK92+AK108</f>
        <v>1183024.670442</v>
      </c>
      <c r="AL316" s="127"/>
      <c r="AM316" s="146">
        <f>+AM29+AM30+AM44+AM54+AM66+AM67+AM68+AM69+AM90+AM89+AM91+AM92+AM108</f>
        <v>831301.57701199991</v>
      </c>
      <c r="AN316" s="127"/>
      <c r="AO316" s="146">
        <f>+AO29+AO30+AO44+AO54+AO66+AO67+AO68+AO69+AO90+AO89+AO91+AO92+AO108</f>
        <v>342822.43857200001</v>
      </c>
      <c r="AP316" s="127"/>
      <c r="AQ316" s="146">
        <f>+AQ29+AQ30+AQ44+AQ54+AQ66+AQ67+AQ68+AQ69+AQ90+AQ89+AQ91+AQ92+AQ108</f>
        <v>735582.03702799999</v>
      </c>
      <c r="AR316" s="127"/>
      <c r="AS316" s="146">
        <f>+AS29+AS30+AS44+AS54+AS66+AS67+AS68+AS69+AS90+AS89+AS91+AS92+AS108</f>
        <v>831523.12962200004</v>
      </c>
      <c r="AU316" s="183">
        <f>SUM(AG316:AS316)-AE316</f>
        <v>0</v>
      </c>
    </row>
    <row r="317" spans="4:48" x14ac:dyDescent="0.2">
      <c r="D317" s="243" t="s">
        <v>142</v>
      </c>
      <c r="J317" s="261">
        <f>ROUND(J316/$H316,4)</f>
        <v>0.56469999999999998</v>
      </c>
      <c r="K317" s="261"/>
      <c r="L317" s="261">
        <f>ROUND(L316/$H316,4)</f>
        <v>0.20519999999999999</v>
      </c>
      <c r="M317" s="261"/>
      <c r="N317" s="261">
        <f>ROUND(N316/$H316,4)</f>
        <v>6.4600000000000005E-2</v>
      </c>
      <c r="O317" s="261"/>
      <c r="P317" s="261">
        <f>ROUND(P316/$H316,4)</f>
        <v>4.0300000000000002E-2</v>
      </c>
      <c r="Q317" s="261"/>
      <c r="R317" s="261">
        <f>ROUND(R316/$H316,4)</f>
        <v>2.0400000000000001E-2</v>
      </c>
      <c r="S317" s="261"/>
      <c r="T317" s="261">
        <f>ROUND(T316/$H316,4)</f>
        <v>0</v>
      </c>
      <c r="U317" s="261"/>
      <c r="V317" s="261">
        <f>ROUND(V316/$H316,4)</f>
        <v>0.1048</v>
      </c>
      <c r="X317" s="565">
        <f>SUM(J317:V317)</f>
        <v>1</v>
      </c>
      <c r="Y317" s="183"/>
      <c r="AA317" s="243" t="s">
        <v>142</v>
      </c>
      <c r="AB317" s="132"/>
      <c r="AC317" s="143"/>
      <c r="AD317" s="127"/>
      <c r="AE317" s="146"/>
      <c r="AF317" s="127"/>
      <c r="AG317" s="261">
        <f>ROUND(AG316/$H316,4)+0.0002</f>
        <v>0.35509999999999997</v>
      </c>
      <c r="AH317" s="261"/>
      <c r="AI317" s="261">
        <f>ROUND(AI316/$H316,4)</f>
        <v>0.15029999999999999</v>
      </c>
      <c r="AJ317" s="261"/>
      <c r="AK317" s="261">
        <f>ROUND(AK316/$H316,4)</f>
        <v>0.14910000000000001</v>
      </c>
      <c r="AL317" s="261"/>
      <c r="AM317" s="261">
        <f>ROUND(AM316/$H316,4)</f>
        <v>0.1048</v>
      </c>
      <c r="AN317" s="261"/>
      <c r="AO317" s="261">
        <f>ROUND(AO316/$H316,4)</f>
        <v>4.3200000000000002E-2</v>
      </c>
      <c r="AP317" s="261"/>
      <c r="AQ317" s="261">
        <f>ROUND(AQ316/$H316,4)</f>
        <v>9.2700000000000005E-2</v>
      </c>
      <c r="AR317" s="261"/>
      <c r="AS317" s="261">
        <f>ROUND(AS316/$H316,4)</f>
        <v>0.1048</v>
      </c>
      <c r="AU317" s="261">
        <f>SUM(AG317:AS317)</f>
        <v>1</v>
      </c>
    </row>
    <row r="318" spans="4:48" x14ac:dyDescent="0.2">
      <c r="D318" s="243" t="s">
        <v>143</v>
      </c>
      <c r="H318" s="488">
        <f>+SUM(H226:H271)</f>
        <v>314838637.01999998</v>
      </c>
      <c r="J318" s="146">
        <f>+SUM(J226:J271)</f>
        <v>158668232.2127471</v>
      </c>
      <c r="K318" s="127"/>
      <c r="L318" s="146">
        <f>+SUM(L226:L271)</f>
        <v>69822796.352354079</v>
      </c>
      <c r="M318" s="127"/>
      <c r="N318" s="146">
        <f>+SUM(N226:N271)</f>
        <v>23937599.493770152</v>
      </c>
      <c r="O318" s="127"/>
      <c r="P318" s="146">
        <f>+SUM(P226:P271)</f>
        <v>14369877.337608946</v>
      </c>
      <c r="Q318" s="127"/>
      <c r="R318" s="146">
        <f>+SUM(R226:R271)</f>
        <v>8717325.8234103955</v>
      </c>
      <c r="S318" s="127"/>
      <c r="T318" s="146">
        <f>+SUM(T226:T271)</f>
        <v>0</v>
      </c>
      <c r="U318" s="127"/>
      <c r="V318" s="146">
        <f>+SUM(V226:V271)</f>
        <v>39322805.800109267</v>
      </c>
      <c r="X318" s="231">
        <f>SUM(J318:V318)-H318</f>
        <v>0</v>
      </c>
      <c r="Y318" s="183"/>
      <c r="AA318" s="243" t="s">
        <v>143</v>
      </c>
      <c r="AB318" s="132"/>
      <c r="AC318" s="143"/>
      <c r="AD318" s="127"/>
      <c r="AE318" s="146">
        <f>+SUM(AE226:AE271)</f>
        <v>314838637.01999998</v>
      </c>
      <c r="AF318" s="127"/>
      <c r="AG318" s="146">
        <f>+SUM(AG226:AG271)</f>
        <v>136117289.70654467</v>
      </c>
      <c r="AH318" s="127"/>
      <c r="AI318" s="146">
        <f>+SUM(AI226:AI271)</f>
        <v>64248984.05139938</v>
      </c>
      <c r="AJ318" s="127"/>
      <c r="AK318" s="146">
        <f>+SUM(AK226:AK271)</f>
        <v>41786959.235256687</v>
      </c>
      <c r="AL318" s="127"/>
      <c r="AM318" s="146">
        <f>+SUM(AM226:AM271)</f>
        <v>13485433.985490002</v>
      </c>
      <c r="AN318" s="127"/>
      <c r="AO318" s="146">
        <f>+SUM(AO226:AO271)</f>
        <v>18280130.173390001</v>
      </c>
      <c r="AP318" s="127"/>
      <c r="AQ318" s="146">
        <f>+SUM(AQ226:AQ271)</f>
        <v>1597034.0678100002</v>
      </c>
      <c r="AR318" s="127"/>
      <c r="AS318" s="146">
        <f>+SUM(AS226:AS271)</f>
        <v>39322805.800109267</v>
      </c>
      <c r="AU318" s="183">
        <f>SUM(AG318:AS318)-AE318</f>
        <v>0</v>
      </c>
    </row>
    <row r="319" spans="4:48" x14ac:dyDescent="0.2">
      <c r="D319" s="243" t="s">
        <v>144</v>
      </c>
      <c r="J319" s="261">
        <f>ROUND(J318/$H318,4)</f>
        <v>0.504</v>
      </c>
      <c r="K319" s="261"/>
      <c r="L319" s="261">
        <f>ROUND(L318/$H318,4)</f>
        <v>0.2218</v>
      </c>
      <c r="M319" s="261"/>
      <c r="N319" s="261">
        <f>ROUND(N318/$H318,4)</f>
        <v>7.5999999999999998E-2</v>
      </c>
      <c r="O319" s="261"/>
      <c r="P319" s="261">
        <f>ROUND(P318/$H318,4)</f>
        <v>4.5600000000000002E-2</v>
      </c>
      <c r="Q319" s="261"/>
      <c r="R319" s="261">
        <f>ROUND(R318/$H318,4)</f>
        <v>2.7699999999999999E-2</v>
      </c>
      <c r="S319" s="261"/>
      <c r="T319" s="261">
        <f>ROUND(T318/$H318,4)</f>
        <v>0</v>
      </c>
      <c r="U319" s="261"/>
      <c r="V319" s="261">
        <f>ROUND(V318/$H318,4)</f>
        <v>0.1249</v>
      </c>
      <c r="X319" s="565">
        <f>SUM(J319:V319)</f>
        <v>0.99999999999999989</v>
      </c>
      <c r="Y319" s="183"/>
      <c r="AA319" s="243" t="s">
        <v>144</v>
      </c>
      <c r="AB319" s="132"/>
      <c r="AC319" s="143"/>
      <c r="AD319" s="127"/>
      <c r="AE319" s="146"/>
      <c r="AF319" s="127"/>
      <c r="AG319" s="261">
        <f>ROUND(AG318/$H318,4)</f>
        <v>0.43230000000000002</v>
      </c>
      <c r="AH319" s="261"/>
      <c r="AI319" s="261">
        <f>ROUND(AI318/$H318,4)</f>
        <v>0.2041</v>
      </c>
      <c r="AJ319" s="261"/>
      <c r="AK319" s="261">
        <f>ROUND(AK318/$H318,4)</f>
        <v>0.13270000000000001</v>
      </c>
      <c r="AL319" s="261"/>
      <c r="AM319" s="261">
        <f>ROUND(AM318/$H318,4)</f>
        <v>4.2799999999999998E-2</v>
      </c>
      <c r="AN319" s="261"/>
      <c r="AO319" s="261">
        <f>ROUND(AO318/$H318,4)</f>
        <v>5.8099999999999999E-2</v>
      </c>
      <c r="AP319" s="261"/>
      <c r="AQ319" s="261">
        <f>ROUND(AQ318/$H318,4)</f>
        <v>5.1000000000000004E-3</v>
      </c>
      <c r="AR319" s="261"/>
      <c r="AS319" s="261">
        <f>ROUND(AS318/$H318,4)</f>
        <v>0.1249</v>
      </c>
      <c r="AU319" s="261">
        <f>SUM(AG319:AS319)</f>
        <v>1</v>
      </c>
    </row>
    <row r="320" spans="4:48" x14ac:dyDescent="0.2">
      <c r="D320" s="243" t="s">
        <v>146</v>
      </c>
      <c r="H320" s="488">
        <f>+H303</f>
        <v>302813306.74999994</v>
      </c>
      <c r="J320" s="488">
        <f t="shared" ref="J320" ca="1" si="183">+J303</f>
        <v>153176233.22045711</v>
      </c>
      <c r="K320" s="127"/>
      <c r="L320" s="488">
        <f t="shared" ref="L320" ca="1" si="184">+L303</f>
        <v>67345742.801910087</v>
      </c>
      <c r="M320" s="127"/>
      <c r="N320" s="488">
        <f t="shared" ref="N320" ca="1" si="185">+N303</f>
        <v>23245598.222923152</v>
      </c>
      <c r="O320" s="127"/>
      <c r="P320" s="488">
        <f t="shared" ref="P320" ca="1" si="186">+P303</f>
        <v>13970457.096114947</v>
      </c>
      <c r="Q320" s="127"/>
      <c r="R320" s="488">
        <f t="shared" ref="R320" ca="1" si="187">+R303</f>
        <v>9085887.7219833955</v>
      </c>
      <c r="S320" s="581"/>
      <c r="T320" s="151">
        <f t="shared" ref="T320" ca="1" si="188">+T303</f>
        <v>0</v>
      </c>
      <c r="U320" s="581"/>
      <c r="V320" s="151">
        <f t="shared" ref="V320" ca="1" si="189">+V303</f>
        <v>35989387.686611265</v>
      </c>
      <c r="X320" s="231">
        <f ca="1">SUM(J320:V320)-H320</f>
        <v>0</v>
      </c>
      <c r="Y320" s="183"/>
      <c r="AA320" s="243" t="s">
        <v>146</v>
      </c>
      <c r="AB320" s="132"/>
      <c r="AC320" s="143"/>
      <c r="AD320" s="127"/>
      <c r="AE320" s="151">
        <f>+AE303</f>
        <v>302813306.74999994</v>
      </c>
      <c r="AF320" s="127"/>
      <c r="AG320" s="151">
        <f t="shared" ref="AG320" ca="1" si="190">+AG303</f>
        <v>133702154.60442665</v>
      </c>
      <c r="AH320" s="127"/>
      <c r="AI320" s="151">
        <f t="shared" ref="AI320" ca="1" si="191">+AI303</f>
        <v>66498257.65680138</v>
      </c>
      <c r="AJ320" s="127"/>
      <c r="AK320" s="151">
        <f t="shared" ref="AK320" ca="1" si="192">+AK303</f>
        <v>33124208.456718683</v>
      </c>
      <c r="AL320" s="127"/>
      <c r="AM320" s="151">
        <f t="shared" ref="AM320" ca="1" si="193">+AM303</f>
        <v>13749168.019832002</v>
      </c>
      <c r="AN320" s="127"/>
      <c r="AO320" s="151">
        <f t="shared" ref="AO320" ca="1" si="194">+AO303</f>
        <v>17956087.299562</v>
      </c>
      <c r="AP320" s="127"/>
      <c r="AQ320" s="151">
        <f t="shared" ref="AQ320" ca="1" si="195">+AQ303</f>
        <v>1794043.0260480002</v>
      </c>
      <c r="AR320" s="127"/>
      <c r="AS320" s="151">
        <f t="shared" ref="AS320" ca="1" si="196">+AS303</f>
        <v>35989387.686611265</v>
      </c>
      <c r="AU320" s="183">
        <f ca="1">SUM(AG320:AS320)-AE320</f>
        <v>0</v>
      </c>
    </row>
    <row r="321" spans="4:47" x14ac:dyDescent="0.2">
      <c r="D321" s="243" t="s">
        <v>145</v>
      </c>
      <c r="J321" s="261">
        <f ca="1">ROUND(J320/$H320,4)</f>
        <v>0.50580000000000003</v>
      </c>
      <c r="K321" s="261"/>
      <c r="L321" s="261">
        <f ca="1">ROUND(L320/$H320,4)</f>
        <v>0.22239999999999999</v>
      </c>
      <c r="M321" s="261"/>
      <c r="N321" s="261">
        <f ca="1">ROUND(N320/$H320,4)</f>
        <v>7.6799999999999993E-2</v>
      </c>
      <c r="O321" s="261"/>
      <c r="P321" s="261">
        <f ca="1">ROUND(P320/$H320,4)</f>
        <v>4.6100000000000002E-2</v>
      </c>
      <c r="Q321" s="261"/>
      <c r="R321" s="261">
        <f ca="1">ROUND(R320/$H320,4)</f>
        <v>0.03</v>
      </c>
      <c r="S321" s="261"/>
      <c r="T321" s="261">
        <f ca="1">ROUND(T320/$H320,4)</f>
        <v>0</v>
      </c>
      <c r="U321" s="261"/>
      <c r="V321" s="261">
        <f ca="1">ROUND(V320/$H320,4)</f>
        <v>0.11890000000000001</v>
      </c>
      <c r="X321" s="565">
        <f ca="1">SUM(J321:V321)</f>
        <v>1</v>
      </c>
      <c r="Y321" s="183"/>
      <c r="AA321" s="243" t="s">
        <v>145</v>
      </c>
      <c r="AB321" s="132"/>
      <c r="AC321" s="143"/>
      <c r="AD321" s="127"/>
      <c r="AE321" s="146"/>
      <c r="AF321" s="127"/>
      <c r="AG321" s="261">
        <f ca="1">ROUND(AG320/$H320,4)</f>
        <v>0.4415</v>
      </c>
      <c r="AH321" s="261"/>
      <c r="AI321" s="261">
        <f ca="1">ROUND(AI320/$H320,4)</f>
        <v>0.21959999999999999</v>
      </c>
      <c r="AJ321" s="261"/>
      <c r="AK321" s="261">
        <f ca="1">ROUND(AK320/$H320,4)</f>
        <v>0.1094</v>
      </c>
      <c r="AL321" s="261"/>
      <c r="AM321" s="261">
        <f ca="1">ROUND(AM320/$H320,4)</f>
        <v>4.5400000000000003E-2</v>
      </c>
      <c r="AN321" s="261"/>
      <c r="AO321" s="261">
        <f ca="1">ROUND(AO320/$H320,4)</f>
        <v>5.9299999999999999E-2</v>
      </c>
      <c r="AP321" s="261"/>
      <c r="AQ321" s="261">
        <f ca="1">ROUND(AQ320/$H320,4)</f>
        <v>5.8999999999999999E-3</v>
      </c>
      <c r="AR321" s="261"/>
      <c r="AS321" s="261">
        <f ca="1">ROUND(AS320/$H320,4)</f>
        <v>0.11890000000000001</v>
      </c>
      <c r="AU321" s="261">
        <f ca="1">SUM(AG321:AS321)</f>
        <v>1</v>
      </c>
    </row>
    <row r="322" spans="4:47" x14ac:dyDescent="0.2">
      <c r="D322" s="243" t="s">
        <v>147</v>
      </c>
      <c r="H322" s="488">
        <f>+H25+H50+H86+H105+SUM(H108:H124)+SUM(H126:H127)+H178+H184+SUM(H188:H188)</f>
        <v>58609957.237333328</v>
      </c>
      <c r="J322" s="146">
        <f ca="1">+J25+J50+J86+J105+SUM(J108:J124)+SUM(J126:J127)+J178+J184+SUM(J188:J188)</f>
        <v>31183588.594510961</v>
      </c>
      <c r="K322" s="127"/>
      <c r="L322" s="146">
        <f ca="1">+L25+L50+L86+L105+SUM(L108:L124)+SUM(L126:L127)+L178+L184+SUM(L188:L188)</f>
        <v>12751606.105570963</v>
      </c>
      <c r="M322" s="127"/>
      <c r="N322" s="146">
        <f ca="1">+N25+N50+N86+N105+SUM(N108:N124)+SUM(N126:N127)+N178+N184+SUM(N188:N188)</f>
        <v>4306799.1580408197</v>
      </c>
      <c r="O322" s="127"/>
      <c r="P322" s="146">
        <f ca="1">+P25+P50+P86+P105+SUM(P108:P124)+SUM(P126:P127)+P178+P184+SUM(P188:P188)</f>
        <v>2614727.837601623</v>
      </c>
      <c r="Q322" s="127"/>
      <c r="R322" s="146">
        <f ca="1">+R25+R50+R86+R105+SUM(R108:R124)+SUM(R126:R127)+R178+R184+SUM(R188:R188)</f>
        <v>1642697.4552830285</v>
      </c>
      <c r="S322" s="127"/>
      <c r="T322" s="146">
        <f ca="1">+T25+T50+T86+T105+SUM(T108:T124)+SUM(T126:T127)+T178+T184+SUM(T188:T188)</f>
        <v>0</v>
      </c>
      <c r="U322" s="127"/>
      <c r="V322" s="146">
        <f ca="1">+V25+V50+V86+V105+SUM(V108:V124)+SUM(V126:V127)+V178+V184+SUM(V188:V188)</f>
        <v>6110538.086325937</v>
      </c>
      <c r="W322" s="127"/>
      <c r="X322" s="231">
        <f ca="1">SUM(J322:V322)-H322</f>
        <v>0</v>
      </c>
      <c r="Y322" s="183"/>
      <c r="AA322" s="243" t="s">
        <v>147</v>
      </c>
      <c r="AB322" s="132"/>
      <c r="AC322" s="143"/>
      <c r="AD322" s="127"/>
      <c r="AE322" s="146">
        <f>+AE25+AE50+AE86+AE105+SUM(AE108:AE124)+SUM(AE126:AE127)+AE178+AE184+SUM(AE188:AE188)</f>
        <v>58609957.237333328</v>
      </c>
      <c r="AF322" s="127"/>
      <c r="AG322" s="146">
        <f ca="1">+AG25+AG50+AG86+AG105+SUM(AG108:AG124)+SUM(AG126:AG127)+AG178+AG184+SUM(AG188:AG188)</f>
        <v>26251281.975278448</v>
      </c>
      <c r="AH322" s="127"/>
      <c r="AI322" s="146">
        <f ca="1">+AI25+AI50+AI86+AI105+SUM(AI108:AI124)+SUM(AI126:AI127)+AI178+AI184+SUM(AI188:AI188)</f>
        <v>10035340.890668973</v>
      </c>
      <c r="AJ322" s="127"/>
      <c r="AK322" s="146">
        <f ca="1">+AK25+AK50+AK86+AK105+SUM(AK108:AK124)+SUM(AK126:AK127)+AK178+AK184+SUM(AK188:AK188)</f>
        <v>6625344.2126202071</v>
      </c>
      <c r="AL322" s="127"/>
      <c r="AM322" s="146">
        <f ca="1">+AM25+AM50+AM86+AM105+SUM(AM108:AM124)+SUM(AM126:AM127)+AM178+AM184+SUM(AM188:AM188)</f>
        <v>3270649.9963824339</v>
      </c>
      <c r="AN322" s="127"/>
      <c r="AO322" s="146">
        <f ca="1">+AO25+AO50+AO86+AO105+SUM(AO108:AO124)+SUM(AO126:AO127)+AO178+AO184+SUM(AO188:AO188)</f>
        <v>3467683.2008727663</v>
      </c>
      <c r="AP322" s="127"/>
      <c r="AQ322" s="146">
        <f ca="1">+AQ25+AQ50+AQ86+AQ105+SUM(AQ108:AQ124)+SUM(AQ126:AQ127)+AQ178+AQ184+SUM(AQ188:AQ188)</f>
        <v>2849118.8751845672</v>
      </c>
      <c r="AR322" s="127"/>
      <c r="AS322" s="146">
        <f ca="1">+AS25+AS50+AS86+AS105+SUM(AS108:AS124)+SUM(AS126:AS127)+AS178+AS184+SUM(AS188:AS188)</f>
        <v>6110538.086325937</v>
      </c>
      <c r="AU322" s="183">
        <f ca="1">SUM(AG322:AS322)-AE322</f>
        <v>0</v>
      </c>
    </row>
    <row r="323" spans="4:47" x14ac:dyDescent="0.2">
      <c r="D323" s="243" t="s">
        <v>148</v>
      </c>
      <c r="J323" s="261">
        <f ca="1">ROUND(J322/$H322,4)-0.0001</f>
        <v>0.53200000000000003</v>
      </c>
      <c r="K323" s="261"/>
      <c r="L323" s="261">
        <f ca="1">ROUND(L322/$H322,4)</f>
        <v>0.21759999999999999</v>
      </c>
      <c r="M323" s="261"/>
      <c r="N323" s="261">
        <f ca="1">ROUND(N322/$H322,4)</f>
        <v>7.3499999999999996E-2</v>
      </c>
      <c r="O323" s="261"/>
      <c r="P323" s="261">
        <f ca="1">ROUND(P322/$H322,4)</f>
        <v>4.4600000000000001E-2</v>
      </c>
      <c r="Q323" s="261"/>
      <c r="R323" s="261">
        <f ca="1">ROUND(R322/$H322,4)</f>
        <v>2.8000000000000001E-2</v>
      </c>
      <c r="S323" s="261"/>
      <c r="T323" s="261">
        <f ca="1">ROUND(T322/$H322,4)</f>
        <v>0</v>
      </c>
      <c r="U323" s="261"/>
      <c r="V323" s="261">
        <f ca="1">ROUND(V322/$H322,4)</f>
        <v>0.1043</v>
      </c>
      <c r="X323" s="565">
        <f ca="1">SUM(J323:V323)</f>
        <v>1</v>
      </c>
      <c r="Y323" s="183"/>
      <c r="AA323" s="243" t="s">
        <v>148</v>
      </c>
      <c r="AB323" s="132"/>
      <c r="AC323" s="143"/>
      <c r="AD323" s="127"/>
      <c r="AE323" s="146"/>
      <c r="AF323" s="127"/>
      <c r="AG323" s="570">
        <f ca="1">ROUND(AG322/$H322,4)</f>
        <v>0.44790000000000002</v>
      </c>
      <c r="AH323" s="570"/>
      <c r="AI323" s="570">
        <f ca="1">ROUND(AI322/$H322,4)</f>
        <v>0.17119999999999999</v>
      </c>
      <c r="AJ323" s="570"/>
      <c r="AK323" s="570">
        <f ca="1">ROUND(AK322/$H322,4)</f>
        <v>0.113</v>
      </c>
      <c r="AL323" s="570"/>
      <c r="AM323" s="570">
        <f ca="1">ROUND(AM322/$H322,4)</f>
        <v>5.5800000000000002E-2</v>
      </c>
      <c r="AN323" s="570"/>
      <c r="AO323" s="570">
        <f ca="1">ROUND(AO322/$H322,4)</f>
        <v>5.9200000000000003E-2</v>
      </c>
      <c r="AP323" s="570"/>
      <c r="AQ323" s="570">
        <f ca="1">ROUND(AQ322/$H322,4)</f>
        <v>4.8599999999999997E-2</v>
      </c>
      <c r="AR323" s="570"/>
      <c r="AS323" s="570">
        <f ca="1">ROUND(AS322/$H322,4)</f>
        <v>0.1043</v>
      </c>
      <c r="AT323" s="571"/>
      <c r="AU323" s="570">
        <f ca="1">SUM(AG323:AS323)</f>
        <v>1</v>
      </c>
    </row>
    <row r="324" spans="4:47" x14ac:dyDescent="0.2">
      <c r="D324" s="243"/>
      <c r="J324" s="261"/>
      <c r="K324" s="261"/>
      <c r="L324" s="261"/>
      <c r="M324" s="261"/>
      <c r="N324" s="261"/>
      <c r="O324" s="261"/>
      <c r="P324" s="261"/>
      <c r="Q324" s="261"/>
      <c r="R324" s="261"/>
      <c r="S324" s="261"/>
      <c r="T324" s="261"/>
      <c r="U324" s="261"/>
      <c r="V324" s="261"/>
      <c r="X324" s="560"/>
      <c r="Y324" s="183"/>
    </row>
    <row r="325" spans="4:47" x14ac:dyDescent="0.2">
      <c r="D325" s="243"/>
      <c r="J325" s="261"/>
      <c r="K325" s="261"/>
      <c r="L325" s="261"/>
      <c r="M325" s="261"/>
      <c r="N325" s="261"/>
      <c r="O325" s="261"/>
      <c r="P325" s="261"/>
      <c r="Q325" s="261"/>
      <c r="R325" s="261"/>
      <c r="S325" s="261"/>
      <c r="T325" s="261"/>
      <c r="U325" s="261"/>
      <c r="V325" s="261"/>
      <c r="X325" s="560"/>
      <c r="Y325" s="183"/>
    </row>
    <row r="326" spans="4:47" x14ac:dyDescent="0.2">
      <c r="D326" s="243"/>
      <c r="J326" s="261"/>
      <c r="K326" s="261"/>
      <c r="L326" s="261"/>
      <c r="M326" s="261"/>
      <c r="N326" s="261"/>
      <c r="O326" s="261"/>
      <c r="P326" s="261"/>
      <c r="Q326" s="261"/>
      <c r="R326" s="261"/>
      <c r="S326" s="261"/>
      <c r="T326" s="261"/>
      <c r="U326" s="261"/>
      <c r="V326" s="261"/>
      <c r="X326" s="560"/>
      <c r="Y326" s="183"/>
    </row>
    <row r="327" spans="4:47" x14ac:dyDescent="0.2">
      <c r="X327" s="561"/>
      <c r="Z327" s="247"/>
      <c r="AA327" s="129"/>
      <c r="AB327" s="247"/>
      <c r="AC327" s="247"/>
      <c r="AD327" s="247"/>
      <c r="AE327" s="247"/>
      <c r="AF327" s="247"/>
      <c r="AG327" s="247"/>
      <c r="AH327" s="247"/>
      <c r="AI327" s="247"/>
      <c r="AJ327" s="247"/>
      <c r="AK327" s="247"/>
      <c r="AL327" s="247"/>
      <c r="AM327" s="247"/>
    </row>
    <row r="328" spans="4:47" x14ac:dyDescent="0.2">
      <c r="J328" s="246" t="s">
        <v>180</v>
      </c>
      <c r="X328" s="561"/>
      <c r="Z328" s="247"/>
      <c r="AA328" s="129"/>
      <c r="AB328" s="247"/>
      <c r="AC328" s="247"/>
      <c r="AD328" s="247"/>
      <c r="AE328" s="247"/>
      <c r="AF328" s="247"/>
      <c r="AG328" s="247"/>
      <c r="AH328" s="247"/>
      <c r="AI328" s="247"/>
      <c r="AJ328" s="247"/>
      <c r="AK328" s="247"/>
      <c r="AL328" s="247"/>
      <c r="AM328" s="247"/>
    </row>
    <row r="329" spans="4:47" x14ac:dyDescent="0.2">
      <c r="D329" s="461"/>
      <c r="I329" s="247"/>
      <c r="J329" s="248">
        <v>2</v>
      </c>
      <c r="K329" s="247"/>
      <c r="L329" s="247">
        <v>4</v>
      </c>
      <c r="M329" s="247"/>
      <c r="N329" s="247">
        <v>6</v>
      </c>
      <c r="O329" s="247"/>
      <c r="P329" s="247">
        <v>8</v>
      </c>
      <c r="Q329" s="247"/>
      <c r="R329" s="247">
        <v>10</v>
      </c>
      <c r="S329" s="247"/>
      <c r="T329" s="247">
        <v>12</v>
      </c>
      <c r="U329" s="247"/>
      <c r="V329" s="247">
        <v>14</v>
      </c>
      <c r="W329" s="247"/>
      <c r="X329" s="562">
        <v>20</v>
      </c>
      <c r="AG329" s="282">
        <v>2</v>
      </c>
      <c r="AH329" s="282"/>
      <c r="AI329" s="282">
        <v>4</v>
      </c>
      <c r="AJ329" s="282"/>
      <c r="AK329" s="282">
        <v>6</v>
      </c>
      <c r="AL329" s="282"/>
      <c r="AM329" s="282">
        <v>8</v>
      </c>
      <c r="AN329" s="282"/>
      <c r="AO329" s="282">
        <v>10</v>
      </c>
      <c r="AP329" s="282"/>
      <c r="AQ329" s="282">
        <v>12</v>
      </c>
      <c r="AR329" s="282"/>
      <c r="AS329" s="282">
        <v>14</v>
      </c>
    </row>
    <row r="330" spans="4:47" x14ac:dyDescent="0.2">
      <c r="D330" s="461"/>
      <c r="I330" s="245"/>
      <c r="J330" s="249" t="s">
        <v>198</v>
      </c>
      <c r="K330" s="247"/>
      <c r="L330" s="250" t="s">
        <v>199</v>
      </c>
      <c r="M330" s="247"/>
      <c r="N330" s="250" t="s">
        <v>200</v>
      </c>
      <c r="O330" s="247"/>
      <c r="P330" s="250" t="s">
        <v>183</v>
      </c>
      <c r="Q330" s="247"/>
      <c r="R330" s="250" t="s">
        <v>322</v>
      </c>
      <c r="S330" s="251"/>
      <c r="T330" s="250" t="s">
        <v>131</v>
      </c>
      <c r="U330" s="247"/>
      <c r="V330" s="250" t="s">
        <v>132</v>
      </c>
      <c r="W330" s="247"/>
      <c r="X330" s="563" t="s">
        <v>324</v>
      </c>
      <c r="AG330" s="283"/>
      <c r="AH330" s="283"/>
      <c r="AI330" s="283"/>
      <c r="AJ330" s="283"/>
      <c r="AK330" s="283"/>
      <c r="AL330" s="283"/>
      <c r="AM330" s="283"/>
      <c r="AN330" s="283"/>
      <c r="AO330" s="283"/>
      <c r="AP330" s="283"/>
      <c r="AQ330" s="283" t="s">
        <v>451</v>
      </c>
      <c r="AR330" s="283"/>
      <c r="AS330" s="283" t="s">
        <v>453</v>
      </c>
    </row>
    <row r="331" spans="4:47" x14ac:dyDescent="0.2">
      <c r="D331" s="461"/>
      <c r="I331" s="245"/>
      <c r="J331" s="248"/>
      <c r="K331" s="245"/>
      <c r="L331" s="245"/>
      <c r="M331" s="245"/>
      <c r="N331" s="245"/>
      <c r="O331" s="245"/>
      <c r="P331" s="245"/>
      <c r="Q331" s="245"/>
      <c r="R331" s="245"/>
      <c r="S331" s="245"/>
      <c r="T331" s="245"/>
      <c r="U331" s="245"/>
      <c r="V331" s="245"/>
      <c r="W331" s="245"/>
      <c r="X331" s="561"/>
      <c r="AG331" s="283" t="s">
        <v>448</v>
      </c>
      <c r="AH331" s="283"/>
      <c r="AI331" s="283" t="s">
        <v>449</v>
      </c>
      <c r="AJ331" s="283"/>
      <c r="AK331" s="283" t="s">
        <v>450</v>
      </c>
      <c r="AL331" s="283"/>
      <c r="AM331" s="283" t="s">
        <v>407</v>
      </c>
      <c r="AN331" s="283"/>
      <c r="AO331" s="283" t="s">
        <v>329</v>
      </c>
      <c r="AP331" s="283"/>
      <c r="AQ331" s="283" t="s">
        <v>452</v>
      </c>
      <c r="AR331" s="283"/>
      <c r="AS331" s="283" t="s">
        <v>325</v>
      </c>
    </row>
    <row r="332" spans="4:47" x14ac:dyDescent="0.2">
      <c r="D332" s="461"/>
      <c r="I332" s="245"/>
      <c r="J332" s="248"/>
      <c r="K332" s="245"/>
      <c r="L332" s="252"/>
      <c r="M332" s="245"/>
      <c r="N332" s="252"/>
      <c r="O332" s="245"/>
      <c r="P332" s="252"/>
      <c r="Q332" s="245"/>
      <c r="R332" s="252"/>
      <c r="S332" s="245"/>
      <c r="T332" s="252"/>
      <c r="U332" s="245"/>
      <c r="V332" s="252"/>
      <c r="W332" s="245"/>
      <c r="X332" s="561"/>
    </row>
    <row r="333" spans="4:47" x14ac:dyDescent="0.2">
      <c r="D333" s="461"/>
      <c r="I333" s="245">
        <v>1</v>
      </c>
      <c r="J333" s="255">
        <f>'F 1-2'!K16</f>
        <v>0.49540000000000001</v>
      </c>
      <c r="K333" s="255"/>
      <c r="L333" s="255">
        <f>'F 1-2'!K17</f>
        <v>0.27510000000000001</v>
      </c>
      <c r="M333" s="255"/>
      <c r="N333" s="255">
        <f>'F 1-2'!K18</f>
        <v>0.108</v>
      </c>
      <c r="O333" s="255"/>
      <c r="P333" s="255">
        <f>'F 1-2'!K19</f>
        <v>6.2600000000000003E-2</v>
      </c>
      <c r="Q333" s="255"/>
      <c r="R333" s="255">
        <f>'F 1-2'!K20</f>
        <v>5.2900000000000003E-2</v>
      </c>
      <c r="S333" s="255"/>
      <c r="T333" s="255">
        <f>'F 1-2'!K21</f>
        <v>0</v>
      </c>
      <c r="U333" s="255"/>
      <c r="V333" s="255">
        <f>'F 1-2'!K22</f>
        <v>6.0000000000000001E-3</v>
      </c>
      <c r="W333" s="253"/>
      <c r="X333" s="566">
        <f t="shared" ref="X333:X342" si="197">SUM(J333:W333)</f>
        <v>1</v>
      </c>
      <c r="AF333" s="245">
        <v>1</v>
      </c>
      <c r="AG333" s="281">
        <f>1-AS333</f>
        <v>0.99399999999999999</v>
      </c>
      <c r="AH333" s="281"/>
      <c r="AI333" s="281">
        <v>0</v>
      </c>
      <c r="AJ333" s="281"/>
      <c r="AK333" s="281">
        <v>0</v>
      </c>
      <c r="AL333" s="281"/>
      <c r="AM333" s="281">
        <v>0</v>
      </c>
      <c r="AN333" s="281"/>
      <c r="AO333" s="281">
        <v>0</v>
      </c>
      <c r="AP333" s="281"/>
      <c r="AQ333" s="281">
        <v>0</v>
      </c>
      <c r="AR333" s="281"/>
      <c r="AS333" s="281">
        <f>+'F 1-2'!K21+'F 1-2'!K22</f>
        <v>6.0000000000000001E-3</v>
      </c>
      <c r="AT333" s="281"/>
      <c r="AU333" s="281">
        <f>SUM(AG333:AS333)</f>
        <v>1</v>
      </c>
    </row>
    <row r="334" spans="4:47" x14ac:dyDescent="0.2">
      <c r="D334" s="461"/>
      <c r="I334" s="245">
        <v>2</v>
      </c>
      <c r="J334" s="255">
        <f>'F 1-2'!M39</f>
        <v>0.51910000000000001</v>
      </c>
      <c r="K334" s="255"/>
      <c r="L334" s="255">
        <f>'F 1-2'!M40</f>
        <v>0.26639999999999997</v>
      </c>
      <c r="M334" s="255"/>
      <c r="N334" s="255">
        <f>'F 1-2'!M41</f>
        <v>0.1018</v>
      </c>
      <c r="O334" s="255"/>
      <c r="P334" s="255">
        <f>'F 1-2'!M42</f>
        <v>5.9000000000000004E-2</v>
      </c>
      <c r="Q334" s="255"/>
      <c r="R334" s="255">
        <f>'F 1-2'!M43</f>
        <v>4.99E-2</v>
      </c>
      <c r="S334" s="255"/>
      <c r="T334" s="255">
        <f>'F 1-2'!M44</f>
        <v>0</v>
      </c>
      <c r="U334" s="255"/>
      <c r="V334" s="255">
        <f>'F 1-2'!M45</f>
        <v>3.8E-3</v>
      </c>
      <c r="W334" s="253"/>
      <c r="X334" s="566">
        <f t="shared" si="197"/>
        <v>1</v>
      </c>
      <c r="AF334" s="245">
        <v>2</v>
      </c>
      <c r="AG334" s="281">
        <f>+'F 2 B'!H33-'COS 1'!AS334</f>
        <v>0.62119999999999997</v>
      </c>
      <c r="AH334" s="281"/>
      <c r="AI334" s="281">
        <f>+'F 2 B'!H35</f>
        <v>0.375</v>
      </c>
      <c r="AJ334" s="281"/>
      <c r="AK334" s="281">
        <v>0</v>
      </c>
      <c r="AL334" s="281"/>
      <c r="AM334" s="281">
        <v>0</v>
      </c>
      <c r="AN334" s="281"/>
      <c r="AO334" s="281">
        <v>0</v>
      </c>
      <c r="AP334" s="281"/>
      <c r="AQ334" s="281">
        <v>0</v>
      </c>
      <c r="AR334" s="281"/>
      <c r="AS334" s="281">
        <f>+'F 1-2'!G44+'F 1-2'!G45</f>
        <v>3.8E-3</v>
      </c>
      <c r="AT334" s="281"/>
      <c r="AU334" s="281">
        <f t="shared" ref="AU334:AU353" si="198">SUM(AG334:AS334)</f>
        <v>1</v>
      </c>
    </row>
    <row r="335" spans="4:47" x14ac:dyDescent="0.2">
      <c r="D335" s="461"/>
      <c r="I335" s="245">
        <v>3</v>
      </c>
      <c r="J335" s="255">
        <f>'F 3-4'!P19</f>
        <v>0.44359999999999999</v>
      </c>
      <c r="K335" s="255"/>
      <c r="L335" s="255">
        <f>'F 3-4'!P20</f>
        <v>0.2276</v>
      </c>
      <c r="M335" s="255"/>
      <c r="N335" s="255">
        <f>'F 3-4'!P21</f>
        <v>8.6999999999999994E-2</v>
      </c>
      <c r="O335" s="255"/>
      <c r="P335" s="255">
        <f>'F 3-4'!P22</f>
        <v>5.04E-2</v>
      </c>
      <c r="Q335" s="255"/>
      <c r="R335" s="255">
        <f>'F 3-4'!P23</f>
        <v>4.2599999999999999E-2</v>
      </c>
      <c r="S335" s="255"/>
      <c r="T335" s="255">
        <f>'F 3-4'!P24</f>
        <v>0</v>
      </c>
      <c r="U335" s="255"/>
      <c r="V335" s="255">
        <f>'F 3-4'!P25</f>
        <v>0.14880000000000002</v>
      </c>
      <c r="W335" s="253"/>
      <c r="X335" s="566">
        <f t="shared" si="197"/>
        <v>1</v>
      </c>
      <c r="AF335" s="245">
        <v>3</v>
      </c>
      <c r="AG335" s="281">
        <f>+'F 3-4'!F17-'F 3-4'!F24-'F 3-4'!F25</f>
        <v>0.53090000000000004</v>
      </c>
      <c r="AH335" s="281"/>
      <c r="AI335" s="281">
        <f>+'F 3-4'!J17</f>
        <v>0.32030000000000003</v>
      </c>
      <c r="AJ335" s="281"/>
      <c r="AK335" s="281">
        <v>0</v>
      </c>
      <c r="AL335" s="281"/>
      <c r="AM335" s="281">
        <v>0</v>
      </c>
      <c r="AN335" s="281"/>
      <c r="AO335" s="281">
        <v>0</v>
      </c>
      <c r="AP335" s="281"/>
      <c r="AQ335" s="281">
        <v>0</v>
      </c>
      <c r="AR335" s="281"/>
      <c r="AS335" s="281">
        <f>+'F 3-4'!P24+'F 3-4'!P25</f>
        <v>0.14880000000000002</v>
      </c>
      <c r="AT335" s="281"/>
      <c r="AU335" s="281">
        <f t="shared" si="198"/>
        <v>1</v>
      </c>
    </row>
    <row r="336" spans="4:47" x14ac:dyDescent="0.2">
      <c r="D336" s="461"/>
      <c r="I336" s="245">
        <v>4</v>
      </c>
      <c r="J336" s="255">
        <f>'F 3-4'!R49</f>
        <v>0.45979999999999999</v>
      </c>
      <c r="K336" s="255"/>
      <c r="L336" s="255">
        <f>'F 3-4'!R50</f>
        <v>0.21529999999999999</v>
      </c>
      <c r="M336" s="255"/>
      <c r="N336" s="255">
        <f>'F 3-4'!R51</f>
        <v>6.8699999999999997E-2</v>
      </c>
      <c r="O336" s="255"/>
      <c r="P336" s="255">
        <f>'F 3-4'!R52</f>
        <v>3.9800000000000002E-2</v>
      </c>
      <c r="Q336" s="255"/>
      <c r="R336" s="255">
        <f>'F 3-4'!R53</f>
        <v>0</v>
      </c>
      <c r="S336" s="255"/>
      <c r="T336" s="255">
        <f>'F 3-4'!R54</f>
        <v>0</v>
      </c>
      <c r="U336" s="255"/>
      <c r="V336" s="255">
        <f>'F 3-4'!R55</f>
        <v>0.21639999999999998</v>
      </c>
      <c r="W336" s="253"/>
      <c r="X336" s="566">
        <f t="shared" si="197"/>
        <v>1</v>
      </c>
      <c r="AF336" s="245">
        <v>4</v>
      </c>
      <c r="AG336" s="281">
        <f>+'F 3-4'!H47-'F 3-4'!H54-'F 3-4'!H55</f>
        <v>0.32530000000000003</v>
      </c>
      <c r="AH336" s="281"/>
      <c r="AI336" s="281">
        <v>0</v>
      </c>
      <c r="AJ336" s="281"/>
      <c r="AK336" s="281">
        <f>+'F 3-4'!L47</f>
        <v>0.45829999999999999</v>
      </c>
      <c r="AL336" s="281"/>
      <c r="AM336" s="281">
        <v>0</v>
      </c>
      <c r="AN336" s="281"/>
      <c r="AO336" s="281">
        <v>0</v>
      </c>
      <c r="AP336" s="281"/>
      <c r="AQ336" s="281">
        <v>0</v>
      </c>
      <c r="AR336" s="281"/>
      <c r="AS336" s="281">
        <f>+'F 3-4'!R54+'F 3-4'!R55</f>
        <v>0.21639999999999998</v>
      </c>
      <c r="AT336" s="281"/>
      <c r="AU336" s="281">
        <f t="shared" si="198"/>
        <v>1</v>
      </c>
    </row>
    <row r="337" spans="4:47" x14ac:dyDescent="0.2">
      <c r="D337" s="461"/>
      <c r="I337" s="245">
        <v>5</v>
      </c>
      <c r="J337" s="255">
        <f>'F 5'!R18</f>
        <v>0.40649999999999997</v>
      </c>
      <c r="K337" s="255"/>
      <c r="L337" s="255">
        <f>'F 5'!R19</f>
        <v>0.19</v>
      </c>
      <c r="M337" s="255"/>
      <c r="N337" s="255">
        <f>'F 5'!R20</f>
        <v>6.0600000000000001E-2</v>
      </c>
      <c r="O337" s="255"/>
      <c r="P337" s="255">
        <f>'F 5'!R21</f>
        <v>3.5199999999999995E-2</v>
      </c>
      <c r="Q337" s="255"/>
      <c r="R337" s="255">
        <f>'F 5'!R22</f>
        <v>2.9600000000000001E-2</v>
      </c>
      <c r="S337" s="255"/>
      <c r="T337" s="255">
        <f>'F 5'!R23</f>
        <v>0</v>
      </c>
      <c r="U337" s="255"/>
      <c r="V337" s="255">
        <f>'F 5'!R24</f>
        <v>0.27810000000000001</v>
      </c>
      <c r="W337" s="253"/>
      <c r="X337" s="566">
        <f t="shared" si="197"/>
        <v>1</v>
      </c>
      <c r="AF337" s="245">
        <v>5</v>
      </c>
      <c r="AG337" s="281">
        <f>+'F 5'!H16-'F 5'!H23-'F 5'!H24</f>
        <v>0.29969999999999997</v>
      </c>
      <c r="AH337" s="281"/>
      <c r="AI337" s="281">
        <v>0</v>
      </c>
      <c r="AJ337" s="281"/>
      <c r="AK337" s="281">
        <f>+'F 5'!L16</f>
        <v>0.42220000000000002</v>
      </c>
      <c r="AL337" s="281"/>
      <c r="AM337" s="281">
        <v>0</v>
      </c>
      <c r="AN337" s="281"/>
      <c r="AO337" s="281">
        <v>0</v>
      </c>
      <c r="AP337" s="281"/>
      <c r="AQ337" s="281">
        <v>0</v>
      </c>
      <c r="AR337" s="281"/>
      <c r="AS337" s="281">
        <f>+'F 5'!R23+'F 5'!R24</f>
        <v>0.27810000000000001</v>
      </c>
      <c r="AT337" s="281"/>
      <c r="AU337" s="281">
        <f t="shared" si="198"/>
        <v>1</v>
      </c>
    </row>
    <row r="338" spans="4:47" x14ac:dyDescent="0.2">
      <c r="D338" s="461"/>
      <c r="I338" s="245"/>
      <c r="J338" s="255"/>
      <c r="K338" s="255"/>
      <c r="L338" s="255"/>
      <c r="M338" s="255"/>
      <c r="N338" s="255"/>
      <c r="O338" s="255"/>
      <c r="P338" s="255"/>
      <c r="Q338" s="255"/>
      <c r="R338" s="255"/>
      <c r="S338" s="255"/>
      <c r="T338" s="255"/>
      <c r="U338" s="255"/>
      <c r="V338" s="255"/>
      <c r="W338" s="253"/>
      <c r="X338" s="566"/>
      <c r="AF338" s="245"/>
      <c r="AG338" s="281"/>
      <c r="AH338" s="281"/>
      <c r="AI338" s="281"/>
      <c r="AJ338" s="281"/>
      <c r="AK338" s="281"/>
      <c r="AL338" s="281"/>
      <c r="AM338" s="281"/>
      <c r="AN338" s="281"/>
      <c r="AO338" s="281"/>
      <c r="AP338" s="281"/>
      <c r="AQ338" s="281"/>
      <c r="AR338" s="281"/>
      <c r="AS338" s="281"/>
      <c r="AT338" s="281"/>
      <c r="AU338" s="281"/>
    </row>
    <row r="339" spans="4:47" x14ac:dyDescent="0.2">
      <c r="I339" s="245">
        <v>6</v>
      </c>
      <c r="J339" s="255">
        <f>'F6'!N18</f>
        <v>0.4556</v>
      </c>
      <c r="K339" s="255"/>
      <c r="L339" s="255">
        <f>'F6'!N19</f>
        <v>0.21840000000000001</v>
      </c>
      <c r="M339" s="255"/>
      <c r="N339" s="255">
        <f>'F6'!N20</f>
        <v>7.3399999999999993E-2</v>
      </c>
      <c r="O339" s="255"/>
      <c r="P339" s="255">
        <f>'F6'!N21</f>
        <v>4.2500000000000003E-2</v>
      </c>
      <c r="Q339" s="255"/>
      <c r="R339" s="255">
        <f>'F6'!N22</f>
        <v>1.0800000000000001E-2</v>
      </c>
      <c r="S339" s="255"/>
      <c r="T339" s="255">
        <f>'F6'!N23</f>
        <v>0</v>
      </c>
      <c r="U339" s="255"/>
      <c r="V339" s="255">
        <f>'F6'!N24</f>
        <v>0.1993</v>
      </c>
      <c r="W339" s="253"/>
      <c r="X339" s="566">
        <f t="shared" si="197"/>
        <v>1</v>
      </c>
      <c r="AF339" s="245">
        <v>6</v>
      </c>
      <c r="AG339" s="281">
        <f>+'F6'!Y17</f>
        <v>0.37739999999999996</v>
      </c>
      <c r="AH339" s="281"/>
      <c r="AI339" s="281">
        <f>+'F6'!Y18</f>
        <v>8.1299999999999997E-2</v>
      </c>
      <c r="AJ339" s="281"/>
      <c r="AK339" s="281">
        <f>+'F6'!Y19</f>
        <v>0.34200000000000003</v>
      </c>
      <c r="AL339" s="281"/>
      <c r="AM339" s="281"/>
      <c r="AN339" s="281"/>
      <c r="AO339" s="281"/>
      <c r="AP339" s="281"/>
      <c r="AQ339" s="281"/>
      <c r="AR339" s="281"/>
      <c r="AS339" s="281">
        <f>+'F6'!Y20+'F6'!Y21</f>
        <v>0.1993</v>
      </c>
      <c r="AT339" s="281"/>
      <c r="AU339" s="281">
        <f t="shared" si="198"/>
        <v>1</v>
      </c>
    </row>
    <row r="340" spans="4:47" x14ac:dyDescent="0.2">
      <c r="I340" s="245">
        <v>7</v>
      </c>
      <c r="J340" s="255">
        <v>0</v>
      </c>
      <c r="K340" s="255"/>
      <c r="L340" s="255">
        <v>0</v>
      </c>
      <c r="M340" s="255"/>
      <c r="N340" s="255">
        <v>0</v>
      </c>
      <c r="O340" s="255"/>
      <c r="P340" s="255">
        <v>0</v>
      </c>
      <c r="Q340" s="255"/>
      <c r="R340" s="255">
        <v>0</v>
      </c>
      <c r="S340" s="255"/>
      <c r="T340" s="255">
        <v>0</v>
      </c>
      <c r="U340" s="255"/>
      <c r="V340" s="255">
        <v>1</v>
      </c>
      <c r="W340" s="253"/>
      <c r="X340" s="566">
        <f t="shared" si="197"/>
        <v>1</v>
      </c>
      <c r="AF340" s="245">
        <v>7</v>
      </c>
      <c r="AG340" s="281">
        <v>0</v>
      </c>
      <c r="AH340" s="281"/>
      <c r="AI340" s="281">
        <v>0</v>
      </c>
      <c r="AJ340" s="281"/>
      <c r="AK340" s="281">
        <v>0</v>
      </c>
      <c r="AL340" s="281"/>
      <c r="AM340" s="281">
        <v>0</v>
      </c>
      <c r="AN340" s="281"/>
      <c r="AO340" s="281">
        <v>0</v>
      </c>
      <c r="AP340" s="281"/>
      <c r="AQ340" s="281">
        <v>0</v>
      </c>
      <c r="AR340" s="281"/>
      <c r="AS340" s="281">
        <f>+'F7-9'!F15</f>
        <v>1</v>
      </c>
      <c r="AT340" s="281"/>
      <c r="AU340" s="281">
        <f t="shared" si="198"/>
        <v>1</v>
      </c>
    </row>
    <row r="341" spans="4:47" x14ac:dyDescent="0.2">
      <c r="I341" s="245">
        <v>8</v>
      </c>
      <c r="J341" s="255">
        <f>'F7-9'!F29</f>
        <v>0.81120000000000003</v>
      </c>
      <c r="K341" s="255"/>
      <c r="L341" s="255">
        <f>'F7-9'!F30</f>
        <v>0.155</v>
      </c>
      <c r="M341" s="255"/>
      <c r="N341" s="255">
        <f>'F7-9'!F31</f>
        <v>9.7999999999999997E-3</v>
      </c>
      <c r="O341" s="255"/>
      <c r="P341" s="255">
        <f>'F7-9'!F32</f>
        <v>2.29E-2</v>
      </c>
      <c r="Q341" s="255"/>
      <c r="R341" s="255">
        <f>'F7-9'!F33</f>
        <v>1.1000000000000001E-3</v>
      </c>
      <c r="S341" s="255"/>
      <c r="T341" s="255">
        <f>'F7-9'!F34</f>
        <v>0</v>
      </c>
      <c r="U341" s="255"/>
      <c r="V341" s="255">
        <v>0</v>
      </c>
      <c r="W341" s="253"/>
      <c r="X341" s="566">
        <f t="shared" si="197"/>
        <v>1.0000000000000002</v>
      </c>
      <c r="AF341" s="245">
        <v>8</v>
      </c>
      <c r="AG341" s="281">
        <v>0</v>
      </c>
      <c r="AH341" s="281"/>
      <c r="AI341" s="281">
        <v>0</v>
      </c>
      <c r="AJ341" s="281"/>
      <c r="AK341" s="281">
        <v>0</v>
      </c>
      <c r="AL341" s="281"/>
      <c r="AM341" s="281">
        <v>1</v>
      </c>
      <c r="AN341" s="281"/>
      <c r="AO341" s="281">
        <v>0</v>
      </c>
      <c r="AP341" s="281"/>
      <c r="AQ341" s="281">
        <v>0</v>
      </c>
      <c r="AR341" s="281"/>
      <c r="AS341" s="281">
        <v>0</v>
      </c>
      <c r="AT341" s="281"/>
      <c r="AU341" s="281">
        <f t="shared" si="198"/>
        <v>1</v>
      </c>
    </row>
    <row r="342" spans="4:47" x14ac:dyDescent="0.2">
      <c r="I342" s="245">
        <v>9</v>
      </c>
      <c r="J342" s="255">
        <f>'F7-9'!F52</f>
        <v>0.8458</v>
      </c>
      <c r="K342" s="255"/>
      <c r="L342" s="255">
        <f>'F7-9'!F53</f>
        <v>0.13039999999999999</v>
      </c>
      <c r="M342" s="255"/>
      <c r="N342" s="255">
        <f>'F7-9'!F54</f>
        <v>5.7999999999999996E-3</v>
      </c>
      <c r="O342" s="255"/>
      <c r="P342" s="255">
        <f>'F7-9'!F55</f>
        <v>1.7500000000000002E-2</v>
      </c>
      <c r="Q342" s="255"/>
      <c r="R342" s="255">
        <f>'F7-9'!F56</f>
        <v>5.0000000000000001E-4</v>
      </c>
      <c r="S342" s="255"/>
      <c r="T342" s="255">
        <f>'F7-9'!F57</f>
        <v>0</v>
      </c>
      <c r="U342" s="255"/>
      <c r="V342" s="255">
        <v>0</v>
      </c>
      <c r="W342" s="253"/>
      <c r="X342" s="566">
        <f t="shared" si="197"/>
        <v>0.99999999999999989</v>
      </c>
      <c r="AF342" s="245">
        <v>9</v>
      </c>
      <c r="AG342" s="281">
        <v>0</v>
      </c>
      <c r="AH342" s="281"/>
      <c r="AI342" s="281">
        <v>0</v>
      </c>
      <c r="AJ342" s="281"/>
      <c r="AK342" s="281">
        <v>0</v>
      </c>
      <c r="AL342" s="281"/>
      <c r="AM342" s="281">
        <v>0</v>
      </c>
      <c r="AN342" s="281"/>
      <c r="AO342" s="281">
        <f>1-AS342</f>
        <v>1</v>
      </c>
      <c r="AP342" s="281"/>
      <c r="AQ342" s="281">
        <v>0</v>
      </c>
      <c r="AR342" s="281"/>
      <c r="AS342" s="281">
        <f>+'F7-9'!F57</f>
        <v>0</v>
      </c>
      <c r="AT342" s="281"/>
      <c r="AU342" s="281">
        <f t="shared" si="198"/>
        <v>1</v>
      </c>
    </row>
    <row r="343" spans="4:47" x14ac:dyDescent="0.2">
      <c r="I343" s="245"/>
      <c r="J343" s="256"/>
      <c r="K343" s="256"/>
      <c r="L343" s="256"/>
      <c r="M343" s="256"/>
      <c r="N343" s="256"/>
      <c r="O343" s="256"/>
      <c r="P343" s="256"/>
      <c r="Q343" s="256"/>
      <c r="R343" s="256"/>
      <c r="S343" s="256"/>
      <c r="T343" s="256"/>
      <c r="U343" s="256"/>
      <c r="V343" s="256"/>
      <c r="W343" s="254"/>
      <c r="X343" s="566"/>
      <c r="AF343" s="245"/>
      <c r="AG343" s="281">
        <f>+AG309</f>
        <v>0</v>
      </c>
      <c r="AH343" s="281">
        <f t="shared" ref="AH343:AS343" si="199">+AH309</f>
        <v>0</v>
      </c>
      <c r="AI343" s="281">
        <f t="shared" si="199"/>
        <v>0</v>
      </c>
      <c r="AJ343" s="281">
        <f t="shared" si="199"/>
        <v>0</v>
      </c>
      <c r="AK343" s="281">
        <f t="shared" si="199"/>
        <v>0</v>
      </c>
      <c r="AL343" s="281">
        <f t="shared" si="199"/>
        <v>0</v>
      </c>
      <c r="AM343" s="281">
        <f t="shared" si="199"/>
        <v>0</v>
      </c>
      <c r="AN343" s="281">
        <f t="shared" si="199"/>
        <v>0</v>
      </c>
      <c r="AO343" s="281">
        <f t="shared" si="199"/>
        <v>0</v>
      </c>
      <c r="AP343" s="281">
        <f t="shared" si="199"/>
        <v>0</v>
      </c>
      <c r="AQ343" s="281">
        <f t="shared" si="199"/>
        <v>0</v>
      </c>
      <c r="AR343" s="281">
        <f t="shared" si="199"/>
        <v>0</v>
      </c>
      <c r="AS343" s="281">
        <f t="shared" si="199"/>
        <v>0</v>
      </c>
      <c r="AT343" s="281"/>
      <c r="AU343" s="281">
        <f t="shared" si="198"/>
        <v>0</v>
      </c>
    </row>
    <row r="344" spans="4:47" x14ac:dyDescent="0.2">
      <c r="I344" s="245">
        <v>11</v>
      </c>
      <c r="J344" s="256">
        <f>+J311</f>
        <v>0.49680000000000002</v>
      </c>
      <c r="K344" s="256"/>
      <c r="L344" s="256">
        <f>+L311</f>
        <v>0.19</v>
      </c>
      <c r="M344" s="256"/>
      <c r="N344" s="256">
        <f>+N311</f>
        <v>5.7000000000000002E-2</v>
      </c>
      <c r="O344" s="256"/>
      <c r="P344" s="256">
        <f>+P311</f>
        <v>3.5499999999999997E-2</v>
      </c>
      <c r="Q344" s="256"/>
      <c r="R344" s="256">
        <f>+R311</f>
        <v>9.7000000000000003E-3</v>
      </c>
      <c r="S344" s="256"/>
      <c r="T344" s="256">
        <f>+T311</f>
        <v>0</v>
      </c>
      <c r="U344" s="256"/>
      <c r="V344" s="256">
        <f>+V311</f>
        <v>0.21099999999999999</v>
      </c>
      <c r="W344" s="254"/>
      <c r="X344" s="566">
        <f t="shared" ref="X344:X353" si="200">SUM(J344:W344)</f>
        <v>1.0000000000000002</v>
      </c>
      <c r="AF344" s="245">
        <v>11</v>
      </c>
      <c r="AG344" s="281">
        <f>+AG311</f>
        <v>0.28710000000000002</v>
      </c>
      <c r="AH344" s="281">
        <f t="shared" ref="AH344:AS344" si="201">+AH311</f>
        <v>0</v>
      </c>
      <c r="AI344" s="281">
        <f t="shared" si="201"/>
        <v>5.7500000000000002E-2</v>
      </c>
      <c r="AJ344" s="281">
        <f t="shared" si="201"/>
        <v>0</v>
      </c>
      <c r="AK344" s="281">
        <f t="shared" si="201"/>
        <v>0.27039999999999997</v>
      </c>
      <c r="AL344" s="281">
        <f t="shared" si="201"/>
        <v>0</v>
      </c>
      <c r="AM344" s="281">
        <f t="shared" si="201"/>
        <v>0</v>
      </c>
      <c r="AN344" s="281">
        <f t="shared" si="201"/>
        <v>0</v>
      </c>
      <c r="AO344" s="281">
        <f t="shared" si="201"/>
        <v>0.17399999999999999</v>
      </c>
      <c r="AP344" s="281">
        <f t="shared" si="201"/>
        <v>0</v>
      </c>
      <c r="AQ344" s="281">
        <f t="shared" si="201"/>
        <v>0</v>
      </c>
      <c r="AR344" s="281">
        <f t="shared" si="201"/>
        <v>0</v>
      </c>
      <c r="AS344" s="281">
        <f t="shared" si="201"/>
        <v>0.21099999999999999</v>
      </c>
      <c r="AT344" s="281"/>
      <c r="AU344" s="281">
        <f t="shared" si="198"/>
        <v>0.99999999999999989</v>
      </c>
    </row>
    <row r="345" spans="4:47" x14ac:dyDescent="0.2">
      <c r="I345" s="245">
        <v>12</v>
      </c>
      <c r="J345" s="567">
        <f>+'F12-13'!F15</f>
        <v>0.92239000000000004</v>
      </c>
      <c r="K345" s="567"/>
      <c r="L345" s="567">
        <f>+'F12-13'!F16</f>
        <v>6.9949999999999998E-2</v>
      </c>
      <c r="M345" s="567"/>
      <c r="N345" s="567">
        <f>+'F12-13'!F17</f>
        <v>1.3500000000000001E-3</v>
      </c>
      <c r="O345" s="567"/>
      <c r="P345" s="567">
        <f>+'F12-13'!F18</f>
        <v>6.11E-3</v>
      </c>
      <c r="Q345" s="567"/>
      <c r="R345" s="567">
        <f>+'F12-13'!F19</f>
        <v>2.0000000000000001E-4</v>
      </c>
      <c r="S345" s="567"/>
      <c r="T345" s="567">
        <f>+'F12-13'!F20</f>
        <v>0</v>
      </c>
      <c r="U345" s="567"/>
      <c r="V345" s="567"/>
      <c r="W345" s="567"/>
      <c r="X345" s="568">
        <f t="shared" si="200"/>
        <v>0.99999999999999989</v>
      </c>
      <c r="AF345" s="245">
        <v>12</v>
      </c>
      <c r="AG345" s="281">
        <v>0</v>
      </c>
      <c r="AH345" s="281"/>
      <c r="AI345" s="281">
        <v>0</v>
      </c>
      <c r="AJ345" s="281"/>
      <c r="AK345" s="281">
        <v>0</v>
      </c>
      <c r="AL345" s="281">
        <v>0</v>
      </c>
      <c r="AM345" s="281">
        <v>0</v>
      </c>
      <c r="AN345" s="281"/>
      <c r="AO345" s="281">
        <v>0</v>
      </c>
      <c r="AP345" s="281"/>
      <c r="AQ345" s="281">
        <f>1-AS345</f>
        <v>1</v>
      </c>
      <c r="AR345" s="281"/>
      <c r="AS345" s="281">
        <f>+'F12-13'!F20</f>
        <v>0</v>
      </c>
      <c r="AT345" s="281"/>
      <c r="AU345" s="281">
        <f t="shared" si="198"/>
        <v>1</v>
      </c>
    </row>
    <row r="346" spans="4:47" x14ac:dyDescent="0.2">
      <c r="I346" s="245">
        <v>13</v>
      </c>
      <c r="J346" s="255"/>
      <c r="K346" s="255"/>
      <c r="L346" s="255"/>
      <c r="M346" s="255"/>
      <c r="N346" s="255"/>
      <c r="O346" s="255"/>
      <c r="P346" s="255"/>
      <c r="Q346" s="255"/>
      <c r="R346" s="255"/>
      <c r="S346" s="255"/>
      <c r="T346" s="255">
        <v>0</v>
      </c>
      <c r="U346" s="255"/>
      <c r="V346" s="255">
        <v>0</v>
      </c>
      <c r="W346" s="254"/>
      <c r="X346" s="566"/>
      <c r="AF346" s="245">
        <v>13</v>
      </c>
      <c r="AG346" s="281"/>
      <c r="AH346" s="281"/>
      <c r="AI346" s="281"/>
      <c r="AJ346" s="281"/>
      <c r="AK346" s="281"/>
      <c r="AL346" s="281"/>
      <c r="AM346" s="281"/>
      <c r="AN346" s="281"/>
      <c r="AO346" s="281"/>
      <c r="AP346" s="281"/>
      <c r="AQ346" s="281"/>
      <c r="AR346" s="281"/>
      <c r="AS346" s="281"/>
      <c r="AT346" s="281"/>
      <c r="AU346" s="281"/>
    </row>
    <row r="347" spans="4:47" x14ac:dyDescent="0.2">
      <c r="I347" s="245">
        <v>14</v>
      </c>
      <c r="J347" s="256">
        <f t="shared" ref="J347:V347" si="202">+J313</f>
        <v>0.56720000000000004</v>
      </c>
      <c r="K347" s="256"/>
      <c r="L347" s="256">
        <f t="shared" si="202"/>
        <v>0.1978</v>
      </c>
      <c r="M347" s="256"/>
      <c r="N347" s="256">
        <f t="shared" si="202"/>
        <v>6.1600000000000002E-2</v>
      </c>
      <c r="O347" s="256"/>
      <c r="P347" s="256">
        <f t="shared" si="202"/>
        <v>3.85E-2</v>
      </c>
      <c r="Q347" s="256"/>
      <c r="R347" s="256">
        <f t="shared" si="202"/>
        <v>1.9099999999999999E-2</v>
      </c>
      <c r="S347" s="256">
        <f t="shared" si="202"/>
        <v>0</v>
      </c>
      <c r="T347" s="256">
        <f t="shared" si="202"/>
        <v>0</v>
      </c>
      <c r="U347" s="256"/>
      <c r="V347" s="256">
        <f t="shared" si="202"/>
        <v>0.1158</v>
      </c>
      <c r="W347" s="254"/>
      <c r="X347" s="566">
        <f t="shared" si="200"/>
        <v>1</v>
      </c>
      <c r="AF347" s="245">
        <v>14</v>
      </c>
      <c r="AG347" s="281">
        <f>+AG313</f>
        <v>0.33650000000000002</v>
      </c>
      <c r="AH347" s="281">
        <f t="shared" ref="AH347:AS347" si="203">+AH313</f>
        <v>0</v>
      </c>
      <c r="AI347" s="281">
        <f t="shared" si="203"/>
        <v>0.13619999999999999</v>
      </c>
      <c r="AJ347" s="281">
        <f t="shared" si="203"/>
        <v>0</v>
      </c>
      <c r="AK347" s="281">
        <f t="shared" si="203"/>
        <v>0.15609999999999999</v>
      </c>
      <c r="AL347" s="281">
        <f t="shared" si="203"/>
        <v>0</v>
      </c>
      <c r="AM347" s="281">
        <f t="shared" si="203"/>
        <v>6.3399999999999998E-2</v>
      </c>
      <c r="AN347" s="281">
        <f t="shared" si="203"/>
        <v>0</v>
      </c>
      <c r="AO347" s="281">
        <f t="shared" si="203"/>
        <v>7.7399999999999997E-2</v>
      </c>
      <c r="AP347" s="281">
        <f t="shared" si="203"/>
        <v>0</v>
      </c>
      <c r="AQ347" s="281">
        <f t="shared" si="203"/>
        <v>0.11459999999999999</v>
      </c>
      <c r="AR347" s="281">
        <f t="shared" si="203"/>
        <v>0</v>
      </c>
      <c r="AS347" s="281">
        <f t="shared" si="203"/>
        <v>0.1158</v>
      </c>
      <c r="AT347" s="281"/>
      <c r="AU347" s="281">
        <f t="shared" si="198"/>
        <v>1</v>
      </c>
    </row>
    <row r="348" spans="4:47" x14ac:dyDescent="0.2">
      <c r="I348" s="245">
        <v>15</v>
      </c>
      <c r="J348" s="256">
        <f ca="1">+J315</f>
        <v>0.55840000000000001</v>
      </c>
      <c r="K348" s="256"/>
      <c r="L348" s="256">
        <f ca="1">+L315</f>
        <v>0.21240000000000001</v>
      </c>
      <c r="M348" s="256"/>
      <c r="N348" s="256">
        <f ca="1">+N315</f>
        <v>7.0400000000000004E-2</v>
      </c>
      <c r="O348" s="256"/>
      <c r="P348" s="256">
        <f ca="1">+P315</f>
        <v>4.3099999999999999E-2</v>
      </c>
      <c r="Q348" s="256"/>
      <c r="R348" s="256">
        <f ca="1">+R315</f>
        <v>2.58E-2</v>
      </c>
      <c r="S348" s="256"/>
      <c r="T348" s="256">
        <f ca="1">+T315</f>
        <v>0</v>
      </c>
      <c r="U348" s="256"/>
      <c r="V348" s="256">
        <f ca="1">+V315</f>
        <v>8.9899999999999994E-2</v>
      </c>
      <c r="W348" s="254"/>
      <c r="X348" s="566">
        <f t="shared" ca="1" si="200"/>
        <v>1.0000000000000002</v>
      </c>
      <c r="AF348" s="245">
        <v>15</v>
      </c>
      <c r="AG348" s="281">
        <f ca="1">+AG315</f>
        <v>0.46579999999999999</v>
      </c>
      <c r="AH348" s="281"/>
      <c r="AI348" s="281">
        <f ca="1">+AI315</f>
        <v>0.1091</v>
      </c>
      <c r="AJ348" s="281"/>
      <c r="AK348" s="281">
        <f ca="1">+AK315</f>
        <v>0.121</v>
      </c>
      <c r="AL348" s="281"/>
      <c r="AM348" s="281">
        <f ca="1">+AM315</f>
        <v>5.6899999999999999E-2</v>
      </c>
      <c r="AN348" s="281"/>
      <c r="AO348" s="281">
        <f ca="1">+AO315</f>
        <v>5.4600000000000003E-2</v>
      </c>
      <c r="AP348" s="281"/>
      <c r="AQ348" s="281">
        <f ca="1">+AQ315</f>
        <v>0.1027</v>
      </c>
      <c r="AR348" s="281"/>
      <c r="AS348" s="281">
        <f ca="1">+AS315</f>
        <v>8.9899999999999994E-2</v>
      </c>
      <c r="AT348" s="281"/>
      <c r="AU348" s="281">
        <f ca="1">SUM(AG348:AS348)</f>
        <v>0.99999999999999989</v>
      </c>
    </row>
    <row r="349" spans="4:47" x14ac:dyDescent="0.2">
      <c r="I349" s="245">
        <v>16</v>
      </c>
      <c r="J349" s="256">
        <f t="shared" ref="J349:V349" si="204">+J317</f>
        <v>0.56469999999999998</v>
      </c>
      <c r="K349" s="256"/>
      <c r="L349" s="256">
        <f t="shared" si="204"/>
        <v>0.20519999999999999</v>
      </c>
      <c r="M349" s="256"/>
      <c r="N349" s="256">
        <f t="shared" si="204"/>
        <v>6.4600000000000005E-2</v>
      </c>
      <c r="O349" s="256"/>
      <c r="P349" s="256">
        <f t="shared" si="204"/>
        <v>4.0300000000000002E-2</v>
      </c>
      <c r="Q349" s="256"/>
      <c r="R349" s="256">
        <f t="shared" si="204"/>
        <v>2.0400000000000001E-2</v>
      </c>
      <c r="S349" s="256">
        <f t="shared" si="204"/>
        <v>0</v>
      </c>
      <c r="T349" s="256">
        <f t="shared" si="204"/>
        <v>0</v>
      </c>
      <c r="U349" s="256"/>
      <c r="V349" s="256">
        <f t="shared" si="204"/>
        <v>0.1048</v>
      </c>
      <c r="W349" s="254"/>
      <c r="X349" s="566">
        <f t="shared" si="200"/>
        <v>1</v>
      </c>
      <c r="AF349" s="245">
        <v>16</v>
      </c>
      <c r="AG349" s="281">
        <f>+AG317</f>
        <v>0.35509999999999997</v>
      </c>
      <c r="AH349" s="281">
        <f t="shared" ref="AH349:AS349" si="205">+AH317</f>
        <v>0</v>
      </c>
      <c r="AI349" s="281">
        <f t="shared" si="205"/>
        <v>0.15029999999999999</v>
      </c>
      <c r="AJ349" s="281">
        <f t="shared" si="205"/>
        <v>0</v>
      </c>
      <c r="AK349" s="281">
        <f t="shared" si="205"/>
        <v>0.14910000000000001</v>
      </c>
      <c r="AL349" s="281">
        <f t="shared" si="205"/>
        <v>0</v>
      </c>
      <c r="AM349" s="281">
        <f t="shared" si="205"/>
        <v>0.1048</v>
      </c>
      <c r="AN349" s="281">
        <f t="shared" si="205"/>
        <v>0</v>
      </c>
      <c r="AO349" s="281">
        <f t="shared" si="205"/>
        <v>4.3200000000000002E-2</v>
      </c>
      <c r="AP349" s="281">
        <f t="shared" si="205"/>
        <v>0</v>
      </c>
      <c r="AQ349" s="281">
        <f t="shared" si="205"/>
        <v>9.2700000000000005E-2</v>
      </c>
      <c r="AR349" s="281">
        <f t="shared" si="205"/>
        <v>0</v>
      </c>
      <c r="AS349" s="281">
        <f t="shared" si="205"/>
        <v>0.1048</v>
      </c>
      <c r="AT349" s="281"/>
      <c r="AU349" s="281">
        <f t="shared" si="198"/>
        <v>1</v>
      </c>
    </row>
    <row r="350" spans="4:47" x14ac:dyDescent="0.2">
      <c r="I350" s="245">
        <v>17</v>
      </c>
      <c r="J350" s="256">
        <f t="shared" ref="J350:V350" si="206">+J319</f>
        <v>0.504</v>
      </c>
      <c r="K350" s="256"/>
      <c r="L350" s="256">
        <f t="shared" si="206"/>
        <v>0.2218</v>
      </c>
      <c r="M350" s="256"/>
      <c r="N350" s="256">
        <f t="shared" si="206"/>
        <v>7.5999999999999998E-2</v>
      </c>
      <c r="O350" s="256"/>
      <c r="P350" s="256">
        <f t="shared" si="206"/>
        <v>4.5600000000000002E-2</v>
      </c>
      <c r="Q350" s="256"/>
      <c r="R350" s="256">
        <f t="shared" si="206"/>
        <v>2.7699999999999999E-2</v>
      </c>
      <c r="S350" s="256">
        <f t="shared" si="206"/>
        <v>0</v>
      </c>
      <c r="T350" s="256">
        <f t="shared" si="206"/>
        <v>0</v>
      </c>
      <c r="U350" s="256"/>
      <c r="V350" s="256">
        <f t="shared" si="206"/>
        <v>0.1249</v>
      </c>
      <c r="W350" s="254"/>
      <c r="X350" s="566">
        <f t="shared" si="200"/>
        <v>0.99999999999999989</v>
      </c>
      <c r="AF350" s="245">
        <v>17</v>
      </c>
      <c r="AG350" s="281">
        <f>+AG319</f>
        <v>0.43230000000000002</v>
      </c>
      <c r="AH350" s="281">
        <f t="shared" ref="AH350:AS350" si="207">+AH319</f>
        <v>0</v>
      </c>
      <c r="AI350" s="281">
        <f t="shared" si="207"/>
        <v>0.2041</v>
      </c>
      <c r="AJ350" s="281">
        <f t="shared" si="207"/>
        <v>0</v>
      </c>
      <c r="AK350" s="281">
        <f t="shared" si="207"/>
        <v>0.13270000000000001</v>
      </c>
      <c r="AL350" s="281">
        <f t="shared" si="207"/>
        <v>0</v>
      </c>
      <c r="AM350" s="281">
        <f t="shared" si="207"/>
        <v>4.2799999999999998E-2</v>
      </c>
      <c r="AN350" s="281">
        <f t="shared" si="207"/>
        <v>0</v>
      </c>
      <c r="AO350" s="281">
        <f t="shared" si="207"/>
        <v>5.8099999999999999E-2</v>
      </c>
      <c r="AP350" s="281">
        <f t="shared" si="207"/>
        <v>0</v>
      </c>
      <c r="AQ350" s="281">
        <f t="shared" si="207"/>
        <v>5.1000000000000004E-3</v>
      </c>
      <c r="AR350" s="281">
        <f t="shared" si="207"/>
        <v>0</v>
      </c>
      <c r="AS350" s="281">
        <f t="shared" si="207"/>
        <v>0.1249</v>
      </c>
      <c r="AT350" s="281"/>
      <c r="AU350" s="281">
        <f t="shared" si="198"/>
        <v>1</v>
      </c>
    </row>
    <row r="351" spans="4:47" x14ac:dyDescent="0.2">
      <c r="I351" s="245">
        <v>18</v>
      </c>
      <c r="J351" s="255">
        <f ca="1">+J321</f>
        <v>0.50580000000000003</v>
      </c>
      <c r="K351" s="255"/>
      <c r="L351" s="255">
        <f ca="1">+L321</f>
        <v>0.22239999999999999</v>
      </c>
      <c r="M351" s="255"/>
      <c r="N351" s="255">
        <f ca="1">+N321</f>
        <v>7.6799999999999993E-2</v>
      </c>
      <c r="O351" s="255"/>
      <c r="P351" s="255">
        <f ca="1">+P321</f>
        <v>4.6100000000000002E-2</v>
      </c>
      <c r="Q351" s="255"/>
      <c r="R351" s="255">
        <f ca="1">+R321</f>
        <v>0.03</v>
      </c>
      <c r="S351" s="255"/>
      <c r="T351" s="255">
        <f ca="1">+T321</f>
        <v>0</v>
      </c>
      <c r="U351" s="255"/>
      <c r="V351" s="255">
        <f ca="1">+V321</f>
        <v>0.11890000000000001</v>
      </c>
      <c r="W351" s="254"/>
      <c r="X351" s="566">
        <f t="shared" ca="1" si="200"/>
        <v>1</v>
      </c>
      <c r="AF351" s="245">
        <v>18</v>
      </c>
      <c r="AG351" s="281">
        <f ca="1">+AG321</f>
        <v>0.4415</v>
      </c>
      <c r="AH351" s="281">
        <f t="shared" ref="AH351:AS351" si="208">+AH321</f>
        <v>0</v>
      </c>
      <c r="AI351" s="281">
        <f t="shared" ca="1" si="208"/>
        <v>0.21959999999999999</v>
      </c>
      <c r="AJ351" s="281">
        <f t="shared" si="208"/>
        <v>0</v>
      </c>
      <c r="AK351" s="281">
        <f t="shared" ca="1" si="208"/>
        <v>0.1094</v>
      </c>
      <c r="AL351" s="281">
        <f t="shared" si="208"/>
        <v>0</v>
      </c>
      <c r="AM351" s="281">
        <f t="shared" ca="1" si="208"/>
        <v>4.5400000000000003E-2</v>
      </c>
      <c r="AN351" s="281">
        <f t="shared" si="208"/>
        <v>0</v>
      </c>
      <c r="AO351" s="281">
        <f t="shared" ca="1" si="208"/>
        <v>5.9299999999999999E-2</v>
      </c>
      <c r="AP351" s="281">
        <f t="shared" si="208"/>
        <v>0</v>
      </c>
      <c r="AQ351" s="281">
        <f t="shared" ca="1" si="208"/>
        <v>5.8999999999999999E-3</v>
      </c>
      <c r="AR351" s="281">
        <f t="shared" si="208"/>
        <v>0</v>
      </c>
      <c r="AS351" s="281">
        <f t="shared" ca="1" si="208"/>
        <v>0.11890000000000001</v>
      </c>
      <c r="AT351" s="281"/>
      <c r="AU351" s="281">
        <f t="shared" ca="1" si="198"/>
        <v>1</v>
      </c>
    </row>
    <row r="352" spans="4:47" x14ac:dyDescent="0.2">
      <c r="I352" s="245">
        <v>19</v>
      </c>
      <c r="J352" s="255">
        <f ca="1">+J323</f>
        <v>0.53200000000000003</v>
      </c>
      <c r="K352" s="255"/>
      <c r="L352" s="255">
        <f ca="1">+L323</f>
        <v>0.21759999999999999</v>
      </c>
      <c r="M352" s="255"/>
      <c r="N352" s="255">
        <f ca="1">+N323</f>
        <v>7.3499999999999996E-2</v>
      </c>
      <c r="O352" s="255"/>
      <c r="P352" s="255">
        <f ca="1">+P323</f>
        <v>4.4600000000000001E-2</v>
      </c>
      <c r="Q352" s="255"/>
      <c r="R352" s="255">
        <f ca="1">+R323</f>
        <v>2.8000000000000001E-2</v>
      </c>
      <c r="S352" s="255"/>
      <c r="T352" s="255">
        <f ca="1">+T323</f>
        <v>0</v>
      </c>
      <c r="U352" s="255"/>
      <c r="V352" s="255">
        <f ca="1">+V323</f>
        <v>0.1043</v>
      </c>
      <c r="W352" s="254"/>
      <c r="X352" s="566">
        <f t="shared" ca="1" si="200"/>
        <v>1</v>
      </c>
      <c r="AF352" s="245">
        <v>19</v>
      </c>
      <c r="AG352" s="281">
        <f ca="1">+AG323</f>
        <v>0.44790000000000002</v>
      </c>
      <c r="AH352" s="281">
        <f t="shared" ref="AH352:AR352" si="209">+AH323</f>
        <v>0</v>
      </c>
      <c r="AI352" s="281">
        <f t="shared" ca="1" si="209"/>
        <v>0.17119999999999999</v>
      </c>
      <c r="AJ352" s="281">
        <f t="shared" si="209"/>
        <v>0</v>
      </c>
      <c r="AK352" s="281">
        <f t="shared" ca="1" si="209"/>
        <v>0.113</v>
      </c>
      <c r="AL352" s="281">
        <f t="shared" si="209"/>
        <v>0</v>
      </c>
      <c r="AM352" s="281">
        <f t="shared" ca="1" si="209"/>
        <v>5.5800000000000002E-2</v>
      </c>
      <c r="AN352" s="281">
        <f t="shared" si="209"/>
        <v>0</v>
      </c>
      <c r="AO352" s="281">
        <f t="shared" ca="1" si="209"/>
        <v>5.9200000000000003E-2</v>
      </c>
      <c r="AP352" s="281">
        <f t="shared" si="209"/>
        <v>0</v>
      </c>
      <c r="AQ352" s="281">
        <f t="shared" ca="1" si="209"/>
        <v>4.8599999999999997E-2</v>
      </c>
      <c r="AR352" s="281">
        <f t="shared" si="209"/>
        <v>0</v>
      </c>
      <c r="AS352" s="281">
        <f ca="1">+AS323</f>
        <v>0.1043</v>
      </c>
      <c r="AT352" s="281"/>
      <c r="AU352" s="281">
        <f t="shared" ca="1" si="198"/>
        <v>1</v>
      </c>
    </row>
    <row r="353" spans="8:47" x14ac:dyDescent="0.2">
      <c r="I353" s="245">
        <v>20</v>
      </c>
      <c r="J353" s="255">
        <f>+'F 14-20'!F156</f>
        <v>0.81210000000000004</v>
      </c>
      <c r="K353" s="255"/>
      <c r="L353" s="255">
        <f>+'F 14-20'!F157</f>
        <v>0.1552</v>
      </c>
      <c r="M353" s="255"/>
      <c r="N353" s="255">
        <f>+'F 14-20'!F158</f>
        <v>9.7999999999999997E-3</v>
      </c>
      <c r="O353" s="255"/>
      <c r="P353" s="255">
        <f>+'F 14-20'!F159</f>
        <v>2.29E-2</v>
      </c>
      <c r="Q353" s="255"/>
      <c r="R353" s="255"/>
      <c r="S353" s="255"/>
      <c r="T353" s="255">
        <f>+'F 14-20'!F160</f>
        <v>0</v>
      </c>
      <c r="U353" s="255"/>
      <c r="V353" s="255"/>
      <c r="W353" s="253"/>
      <c r="X353" s="566">
        <f t="shared" si="200"/>
        <v>1</v>
      </c>
      <c r="AF353" s="245">
        <v>20</v>
      </c>
      <c r="AG353" s="281"/>
      <c r="AH353" s="281"/>
      <c r="AI353" s="281"/>
      <c r="AJ353" s="281"/>
      <c r="AK353" s="281"/>
      <c r="AL353" s="281"/>
      <c r="AM353" s="281">
        <v>1</v>
      </c>
      <c r="AN353" s="281"/>
      <c r="AO353" s="281"/>
      <c r="AP353" s="281"/>
      <c r="AQ353" s="281"/>
      <c r="AR353" s="281"/>
      <c r="AS353" s="281"/>
      <c r="AT353" s="281"/>
      <c r="AU353" s="281">
        <f t="shared" si="198"/>
        <v>1</v>
      </c>
    </row>
    <row r="354" spans="8:47" x14ac:dyDescent="0.2">
      <c r="I354"/>
      <c r="J354" s="162"/>
      <c r="K354" s="161"/>
      <c r="L354" s="161"/>
      <c r="M354" s="161"/>
      <c r="N354" s="161"/>
      <c r="O354" s="161"/>
      <c r="P354" s="161"/>
      <c r="Q354" s="161"/>
      <c r="R354" s="161"/>
      <c r="S354" s="161"/>
      <c r="T354" s="161"/>
      <c r="U354" s="161"/>
      <c r="V354" s="161"/>
      <c r="W354" s="161"/>
      <c r="X354" s="564"/>
      <c r="AF354" s="282"/>
      <c r="AG354" s="282"/>
      <c r="AH354" s="282"/>
      <c r="AI354" s="282"/>
      <c r="AJ354" s="282"/>
      <c r="AK354" s="282"/>
      <c r="AL354" s="282"/>
      <c r="AM354" s="282"/>
      <c r="AN354" s="282"/>
      <c r="AO354" s="282"/>
      <c r="AP354" s="282"/>
      <c r="AQ354" s="282"/>
      <c r="AR354" s="282"/>
      <c r="AS354" s="282"/>
      <c r="AT354" s="282"/>
      <c r="AU354" s="282"/>
    </row>
    <row r="355" spans="8:47" x14ac:dyDescent="0.2">
      <c r="I355"/>
      <c r="J355" s="162"/>
      <c r="K355" s="161"/>
      <c r="L355" s="161"/>
      <c r="M355" s="161"/>
      <c r="N355" s="161"/>
      <c r="O355" s="161"/>
      <c r="P355" s="161"/>
      <c r="Q355" s="161"/>
      <c r="R355" s="161"/>
      <c r="S355" s="161"/>
      <c r="T355" s="161"/>
      <c r="U355" s="161"/>
      <c r="V355" s="161"/>
      <c r="W355" s="161"/>
      <c r="X355" s="564"/>
    </row>
    <row r="356" spans="8:47" x14ac:dyDescent="0.2">
      <c r="I356"/>
      <c r="J356" s="162"/>
      <c r="K356" s="161"/>
      <c r="L356" s="161"/>
      <c r="M356" s="161"/>
      <c r="N356" s="161"/>
      <c r="O356" s="161"/>
      <c r="P356" s="161"/>
      <c r="Q356" s="161"/>
      <c r="R356" s="161"/>
      <c r="S356" s="161"/>
      <c r="T356" s="161"/>
      <c r="U356" s="161"/>
      <c r="V356" s="161"/>
      <c r="W356" s="161"/>
      <c r="X356" s="564"/>
    </row>
    <row r="357" spans="8:47" x14ac:dyDescent="0.2">
      <c r="I357" s="245"/>
      <c r="J357" s="306"/>
      <c r="K357" s="253"/>
      <c r="L357" s="253"/>
      <c r="M357" s="161"/>
      <c r="N357" s="161"/>
      <c r="O357" s="161"/>
      <c r="P357" s="161"/>
      <c r="Q357" s="161"/>
      <c r="R357" s="161"/>
      <c r="S357" s="161"/>
      <c r="T357" s="161"/>
      <c r="U357" s="161"/>
      <c r="V357" s="161"/>
      <c r="W357" s="161"/>
      <c r="X357" s="564"/>
    </row>
    <row r="358" spans="8:47" x14ac:dyDescent="0.2">
      <c r="H358" s="530"/>
      <c r="I358" s="245"/>
      <c r="J358" s="306"/>
      <c r="K358" s="253"/>
      <c r="L358" s="253"/>
      <c r="M358" s="161"/>
      <c r="N358" s="161"/>
      <c r="O358" s="161"/>
      <c r="P358" s="161"/>
      <c r="Q358" s="161"/>
      <c r="R358" s="161"/>
      <c r="S358" s="161"/>
      <c r="T358" s="161"/>
      <c r="U358" s="161"/>
      <c r="V358" s="161"/>
      <c r="W358" s="161"/>
      <c r="X358" s="564"/>
    </row>
    <row r="359" spans="8:47" x14ac:dyDescent="0.2">
      <c r="H359" s="530"/>
      <c r="I359" s="245"/>
      <c r="J359" s="306"/>
      <c r="K359" s="253"/>
      <c r="L359" s="253"/>
      <c r="M359" s="161"/>
      <c r="N359" s="161"/>
      <c r="O359" s="161"/>
      <c r="P359" s="161"/>
      <c r="Q359" s="161"/>
      <c r="R359" s="161"/>
      <c r="S359" s="161"/>
      <c r="T359" s="161"/>
      <c r="U359" s="161"/>
      <c r="V359" s="161"/>
      <c r="W359" s="161"/>
      <c r="X359" s="564"/>
    </row>
    <row r="360" spans="8:47" x14ac:dyDescent="0.2">
      <c r="H360" s="530"/>
      <c r="I360" s="245"/>
      <c r="J360" s="306"/>
      <c r="K360" s="253"/>
      <c r="L360" s="253"/>
      <c r="M360" s="161"/>
      <c r="N360" s="161"/>
      <c r="O360" s="161"/>
      <c r="P360" s="161"/>
      <c r="Q360" s="161"/>
      <c r="R360" s="161"/>
      <c r="S360" s="161"/>
      <c r="T360" s="161"/>
      <c r="U360" s="161"/>
      <c r="V360" s="161"/>
      <c r="W360" s="161"/>
      <c r="X360" s="564"/>
    </row>
    <row r="361" spans="8:47" x14ac:dyDescent="0.2">
      <c r="H361" s="530"/>
      <c r="I361" s="245"/>
      <c r="J361" s="306"/>
      <c r="K361" s="253"/>
      <c r="L361" s="253"/>
      <c r="M361" s="161"/>
      <c r="N361" s="161"/>
      <c r="O361" s="161"/>
      <c r="P361" s="161"/>
      <c r="Q361" s="161"/>
      <c r="R361" s="161"/>
      <c r="S361" s="161"/>
      <c r="T361" s="161"/>
      <c r="U361" s="161"/>
      <c r="V361" s="161"/>
      <c r="W361" s="161"/>
      <c r="X361" s="564"/>
    </row>
    <row r="362" spans="8:47" x14ac:dyDescent="0.2">
      <c r="H362" s="530"/>
      <c r="I362" s="245"/>
      <c r="J362" s="306"/>
      <c r="K362" s="253"/>
      <c r="L362" s="253"/>
      <c r="M362" s="161"/>
      <c r="N362" s="161"/>
      <c r="O362" s="161"/>
      <c r="P362" s="161"/>
      <c r="Q362" s="161"/>
      <c r="R362" s="161"/>
      <c r="S362" s="161"/>
      <c r="T362" s="161"/>
      <c r="U362" s="161"/>
      <c r="V362" s="161"/>
      <c r="W362" s="161"/>
      <c r="X362" s="564"/>
    </row>
    <row r="363" spans="8:47" x14ac:dyDescent="0.2">
      <c r="H363" s="530"/>
      <c r="I363" s="245"/>
      <c r="J363" s="306"/>
      <c r="K363" s="253"/>
      <c r="L363" s="253"/>
      <c r="M363" s="161"/>
      <c r="N363" s="161"/>
      <c r="O363" s="161"/>
      <c r="P363" s="161"/>
      <c r="Q363" s="161"/>
      <c r="R363" s="161"/>
      <c r="S363" s="161"/>
      <c r="T363" s="161"/>
      <c r="U363" s="161"/>
      <c r="V363" s="161"/>
      <c r="W363" s="161"/>
      <c r="X363" s="564"/>
    </row>
    <row r="364" spans="8:47" x14ac:dyDescent="0.2">
      <c r="H364" s="531"/>
      <c r="I364" s="312"/>
      <c r="J364" s="311"/>
      <c r="K364" s="312"/>
      <c r="L364" s="312"/>
      <c r="M364" s="159"/>
      <c r="N364" s="159"/>
      <c r="O364" s="159"/>
      <c r="P364" s="159"/>
      <c r="Q364" s="159"/>
      <c r="R364" s="159"/>
      <c r="S364" s="159"/>
      <c r="T364" s="159"/>
      <c r="U364" s="159"/>
      <c r="V364" s="159"/>
      <c r="W364" s="159"/>
      <c r="X364" s="564"/>
    </row>
    <row r="365" spans="8:47" x14ac:dyDescent="0.2">
      <c r="Y365" s="162"/>
      <c r="Z365" s="159"/>
      <c r="AA365" s="368"/>
      <c r="AB365" s="159"/>
      <c r="AC365" s="159"/>
      <c r="AD365" s="159"/>
      <c r="AE365" s="159"/>
      <c r="AF365" s="159"/>
      <c r="AG365" s="159"/>
      <c r="AH365" s="159"/>
      <c r="AI365" s="159"/>
      <c r="AJ365" s="159"/>
      <c r="AK365" s="159"/>
      <c r="AL365" s="159"/>
      <c r="AM365" s="159"/>
    </row>
    <row r="366" spans="8:47" x14ac:dyDescent="0.2">
      <c r="Y366" s="154"/>
    </row>
    <row r="367" spans="8:47" x14ac:dyDescent="0.2">
      <c r="Y367" s="154"/>
    </row>
    <row r="368" spans="8:47" x14ac:dyDescent="0.2">
      <c r="Y368" s="154"/>
    </row>
    <row r="369" spans="25:25" x14ac:dyDescent="0.2">
      <c r="Y369" s="154"/>
    </row>
    <row r="370" spans="25:25" x14ac:dyDescent="0.2">
      <c r="Y370" s="154"/>
    </row>
    <row r="371" spans="25:25" x14ac:dyDescent="0.2">
      <c r="Y371" s="154"/>
    </row>
    <row r="372" spans="25:25" x14ac:dyDescent="0.2">
      <c r="Y372" s="154"/>
    </row>
    <row r="373" spans="25:25" x14ac:dyDescent="0.2">
      <c r="Y373" s="154"/>
    </row>
    <row r="374" spans="25:25" x14ac:dyDescent="0.2">
      <c r="Y374" s="154"/>
    </row>
    <row r="375" spans="25:25" x14ac:dyDescent="0.2">
      <c r="Y375" s="154"/>
    </row>
    <row r="376" spans="25:25" x14ac:dyDescent="0.2">
      <c r="Y376" s="154"/>
    </row>
    <row r="377" spans="25:25" x14ac:dyDescent="0.2">
      <c r="Y377" s="154"/>
    </row>
    <row r="378" spans="25:25" x14ac:dyDescent="0.2">
      <c r="Y378" s="154"/>
    </row>
    <row r="379" spans="25:25" x14ac:dyDescent="0.2">
      <c r="Y379" s="154"/>
    </row>
    <row r="380" spans="25:25" x14ac:dyDescent="0.2">
      <c r="Y380" s="154"/>
    </row>
    <row r="381" spans="25:25" x14ac:dyDescent="0.2">
      <c r="Y381" s="154"/>
    </row>
    <row r="382" spans="25:25" x14ac:dyDescent="0.2">
      <c r="Y382" s="154"/>
    </row>
    <row r="383" spans="25:25" x14ac:dyDescent="0.2">
      <c r="Y383" s="154"/>
    </row>
    <row r="384" spans="25:25" x14ac:dyDescent="0.2">
      <c r="Y384" s="154"/>
    </row>
    <row r="385" spans="25:25" x14ac:dyDescent="0.2">
      <c r="Y385" s="154"/>
    </row>
    <row r="386" spans="25:25" x14ac:dyDescent="0.2">
      <c r="Y386" s="151"/>
    </row>
    <row r="387" spans="25:25" x14ac:dyDescent="0.2">
      <c r="Y387" s="151"/>
    </row>
    <row r="388" spans="25:25" x14ac:dyDescent="0.2">
      <c r="Y388" s="151"/>
    </row>
    <row r="389" spans="25:25" x14ac:dyDescent="0.2">
      <c r="Y389" s="151"/>
    </row>
    <row r="390" spans="25:25" x14ac:dyDescent="0.2">
      <c r="Y390" s="151"/>
    </row>
    <row r="391" spans="25:25" x14ac:dyDescent="0.2">
      <c r="Y391" s="151"/>
    </row>
    <row r="392" spans="25:25" x14ac:dyDescent="0.2">
      <c r="Y392" s="151"/>
    </row>
    <row r="393" spans="25:25" x14ac:dyDescent="0.2">
      <c r="Y393" s="151"/>
    </row>
    <row r="394" spans="25:25" x14ac:dyDescent="0.2">
      <c r="Y394" s="151"/>
    </row>
    <row r="395" spans="25:25" x14ac:dyDescent="0.2">
      <c r="Y395" s="151"/>
    </row>
    <row r="396" spans="25:25" x14ac:dyDescent="0.2">
      <c r="Y396" s="151"/>
    </row>
    <row r="397" spans="25:25" x14ac:dyDescent="0.2">
      <c r="Y397" s="151"/>
    </row>
    <row r="398" spans="25:25" x14ac:dyDescent="0.2">
      <c r="Y398" s="151"/>
    </row>
    <row r="399" spans="25:25" x14ac:dyDescent="0.2">
      <c r="Y399" s="151"/>
    </row>
    <row r="400" spans="25:25" x14ac:dyDescent="0.2">
      <c r="Y400" s="151"/>
    </row>
    <row r="401" spans="25:25" x14ac:dyDescent="0.2">
      <c r="Y401" s="151"/>
    </row>
    <row r="402" spans="25:25" x14ac:dyDescent="0.2">
      <c r="Y402" s="151"/>
    </row>
    <row r="403" spans="25:25" x14ac:dyDescent="0.2">
      <c r="Y403" s="151"/>
    </row>
    <row r="404" spans="25:25" x14ac:dyDescent="0.2">
      <c r="Y404" s="151"/>
    </row>
    <row r="405" spans="25:25" x14ac:dyDescent="0.2">
      <c r="Y405" s="151"/>
    </row>
    <row r="406" spans="25:25" x14ac:dyDescent="0.2">
      <c r="Y406" s="151"/>
    </row>
    <row r="407" spans="25:25" x14ac:dyDescent="0.2">
      <c r="Y407" s="151"/>
    </row>
    <row r="408" spans="25:25" x14ac:dyDescent="0.2">
      <c r="Y408" s="151"/>
    </row>
    <row r="409" spans="25:25" x14ac:dyDescent="0.2">
      <c r="Y409" s="151"/>
    </row>
    <row r="410" spans="25:25" x14ac:dyDescent="0.2">
      <c r="Y410" s="151"/>
    </row>
    <row r="411" spans="25:25" x14ac:dyDescent="0.2">
      <c r="Y411" s="151"/>
    </row>
    <row r="412" spans="25:25" x14ac:dyDescent="0.2">
      <c r="Y412" s="151"/>
    </row>
    <row r="413" spans="25:25" x14ac:dyDescent="0.2">
      <c r="Y413" s="151"/>
    </row>
    <row r="414" spans="25:25" x14ac:dyDescent="0.2">
      <c r="Y414" s="151"/>
    </row>
    <row r="415" spans="25:25" x14ac:dyDescent="0.2">
      <c r="Y415" s="151"/>
    </row>
    <row r="416" spans="25:25" x14ac:dyDescent="0.2">
      <c r="Y416" s="151"/>
    </row>
    <row r="417" spans="25:25" x14ac:dyDescent="0.2">
      <c r="Y417" s="151"/>
    </row>
    <row r="418" spans="25:25" x14ac:dyDescent="0.2">
      <c r="Y418" s="151"/>
    </row>
    <row r="419" spans="25:25" x14ac:dyDescent="0.2">
      <c r="Y419" s="151"/>
    </row>
    <row r="420" spans="25:25" x14ac:dyDescent="0.2">
      <c r="Y420" s="151"/>
    </row>
    <row r="421" spans="25:25" x14ac:dyDescent="0.2">
      <c r="Y421" s="151"/>
    </row>
    <row r="422" spans="25:25" x14ac:dyDescent="0.2">
      <c r="Y422" s="151"/>
    </row>
    <row r="423" spans="25:25" x14ac:dyDescent="0.2">
      <c r="Y423" s="151"/>
    </row>
    <row r="424" spans="25:25" x14ac:dyDescent="0.2">
      <c r="Y424" s="151"/>
    </row>
    <row r="425" spans="25:25" x14ac:dyDescent="0.2">
      <c r="Y425" s="151"/>
    </row>
    <row r="426" spans="25:25" x14ac:dyDescent="0.2">
      <c r="Y426" s="151"/>
    </row>
    <row r="427" spans="25:25" x14ac:dyDescent="0.2">
      <c r="Y427" s="151"/>
    </row>
    <row r="428" spans="25:25" x14ac:dyDescent="0.2">
      <c r="Y428" s="151"/>
    </row>
    <row r="429" spans="25:25" x14ac:dyDescent="0.2">
      <c r="Y429" s="151"/>
    </row>
    <row r="430" spans="25:25" x14ac:dyDescent="0.2">
      <c r="Y430" s="151"/>
    </row>
    <row r="431" spans="25:25" x14ac:dyDescent="0.2">
      <c r="Y431" s="151"/>
    </row>
    <row r="432" spans="25:25" x14ac:dyDescent="0.2">
      <c r="Y432" s="151"/>
    </row>
    <row r="433" spans="25:25" x14ac:dyDescent="0.2">
      <c r="Y433" s="151"/>
    </row>
    <row r="434" spans="25:25" x14ac:dyDescent="0.2">
      <c r="Y434" s="151"/>
    </row>
    <row r="435" spans="25:25" x14ac:dyDescent="0.2">
      <c r="Y435" s="151"/>
    </row>
    <row r="436" spans="25:25" x14ac:dyDescent="0.2">
      <c r="Y436" s="151"/>
    </row>
    <row r="437" spans="25:25" x14ac:dyDescent="0.2">
      <c r="Y437" s="151"/>
    </row>
    <row r="438" spans="25:25" x14ac:dyDescent="0.2">
      <c r="Y438" s="151"/>
    </row>
    <row r="439" spans="25:25" x14ac:dyDescent="0.2">
      <c r="Y439" s="151"/>
    </row>
    <row r="440" spans="25:25" x14ac:dyDescent="0.2">
      <c r="Y440" s="151"/>
    </row>
    <row r="441" spans="25:25" x14ac:dyDescent="0.2">
      <c r="Y441" s="151"/>
    </row>
    <row r="442" spans="25:25" x14ac:dyDescent="0.2">
      <c r="Y442" s="151"/>
    </row>
    <row r="443" spans="25:25" x14ac:dyDescent="0.2">
      <c r="Y443" s="151"/>
    </row>
    <row r="444" spans="25:25" x14ac:dyDescent="0.2">
      <c r="Y444" s="151"/>
    </row>
    <row r="445" spans="25:25" x14ac:dyDescent="0.2">
      <c r="Y445" s="151"/>
    </row>
    <row r="446" spans="25:25" x14ac:dyDescent="0.2">
      <c r="Y446" s="151"/>
    </row>
    <row r="447" spans="25:25" x14ac:dyDescent="0.2">
      <c r="Y447" s="151"/>
    </row>
    <row r="448" spans="25:25" x14ac:dyDescent="0.2">
      <c r="Y448" s="151"/>
    </row>
    <row r="449" spans="25:25" x14ac:dyDescent="0.2">
      <c r="Y449" s="151"/>
    </row>
    <row r="450" spans="25:25" x14ac:dyDescent="0.2">
      <c r="Y450" s="151"/>
    </row>
    <row r="451" spans="25:25" x14ac:dyDescent="0.2">
      <c r="Y451" s="151"/>
    </row>
    <row r="452" spans="25:25" x14ac:dyDescent="0.2">
      <c r="Y452" s="151"/>
    </row>
    <row r="453" spans="25:25" x14ac:dyDescent="0.2">
      <c r="Y453" s="151"/>
    </row>
    <row r="454" spans="25:25" x14ac:dyDescent="0.2">
      <c r="Y454" s="151"/>
    </row>
    <row r="455" spans="25:25" x14ac:dyDescent="0.2">
      <c r="Y455" s="151"/>
    </row>
    <row r="456" spans="25:25" x14ac:dyDescent="0.2">
      <c r="Y456" s="151"/>
    </row>
    <row r="457" spans="25:25" x14ac:dyDescent="0.2">
      <c r="Y457" s="151"/>
    </row>
    <row r="458" spans="25:25" x14ac:dyDescent="0.2">
      <c r="Y458" s="151"/>
    </row>
    <row r="459" spans="25:25" x14ac:dyDescent="0.2">
      <c r="Y459" s="151"/>
    </row>
    <row r="460" spans="25:25" x14ac:dyDescent="0.2">
      <c r="Y460" s="151"/>
    </row>
    <row r="461" spans="25:25" x14ac:dyDescent="0.2">
      <c r="Y461" s="151"/>
    </row>
    <row r="462" spans="25:25" x14ac:dyDescent="0.2">
      <c r="Y462" s="151"/>
    </row>
    <row r="463" spans="25:25" x14ac:dyDescent="0.2">
      <c r="Y463" s="151"/>
    </row>
    <row r="464" spans="25:25" x14ac:dyDescent="0.2">
      <c r="Y464" s="151"/>
    </row>
    <row r="465" spans="25:25" x14ac:dyDescent="0.2">
      <c r="Y465" s="151"/>
    </row>
    <row r="466" spans="25:25" x14ac:dyDescent="0.2">
      <c r="Y466" s="151"/>
    </row>
    <row r="467" spans="25:25" x14ac:dyDescent="0.2">
      <c r="Y467" s="151"/>
    </row>
    <row r="468" spans="25:25" x14ac:dyDescent="0.2">
      <c r="Y468" s="151"/>
    </row>
    <row r="469" spans="25:25" x14ac:dyDescent="0.2">
      <c r="Y469" s="151"/>
    </row>
    <row r="470" spans="25:25" x14ac:dyDescent="0.2">
      <c r="Y470" s="151"/>
    </row>
    <row r="471" spans="25:25" x14ac:dyDescent="0.2">
      <c r="Y471" s="151"/>
    </row>
    <row r="472" spans="25:25" x14ac:dyDescent="0.2">
      <c r="Y472" s="151"/>
    </row>
    <row r="473" spans="25:25" x14ac:dyDescent="0.2">
      <c r="Y473" s="151"/>
    </row>
    <row r="474" spans="25:25" x14ac:dyDescent="0.2">
      <c r="Y474" s="151"/>
    </row>
    <row r="475" spans="25:25" x14ac:dyDescent="0.2">
      <c r="Y475" s="151"/>
    </row>
    <row r="476" spans="25:25" x14ac:dyDescent="0.2">
      <c r="Y476" s="151"/>
    </row>
    <row r="477" spans="25:25" x14ac:dyDescent="0.2">
      <c r="Y477" s="151"/>
    </row>
    <row r="478" spans="25:25" x14ac:dyDescent="0.2">
      <c r="Y478" s="151"/>
    </row>
    <row r="479" spans="25:25" x14ac:dyDescent="0.2">
      <c r="Y479" s="151"/>
    </row>
    <row r="480" spans="25:25" x14ac:dyDescent="0.2">
      <c r="Y480" s="151"/>
    </row>
    <row r="481" spans="25:25" x14ac:dyDescent="0.2">
      <c r="Y481" s="151"/>
    </row>
    <row r="482" spans="25:25" x14ac:dyDescent="0.2">
      <c r="Y482" s="151"/>
    </row>
    <row r="483" spans="25:25" x14ac:dyDescent="0.2">
      <c r="Y483" s="151"/>
    </row>
    <row r="484" spans="25:25" x14ac:dyDescent="0.2">
      <c r="Y484" s="151"/>
    </row>
    <row r="485" spans="25:25" x14ac:dyDescent="0.2">
      <c r="Y485" s="151"/>
    </row>
    <row r="486" spans="25:25" x14ac:dyDescent="0.2">
      <c r="Y486" s="151"/>
    </row>
    <row r="487" spans="25:25" x14ac:dyDescent="0.2">
      <c r="Y487" s="151"/>
    </row>
    <row r="488" spans="25:25" x14ac:dyDescent="0.2">
      <c r="Y488" s="151"/>
    </row>
    <row r="489" spans="25:25" x14ac:dyDescent="0.2">
      <c r="Y489" s="151"/>
    </row>
    <row r="490" spans="25:25" x14ac:dyDescent="0.2">
      <c r="Y490" s="151"/>
    </row>
    <row r="491" spans="25:25" x14ac:dyDescent="0.2">
      <c r="Y491" s="151"/>
    </row>
    <row r="492" spans="25:25" x14ac:dyDescent="0.2">
      <c r="Y492" s="151"/>
    </row>
    <row r="493" spans="25:25" x14ac:dyDescent="0.2">
      <c r="Y493" s="151"/>
    </row>
    <row r="494" spans="25:25" x14ac:dyDescent="0.2">
      <c r="Y494" s="151"/>
    </row>
    <row r="495" spans="25:25" x14ac:dyDescent="0.2">
      <c r="Y495" s="151"/>
    </row>
    <row r="496" spans="25:25" x14ac:dyDescent="0.2">
      <c r="Y496" s="151"/>
    </row>
    <row r="497" spans="25:25" x14ac:dyDescent="0.2">
      <c r="Y497" s="151"/>
    </row>
    <row r="498" spans="25:25" x14ac:dyDescent="0.2">
      <c r="Y498" s="151"/>
    </row>
    <row r="499" spans="25:25" x14ac:dyDescent="0.2">
      <c r="Y499" s="151"/>
    </row>
    <row r="500" spans="25:25" x14ac:dyDescent="0.2">
      <c r="Y500" s="151"/>
    </row>
    <row r="501" spans="25:25" x14ac:dyDescent="0.2">
      <c r="Y501" s="151"/>
    </row>
    <row r="502" spans="25:25" x14ac:dyDescent="0.2">
      <c r="Y502" s="151"/>
    </row>
    <row r="503" spans="25:25" x14ac:dyDescent="0.2">
      <c r="Y503" s="151"/>
    </row>
    <row r="504" spans="25:25" x14ac:dyDescent="0.2">
      <c r="Y504" s="151"/>
    </row>
    <row r="505" spans="25:25" x14ac:dyDescent="0.2">
      <c r="Y505" s="151"/>
    </row>
    <row r="506" spans="25:25" x14ac:dyDescent="0.2">
      <c r="Y506" s="151"/>
    </row>
    <row r="507" spans="25:25" x14ac:dyDescent="0.2">
      <c r="Y507" s="151"/>
    </row>
    <row r="508" spans="25:25" x14ac:dyDescent="0.2">
      <c r="Y508" s="151"/>
    </row>
    <row r="509" spans="25:25" x14ac:dyDescent="0.2">
      <c r="Y509" s="151"/>
    </row>
    <row r="510" spans="25:25" x14ac:dyDescent="0.2">
      <c r="Y510" s="151"/>
    </row>
    <row r="511" spans="25:25" x14ac:dyDescent="0.2">
      <c r="Y511" s="151"/>
    </row>
    <row r="512" spans="25:25" x14ac:dyDescent="0.2">
      <c r="Y512" s="151"/>
    </row>
    <row r="513" spans="25:25" x14ac:dyDescent="0.2">
      <c r="Y513" s="151"/>
    </row>
    <row r="514" spans="25:25" x14ac:dyDescent="0.2">
      <c r="Y514" s="151"/>
    </row>
    <row r="515" spans="25:25" x14ac:dyDescent="0.2">
      <c r="Y515" s="151"/>
    </row>
    <row r="516" spans="25:25" x14ac:dyDescent="0.2">
      <c r="Y516" s="151"/>
    </row>
    <row r="517" spans="25:25" x14ac:dyDescent="0.2">
      <c r="Y517" s="151"/>
    </row>
    <row r="518" spans="25:25" x14ac:dyDescent="0.2">
      <c r="Y518" s="151"/>
    </row>
    <row r="519" spans="25:25" x14ac:dyDescent="0.2">
      <c r="Y519" s="151"/>
    </row>
    <row r="520" spans="25:25" x14ac:dyDescent="0.2">
      <c r="Y520" s="151"/>
    </row>
    <row r="521" spans="25:25" x14ac:dyDescent="0.2">
      <c r="Y521" s="151"/>
    </row>
    <row r="522" spans="25:25" x14ac:dyDescent="0.2">
      <c r="Y522" s="151"/>
    </row>
    <row r="523" spans="25:25" x14ac:dyDescent="0.2">
      <c r="Y523" s="151"/>
    </row>
    <row r="524" spans="25:25" x14ac:dyDescent="0.2">
      <c r="Y524" s="151"/>
    </row>
    <row r="525" spans="25:25" x14ac:dyDescent="0.2">
      <c r="Y525" s="151"/>
    </row>
    <row r="526" spans="25:25" x14ac:dyDescent="0.2">
      <c r="Y526" s="151"/>
    </row>
    <row r="527" spans="25:25" x14ac:dyDescent="0.2">
      <c r="Y527" s="151"/>
    </row>
    <row r="528" spans="25:25" x14ac:dyDescent="0.2">
      <c r="Y528" s="151"/>
    </row>
    <row r="529" spans="25:25" x14ac:dyDescent="0.2">
      <c r="Y529" s="151"/>
    </row>
    <row r="530" spans="25:25" x14ac:dyDescent="0.2">
      <c r="Y530" s="151"/>
    </row>
    <row r="531" spans="25:25" x14ac:dyDescent="0.2">
      <c r="Y531" s="151"/>
    </row>
    <row r="532" spans="25:25" x14ac:dyDescent="0.2">
      <c r="Y532" s="151"/>
    </row>
    <row r="533" spans="25:25" x14ac:dyDescent="0.2">
      <c r="Y533" s="151"/>
    </row>
    <row r="534" spans="25:25" x14ac:dyDescent="0.2">
      <c r="Y534" s="151"/>
    </row>
    <row r="535" spans="25:25" x14ac:dyDescent="0.2">
      <c r="Y535" s="151"/>
    </row>
    <row r="536" spans="25:25" x14ac:dyDescent="0.2">
      <c r="Y536" s="151"/>
    </row>
    <row r="537" spans="25:25" x14ac:dyDescent="0.2">
      <c r="Y537" s="151"/>
    </row>
    <row r="538" spans="25:25" x14ac:dyDescent="0.2">
      <c r="Y538" s="151"/>
    </row>
    <row r="539" spans="25:25" x14ac:dyDescent="0.2">
      <c r="Y539" s="151"/>
    </row>
    <row r="540" spans="25:25" x14ac:dyDescent="0.2">
      <c r="Y540" s="151"/>
    </row>
    <row r="541" spans="25:25" x14ac:dyDescent="0.2">
      <c r="Y541" s="151"/>
    </row>
    <row r="542" spans="25:25" x14ac:dyDescent="0.2">
      <c r="Y542" s="151"/>
    </row>
    <row r="543" spans="25:25" x14ac:dyDescent="0.2">
      <c r="Y543" s="151"/>
    </row>
    <row r="544" spans="25:25" x14ac:dyDescent="0.2">
      <c r="Y544" s="151"/>
    </row>
    <row r="545" spans="25:25" x14ac:dyDescent="0.2">
      <c r="Y545" s="151"/>
    </row>
    <row r="546" spans="25:25" x14ac:dyDescent="0.2">
      <c r="Y546" s="151"/>
    </row>
    <row r="547" spans="25:25" x14ac:dyDescent="0.2">
      <c r="Y547" s="151"/>
    </row>
    <row r="548" spans="25:25" x14ac:dyDescent="0.2">
      <c r="Y548" s="151"/>
    </row>
    <row r="549" spans="25:25" x14ac:dyDescent="0.2">
      <c r="Y549" s="151"/>
    </row>
    <row r="550" spans="25:25" x14ac:dyDescent="0.2">
      <c r="Y550" s="151"/>
    </row>
    <row r="551" spans="25:25" x14ac:dyDescent="0.2">
      <c r="Y551" s="151"/>
    </row>
    <row r="552" spans="25:25" x14ac:dyDescent="0.2">
      <c r="Y552" s="151"/>
    </row>
    <row r="553" spans="25:25" x14ac:dyDescent="0.2">
      <c r="Y553" s="151"/>
    </row>
    <row r="554" spans="25:25" x14ac:dyDescent="0.2">
      <c r="Y554" s="151"/>
    </row>
    <row r="555" spans="25:25" x14ac:dyDescent="0.2">
      <c r="Y555" s="151"/>
    </row>
    <row r="556" spans="25:25" x14ac:dyDescent="0.2">
      <c r="Y556" s="151"/>
    </row>
    <row r="557" spans="25:25" x14ac:dyDescent="0.2">
      <c r="Y557" s="151"/>
    </row>
    <row r="558" spans="25:25" x14ac:dyDescent="0.2">
      <c r="Y558" s="151"/>
    </row>
    <row r="559" spans="25:25" x14ac:dyDescent="0.2">
      <c r="Y559" s="151"/>
    </row>
    <row r="560" spans="25:25" x14ac:dyDescent="0.2">
      <c r="Y560" s="151"/>
    </row>
    <row r="561" spans="25:25" x14ac:dyDescent="0.2">
      <c r="Y561" s="151"/>
    </row>
    <row r="562" spans="25:25" x14ac:dyDescent="0.2">
      <c r="Y562" s="151"/>
    </row>
    <row r="563" spans="25:25" x14ac:dyDescent="0.2">
      <c r="Y563" s="151"/>
    </row>
    <row r="564" spans="25:25" x14ac:dyDescent="0.2">
      <c r="Y564" s="151"/>
    </row>
    <row r="565" spans="25:25" x14ac:dyDescent="0.2">
      <c r="Y565" s="151"/>
    </row>
    <row r="566" spans="25:25" x14ac:dyDescent="0.2">
      <c r="Y566" s="151"/>
    </row>
    <row r="567" spans="25:25" x14ac:dyDescent="0.2">
      <c r="Y567" s="151"/>
    </row>
    <row r="568" spans="25:25" x14ac:dyDescent="0.2">
      <c r="Y568" s="151"/>
    </row>
    <row r="569" spans="25:25" x14ac:dyDescent="0.2">
      <c r="Y569" s="151"/>
    </row>
    <row r="570" spans="25:25" x14ac:dyDescent="0.2">
      <c r="Y570" s="151"/>
    </row>
    <row r="571" spans="25:25" x14ac:dyDescent="0.2">
      <c r="Y571" s="151"/>
    </row>
    <row r="572" spans="25:25" x14ac:dyDescent="0.2">
      <c r="Y572" s="151"/>
    </row>
    <row r="573" spans="25:25" x14ac:dyDescent="0.2">
      <c r="Y573" s="151"/>
    </row>
    <row r="574" spans="25:25" x14ac:dyDescent="0.2">
      <c r="Y574" s="151"/>
    </row>
    <row r="575" spans="25:25" x14ac:dyDescent="0.2">
      <c r="Y575" s="151"/>
    </row>
    <row r="576" spans="25:25" x14ac:dyDescent="0.2">
      <c r="Y576" s="151"/>
    </row>
    <row r="577" spans="25:25" x14ac:dyDescent="0.2">
      <c r="Y577" s="151"/>
    </row>
    <row r="578" spans="25:25" x14ac:dyDescent="0.2">
      <c r="Y578" s="151"/>
    </row>
    <row r="579" spans="25:25" x14ac:dyDescent="0.2">
      <c r="Y579" s="151"/>
    </row>
    <row r="580" spans="25:25" x14ac:dyDescent="0.2">
      <c r="Y580" s="151"/>
    </row>
    <row r="581" spans="25:25" x14ac:dyDescent="0.2">
      <c r="Y581" s="151"/>
    </row>
    <row r="582" spans="25:25" x14ac:dyDescent="0.2">
      <c r="Y582" s="151"/>
    </row>
    <row r="583" spans="25:25" x14ac:dyDescent="0.2">
      <c r="Y583" s="151"/>
    </row>
    <row r="584" spans="25:25" x14ac:dyDescent="0.2">
      <c r="Y584" s="151"/>
    </row>
    <row r="585" spans="25:25" x14ac:dyDescent="0.2">
      <c r="Y585" s="151"/>
    </row>
    <row r="586" spans="25:25" x14ac:dyDescent="0.2">
      <c r="Y586" s="151"/>
    </row>
    <row r="587" spans="25:25" x14ac:dyDescent="0.2">
      <c r="Y587" s="151"/>
    </row>
    <row r="588" spans="25:25" x14ac:dyDescent="0.2">
      <c r="Y588" s="151"/>
    </row>
    <row r="589" spans="25:25" x14ac:dyDescent="0.2">
      <c r="Y589" s="151"/>
    </row>
    <row r="590" spans="25:25" x14ac:dyDescent="0.2">
      <c r="Y590" s="151"/>
    </row>
    <row r="591" spans="25:25" x14ac:dyDescent="0.2">
      <c r="Y591" s="151"/>
    </row>
    <row r="592" spans="25:25" x14ac:dyDescent="0.2">
      <c r="Y592" s="151"/>
    </row>
    <row r="593" spans="25:25" x14ac:dyDescent="0.2">
      <c r="Y593" s="151"/>
    </row>
    <row r="594" spans="25:25" x14ac:dyDescent="0.2">
      <c r="Y594" s="151"/>
    </row>
    <row r="595" spans="25:25" x14ac:dyDescent="0.2">
      <c r="Y595" s="151"/>
    </row>
    <row r="596" spans="25:25" x14ac:dyDescent="0.2">
      <c r="Y596" s="151"/>
    </row>
    <row r="597" spans="25:25" x14ac:dyDescent="0.2">
      <c r="Y597" s="151"/>
    </row>
    <row r="598" spans="25:25" x14ac:dyDescent="0.2">
      <c r="Y598" s="151"/>
    </row>
    <row r="599" spans="25:25" x14ac:dyDescent="0.2">
      <c r="Y599" s="151"/>
    </row>
    <row r="600" spans="25:25" x14ac:dyDescent="0.2">
      <c r="Y600" s="151"/>
    </row>
    <row r="601" spans="25:25" x14ac:dyDescent="0.2">
      <c r="Y601" s="151"/>
    </row>
    <row r="602" spans="25:25" x14ac:dyDescent="0.2">
      <c r="Y602" s="151"/>
    </row>
    <row r="603" spans="25:25" x14ac:dyDescent="0.2">
      <c r="Y603" s="151"/>
    </row>
    <row r="604" spans="25:25" x14ac:dyDescent="0.2">
      <c r="Y604" s="151"/>
    </row>
    <row r="605" spans="25:25" x14ac:dyDescent="0.2">
      <c r="Y605" s="151"/>
    </row>
    <row r="606" spans="25:25" x14ac:dyDescent="0.2">
      <c r="Y606" s="151"/>
    </row>
    <row r="607" spans="25:25" x14ac:dyDescent="0.2">
      <c r="Y607" s="151"/>
    </row>
    <row r="608" spans="25:25" x14ac:dyDescent="0.2">
      <c r="Y608" s="151"/>
    </row>
    <row r="609" spans="25:25" x14ac:dyDescent="0.2">
      <c r="Y609" s="151"/>
    </row>
    <row r="610" spans="25:25" x14ac:dyDescent="0.2">
      <c r="Y610" s="151"/>
    </row>
    <row r="611" spans="25:25" x14ac:dyDescent="0.2">
      <c r="Y611" s="151"/>
    </row>
    <row r="612" spans="25:25" x14ac:dyDescent="0.2">
      <c r="Y612" s="151"/>
    </row>
    <row r="613" spans="25:25" x14ac:dyDescent="0.2">
      <c r="Y613" s="151"/>
    </row>
    <row r="614" spans="25:25" x14ac:dyDescent="0.2">
      <c r="Y614" s="151"/>
    </row>
    <row r="615" spans="25:25" x14ac:dyDescent="0.2">
      <c r="Y615" s="151"/>
    </row>
    <row r="616" spans="25:25" x14ac:dyDescent="0.2">
      <c r="Y616" s="151"/>
    </row>
    <row r="617" spans="25:25" x14ac:dyDescent="0.2">
      <c r="Y617" s="151"/>
    </row>
    <row r="618" spans="25:25" x14ac:dyDescent="0.2">
      <c r="Y618" s="151"/>
    </row>
    <row r="619" spans="25:25" x14ac:dyDescent="0.2">
      <c r="Y619" s="151"/>
    </row>
    <row r="620" spans="25:25" x14ac:dyDescent="0.2">
      <c r="Y620" s="151"/>
    </row>
    <row r="621" spans="25:25" x14ac:dyDescent="0.2">
      <c r="Y621" s="151"/>
    </row>
    <row r="622" spans="25:25" x14ac:dyDescent="0.2">
      <c r="Y622" s="151"/>
    </row>
    <row r="623" spans="25:25" x14ac:dyDescent="0.2">
      <c r="Y623" s="151"/>
    </row>
    <row r="624" spans="25:25" x14ac:dyDescent="0.2">
      <c r="Y624" s="151"/>
    </row>
    <row r="625" spans="25:25" x14ac:dyDescent="0.2">
      <c r="Y625" s="151"/>
    </row>
    <row r="626" spans="25:25" x14ac:dyDescent="0.2">
      <c r="Y626" s="151"/>
    </row>
    <row r="627" spans="25:25" x14ac:dyDescent="0.2">
      <c r="Y627" s="151"/>
    </row>
    <row r="628" spans="25:25" x14ac:dyDescent="0.2">
      <c r="Y628" s="151"/>
    </row>
    <row r="629" spans="25:25" x14ac:dyDescent="0.2">
      <c r="Y629" s="151"/>
    </row>
    <row r="630" spans="25:25" x14ac:dyDescent="0.2">
      <c r="Y630" s="151"/>
    </row>
    <row r="631" spans="25:25" x14ac:dyDescent="0.2">
      <c r="Y631" s="151"/>
    </row>
    <row r="632" spans="25:25" x14ac:dyDescent="0.2">
      <c r="Y632" s="151"/>
    </row>
    <row r="633" spans="25:25" x14ac:dyDescent="0.2">
      <c r="Y633" s="151"/>
    </row>
    <row r="634" spans="25:25" x14ac:dyDescent="0.2">
      <c r="Y634" s="151"/>
    </row>
    <row r="635" spans="25:25" x14ac:dyDescent="0.2">
      <c r="Y635" s="151"/>
    </row>
    <row r="636" spans="25:25" x14ac:dyDescent="0.2">
      <c r="Y636" s="151"/>
    </row>
    <row r="637" spans="25:25" x14ac:dyDescent="0.2">
      <c r="Y637" s="151"/>
    </row>
    <row r="638" spans="25:25" x14ac:dyDescent="0.2">
      <c r="Y638" s="151"/>
    </row>
    <row r="639" spans="25:25" x14ac:dyDescent="0.2">
      <c r="Y639" s="151"/>
    </row>
    <row r="640" spans="25:25" x14ac:dyDescent="0.2">
      <c r="Y640" s="151"/>
    </row>
    <row r="641" spans="25:25" x14ac:dyDescent="0.2">
      <c r="Y641" s="151"/>
    </row>
    <row r="642" spans="25:25" x14ac:dyDescent="0.2">
      <c r="Y642" s="151"/>
    </row>
    <row r="643" spans="25:25" x14ac:dyDescent="0.2">
      <c r="Y643" s="151"/>
    </row>
    <row r="644" spans="25:25" x14ac:dyDescent="0.2">
      <c r="Y644" s="151"/>
    </row>
    <row r="645" spans="25:25" x14ac:dyDescent="0.2">
      <c r="Y645" s="151"/>
    </row>
    <row r="646" spans="25:25" x14ac:dyDescent="0.2">
      <c r="Y646" s="151"/>
    </row>
    <row r="647" spans="25:25" x14ac:dyDescent="0.2">
      <c r="Y647" s="151"/>
    </row>
    <row r="648" spans="25:25" x14ac:dyDescent="0.2">
      <c r="Y648" s="151"/>
    </row>
    <row r="649" spans="25:25" x14ac:dyDescent="0.2">
      <c r="Y649" s="151"/>
    </row>
    <row r="650" spans="25:25" x14ac:dyDescent="0.2">
      <c r="Y650" s="151"/>
    </row>
    <row r="651" spans="25:25" x14ac:dyDescent="0.2">
      <c r="Y651" s="151"/>
    </row>
    <row r="652" spans="25:25" x14ac:dyDescent="0.2">
      <c r="Y652" s="151"/>
    </row>
    <row r="653" spans="25:25" x14ac:dyDescent="0.2">
      <c r="Y653" s="151"/>
    </row>
    <row r="654" spans="25:25" x14ac:dyDescent="0.2">
      <c r="Y654" s="151"/>
    </row>
    <row r="655" spans="25:25" x14ac:dyDescent="0.2">
      <c r="Y655" s="151"/>
    </row>
    <row r="656" spans="25:25" x14ac:dyDescent="0.2">
      <c r="Y656" s="151"/>
    </row>
    <row r="657" spans="25:25" x14ac:dyDescent="0.2">
      <c r="Y657" s="151"/>
    </row>
    <row r="658" spans="25:25" x14ac:dyDescent="0.2">
      <c r="Y658" s="151"/>
    </row>
    <row r="659" spans="25:25" x14ac:dyDescent="0.2">
      <c r="Y659" s="151"/>
    </row>
    <row r="660" spans="25:25" x14ac:dyDescent="0.2">
      <c r="Y660" s="151"/>
    </row>
    <row r="661" spans="25:25" x14ac:dyDescent="0.2">
      <c r="Y661" s="151"/>
    </row>
    <row r="662" spans="25:25" x14ac:dyDescent="0.2">
      <c r="Y662" s="151"/>
    </row>
    <row r="663" spans="25:25" x14ac:dyDescent="0.2">
      <c r="Y663" s="151"/>
    </row>
    <row r="664" spans="25:25" x14ac:dyDescent="0.2">
      <c r="Y664" s="151"/>
    </row>
    <row r="665" spans="25:25" x14ac:dyDescent="0.2">
      <c r="Y665" s="151"/>
    </row>
    <row r="666" spans="25:25" x14ac:dyDescent="0.2">
      <c r="Y666" s="151"/>
    </row>
    <row r="667" spans="25:25" x14ac:dyDescent="0.2">
      <c r="Y667" s="151"/>
    </row>
    <row r="668" spans="25:25" x14ac:dyDescent="0.2">
      <c r="Y668" s="151"/>
    </row>
    <row r="669" spans="25:25" x14ac:dyDescent="0.2">
      <c r="Y669" s="151"/>
    </row>
    <row r="670" spans="25:25" x14ac:dyDescent="0.2">
      <c r="Y670" s="151"/>
    </row>
    <row r="671" spans="25:25" x14ac:dyDescent="0.2">
      <c r="Y671" s="151"/>
    </row>
    <row r="672" spans="25:25" x14ac:dyDescent="0.2">
      <c r="Y672" s="151"/>
    </row>
    <row r="673" spans="25:25" x14ac:dyDescent="0.2">
      <c r="Y673" s="151"/>
    </row>
    <row r="674" spans="25:25" x14ac:dyDescent="0.2">
      <c r="Y674" s="151"/>
    </row>
    <row r="675" spans="25:25" x14ac:dyDescent="0.2">
      <c r="Y675" s="151"/>
    </row>
    <row r="676" spans="25:25" x14ac:dyDescent="0.2">
      <c r="Y676" s="151"/>
    </row>
    <row r="677" spans="25:25" x14ac:dyDescent="0.2">
      <c r="Y677" s="151"/>
    </row>
    <row r="678" spans="25:25" x14ac:dyDescent="0.2">
      <c r="Y678" s="151"/>
    </row>
    <row r="679" spans="25:25" x14ac:dyDescent="0.2">
      <c r="Y679" s="151"/>
    </row>
    <row r="680" spans="25:25" x14ac:dyDescent="0.2">
      <c r="Y680" s="151"/>
    </row>
    <row r="681" spans="25:25" x14ac:dyDescent="0.2">
      <c r="Y681" s="151"/>
    </row>
    <row r="682" spans="25:25" x14ac:dyDescent="0.2">
      <c r="Y682" s="151"/>
    </row>
    <row r="683" spans="25:25" x14ac:dyDescent="0.2">
      <c r="Y683" s="151"/>
    </row>
    <row r="684" spans="25:25" x14ac:dyDescent="0.2">
      <c r="Y684" s="151"/>
    </row>
    <row r="685" spans="25:25" x14ac:dyDescent="0.2">
      <c r="Y685" s="151"/>
    </row>
    <row r="686" spans="25:25" x14ac:dyDescent="0.2">
      <c r="Y686" s="151"/>
    </row>
    <row r="687" spans="25:25" x14ac:dyDescent="0.2">
      <c r="Y687" s="151"/>
    </row>
    <row r="688" spans="25:25" x14ac:dyDescent="0.2">
      <c r="Y688" s="151"/>
    </row>
    <row r="689" spans="25:25" x14ac:dyDescent="0.2">
      <c r="Y689" s="151"/>
    </row>
    <row r="690" spans="25:25" x14ac:dyDescent="0.2">
      <c r="Y690" s="151"/>
    </row>
    <row r="691" spans="25:25" x14ac:dyDescent="0.2">
      <c r="Y691" s="151"/>
    </row>
    <row r="692" spans="25:25" x14ac:dyDescent="0.2">
      <c r="Y692" s="151"/>
    </row>
    <row r="693" spans="25:25" x14ac:dyDescent="0.2">
      <c r="Y693" s="151"/>
    </row>
    <row r="694" spans="25:25" x14ac:dyDescent="0.2">
      <c r="Y694" s="151"/>
    </row>
    <row r="695" spans="25:25" x14ac:dyDescent="0.2">
      <c r="Y695" s="151"/>
    </row>
    <row r="696" spans="25:25" x14ac:dyDescent="0.2">
      <c r="Y696" s="151"/>
    </row>
    <row r="697" spans="25:25" x14ac:dyDescent="0.2">
      <c r="Y697" s="151"/>
    </row>
    <row r="698" spans="25:25" x14ac:dyDescent="0.2">
      <c r="Y698" s="151"/>
    </row>
    <row r="699" spans="25:25" x14ac:dyDescent="0.2">
      <c r="Y699" s="151"/>
    </row>
    <row r="700" spans="25:25" x14ac:dyDescent="0.2">
      <c r="Y700" s="151"/>
    </row>
    <row r="701" spans="25:25" x14ac:dyDescent="0.2">
      <c r="Y701" s="151"/>
    </row>
    <row r="702" spans="25:25" x14ac:dyDescent="0.2">
      <c r="Y702" s="151"/>
    </row>
    <row r="703" spans="25:25" x14ac:dyDescent="0.2">
      <c r="Y703" s="151"/>
    </row>
    <row r="704" spans="25:25" x14ac:dyDescent="0.2">
      <c r="Y704" s="151"/>
    </row>
    <row r="705" spans="25:25" x14ac:dyDescent="0.2">
      <c r="Y705" s="151"/>
    </row>
    <row r="706" spans="25:25" x14ac:dyDescent="0.2">
      <c r="Y706" s="151"/>
    </row>
    <row r="707" spans="25:25" x14ac:dyDescent="0.2">
      <c r="Y707" s="151"/>
    </row>
    <row r="708" spans="25:25" x14ac:dyDescent="0.2">
      <c r="Y708" s="151"/>
    </row>
    <row r="709" spans="25:25" x14ac:dyDescent="0.2">
      <c r="Y709" s="151"/>
    </row>
    <row r="710" spans="25:25" x14ac:dyDescent="0.2">
      <c r="Y710" s="151"/>
    </row>
    <row r="711" spans="25:25" x14ac:dyDescent="0.2">
      <c r="Y711" s="151"/>
    </row>
    <row r="712" spans="25:25" x14ac:dyDescent="0.2">
      <c r="Y712" s="151"/>
    </row>
    <row r="713" spans="25:25" x14ac:dyDescent="0.2">
      <c r="Y713" s="151"/>
    </row>
    <row r="714" spans="25:25" x14ac:dyDescent="0.2">
      <c r="Y714" s="151"/>
    </row>
    <row r="715" spans="25:25" x14ac:dyDescent="0.2">
      <c r="Y715" s="151"/>
    </row>
    <row r="716" spans="25:25" x14ac:dyDescent="0.2">
      <c r="Y716" s="151"/>
    </row>
    <row r="717" spans="25:25" x14ac:dyDescent="0.2">
      <c r="Y717" s="151"/>
    </row>
    <row r="718" spans="25:25" x14ac:dyDescent="0.2">
      <c r="Y718" s="151"/>
    </row>
    <row r="719" spans="25:25" x14ac:dyDescent="0.2">
      <c r="Y719" s="151"/>
    </row>
    <row r="720" spans="25:25" x14ac:dyDescent="0.2">
      <c r="Y720" s="151"/>
    </row>
    <row r="721" spans="25:25" x14ac:dyDescent="0.2">
      <c r="Y721" s="151"/>
    </row>
    <row r="722" spans="25:25" x14ac:dyDescent="0.2">
      <c r="Y722" s="151"/>
    </row>
    <row r="723" spans="25:25" x14ac:dyDescent="0.2">
      <c r="Y723" s="151"/>
    </row>
    <row r="724" spans="25:25" x14ac:dyDescent="0.2">
      <c r="Y724" s="151"/>
    </row>
    <row r="725" spans="25:25" x14ac:dyDescent="0.2">
      <c r="Y725" s="151"/>
    </row>
    <row r="726" spans="25:25" x14ac:dyDescent="0.2">
      <c r="Y726" s="151"/>
    </row>
    <row r="727" spans="25:25" x14ac:dyDescent="0.2">
      <c r="Y727" s="151"/>
    </row>
    <row r="728" spans="25:25" x14ac:dyDescent="0.2">
      <c r="Y728" s="151"/>
    </row>
    <row r="729" spans="25:25" x14ac:dyDescent="0.2">
      <c r="Y729" s="151"/>
    </row>
    <row r="730" spans="25:25" x14ac:dyDescent="0.2">
      <c r="Y730" s="151"/>
    </row>
    <row r="731" spans="25:25" x14ac:dyDescent="0.2">
      <c r="Y731" s="151"/>
    </row>
    <row r="732" spans="25:25" x14ac:dyDescent="0.2">
      <c r="Y732" s="151"/>
    </row>
    <row r="733" spans="25:25" x14ac:dyDescent="0.2">
      <c r="Y733" s="151"/>
    </row>
    <row r="734" spans="25:25" x14ac:dyDescent="0.2">
      <c r="Y734" s="151"/>
    </row>
    <row r="735" spans="25:25" x14ac:dyDescent="0.2">
      <c r="Y735" s="151"/>
    </row>
    <row r="736" spans="25:25" x14ac:dyDescent="0.2">
      <c r="Y736" s="151"/>
    </row>
    <row r="737" spans="25:25" x14ac:dyDescent="0.2">
      <c r="Y737" s="151"/>
    </row>
    <row r="738" spans="25:25" x14ac:dyDescent="0.2">
      <c r="Y738" s="151"/>
    </row>
    <row r="739" spans="25:25" x14ac:dyDescent="0.2">
      <c r="Y739" s="151"/>
    </row>
    <row r="740" spans="25:25" x14ac:dyDescent="0.2">
      <c r="Y740" s="151"/>
    </row>
    <row r="741" spans="25:25" x14ac:dyDescent="0.2">
      <c r="Y741" s="151"/>
    </row>
    <row r="742" spans="25:25" x14ac:dyDescent="0.2">
      <c r="Y742" s="151"/>
    </row>
    <row r="743" spans="25:25" x14ac:dyDescent="0.2">
      <c r="Y743" s="151"/>
    </row>
    <row r="744" spans="25:25" x14ac:dyDescent="0.2">
      <c r="Y744" s="151"/>
    </row>
    <row r="745" spans="25:25" x14ac:dyDescent="0.2">
      <c r="Y745" s="151"/>
    </row>
    <row r="746" spans="25:25" x14ac:dyDescent="0.2">
      <c r="Y746" s="151"/>
    </row>
    <row r="747" spans="25:25" x14ac:dyDescent="0.2">
      <c r="Y747" s="151"/>
    </row>
    <row r="748" spans="25:25" x14ac:dyDescent="0.2">
      <c r="Y748" s="151"/>
    </row>
    <row r="749" spans="25:25" x14ac:dyDescent="0.2">
      <c r="Y749" s="151"/>
    </row>
    <row r="750" spans="25:25" x14ac:dyDescent="0.2">
      <c r="Y750" s="151"/>
    </row>
    <row r="751" spans="25:25" x14ac:dyDescent="0.2">
      <c r="Y751" s="151"/>
    </row>
    <row r="752" spans="25:25" x14ac:dyDescent="0.2">
      <c r="Y752" s="151"/>
    </row>
    <row r="753" spans="25:25" x14ac:dyDescent="0.2">
      <c r="Y753" s="151"/>
    </row>
    <row r="754" spans="25:25" x14ac:dyDescent="0.2">
      <c r="Y754" s="151"/>
    </row>
    <row r="755" spans="25:25" x14ac:dyDescent="0.2">
      <c r="Y755" s="151"/>
    </row>
    <row r="756" spans="25:25" x14ac:dyDescent="0.2">
      <c r="Y756" s="151"/>
    </row>
    <row r="757" spans="25:25" x14ac:dyDescent="0.2">
      <c r="Y757" s="151"/>
    </row>
    <row r="758" spans="25:25" x14ac:dyDescent="0.2">
      <c r="Y758" s="151"/>
    </row>
    <row r="759" spans="25:25" x14ac:dyDescent="0.2">
      <c r="Y759" s="151"/>
    </row>
    <row r="760" spans="25:25" x14ac:dyDescent="0.2">
      <c r="Y760" s="151"/>
    </row>
    <row r="761" spans="25:25" x14ac:dyDescent="0.2">
      <c r="Y761" s="151"/>
    </row>
    <row r="762" spans="25:25" x14ac:dyDescent="0.2">
      <c r="Y762" s="151"/>
    </row>
    <row r="763" spans="25:25" x14ac:dyDescent="0.2">
      <c r="Y763" s="151"/>
    </row>
    <row r="764" spans="25:25" x14ac:dyDescent="0.2">
      <c r="Y764" s="151"/>
    </row>
    <row r="765" spans="25:25" x14ac:dyDescent="0.2">
      <c r="Y765" s="151"/>
    </row>
    <row r="766" spans="25:25" x14ac:dyDescent="0.2">
      <c r="Y766" s="151"/>
    </row>
    <row r="767" spans="25:25" x14ac:dyDescent="0.2">
      <c r="Y767" s="151"/>
    </row>
    <row r="768" spans="25:25" x14ac:dyDescent="0.2">
      <c r="Y768" s="151"/>
    </row>
    <row r="769" spans="25:25" x14ac:dyDescent="0.2">
      <c r="Y769" s="151"/>
    </row>
    <row r="770" spans="25:25" x14ac:dyDescent="0.2">
      <c r="Y770" s="151"/>
    </row>
    <row r="771" spans="25:25" x14ac:dyDescent="0.2">
      <c r="Y771" s="151"/>
    </row>
    <row r="772" spans="25:25" x14ac:dyDescent="0.2">
      <c r="Y772" s="151"/>
    </row>
    <row r="773" spans="25:25" x14ac:dyDescent="0.2">
      <c r="Y773" s="151"/>
    </row>
    <row r="774" spans="25:25" x14ac:dyDescent="0.2">
      <c r="Y774" s="183"/>
    </row>
    <row r="775" spans="25:25" x14ac:dyDescent="0.2">
      <c r="Y775" s="183"/>
    </row>
    <row r="776" spans="25:25" x14ac:dyDescent="0.2">
      <c r="Y776" s="183"/>
    </row>
    <row r="777" spans="25:25" x14ac:dyDescent="0.2">
      <c r="Y777" s="183"/>
    </row>
    <row r="778" spans="25:25" x14ac:dyDescent="0.2">
      <c r="Y778" s="183"/>
    </row>
    <row r="779" spans="25:25" x14ac:dyDescent="0.2">
      <c r="Y779" s="183"/>
    </row>
    <row r="780" spans="25:25" x14ac:dyDescent="0.2">
      <c r="Y780" s="183"/>
    </row>
    <row r="781" spans="25:25" x14ac:dyDescent="0.2">
      <c r="Y781" s="183"/>
    </row>
    <row r="782" spans="25:25" x14ac:dyDescent="0.2">
      <c r="Y782" s="183"/>
    </row>
    <row r="783" spans="25:25" x14ac:dyDescent="0.2">
      <c r="Y783" s="183"/>
    </row>
    <row r="784" spans="25:25" x14ac:dyDescent="0.2">
      <c r="Y784" s="183"/>
    </row>
    <row r="785" spans="25:25" x14ac:dyDescent="0.2">
      <c r="Y785" s="183"/>
    </row>
    <row r="786" spans="25:25" x14ac:dyDescent="0.2">
      <c r="Y786" s="183"/>
    </row>
    <row r="787" spans="25:25" x14ac:dyDescent="0.2">
      <c r="Y787" s="183"/>
    </row>
    <row r="788" spans="25:25" x14ac:dyDescent="0.2">
      <c r="Y788" s="183"/>
    </row>
    <row r="789" spans="25:25" x14ac:dyDescent="0.2">
      <c r="Y789" s="183"/>
    </row>
    <row r="790" spans="25:25" x14ac:dyDescent="0.2">
      <c r="Y790" s="183"/>
    </row>
    <row r="791" spans="25:25" x14ac:dyDescent="0.2">
      <c r="Y791" s="183"/>
    </row>
    <row r="792" spans="25:25" x14ac:dyDescent="0.2">
      <c r="Y792" s="183"/>
    </row>
    <row r="793" spans="25:25" x14ac:dyDescent="0.2">
      <c r="Y793" s="183"/>
    </row>
    <row r="794" spans="25:25" x14ac:dyDescent="0.2">
      <c r="Y794" s="183"/>
    </row>
    <row r="795" spans="25:25" x14ac:dyDescent="0.2">
      <c r="Y795" s="183"/>
    </row>
    <row r="796" spans="25:25" x14ac:dyDescent="0.2">
      <c r="Y796" s="183"/>
    </row>
    <row r="797" spans="25:25" x14ac:dyDescent="0.2">
      <c r="Y797" s="183"/>
    </row>
    <row r="798" spans="25:25" x14ac:dyDescent="0.2">
      <c r="Y798" s="183"/>
    </row>
    <row r="799" spans="25:25" x14ac:dyDescent="0.2">
      <c r="Y799" s="183"/>
    </row>
    <row r="800" spans="25:25" x14ac:dyDescent="0.2">
      <c r="Y800" s="183"/>
    </row>
    <row r="801" spans="25:25" x14ac:dyDescent="0.2">
      <c r="Y801" s="183"/>
    </row>
    <row r="802" spans="25:25" x14ac:dyDescent="0.2">
      <c r="Y802" s="183"/>
    </row>
    <row r="803" spans="25:25" x14ac:dyDescent="0.2">
      <c r="Y803" s="183"/>
    </row>
    <row r="804" spans="25:25" x14ac:dyDescent="0.2">
      <c r="Y804" s="183"/>
    </row>
    <row r="805" spans="25:25" x14ac:dyDescent="0.2">
      <c r="Y805" s="183"/>
    </row>
    <row r="806" spans="25:25" x14ac:dyDescent="0.2">
      <c r="Y806" s="183"/>
    </row>
    <row r="807" spans="25:25" x14ac:dyDescent="0.2">
      <c r="Y807" s="183"/>
    </row>
    <row r="808" spans="25:25" x14ac:dyDescent="0.2">
      <c r="Y808" s="183"/>
    </row>
    <row r="809" spans="25:25" x14ac:dyDescent="0.2">
      <c r="Y809" s="183"/>
    </row>
    <row r="810" spans="25:25" x14ac:dyDescent="0.2">
      <c r="Y810" s="183"/>
    </row>
    <row r="811" spans="25:25" x14ac:dyDescent="0.2">
      <c r="Y811" s="183"/>
    </row>
    <row r="812" spans="25:25" x14ac:dyDescent="0.2">
      <c r="Y812" s="183"/>
    </row>
    <row r="813" spans="25:25" x14ac:dyDescent="0.2">
      <c r="Y813" s="183"/>
    </row>
    <row r="814" spans="25:25" x14ac:dyDescent="0.2">
      <c r="Y814" s="183"/>
    </row>
    <row r="815" spans="25:25" x14ac:dyDescent="0.2">
      <c r="Y815" s="183"/>
    </row>
    <row r="816" spans="25:25" x14ac:dyDescent="0.2">
      <c r="Y816" s="183"/>
    </row>
    <row r="817" spans="25:25" x14ac:dyDescent="0.2">
      <c r="Y817" s="183"/>
    </row>
    <row r="818" spans="25:25" x14ac:dyDescent="0.2">
      <c r="Y818" s="183"/>
    </row>
    <row r="819" spans="25:25" x14ac:dyDescent="0.2">
      <c r="Y819" s="183"/>
    </row>
    <row r="820" spans="25:25" x14ac:dyDescent="0.2">
      <c r="Y820" s="183"/>
    </row>
    <row r="821" spans="25:25" x14ac:dyDescent="0.2">
      <c r="Y821" s="183"/>
    </row>
    <row r="822" spans="25:25" x14ac:dyDescent="0.2">
      <c r="Y822" s="183"/>
    </row>
    <row r="823" spans="25:25" x14ac:dyDescent="0.2">
      <c r="Y823" s="183"/>
    </row>
    <row r="824" spans="25:25" x14ac:dyDescent="0.2">
      <c r="Y824" s="183"/>
    </row>
    <row r="825" spans="25:25" x14ac:dyDescent="0.2">
      <c r="Y825" s="183"/>
    </row>
    <row r="826" spans="25:25" x14ac:dyDescent="0.2">
      <c r="Y826" s="183"/>
    </row>
    <row r="827" spans="25:25" x14ac:dyDescent="0.2">
      <c r="Y827" s="183"/>
    </row>
    <row r="828" spans="25:25" x14ac:dyDescent="0.2">
      <c r="Y828" s="183"/>
    </row>
    <row r="829" spans="25:25" x14ac:dyDescent="0.2">
      <c r="Y829" s="183"/>
    </row>
    <row r="830" spans="25:25" x14ac:dyDescent="0.2">
      <c r="Y830" s="183"/>
    </row>
    <row r="831" spans="25:25" x14ac:dyDescent="0.2">
      <c r="Y831" s="183"/>
    </row>
    <row r="832" spans="25:25" x14ac:dyDescent="0.2">
      <c r="Y832" s="183"/>
    </row>
    <row r="833" spans="25:25" x14ac:dyDescent="0.2">
      <c r="Y833" s="183"/>
    </row>
    <row r="834" spans="25:25" x14ac:dyDescent="0.2">
      <c r="Y834" s="183"/>
    </row>
    <row r="835" spans="25:25" x14ac:dyDescent="0.2">
      <c r="Y835" s="183"/>
    </row>
    <row r="836" spans="25:25" x14ac:dyDescent="0.2">
      <c r="Y836" s="183"/>
    </row>
  </sheetData>
  <mergeCells count="6">
    <mergeCell ref="D1:V1"/>
    <mergeCell ref="D3:V3"/>
    <mergeCell ref="D2:V2"/>
    <mergeCell ref="AA1:AS1"/>
    <mergeCell ref="AA2:AS2"/>
    <mergeCell ref="AA3:AS3"/>
  </mergeCells>
  <phoneticPr fontId="12" type="noConversion"/>
  <printOptions horizontalCentered="1"/>
  <pageMargins left="0.5" right="0.5" top="1" bottom="0.5" header="0.5" footer="0.5"/>
  <pageSetup scale="70" fitToHeight="0" orientation="landscape" r:id="rId1"/>
  <headerFooter alignWithMargins="0"/>
  <rowBreaks count="13" manualBreakCount="13">
    <brk id="57" min="1" max="21" man="1"/>
    <brk id="105" min="1" max="21" man="1"/>
    <brk id="105" min="24" max="44" man="1"/>
    <brk id="132" min="1" max="21" man="1"/>
    <brk id="132" min="24" max="44" man="1"/>
    <brk id="178" min="1" max="21" man="1"/>
    <brk id="178" min="24" max="44" man="1"/>
    <brk id="215" min="1" max="21" man="1"/>
    <brk id="217" min="24" max="44" man="1"/>
    <brk id="221" min="24" max="44" man="1"/>
    <brk id="223" min="1" max="21" man="1"/>
    <brk id="264" min="1" max="21" man="1"/>
    <brk id="264" min="24" max="4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V196"/>
  <sheetViews>
    <sheetView workbookViewId="0">
      <selection activeCell="Q70" sqref="Q70"/>
    </sheetView>
  </sheetViews>
  <sheetFormatPr defaultColWidth="9.77734375" defaultRowHeight="15" x14ac:dyDescent="0.2"/>
  <cols>
    <col min="1" max="1" width="6.77734375" style="324" customWidth="1"/>
    <col min="2" max="2" width="1.77734375" style="324" customWidth="1"/>
    <col min="3" max="3" width="7.77734375" style="324" customWidth="1"/>
    <col min="4" max="4" width="1.77734375" style="324" customWidth="1"/>
    <col min="5" max="5" width="7.77734375" style="324" customWidth="1"/>
    <col min="6" max="6" width="1.77734375" style="324" customWidth="1"/>
    <col min="7" max="7" width="8.77734375" style="324" customWidth="1"/>
    <col min="8" max="8" width="1.77734375" style="324" customWidth="1"/>
    <col min="9" max="9" width="7.77734375" style="324" customWidth="1"/>
    <col min="10" max="10" width="1.77734375" style="324" customWidth="1"/>
    <col min="11" max="11" width="7.77734375" style="324" customWidth="1"/>
    <col min="12" max="12" width="1.77734375" style="324" customWidth="1"/>
    <col min="13" max="13" width="7.77734375" style="324" customWidth="1"/>
    <col min="14" max="14" width="1.77734375" style="324" customWidth="1"/>
    <col min="15" max="15" width="7.77734375" style="324" customWidth="1"/>
    <col min="16" max="16" width="1.77734375" style="324" customWidth="1"/>
    <col min="17" max="17" width="7.77734375" style="324" customWidth="1"/>
    <col min="18" max="18" width="1.77734375" style="324" customWidth="1"/>
    <col min="19" max="19" width="7.77734375" style="324" customWidth="1"/>
    <col min="20" max="20" width="1.77734375" style="324" customWidth="1"/>
    <col min="21" max="21" width="7.77734375" style="324" customWidth="1"/>
    <col min="22" max="22" width="1.77734375" style="324" customWidth="1"/>
    <col min="23" max="23" width="7.77734375" style="324" customWidth="1"/>
    <col min="24" max="24" width="1.77734375" style="324" customWidth="1"/>
    <col min="25" max="25" width="7.77734375" style="324" customWidth="1"/>
    <col min="26" max="26" width="1.77734375" style="324" customWidth="1"/>
    <col min="27" max="27" width="7.77734375" style="324" customWidth="1"/>
    <col min="28" max="28" width="1.77734375" style="324" customWidth="1"/>
    <col min="29" max="29" width="7.77734375" style="324" customWidth="1"/>
    <col min="30" max="30" width="1.77734375" style="324" customWidth="1"/>
    <col min="31" max="31" width="8.77734375" style="324" customWidth="1"/>
    <col min="32" max="16384" width="9.77734375" style="324"/>
  </cols>
  <sheetData>
    <row r="1" spans="1:48" x14ac:dyDescent="0.2">
      <c r="A1" s="620" t="s">
        <v>51</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323"/>
      <c r="AC1" s="323"/>
      <c r="AD1" s="323"/>
      <c r="AE1" s="323"/>
    </row>
    <row r="2" spans="1:48" x14ac:dyDescent="0.2">
      <c r="A2" s="637"/>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323"/>
      <c r="AC2" s="323"/>
      <c r="AD2" s="323"/>
      <c r="AE2" s="323"/>
    </row>
    <row r="3" spans="1:48" x14ac:dyDescent="0.2">
      <c r="A3" s="127"/>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row>
    <row r="4" spans="1:48" x14ac:dyDescent="0.2">
      <c r="A4" s="622" t="s">
        <v>404</v>
      </c>
      <c r="B4" s="622"/>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323"/>
      <c r="AC4" s="323"/>
      <c r="AD4" s="323"/>
      <c r="AE4" s="323"/>
    </row>
    <row r="5" spans="1:48" x14ac:dyDescent="0.2">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row>
    <row r="6" spans="1:48" x14ac:dyDescent="0.2">
      <c r="A6" s="325"/>
      <c r="B6" s="325"/>
      <c r="C6" s="325"/>
      <c r="D6" s="325"/>
      <c r="F6" s="325"/>
      <c r="G6" s="325"/>
      <c r="H6" s="325"/>
      <c r="J6" s="325"/>
      <c r="K6" s="325"/>
      <c r="L6" s="325"/>
      <c r="N6" s="325"/>
      <c r="O6" s="325"/>
      <c r="P6" s="325"/>
      <c r="R6" s="325"/>
      <c r="S6" s="325"/>
      <c r="T6" s="325"/>
      <c r="V6" s="325"/>
      <c r="W6" s="325"/>
      <c r="X6" s="325"/>
      <c r="Z6" s="325"/>
      <c r="AA6" s="325"/>
      <c r="AB6" s="325"/>
      <c r="AD6" s="325"/>
      <c r="AE6" s="325"/>
      <c r="AF6" s="607"/>
      <c r="AG6" s="607"/>
      <c r="AH6" s="607"/>
      <c r="AI6" s="607"/>
      <c r="AJ6" s="607"/>
      <c r="AK6" s="607"/>
      <c r="AL6" s="607"/>
      <c r="AM6" s="607"/>
      <c r="AN6" s="607"/>
      <c r="AO6" s="607"/>
      <c r="AP6" s="607"/>
      <c r="AQ6" s="607"/>
      <c r="AR6" s="607"/>
      <c r="AS6" s="607"/>
      <c r="AT6" s="607"/>
      <c r="AU6" s="607"/>
      <c r="AV6" s="607"/>
    </row>
    <row r="7" spans="1:48" x14ac:dyDescent="0.2">
      <c r="A7" s="326"/>
      <c r="B7" s="326"/>
      <c r="C7" s="326" t="s">
        <v>405</v>
      </c>
      <c r="D7" s="326"/>
      <c r="E7" s="323" t="s">
        <v>198</v>
      </c>
      <c r="F7" s="323"/>
      <c r="G7" s="323"/>
      <c r="H7" s="326"/>
      <c r="I7" s="323" t="s">
        <v>334</v>
      </c>
      <c r="J7" s="323"/>
      <c r="K7" s="323"/>
      <c r="L7" s="326"/>
      <c r="M7" s="323" t="s">
        <v>200</v>
      </c>
      <c r="N7" s="323"/>
      <c r="O7" s="323"/>
      <c r="P7" s="326"/>
      <c r="Q7" s="323" t="s">
        <v>201</v>
      </c>
      <c r="R7" s="323"/>
      <c r="S7" s="323"/>
      <c r="T7" s="326"/>
      <c r="U7" s="639" t="s">
        <v>105</v>
      </c>
      <c r="V7" s="639"/>
      <c r="W7" s="639"/>
      <c r="X7" s="326"/>
      <c r="Y7" s="323" t="s">
        <v>324</v>
      </c>
      <c r="Z7" s="323"/>
      <c r="AA7" s="323"/>
      <c r="AB7" s="326"/>
      <c r="AF7" s="607"/>
      <c r="AG7" s="608"/>
      <c r="AH7" s="608"/>
      <c r="AI7" s="608"/>
      <c r="AJ7" s="608"/>
      <c r="AK7" s="608"/>
      <c r="AL7" s="608"/>
      <c r="AM7" s="608"/>
      <c r="AN7" s="608"/>
      <c r="AO7" s="608"/>
      <c r="AP7" s="608"/>
      <c r="AQ7" s="608"/>
      <c r="AR7" s="608"/>
      <c r="AS7" s="608"/>
      <c r="AT7" s="608"/>
      <c r="AU7" s="607"/>
      <c r="AV7" s="607"/>
    </row>
    <row r="8" spans="1:48" x14ac:dyDescent="0.2">
      <c r="A8" s="326" t="s">
        <v>406</v>
      </c>
      <c r="B8" s="326"/>
      <c r="C8" s="326" t="s">
        <v>326</v>
      </c>
      <c r="D8" s="326"/>
      <c r="E8" s="327" t="s">
        <v>309</v>
      </c>
      <c r="F8" s="327"/>
      <c r="G8" s="327"/>
      <c r="H8" s="326"/>
      <c r="I8" s="327" t="s">
        <v>309</v>
      </c>
      <c r="J8" s="327"/>
      <c r="K8" s="327"/>
      <c r="L8" s="326"/>
      <c r="M8" s="327" t="s">
        <v>309</v>
      </c>
      <c r="N8" s="327"/>
      <c r="O8" s="327"/>
      <c r="P8" s="326"/>
      <c r="Q8" s="327" t="s">
        <v>309</v>
      </c>
      <c r="R8" s="327"/>
      <c r="S8" s="327"/>
      <c r="T8" s="326"/>
      <c r="U8" s="327" t="s">
        <v>309</v>
      </c>
      <c r="V8" s="327"/>
      <c r="W8" s="327"/>
      <c r="X8" s="326"/>
      <c r="Y8" s="327" t="s">
        <v>309</v>
      </c>
      <c r="Z8" s="327"/>
      <c r="AA8" s="327"/>
      <c r="AB8" s="326"/>
      <c r="AF8" s="607"/>
      <c r="AG8" s="608"/>
      <c r="AH8" s="608"/>
      <c r="AI8" s="608"/>
      <c r="AJ8" s="608"/>
      <c r="AK8" s="608"/>
      <c r="AL8" s="608"/>
      <c r="AM8" s="608"/>
      <c r="AN8" s="608"/>
      <c r="AO8" s="608"/>
      <c r="AP8" s="608"/>
      <c r="AQ8" s="608"/>
      <c r="AR8" s="608"/>
      <c r="AS8" s="608"/>
      <c r="AT8" s="608"/>
      <c r="AU8" s="607"/>
      <c r="AV8" s="607"/>
    </row>
    <row r="9" spans="1:48" x14ac:dyDescent="0.2">
      <c r="A9" s="326" t="s">
        <v>327</v>
      </c>
      <c r="B9" s="326"/>
      <c r="C9" s="326" t="s">
        <v>328</v>
      </c>
      <c r="D9" s="326"/>
      <c r="E9" s="326" t="s">
        <v>407</v>
      </c>
      <c r="F9" s="326"/>
      <c r="G9" s="326" t="s">
        <v>330</v>
      </c>
      <c r="H9" s="326"/>
      <c r="I9" s="326" t="s">
        <v>407</v>
      </c>
      <c r="J9" s="326"/>
      <c r="K9" s="326" t="s">
        <v>330</v>
      </c>
      <c r="L9" s="326"/>
      <c r="M9" s="326" t="s">
        <v>407</v>
      </c>
      <c r="N9" s="326"/>
      <c r="O9" s="326" t="s">
        <v>330</v>
      </c>
      <c r="P9" s="326"/>
      <c r="Q9" s="326" t="s">
        <v>407</v>
      </c>
      <c r="R9" s="326"/>
      <c r="S9" s="326" t="s">
        <v>330</v>
      </c>
      <c r="T9" s="326"/>
      <c r="U9" s="326" t="s">
        <v>407</v>
      </c>
      <c r="V9" s="326"/>
      <c r="W9" s="326" t="s">
        <v>330</v>
      </c>
      <c r="X9" s="326"/>
      <c r="Y9" s="326" t="s">
        <v>407</v>
      </c>
      <c r="Z9" s="326"/>
      <c r="AA9" s="326" t="s">
        <v>330</v>
      </c>
      <c r="AB9" s="326"/>
      <c r="AF9" s="607"/>
      <c r="AG9" s="608"/>
      <c r="AH9" s="608"/>
      <c r="AI9" s="608"/>
      <c r="AJ9" s="608"/>
      <c r="AK9" s="608"/>
      <c r="AL9" s="608"/>
      <c r="AM9" s="608"/>
      <c r="AN9" s="608"/>
      <c r="AO9" s="608"/>
      <c r="AP9" s="608"/>
      <c r="AQ9" s="608"/>
      <c r="AR9" s="608"/>
      <c r="AS9" s="608"/>
      <c r="AT9" s="608"/>
      <c r="AU9" s="607"/>
      <c r="AV9" s="607"/>
    </row>
    <row r="10" spans="1:48" x14ac:dyDescent="0.2">
      <c r="A10" s="328">
        <v>-1</v>
      </c>
      <c r="B10" s="329"/>
      <c r="C10" s="328">
        <v>-2</v>
      </c>
      <c r="D10" s="329"/>
      <c r="E10" s="328">
        <v>-3</v>
      </c>
      <c r="F10" s="330"/>
      <c r="G10" s="331" t="s">
        <v>331</v>
      </c>
      <c r="H10" s="330"/>
      <c r="I10" s="328">
        <v>-5</v>
      </c>
      <c r="J10" s="329"/>
      <c r="K10" s="328" t="s">
        <v>332</v>
      </c>
      <c r="L10" s="329"/>
      <c r="M10" s="328">
        <v>-7</v>
      </c>
      <c r="N10" s="329"/>
      <c r="O10" s="328" t="s">
        <v>335</v>
      </c>
      <c r="P10" s="329"/>
      <c r="Q10" s="328">
        <v>-9</v>
      </c>
      <c r="R10" s="329"/>
      <c r="S10" s="328" t="s">
        <v>336</v>
      </c>
      <c r="T10" s="329"/>
      <c r="U10" s="328">
        <v>-11</v>
      </c>
      <c r="V10" s="329"/>
      <c r="W10" s="328" t="s">
        <v>359</v>
      </c>
      <c r="X10" s="329"/>
      <c r="Y10" s="328">
        <v>-13</v>
      </c>
      <c r="Z10" s="329"/>
      <c r="AA10" s="328">
        <v>-14</v>
      </c>
      <c r="AB10" s="329"/>
      <c r="AF10" s="607"/>
      <c r="AG10" s="608"/>
      <c r="AH10" s="608"/>
      <c r="AI10" s="608"/>
      <c r="AJ10" s="608"/>
      <c r="AK10" s="608"/>
      <c r="AL10" s="608"/>
      <c r="AM10" s="608"/>
      <c r="AN10" s="608"/>
      <c r="AO10" s="608"/>
      <c r="AP10" s="608"/>
      <c r="AQ10" s="608"/>
      <c r="AR10" s="608"/>
      <c r="AS10" s="608"/>
      <c r="AT10" s="608"/>
      <c r="AU10" s="607"/>
      <c r="AV10" s="607"/>
    </row>
    <row r="11" spans="1:48" x14ac:dyDescent="0.2">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F11" s="607"/>
      <c r="AG11" s="608"/>
      <c r="AH11" s="609"/>
      <c r="AI11" s="610"/>
      <c r="AJ11" s="610"/>
      <c r="AK11" s="610"/>
      <c r="AL11" s="610"/>
      <c r="AM11" s="610"/>
      <c r="AN11" s="611"/>
      <c r="AO11" s="608"/>
      <c r="AP11" s="608"/>
      <c r="AQ11" s="608"/>
      <c r="AR11" s="608"/>
      <c r="AS11" s="608"/>
      <c r="AT11" s="608"/>
      <c r="AU11" s="607"/>
      <c r="AV11" s="607"/>
    </row>
    <row r="12" spans="1:48" x14ac:dyDescent="0.2">
      <c r="A12" s="326" t="s">
        <v>408</v>
      </c>
      <c r="B12" s="325"/>
      <c r="C12" s="469">
        <v>1</v>
      </c>
      <c r="D12" s="325"/>
      <c r="E12" s="332">
        <v>77108</v>
      </c>
      <c r="F12" s="325"/>
      <c r="G12" s="332">
        <f>ROUND(+E12*$C12,0)</f>
        <v>77108</v>
      </c>
      <c r="H12" s="325"/>
      <c r="I12" s="332">
        <v>3382</v>
      </c>
      <c r="J12" s="325"/>
      <c r="K12" s="332">
        <f>ROUND(+I12*$C12,0)</f>
        <v>3382</v>
      </c>
      <c r="L12" s="325"/>
      <c r="M12" s="332">
        <v>15</v>
      </c>
      <c r="N12" s="325"/>
      <c r="O12" s="332">
        <f>ROUND(+M12*$C12,0)</f>
        <v>15</v>
      </c>
      <c r="P12" s="325"/>
      <c r="Q12" s="332">
        <v>179</v>
      </c>
      <c r="R12" s="325"/>
      <c r="S12" s="332">
        <f>ROUND(+Q12*$C12,0)</f>
        <v>179</v>
      </c>
      <c r="T12" s="325"/>
      <c r="U12" s="332"/>
      <c r="V12" s="325"/>
      <c r="W12" s="332">
        <f>ROUND(+U12*$C12,0)</f>
        <v>0</v>
      </c>
      <c r="X12" s="325"/>
      <c r="Y12" s="332">
        <f>E12+I12+M12+Q12+U12</f>
        <v>80684</v>
      </c>
      <c r="Z12" s="325"/>
      <c r="AA12" s="332">
        <f>G12+K12+O12+S12+W12</f>
        <v>80684</v>
      </c>
      <c r="AB12" s="325"/>
      <c r="AF12" s="607"/>
      <c r="AG12" s="608"/>
      <c r="AH12" s="609"/>
      <c r="AI12" s="612"/>
      <c r="AJ12" s="612"/>
      <c r="AK12" s="613"/>
      <c r="AL12" s="612"/>
      <c r="AM12" s="613"/>
      <c r="AN12" s="611"/>
      <c r="AO12" s="608"/>
      <c r="AP12" s="608"/>
      <c r="AQ12" s="608"/>
      <c r="AR12" s="608"/>
      <c r="AS12" s="608"/>
      <c r="AT12" s="608"/>
      <c r="AU12" s="607"/>
      <c r="AV12" s="607"/>
    </row>
    <row r="13" spans="1:48" x14ac:dyDescent="0.2">
      <c r="A13" s="325"/>
      <c r="B13" s="325"/>
      <c r="C13" s="469"/>
      <c r="D13" s="325"/>
      <c r="E13" s="325"/>
      <c r="F13" s="325"/>
      <c r="G13" s="325"/>
      <c r="H13" s="325"/>
      <c r="I13" s="325"/>
      <c r="J13" s="325"/>
      <c r="K13" s="325"/>
      <c r="L13" s="325"/>
      <c r="M13" s="325"/>
      <c r="N13" s="325"/>
      <c r="O13" s="325"/>
      <c r="P13" s="325"/>
      <c r="Q13" s="325"/>
      <c r="R13" s="325"/>
      <c r="S13" s="325"/>
      <c r="T13" s="325"/>
      <c r="U13" s="332"/>
      <c r="V13" s="325"/>
      <c r="W13" s="325"/>
      <c r="X13" s="325"/>
      <c r="Y13" s="325"/>
      <c r="Z13" s="325"/>
      <c r="AA13" s="325"/>
      <c r="AB13" s="325"/>
      <c r="AF13" s="607"/>
      <c r="AG13" s="608"/>
      <c r="AH13" s="609"/>
      <c r="AI13" s="612"/>
      <c r="AJ13" s="612"/>
      <c r="AK13" s="613"/>
      <c r="AL13" s="612"/>
      <c r="AM13" s="613"/>
      <c r="AN13" s="611"/>
      <c r="AO13" s="608"/>
      <c r="AP13" s="608"/>
      <c r="AQ13" s="608"/>
      <c r="AR13" s="608"/>
      <c r="AS13" s="608"/>
      <c r="AT13" s="608"/>
      <c r="AU13" s="607"/>
      <c r="AV13" s="607"/>
    </row>
    <row r="14" spans="1:48" x14ac:dyDescent="0.2">
      <c r="A14" s="552" t="s">
        <v>409</v>
      </c>
      <c r="B14" s="325"/>
      <c r="C14" s="469">
        <v>1.4</v>
      </c>
      <c r="D14" s="325"/>
      <c r="E14" s="332">
        <v>1</v>
      </c>
      <c r="F14" s="325"/>
      <c r="G14" s="332">
        <f>ROUND(+E14*$C14,0)</f>
        <v>1</v>
      </c>
      <c r="H14" s="325"/>
      <c r="I14" s="332">
        <v>0</v>
      </c>
      <c r="J14" s="325"/>
      <c r="K14" s="332">
        <f>ROUND(+I14*$C14,0)</f>
        <v>0</v>
      </c>
      <c r="L14" s="325"/>
      <c r="M14" s="332">
        <v>0</v>
      </c>
      <c r="N14" s="325"/>
      <c r="O14" s="332">
        <f>ROUND(+M14*$C14,0)</f>
        <v>0</v>
      </c>
      <c r="P14" s="325"/>
      <c r="Q14" s="332">
        <v>0</v>
      </c>
      <c r="R14" s="325"/>
      <c r="S14" s="332">
        <f>ROUND(+Q14*$C14,0)</f>
        <v>0</v>
      </c>
      <c r="T14" s="325"/>
      <c r="U14" s="332"/>
      <c r="V14" s="325"/>
      <c r="W14" s="332">
        <f>ROUND(+U14*$C14,0)</f>
        <v>0</v>
      </c>
      <c r="X14" s="325"/>
      <c r="Y14" s="332">
        <f>E14+I14+M14+Q14+U14</f>
        <v>1</v>
      </c>
      <c r="Z14" s="325"/>
      <c r="AA14" s="332">
        <f>G14+K14+O14+S14+W14</f>
        <v>1</v>
      </c>
      <c r="AB14" s="325"/>
      <c r="AF14" s="607"/>
      <c r="AG14" s="608"/>
      <c r="AH14" s="609"/>
      <c r="AI14" s="612"/>
      <c r="AJ14" s="612"/>
      <c r="AK14" s="613"/>
      <c r="AL14" s="612"/>
      <c r="AM14" s="613"/>
      <c r="AN14" s="611"/>
      <c r="AO14" s="608"/>
      <c r="AP14" s="608"/>
      <c r="AQ14" s="608"/>
      <c r="AR14" s="608"/>
      <c r="AS14" s="608"/>
      <c r="AT14" s="608"/>
      <c r="AU14" s="607"/>
      <c r="AV14" s="607"/>
    </row>
    <row r="15" spans="1:48" x14ac:dyDescent="0.2">
      <c r="A15" s="326"/>
      <c r="B15" s="325"/>
      <c r="C15" s="469"/>
      <c r="D15" s="325"/>
      <c r="E15" s="332"/>
      <c r="F15" s="325"/>
      <c r="G15" s="325"/>
      <c r="H15" s="325"/>
      <c r="I15" s="332"/>
      <c r="J15" s="325"/>
      <c r="K15" s="325"/>
      <c r="L15" s="325"/>
      <c r="M15" s="332"/>
      <c r="N15" s="325"/>
      <c r="O15" s="325"/>
      <c r="P15" s="325"/>
      <c r="Q15" s="332"/>
      <c r="R15" s="325"/>
      <c r="S15" s="325"/>
      <c r="T15" s="325"/>
      <c r="U15" s="332"/>
      <c r="V15" s="325"/>
      <c r="W15" s="325"/>
      <c r="X15" s="325"/>
      <c r="Y15" s="332"/>
      <c r="Z15" s="325"/>
      <c r="AA15" s="332"/>
      <c r="AB15" s="325"/>
      <c r="AF15" s="607"/>
      <c r="AG15" s="608"/>
      <c r="AH15" s="609"/>
      <c r="AI15" s="610"/>
      <c r="AJ15" s="610"/>
      <c r="AK15" s="610"/>
      <c r="AL15" s="610"/>
      <c r="AM15" s="610"/>
      <c r="AN15" s="611"/>
      <c r="AO15" s="608"/>
      <c r="AP15" s="608"/>
      <c r="AQ15" s="608"/>
      <c r="AR15" s="608"/>
      <c r="AS15" s="608"/>
      <c r="AT15" s="608"/>
      <c r="AU15" s="607"/>
      <c r="AV15" s="607"/>
    </row>
    <row r="16" spans="1:48" x14ac:dyDescent="0.2">
      <c r="A16" s="326" t="s">
        <v>410</v>
      </c>
      <c r="B16" s="325"/>
      <c r="C16" s="469">
        <v>1.9</v>
      </c>
      <c r="D16" s="325"/>
      <c r="E16" s="332">
        <v>576</v>
      </c>
      <c r="F16" s="325"/>
      <c r="G16" s="332">
        <f>ROUND(+E16*$C16,0)</f>
        <v>1094</v>
      </c>
      <c r="H16" s="325"/>
      <c r="I16" s="332">
        <v>983</v>
      </c>
      <c r="J16" s="325"/>
      <c r="K16" s="332">
        <f>ROUND(+I16*$C16,0)</f>
        <v>1868</v>
      </c>
      <c r="L16" s="325"/>
      <c r="M16" s="332">
        <v>8.8000000000000007</v>
      </c>
      <c r="N16" s="325"/>
      <c r="O16" s="332">
        <f>ROUND(+M16*$C16,0)</f>
        <v>17</v>
      </c>
      <c r="P16" s="325"/>
      <c r="Q16" s="332">
        <v>75</v>
      </c>
      <c r="R16" s="325"/>
      <c r="S16" s="332">
        <f>ROUND(+Q16*$C16,0)</f>
        <v>143</v>
      </c>
      <c r="T16" s="325"/>
      <c r="U16" s="332"/>
      <c r="V16" s="325"/>
      <c r="W16" s="332">
        <f>ROUND(+U16*$C16,0)</f>
        <v>0</v>
      </c>
      <c r="X16" s="325"/>
      <c r="Y16" s="332">
        <f>E16+I16+M16+Q16+U16</f>
        <v>1642.8</v>
      </c>
      <c r="Z16" s="325"/>
      <c r="AA16" s="332">
        <f>G16+K16+O16+S16+W16</f>
        <v>3122</v>
      </c>
      <c r="AB16" s="325"/>
      <c r="AF16" s="607"/>
      <c r="AG16" s="608"/>
      <c r="AH16" s="609"/>
      <c r="AI16" s="610"/>
      <c r="AJ16" s="610"/>
      <c r="AK16" s="610"/>
      <c r="AL16" s="610"/>
      <c r="AM16" s="610"/>
      <c r="AN16" s="611"/>
      <c r="AO16" s="608"/>
      <c r="AP16" s="608"/>
      <c r="AQ16" s="608"/>
      <c r="AR16" s="608"/>
      <c r="AS16" s="608"/>
      <c r="AT16" s="608"/>
      <c r="AU16" s="607"/>
      <c r="AV16" s="607"/>
    </row>
    <row r="17" spans="1:48" x14ac:dyDescent="0.2">
      <c r="A17" s="326"/>
      <c r="B17" s="325"/>
      <c r="C17" s="469"/>
      <c r="D17" s="325"/>
      <c r="E17" s="332"/>
      <c r="F17" s="325"/>
      <c r="G17" s="325"/>
      <c r="H17" s="325"/>
      <c r="I17" s="332"/>
      <c r="J17" s="325"/>
      <c r="K17" s="325"/>
      <c r="L17" s="325"/>
      <c r="M17" s="332"/>
      <c r="N17" s="325"/>
      <c r="O17" s="325"/>
      <c r="P17" s="325"/>
      <c r="Q17" s="332"/>
      <c r="R17" s="325"/>
      <c r="S17" s="325"/>
      <c r="T17" s="325"/>
      <c r="U17" s="332"/>
      <c r="V17" s="325"/>
      <c r="W17" s="325"/>
      <c r="X17" s="325"/>
      <c r="Y17" s="332"/>
      <c r="Z17" s="325"/>
      <c r="AA17" s="332"/>
      <c r="AB17" s="325"/>
      <c r="AF17" s="607"/>
      <c r="AG17" s="608"/>
      <c r="AH17" s="609"/>
      <c r="AI17" s="610"/>
      <c r="AJ17" s="610"/>
      <c r="AK17" s="610"/>
      <c r="AL17" s="610"/>
      <c r="AM17" s="610"/>
      <c r="AN17" s="611"/>
      <c r="AO17" s="608"/>
      <c r="AP17" s="608"/>
      <c r="AQ17" s="608"/>
      <c r="AR17" s="608"/>
      <c r="AS17" s="608"/>
      <c r="AT17" s="608"/>
      <c r="AU17" s="607"/>
      <c r="AV17" s="607"/>
    </row>
    <row r="18" spans="1:48" x14ac:dyDescent="0.2">
      <c r="A18" s="326" t="s">
        <v>411</v>
      </c>
      <c r="B18" s="325"/>
      <c r="C18" s="469">
        <v>3.9</v>
      </c>
      <c r="D18" s="325"/>
      <c r="E18" s="332">
        <v>35</v>
      </c>
      <c r="F18" s="325"/>
      <c r="G18" s="332">
        <f>ROUND(+E18*$C18,0)</f>
        <v>137</v>
      </c>
      <c r="H18" s="325"/>
      <c r="I18" s="332">
        <v>783</v>
      </c>
      <c r="J18" s="325"/>
      <c r="K18" s="332">
        <f>ROUND(+I18*$C18,0)</f>
        <v>3054</v>
      </c>
      <c r="L18" s="325"/>
      <c r="M18" s="332">
        <v>12</v>
      </c>
      <c r="N18" s="325"/>
      <c r="O18" s="332">
        <f>ROUND(+M18*$C18,0)</f>
        <v>47</v>
      </c>
      <c r="P18" s="325"/>
      <c r="Q18" s="332">
        <v>47</v>
      </c>
      <c r="R18" s="325"/>
      <c r="S18" s="332">
        <f>ROUND(+Q18*$C18,0)</f>
        <v>183</v>
      </c>
      <c r="T18" s="325"/>
      <c r="U18" s="332"/>
      <c r="V18" s="325"/>
      <c r="W18" s="332">
        <f>ROUND(+U18*$C18,0)</f>
        <v>0</v>
      </c>
      <c r="X18" s="325"/>
      <c r="Y18" s="332">
        <f>E18+I18+M18+Q18+U18</f>
        <v>877</v>
      </c>
      <c r="Z18" s="325"/>
      <c r="AA18" s="332">
        <f>G18+K18+O18+S18+W18</f>
        <v>3421</v>
      </c>
      <c r="AB18" s="325"/>
      <c r="AF18" s="607"/>
      <c r="AG18" s="608"/>
      <c r="AH18" s="609"/>
      <c r="AI18" s="610"/>
      <c r="AJ18" s="610"/>
      <c r="AK18" s="610"/>
      <c r="AL18" s="610"/>
      <c r="AM18" s="610"/>
      <c r="AN18" s="611"/>
      <c r="AO18" s="608"/>
      <c r="AP18" s="608"/>
      <c r="AQ18" s="608"/>
      <c r="AR18" s="608"/>
      <c r="AS18" s="608"/>
      <c r="AT18" s="608"/>
      <c r="AU18" s="607"/>
      <c r="AV18" s="607"/>
    </row>
    <row r="19" spans="1:48" x14ac:dyDescent="0.2">
      <c r="A19" s="326"/>
      <c r="B19" s="325"/>
      <c r="C19" s="469"/>
      <c r="D19" s="325"/>
      <c r="E19" s="332"/>
      <c r="F19" s="325"/>
      <c r="G19" s="325"/>
      <c r="H19" s="325"/>
      <c r="I19" s="332"/>
      <c r="J19" s="325"/>
      <c r="K19" s="325"/>
      <c r="L19" s="325"/>
      <c r="M19" s="332"/>
      <c r="N19" s="325"/>
      <c r="O19" s="325"/>
      <c r="P19" s="325"/>
      <c r="Q19" s="332"/>
      <c r="R19" s="325"/>
      <c r="S19" s="325"/>
      <c r="T19" s="325"/>
      <c r="U19" s="332"/>
      <c r="V19" s="325"/>
      <c r="W19" s="325"/>
      <c r="X19" s="325"/>
      <c r="Y19" s="332"/>
      <c r="Z19" s="325"/>
      <c r="AA19" s="332"/>
      <c r="AB19" s="325"/>
      <c r="AF19" s="607"/>
      <c r="AG19" s="608"/>
      <c r="AH19" s="609"/>
      <c r="AI19" s="610"/>
      <c r="AJ19" s="610"/>
      <c r="AK19" s="610"/>
      <c r="AL19" s="610"/>
      <c r="AM19" s="610"/>
      <c r="AN19" s="611"/>
      <c r="AO19" s="608"/>
      <c r="AP19" s="608"/>
      <c r="AQ19" s="608"/>
      <c r="AR19" s="608"/>
      <c r="AS19" s="608"/>
      <c r="AT19" s="608"/>
      <c r="AU19" s="607"/>
      <c r="AV19" s="607"/>
    </row>
    <row r="20" spans="1:48" x14ac:dyDescent="0.2">
      <c r="A20" s="326" t="s">
        <v>412</v>
      </c>
      <c r="B20" s="325"/>
      <c r="C20" s="469">
        <v>4</v>
      </c>
      <c r="D20" s="325"/>
      <c r="E20" s="332">
        <v>7</v>
      </c>
      <c r="F20" s="325"/>
      <c r="G20" s="332">
        <f>ROUND(+E20*$C20,0)</f>
        <v>28</v>
      </c>
      <c r="H20" s="325"/>
      <c r="I20" s="332">
        <v>736</v>
      </c>
      <c r="J20" s="325"/>
      <c r="K20" s="332">
        <f>ROUND(+I20*$C20,0)</f>
        <v>2944</v>
      </c>
      <c r="L20" s="325"/>
      <c r="M20" s="332">
        <v>40</v>
      </c>
      <c r="N20" s="325"/>
      <c r="O20" s="332">
        <f>ROUND(+M20*$C20,0)</f>
        <v>160</v>
      </c>
      <c r="P20" s="325"/>
      <c r="Q20" s="332">
        <v>145</v>
      </c>
      <c r="R20" s="325"/>
      <c r="S20" s="332">
        <f>ROUND(+Q20*$C20,0)</f>
        <v>580</v>
      </c>
      <c r="T20" s="325"/>
      <c r="U20" s="332"/>
      <c r="V20" s="325"/>
      <c r="W20" s="332">
        <f>ROUND(+U20*$C20,0)</f>
        <v>0</v>
      </c>
      <c r="X20" s="325"/>
      <c r="Y20" s="332">
        <f>E20+I20+M20+Q20+U20</f>
        <v>928</v>
      </c>
      <c r="Z20" s="325"/>
      <c r="AA20" s="332">
        <f>G20+K20+O20+S20+W20</f>
        <v>3712</v>
      </c>
      <c r="AB20" s="325"/>
      <c r="AF20" s="607"/>
      <c r="AG20" s="608"/>
      <c r="AH20" s="609"/>
      <c r="AI20" s="610"/>
      <c r="AJ20" s="610"/>
      <c r="AK20" s="610"/>
      <c r="AL20" s="610"/>
      <c r="AM20" s="610"/>
      <c r="AN20" s="611"/>
      <c r="AO20" s="608"/>
      <c r="AP20" s="608"/>
      <c r="AQ20" s="608"/>
      <c r="AR20" s="608"/>
      <c r="AS20" s="608"/>
      <c r="AT20" s="608"/>
      <c r="AU20" s="607"/>
      <c r="AV20" s="607"/>
    </row>
    <row r="21" spans="1:48" x14ac:dyDescent="0.2">
      <c r="A21" s="326"/>
      <c r="B21" s="325"/>
      <c r="C21" s="469"/>
      <c r="D21" s="325"/>
      <c r="E21" s="332"/>
      <c r="F21" s="325"/>
      <c r="G21" s="325"/>
      <c r="H21" s="325"/>
      <c r="I21" s="332"/>
      <c r="J21" s="325"/>
      <c r="K21" s="325"/>
      <c r="L21" s="325"/>
      <c r="M21" s="332"/>
      <c r="N21" s="325"/>
      <c r="O21" s="325"/>
      <c r="P21" s="325"/>
      <c r="Q21" s="332"/>
      <c r="R21" s="325"/>
      <c r="S21" s="325"/>
      <c r="T21" s="325"/>
      <c r="U21" s="332"/>
      <c r="V21" s="325"/>
      <c r="W21" s="325"/>
      <c r="X21" s="325"/>
      <c r="Y21" s="332"/>
      <c r="Z21" s="325"/>
      <c r="AA21" s="332"/>
      <c r="AB21" s="325"/>
      <c r="AF21" s="607"/>
      <c r="AG21" s="608"/>
      <c r="AH21" s="609"/>
      <c r="AI21" s="610"/>
      <c r="AJ21" s="610"/>
      <c r="AK21" s="610"/>
      <c r="AL21" s="610"/>
      <c r="AM21" s="610"/>
      <c r="AN21" s="611"/>
      <c r="AO21" s="608"/>
      <c r="AP21" s="608"/>
      <c r="AQ21" s="608"/>
      <c r="AR21" s="608"/>
      <c r="AS21" s="608"/>
      <c r="AT21" s="608"/>
      <c r="AU21" s="607"/>
      <c r="AV21" s="607"/>
    </row>
    <row r="22" spans="1:48" x14ac:dyDescent="0.2">
      <c r="A22" s="326" t="s">
        <v>413</v>
      </c>
      <c r="B22" s="325"/>
      <c r="C22" s="469">
        <v>8.6</v>
      </c>
      <c r="D22" s="325"/>
      <c r="E22" s="332"/>
      <c r="F22" s="325"/>
      <c r="G22" s="332">
        <f>ROUND(+E22*$C22,0)</f>
        <v>0</v>
      </c>
      <c r="H22" s="325"/>
      <c r="I22" s="332">
        <v>77</v>
      </c>
      <c r="J22" s="325"/>
      <c r="K22" s="332">
        <f>ROUND(+I22*$C22,0)</f>
        <v>662</v>
      </c>
      <c r="L22" s="325"/>
      <c r="M22" s="332">
        <v>15</v>
      </c>
      <c r="N22" s="325"/>
      <c r="O22" s="332">
        <f>ROUND(+M22*$C22,0)</f>
        <v>129</v>
      </c>
      <c r="P22" s="325"/>
      <c r="Q22" s="332">
        <v>46</v>
      </c>
      <c r="R22" s="325"/>
      <c r="S22" s="332">
        <f>ROUND(+Q22*$C22,0)</f>
        <v>396</v>
      </c>
      <c r="T22" s="325"/>
      <c r="U22" s="332"/>
      <c r="V22" s="325"/>
      <c r="W22" s="332">
        <f>ROUND(+U22*$C22,0)</f>
        <v>0</v>
      </c>
      <c r="X22" s="325"/>
      <c r="Y22" s="332">
        <f>E22+I22+M22+Q22+U22</f>
        <v>138</v>
      </c>
      <c r="Z22" s="325"/>
      <c r="AA22" s="332">
        <f>G22+K22+O22+S22+W22</f>
        <v>1187</v>
      </c>
      <c r="AB22" s="325"/>
      <c r="AF22" s="607"/>
      <c r="AG22" s="608"/>
      <c r="AH22" s="609"/>
      <c r="AI22" s="610"/>
      <c r="AJ22" s="610"/>
      <c r="AK22" s="610"/>
      <c r="AL22" s="610"/>
      <c r="AM22" s="610"/>
      <c r="AN22" s="611"/>
      <c r="AO22" s="608"/>
      <c r="AP22" s="608"/>
      <c r="AQ22" s="608"/>
      <c r="AR22" s="608"/>
      <c r="AS22" s="608"/>
      <c r="AT22" s="608"/>
      <c r="AU22" s="607"/>
      <c r="AV22" s="607"/>
    </row>
    <row r="23" spans="1:48" x14ac:dyDescent="0.2">
      <c r="A23" s="326"/>
      <c r="B23" s="325"/>
      <c r="C23" s="469"/>
      <c r="D23" s="325"/>
      <c r="E23" s="332"/>
      <c r="F23" s="325"/>
      <c r="G23" s="325"/>
      <c r="H23" s="325"/>
      <c r="I23" s="332"/>
      <c r="J23" s="325"/>
      <c r="K23" s="325"/>
      <c r="L23" s="325"/>
      <c r="M23" s="332"/>
      <c r="N23" s="325"/>
      <c r="O23" s="325"/>
      <c r="P23" s="325"/>
      <c r="Q23" s="332"/>
      <c r="R23" s="325"/>
      <c r="S23" s="325"/>
      <c r="T23" s="325"/>
      <c r="U23" s="332"/>
      <c r="V23" s="325"/>
      <c r="W23" s="325"/>
      <c r="X23" s="325"/>
      <c r="Y23" s="332"/>
      <c r="Z23" s="325"/>
      <c r="AA23" s="332"/>
      <c r="AB23" s="325"/>
      <c r="AF23" s="607"/>
      <c r="AG23" s="608"/>
      <c r="AH23" s="609"/>
      <c r="AI23" s="610"/>
      <c r="AJ23" s="610"/>
      <c r="AK23" s="610"/>
      <c r="AL23" s="610"/>
      <c r="AM23" s="610"/>
      <c r="AN23" s="611"/>
      <c r="AO23" s="608"/>
      <c r="AP23" s="608"/>
      <c r="AQ23" s="608"/>
      <c r="AR23" s="608"/>
      <c r="AS23" s="608"/>
      <c r="AT23" s="608"/>
      <c r="AU23" s="607"/>
      <c r="AV23" s="607"/>
    </row>
    <row r="24" spans="1:48" x14ac:dyDescent="0.2">
      <c r="A24" s="326" t="s">
        <v>414</v>
      </c>
      <c r="B24" s="325"/>
      <c r="C24" s="469">
        <v>12</v>
      </c>
      <c r="D24" s="325"/>
      <c r="E24" s="332"/>
      <c r="F24" s="325"/>
      <c r="G24" s="332">
        <f>ROUND(+E24*$C24,0)</f>
        <v>0</v>
      </c>
      <c r="H24" s="325"/>
      <c r="I24" s="332">
        <v>54</v>
      </c>
      <c r="J24" s="325"/>
      <c r="K24" s="332">
        <f>ROUND(+I24*$C24,0)</f>
        <v>648</v>
      </c>
      <c r="L24" s="325"/>
      <c r="M24" s="332">
        <v>14</v>
      </c>
      <c r="N24" s="325"/>
      <c r="O24" s="332">
        <f>ROUND(+M24*$C24,0)</f>
        <v>168</v>
      </c>
      <c r="P24" s="325"/>
      <c r="Q24" s="332">
        <v>23</v>
      </c>
      <c r="R24" s="325"/>
      <c r="S24" s="332">
        <f>ROUND(+Q24*$C24,0)</f>
        <v>276</v>
      </c>
      <c r="T24" s="325"/>
      <c r="U24" s="332">
        <v>3</v>
      </c>
      <c r="V24" s="325"/>
      <c r="W24" s="332">
        <f>ROUND(+U24*$C24,0)</f>
        <v>36</v>
      </c>
      <c r="X24" s="325"/>
      <c r="Y24" s="332">
        <f>E24+I24+M24+Q24+U24</f>
        <v>94</v>
      </c>
      <c r="Z24" s="325"/>
      <c r="AA24" s="332">
        <f>G24+K24+O24+S24+W24</f>
        <v>1128</v>
      </c>
      <c r="AB24" s="325"/>
      <c r="AF24" s="607"/>
      <c r="AG24" s="608"/>
      <c r="AH24" s="609"/>
      <c r="AI24" s="610"/>
      <c r="AJ24" s="610"/>
      <c r="AK24" s="610"/>
      <c r="AL24" s="610"/>
      <c r="AM24" s="610"/>
      <c r="AN24" s="608"/>
      <c r="AO24" s="608"/>
      <c r="AP24" s="608"/>
      <c r="AQ24" s="608"/>
      <c r="AR24" s="608"/>
      <c r="AS24" s="608"/>
      <c r="AT24" s="608"/>
      <c r="AU24" s="607"/>
      <c r="AV24" s="607"/>
    </row>
    <row r="25" spans="1:48" x14ac:dyDescent="0.2">
      <c r="A25" s="326"/>
      <c r="B25" s="325"/>
      <c r="C25" s="469"/>
      <c r="D25" s="325"/>
      <c r="E25" s="332"/>
      <c r="F25" s="325"/>
      <c r="G25" s="325"/>
      <c r="H25" s="325"/>
      <c r="I25" s="332"/>
      <c r="J25" s="325"/>
      <c r="K25" s="325"/>
      <c r="L25" s="325"/>
      <c r="M25" s="332"/>
      <c r="N25" s="325"/>
      <c r="O25" s="325"/>
      <c r="P25" s="325"/>
      <c r="Q25" s="332"/>
      <c r="R25" s="325"/>
      <c r="S25" s="325"/>
      <c r="T25" s="325"/>
      <c r="U25" s="332"/>
      <c r="V25" s="325"/>
      <c r="W25" s="325"/>
      <c r="X25" s="325"/>
      <c r="Y25" s="332"/>
      <c r="Z25" s="325"/>
      <c r="AA25" s="332"/>
      <c r="AB25" s="325"/>
      <c r="AF25" s="607"/>
      <c r="AG25" s="608"/>
      <c r="AH25" s="609"/>
      <c r="AI25" s="612"/>
      <c r="AJ25" s="612"/>
      <c r="AK25" s="612"/>
      <c r="AL25" s="612"/>
      <c r="AM25" s="612"/>
      <c r="AN25" s="611"/>
      <c r="AO25" s="608"/>
      <c r="AP25" s="608"/>
      <c r="AQ25" s="608"/>
      <c r="AR25" s="608"/>
      <c r="AS25" s="608"/>
      <c r="AT25" s="608"/>
      <c r="AU25" s="607"/>
      <c r="AV25" s="607"/>
    </row>
    <row r="26" spans="1:48" x14ac:dyDescent="0.2">
      <c r="A26" s="326" t="s">
        <v>415</v>
      </c>
      <c r="B26" s="325"/>
      <c r="C26" s="469">
        <v>22.5</v>
      </c>
      <c r="D26" s="325"/>
      <c r="E26" s="332"/>
      <c r="F26" s="325"/>
      <c r="G26" s="332">
        <f>ROUND(+E26*$C26,0)</f>
        <v>0</v>
      </c>
      <c r="H26" s="325"/>
      <c r="I26" s="332">
        <v>54</v>
      </c>
      <c r="J26" s="325"/>
      <c r="K26" s="332">
        <f>ROUND(+I26*$C26,0)</f>
        <v>1215</v>
      </c>
      <c r="L26" s="325"/>
      <c r="M26" s="332">
        <v>8</v>
      </c>
      <c r="N26" s="325"/>
      <c r="O26" s="332">
        <f>ROUND(+M26*$C26,0)</f>
        <v>180</v>
      </c>
      <c r="P26" s="325"/>
      <c r="Q26" s="332">
        <v>10</v>
      </c>
      <c r="R26" s="325"/>
      <c r="S26" s="332">
        <f>ROUND(+Q26*$C26,0)</f>
        <v>225</v>
      </c>
      <c r="T26" s="325"/>
      <c r="U26" s="332">
        <v>3</v>
      </c>
      <c r="V26" s="325"/>
      <c r="W26" s="332">
        <f>ROUND(+U26*$C26,0)</f>
        <v>68</v>
      </c>
      <c r="X26" s="325"/>
      <c r="Y26" s="332">
        <f>E26+I26+M26+Q26+U26</f>
        <v>75</v>
      </c>
      <c r="Z26" s="325"/>
      <c r="AA26" s="332">
        <f>G26+K26+O26+S26+W26</f>
        <v>1688</v>
      </c>
      <c r="AB26" s="325"/>
      <c r="AF26" s="607"/>
      <c r="AG26" s="608"/>
      <c r="AH26" s="609"/>
      <c r="AI26" s="613"/>
      <c r="AJ26" s="612"/>
      <c r="AK26" s="612"/>
      <c r="AL26" s="612"/>
      <c r="AM26" s="612"/>
      <c r="AN26" s="611"/>
      <c r="AO26" s="608"/>
      <c r="AP26" s="608"/>
      <c r="AQ26" s="608"/>
      <c r="AR26" s="608"/>
      <c r="AS26" s="608"/>
      <c r="AT26" s="608"/>
      <c r="AU26" s="607"/>
      <c r="AV26" s="607"/>
    </row>
    <row r="27" spans="1:48" x14ac:dyDescent="0.2">
      <c r="A27" s="326"/>
      <c r="B27" s="325"/>
      <c r="C27" s="469"/>
      <c r="D27" s="325"/>
      <c r="E27" s="332"/>
      <c r="F27" s="325"/>
      <c r="G27" s="337"/>
      <c r="H27" s="325"/>
      <c r="I27" s="332"/>
      <c r="J27" s="325"/>
      <c r="K27" s="325"/>
      <c r="L27" s="325"/>
      <c r="M27" s="332"/>
      <c r="N27" s="325"/>
      <c r="O27" s="325"/>
      <c r="P27" s="325"/>
      <c r="Q27" s="332"/>
      <c r="R27" s="325"/>
      <c r="S27" s="325"/>
      <c r="T27" s="325"/>
      <c r="U27" s="332"/>
      <c r="V27" s="325"/>
      <c r="W27" s="325"/>
      <c r="X27" s="325"/>
      <c r="Y27" s="332"/>
      <c r="Z27" s="325"/>
      <c r="AA27" s="332"/>
      <c r="AB27" s="325"/>
      <c r="AF27" s="607"/>
      <c r="AG27" s="608"/>
      <c r="AH27" s="609"/>
      <c r="AI27" s="613"/>
      <c r="AJ27" s="612"/>
      <c r="AK27" s="612"/>
      <c r="AL27" s="612"/>
      <c r="AM27" s="613"/>
      <c r="AN27" s="611"/>
      <c r="AO27" s="608"/>
      <c r="AP27" s="608"/>
      <c r="AQ27" s="608"/>
      <c r="AR27" s="608"/>
      <c r="AS27" s="608"/>
      <c r="AT27" s="608"/>
      <c r="AU27" s="607"/>
      <c r="AV27" s="607"/>
    </row>
    <row r="28" spans="1:48" x14ac:dyDescent="0.2">
      <c r="A28" s="326" t="s">
        <v>416</v>
      </c>
      <c r="B28" s="325"/>
      <c r="C28" s="469">
        <v>46.4</v>
      </c>
      <c r="D28" s="325"/>
      <c r="E28" s="332"/>
      <c r="F28" s="325"/>
      <c r="G28" s="336">
        <f>ROUND(+E28*$C28,0)</f>
        <v>0</v>
      </c>
      <c r="H28" s="325"/>
      <c r="I28" s="332">
        <v>26</v>
      </c>
      <c r="J28" s="325"/>
      <c r="K28" s="332">
        <f>ROUND(+I28*$C28,0)</f>
        <v>1206</v>
      </c>
      <c r="L28" s="325"/>
      <c r="M28" s="332">
        <v>3</v>
      </c>
      <c r="N28" s="325"/>
      <c r="O28" s="332">
        <f>ROUND(+M28*$C28,0)</f>
        <v>139</v>
      </c>
      <c r="P28" s="325"/>
      <c r="Q28" s="332">
        <v>4</v>
      </c>
      <c r="R28" s="325"/>
      <c r="S28" s="332">
        <f>ROUND(+Q28*$C28,0)</f>
        <v>186</v>
      </c>
      <c r="T28" s="325"/>
      <c r="U28" s="332"/>
      <c r="V28" s="325"/>
      <c r="W28" s="332">
        <f>ROUND(+U28*$C28,0)</f>
        <v>0</v>
      </c>
      <c r="X28" s="325"/>
      <c r="Y28" s="332">
        <f>E28+I28+M28+Q28+U28</f>
        <v>33</v>
      </c>
      <c r="Z28" s="325"/>
      <c r="AA28" s="332">
        <f>G28+K28+O28+S28+W28</f>
        <v>1531</v>
      </c>
      <c r="AB28" s="325"/>
      <c r="AF28" s="607"/>
      <c r="AG28" s="608"/>
      <c r="AH28" s="609"/>
      <c r="AI28" s="613"/>
      <c r="AJ28" s="613"/>
      <c r="AK28" s="613"/>
      <c r="AL28" s="612"/>
      <c r="AM28" s="613"/>
      <c r="AN28" s="608"/>
      <c r="AO28" s="608"/>
      <c r="AP28" s="608"/>
      <c r="AQ28" s="608"/>
      <c r="AR28" s="608"/>
      <c r="AS28" s="608"/>
      <c r="AT28" s="608"/>
      <c r="AU28" s="607"/>
      <c r="AV28" s="607"/>
    </row>
    <row r="29" spans="1:48" x14ac:dyDescent="0.2">
      <c r="A29" s="326"/>
      <c r="B29" s="325"/>
      <c r="C29" s="469"/>
      <c r="D29" s="325"/>
      <c r="E29" s="332"/>
      <c r="F29" s="325"/>
      <c r="G29" s="337"/>
      <c r="H29" s="325"/>
      <c r="I29" s="332"/>
      <c r="J29" s="325"/>
      <c r="K29" s="325"/>
      <c r="L29" s="325"/>
      <c r="M29" s="332"/>
      <c r="N29" s="325"/>
      <c r="O29" s="325"/>
      <c r="P29" s="325"/>
      <c r="Q29" s="332"/>
      <c r="R29" s="325"/>
      <c r="S29" s="325"/>
      <c r="T29" s="325"/>
      <c r="U29" s="332"/>
      <c r="V29" s="325"/>
      <c r="W29" s="332"/>
      <c r="X29" s="325"/>
      <c r="Y29" s="332"/>
      <c r="Z29" s="325"/>
      <c r="AA29" s="332"/>
      <c r="AB29" s="325"/>
      <c r="AF29" s="607"/>
      <c r="AG29" s="608"/>
      <c r="AH29" s="609"/>
      <c r="AI29" s="613"/>
      <c r="AJ29" s="612"/>
      <c r="AK29" s="613"/>
      <c r="AL29" s="612"/>
      <c r="AM29" s="613"/>
      <c r="AN29" s="608"/>
      <c r="AO29" s="608"/>
      <c r="AP29" s="608"/>
      <c r="AQ29" s="608"/>
      <c r="AR29" s="608"/>
      <c r="AS29" s="608"/>
      <c r="AT29" s="608"/>
      <c r="AU29" s="607"/>
      <c r="AV29" s="607"/>
    </row>
    <row r="30" spans="1:48" x14ac:dyDescent="0.2">
      <c r="A30" s="326">
        <v>10</v>
      </c>
      <c r="B30" s="325"/>
      <c r="C30" s="469">
        <f>+C28</f>
        <v>46.4</v>
      </c>
      <c r="D30" s="325"/>
      <c r="E30" s="332"/>
      <c r="F30" s="325"/>
      <c r="G30" s="422">
        <f>ROUND(+E30*$C30,0)</f>
        <v>0</v>
      </c>
      <c r="H30" s="325"/>
      <c r="I30" s="422">
        <v>0</v>
      </c>
      <c r="J30" s="325"/>
      <c r="K30" s="332">
        <f>ROUND(+I30*$C30,0)</f>
        <v>0</v>
      </c>
      <c r="L30" s="325"/>
      <c r="M30" s="332">
        <v>2</v>
      </c>
      <c r="N30" s="325"/>
      <c r="O30" s="332">
        <f>ROUND(+M30*$C30,0)</f>
        <v>93</v>
      </c>
      <c r="P30" s="325"/>
      <c r="Q30" s="332">
        <v>1</v>
      </c>
      <c r="R30" s="325"/>
      <c r="S30" s="332">
        <f>ROUND(+Q30*$C30,0)</f>
        <v>46</v>
      </c>
      <c r="T30" s="325"/>
      <c r="U30" s="332"/>
      <c r="V30" s="325"/>
      <c r="W30" s="332"/>
      <c r="X30" s="325"/>
      <c r="Y30" s="332">
        <f>E30+I30+M30+Q30+U30</f>
        <v>3</v>
      </c>
      <c r="Z30" s="325"/>
      <c r="AA30" s="332">
        <f>G30+K30+O30+S30+W30</f>
        <v>139</v>
      </c>
      <c r="AB30" s="325"/>
      <c r="AF30" s="607"/>
      <c r="AG30" s="608"/>
      <c r="AH30" s="609"/>
      <c r="AI30" s="613"/>
      <c r="AJ30" s="612"/>
      <c r="AK30" s="612"/>
      <c r="AL30" s="612"/>
      <c r="AM30" s="613"/>
      <c r="AN30" s="608"/>
      <c r="AO30" s="608"/>
      <c r="AP30" s="608"/>
      <c r="AQ30" s="608"/>
      <c r="AR30" s="608"/>
      <c r="AS30" s="608"/>
      <c r="AT30" s="608"/>
      <c r="AU30" s="607"/>
      <c r="AV30" s="607"/>
    </row>
    <row r="31" spans="1:48" x14ac:dyDescent="0.2">
      <c r="A31" s="325"/>
      <c r="B31" s="325"/>
      <c r="C31" s="325"/>
      <c r="D31" s="325"/>
      <c r="E31" s="333"/>
      <c r="F31" s="325"/>
      <c r="G31" s="337"/>
      <c r="H31" s="325"/>
      <c r="I31" s="332"/>
      <c r="J31" s="325"/>
      <c r="K31" s="333"/>
      <c r="L31" s="325"/>
      <c r="M31" s="333"/>
      <c r="N31" s="325"/>
      <c r="O31" s="333"/>
      <c r="P31" s="325"/>
      <c r="Q31" s="333"/>
      <c r="R31" s="325"/>
      <c r="S31" s="333"/>
      <c r="T31" s="325"/>
      <c r="U31" s="333"/>
      <c r="V31" s="325"/>
      <c r="W31" s="333"/>
      <c r="X31" s="325"/>
      <c r="Y31" s="333"/>
      <c r="Z31" s="325"/>
      <c r="AA31" s="333"/>
      <c r="AB31" s="325"/>
      <c r="AF31" s="607"/>
      <c r="AG31" s="608"/>
      <c r="AH31" s="609"/>
      <c r="AI31" s="613"/>
      <c r="AJ31" s="612"/>
      <c r="AK31" s="612"/>
      <c r="AL31" s="613"/>
      <c r="AM31" s="613"/>
      <c r="AN31" s="608"/>
      <c r="AO31" s="608"/>
      <c r="AP31" s="608"/>
      <c r="AQ31" s="608"/>
      <c r="AR31" s="608"/>
      <c r="AS31" s="608"/>
      <c r="AT31" s="608"/>
      <c r="AU31" s="607"/>
      <c r="AV31" s="607"/>
    </row>
    <row r="32" spans="1:48" ht="15.75" thickBot="1" x14ac:dyDescent="0.25">
      <c r="A32" s="325" t="s">
        <v>324</v>
      </c>
      <c r="B32" s="325"/>
      <c r="C32" s="325"/>
      <c r="D32" s="325"/>
      <c r="E32" s="334">
        <f>SUM(E12:E30)</f>
        <v>77727</v>
      </c>
      <c r="F32" s="325"/>
      <c r="G32" s="334">
        <f>SUM(G12:G30)</f>
        <v>78368</v>
      </c>
      <c r="H32" s="325"/>
      <c r="I32" s="334">
        <f>SUM(I12:I30)</f>
        <v>6095</v>
      </c>
      <c r="J32" s="325"/>
      <c r="K32" s="334">
        <f>SUM(K12:K30)</f>
        <v>14979</v>
      </c>
      <c r="L32" s="325"/>
      <c r="M32" s="334">
        <f>SUM(M12:M30)</f>
        <v>117.8</v>
      </c>
      <c r="N32" s="325"/>
      <c r="O32" s="334">
        <f>SUM(O12:O30)</f>
        <v>948</v>
      </c>
      <c r="P32" s="325"/>
      <c r="Q32" s="334">
        <f>SUM(Q12:Q30)</f>
        <v>530</v>
      </c>
      <c r="R32" s="325"/>
      <c r="S32" s="334">
        <f>SUM(S12:S30)</f>
        <v>2214</v>
      </c>
      <c r="T32" s="325"/>
      <c r="U32" s="334">
        <f>SUM(U12:U30)</f>
        <v>6</v>
      </c>
      <c r="V32" s="325"/>
      <c r="W32" s="334">
        <f>SUM(W12:W30)</f>
        <v>104</v>
      </c>
      <c r="X32" s="325"/>
      <c r="Y32" s="334">
        <f>SUM(Y12:Y30)</f>
        <v>84475.8</v>
      </c>
      <c r="Z32" s="325"/>
      <c r="AA32" s="334">
        <f>SUM(AA12:AA30)</f>
        <v>96613</v>
      </c>
      <c r="AB32" s="325"/>
      <c r="AF32" s="607"/>
      <c r="AG32" s="608"/>
      <c r="AH32" s="609"/>
      <c r="AI32" s="613"/>
      <c r="AJ32" s="612"/>
      <c r="AK32" s="612"/>
      <c r="AL32" s="613"/>
      <c r="AM32" s="613"/>
      <c r="AN32" s="608"/>
      <c r="AO32" s="608"/>
      <c r="AP32" s="608"/>
      <c r="AQ32" s="608"/>
      <c r="AR32" s="608"/>
      <c r="AS32" s="608"/>
      <c r="AT32" s="608"/>
      <c r="AU32" s="607"/>
      <c r="AV32" s="607"/>
    </row>
    <row r="33" spans="1:48" ht="15.75" customHeight="1" thickTop="1" x14ac:dyDescent="0.2">
      <c r="AB33" s="325"/>
      <c r="AF33" s="607"/>
      <c r="AG33" s="608"/>
      <c r="AH33" s="608"/>
      <c r="AI33" s="613"/>
      <c r="AJ33" s="613"/>
      <c r="AK33" s="613"/>
      <c r="AL33" s="613"/>
      <c r="AM33" s="613"/>
      <c r="AN33" s="608"/>
      <c r="AO33" s="608"/>
      <c r="AP33" s="608"/>
      <c r="AQ33" s="608"/>
      <c r="AR33" s="608"/>
      <c r="AS33" s="608"/>
      <c r="AT33" s="608"/>
      <c r="AU33" s="607"/>
      <c r="AV33" s="607"/>
    </row>
    <row r="34" spans="1:48" x14ac:dyDescent="0.2">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25"/>
      <c r="AC34" s="335"/>
      <c r="AD34" s="335"/>
      <c r="AE34" s="335"/>
      <c r="AF34" s="607"/>
      <c r="AG34" s="608"/>
      <c r="AH34" s="612"/>
      <c r="AI34" s="612"/>
      <c r="AJ34" s="612"/>
      <c r="AK34" s="612"/>
      <c r="AL34" s="612"/>
      <c r="AM34" s="612"/>
      <c r="AN34" s="612"/>
      <c r="AO34" s="612"/>
      <c r="AP34" s="612"/>
      <c r="AQ34" s="612"/>
      <c r="AR34" s="612"/>
      <c r="AS34" s="612"/>
      <c r="AT34" s="612"/>
      <c r="AU34" s="607"/>
      <c r="AV34" s="607"/>
    </row>
    <row r="35" spans="1:48" x14ac:dyDescent="0.2">
      <c r="A35" s="325"/>
      <c r="B35" s="325"/>
      <c r="C35" s="325"/>
      <c r="D35" s="325"/>
      <c r="E35" s="336"/>
      <c r="F35" s="325"/>
      <c r="G35" s="336"/>
      <c r="H35" s="325"/>
      <c r="I35" s="336"/>
      <c r="J35" s="325"/>
      <c r="K35" s="336"/>
      <c r="L35" s="325"/>
      <c r="M35" s="336"/>
      <c r="N35" s="325"/>
      <c r="O35" s="336"/>
      <c r="P35" s="325"/>
      <c r="Q35" s="336"/>
      <c r="R35" s="325"/>
      <c r="S35" s="336"/>
      <c r="T35" s="325"/>
      <c r="U35" s="336"/>
      <c r="V35" s="325"/>
      <c r="W35" s="336"/>
      <c r="X35" s="325"/>
      <c r="Y35" s="336"/>
      <c r="Z35" s="325"/>
      <c r="AA35" s="336"/>
      <c r="AB35" s="325"/>
      <c r="AC35" s="336"/>
      <c r="AD35" s="337"/>
      <c r="AE35" s="336"/>
      <c r="AF35" s="607"/>
      <c r="AG35" s="608"/>
      <c r="AH35" s="608"/>
      <c r="AI35" s="608"/>
      <c r="AJ35" s="608"/>
      <c r="AK35" s="608"/>
      <c r="AL35" s="608"/>
      <c r="AM35" s="608"/>
      <c r="AN35" s="608"/>
      <c r="AO35" s="608"/>
      <c r="AP35" s="608"/>
      <c r="AQ35" s="608"/>
      <c r="AR35" s="608"/>
      <c r="AS35" s="608"/>
      <c r="AT35" s="608"/>
      <c r="AU35" s="607"/>
      <c r="AV35" s="607"/>
    </row>
    <row r="36" spans="1:48" x14ac:dyDescent="0.2">
      <c r="A36" s="338" t="s">
        <v>51</v>
      </c>
      <c r="B36" s="323"/>
      <c r="C36" s="323"/>
      <c r="D36" s="323"/>
      <c r="E36" s="323"/>
      <c r="F36" s="323"/>
      <c r="G36" s="323"/>
      <c r="H36" s="323"/>
      <c r="I36" s="323"/>
      <c r="J36" s="323"/>
      <c r="K36" s="323"/>
      <c r="L36" s="323"/>
      <c r="M36" s="338"/>
      <c r="N36" s="323"/>
      <c r="O36" s="323"/>
      <c r="P36" s="323"/>
      <c r="Q36" s="323"/>
      <c r="R36" s="323"/>
      <c r="S36" s="323"/>
      <c r="T36" s="323"/>
      <c r="U36" s="323"/>
      <c r="V36" s="323"/>
      <c r="W36" s="323"/>
      <c r="X36" s="323"/>
      <c r="Y36" s="323"/>
      <c r="Z36" s="323"/>
      <c r="AA36" s="323"/>
      <c r="AB36" s="323"/>
      <c r="AC36" s="323"/>
      <c r="AD36" s="323"/>
      <c r="AE36" s="323"/>
      <c r="AF36" s="607"/>
      <c r="AG36" s="608"/>
      <c r="AH36" s="608"/>
      <c r="AI36" s="611"/>
      <c r="AJ36" s="611"/>
      <c r="AK36" s="611"/>
      <c r="AL36" s="611"/>
      <c r="AM36" s="611"/>
      <c r="AN36" s="608"/>
      <c r="AO36" s="608"/>
      <c r="AP36" s="608"/>
      <c r="AQ36" s="608"/>
      <c r="AR36" s="608"/>
      <c r="AS36" s="608"/>
      <c r="AT36" s="608"/>
      <c r="AU36" s="607"/>
      <c r="AV36" s="607"/>
    </row>
    <row r="37" spans="1:48" x14ac:dyDescent="0.2">
      <c r="A37" s="338"/>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23"/>
      <c r="AC37" s="323"/>
      <c r="AD37" s="323"/>
      <c r="AE37" s="323"/>
      <c r="AF37" s="607"/>
      <c r="AG37" s="607"/>
      <c r="AH37" s="607"/>
      <c r="AI37" s="607"/>
      <c r="AJ37" s="607"/>
      <c r="AK37" s="607"/>
      <c r="AL37" s="607"/>
      <c r="AM37" s="607"/>
      <c r="AN37" s="607"/>
      <c r="AO37" s="607"/>
      <c r="AP37" s="607"/>
      <c r="AQ37" s="607"/>
      <c r="AR37" s="607"/>
      <c r="AS37" s="607"/>
      <c r="AT37" s="607"/>
      <c r="AU37" s="607"/>
      <c r="AV37" s="607"/>
    </row>
    <row r="38" spans="1:48" ht="11.25" customHeight="1" x14ac:dyDescent="0.2">
      <c r="A38" s="323"/>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607"/>
      <c r="AG38" s="607"/>
      <c r="AH38" s="607"/>
      <c r="AI38" s="607"/>
      <c r="AJ38" s="607"/>
      <c r="AK38" s="607"/>
      <c r="AL38" s="607"/>
      <c r="AM38" s="607"/>
      <c r="AN38" s="607"/>
      <c r="AO38" s="607"/>
      <c r="AP38" s="607"/>
      <c r="AQ38" s="607"/>
      <c r="AR38" s="607"/>
      <c r="AS38" s="607"/>
      <c r="AT38" s="607"/>
      <c r="AU38" s="607"/>
      <c r="AV38" s="607"/>
    </row>
    <row r="39" spans="1:48" x14ac:dyDescent="0.2">
      <c r="A39" s="323" t="s">
        <v>319</v>
      </c>
      <c r="B39" s="323"/>
      <c r="C39" s="323"/>
      <c r="D39" s="323"/>
      <c r="E39" s="323"/>
      <c r="F39" s="323"/>
      <c r="G39" s="323"/>
      <c r="H39" s="323"/>
      <c r="I39" s="323"/>
      <c r="J39" s="323"/>
      <c r="K39" s="338"/>
      <c r="L39" s="323"/>
      <c r="M39" s="323"/>
      <c r="N39" s="323"/>
      <c r="O39" s="323"/>
      <c r="P39" s="323"/>
      <c r="Q39" s="323"/>
      <c r="R39" s="323"/>
      <c r="S39" s="323"/>
      <c r="T39" s="323"/>
      <c r="U39" s="323"/>
      <c r="V39" s="323"/>
      <c r="W39" s="323"/>
      <c r="X39" s="323"/>
      <c r="Y39" s="323"/>
      <c r="Z39" s="323"/>
      <c r="AA39" s="323"/>
      <c r="AB39" s="323"/>
      <c r="AC39" s="323"/>
      <c r="AD39" s="323"/>
      <c r="AE39" s="323"/>
      <c r="AF39" s="607"/>
      <c r="AG39" s="607"/>
      <c r="AH39" s="607"/>
      <c r="AI39" s="607"/>
      <c r="AJ39" s="607"/>
      <c r="AK39" s="607"/>
      <c r="AL39" s="607"/>
      <c r="AM39" s="607"/>
      <c r="AN39" s="607"/>
      <c r="AO39" s="607"/>
      <c r="AP39" s="607"/>
      <c r="AQ39" s="607"/>
      <c r="AR39" s="607"/>
      <c r="AS39" s="607"/>
      <c r="AT39" s="607"/>
      <c r="AU39" s="607"/>
      <c r="AV39" s="607"/>
    </row>
    <row r="40" spans="1:48" x14ac:dyDescent="0.2">
      <c r="A40" s="325"/>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F40" s="607"/>
      <c r="AG40" s="607"/>
      <c r="AH40" s="607"/>
      <c r="AI40" s="607"/>
      <c r="AJ40" s="607"/>
      <c r="AK40" s="607"/>
      <c r="AL40" s="607"/>
      <c r="AM40" s="607"/>
      <c r="AN40" s="607"/>
      <c r="AO40" s="607"/>
      <c r="AP40" s="607"/>
      <c r="AQ40" s="607"/>
      <c r="AR40" s="607"/>
      <c r="AS40" s="607"/>
      <c r="AT40" s="607"/>
      <c r="AU40" s="607"/>
      <c r="AV40" s="607"/>
    </row>
    <row r="41" spans="1:48" x14ac:dyDescent="0.2">
      <c r="A41" s="326"/>
      <c r="B41" s="326"/>
      <c r="C41" s="326" t="s">
        <v>320</v>
      </c>
      <c r="D41" s="326"/>
      <c r="E41" s="323" t="s">
        <v>198</v>
      </c>
      <c r="F41" s="323"/>
      <c r="G41" s="323"/>
      <c r="H41" s="326"/>
      <c r="I41" s="323" t="s">
        <v>334</v>
      </c>
      <c r="J41" s="323"/>
      <c r="K41" s="323"/>
      <c r="L41" s="326"/>
      <c r="M41" s="323" t="s">
        <v>200</v>
      </c>
      <c r="N41" s="323"/>
      <c r="O41" s="323"/>
      <c r="P41" s="326"/>
      <c r="Q41" s="323" t="s">
        <v>201</v>
      </c>
      <c r="R41" s="323"/>
      <c r="S41" s="323"/>
      <c r="T41" s="326"/>
      <c r="U41" s="639" t="s">
        <v>105</v>
      </c>
      <c r="V41" s="639"/>
      <c r="W41" s="639"/>
      <c r="X41" s="326"/>
      <c r="Y41" s="323" t="s">
        <v>324</v>
      </c>
      <c r="Z41" s="323"/>
      <c r="AA41" s="323"/>
      <c r="AF41" s="607"/>
      <c r="AG41" s="607"/>
      <c r="AH41" s="607"/>
      <c r="AI41" s="607"/>
      <c r="AJ41" s="607"/>
      <c r="AK41" s="607"/>
      <c r="AL41" s="607"/>
      <c r="AM41" s="607"/>
      <c r="AN41" s="607"/>
      <c r="AO41" s="607"/>
      <c r="AP41" s="607"/>
      <c r="AQ41" s="607"/>
      <c r="AR41" s="607"/>
      <c r="AS41" s="607"/>
      <c r="AT41" s="607"/>
      <c r="AU41" s="607"/>
      <c r="AV41" s="607"/>
    </row>
    <row r="42" spans="1:48" x14ac:dyDescent="0.2">
      <c r="A42" s="326" t="s">
        <v>325</v>
      </c>
      <c r="B42" s="326"/>
      <c r="C42" s="326" t="s">
        <v>326</v>
      </c>
      <c r="D42" s="326"/>
      <c r="E42" s="327" t="s">
        <v>309</v>
      </c>
      <c r="F42" s="327"/>
      <c r="G42" s="327"/>
      <c r="H42" s="326"/>
      <c r="I42" s="327" t="s">
        <v>309</v>
      </c>
      <c r="J42" s="327"/>
      <c r="K42" s="327"/>
      <c r="L42" s="326"/>
      <c r="M42" s="327" t="s">
        <v>309</v>
      </c>
      <c r="N42" s="327"/>
      <c r="O42" s="327"/>
      <c r="P42" s="326"/>
      <c r="Q42" s="327" t="s">
        <v>309</v>
      </c>
      <c r="R42" s="327"/>
      <c r="S42" s="327"/>
      <c r="T42" s="326"/>
      <c r="U42" s="327" t="s">
        <v>309</v>
      </c>
      <c r="V42" s="327"/>
      <c r="W42" s="327"/>
      <c r="X42" s="326"/>
      <c r="Y42" s="327" t="s">
        <v>309</v>
      </c>
      <c r="Z42" s="327"/>
      <c r="AA42" s="327"/>
      <c r="AF42" s="607"/>
      <c r="AG42" s="607"/>
      <c r="AH42" s="607"/>
      <c r="AI42" s="607"/>
      <c r="AJ42" s="607"/>
      <c r="AK42" s="607"/>
      <c r="AL42" s="607"/>
      <c r="AM42" s="607"/>
      <c r="AN42" s="607"/>
      <c r="AO42" s="607"/>
      <c r="AP42" s="607"/>
      <c r="AQ42" s="607"/>
      <c r="AR42" s="607"/>
      <c r="AS42" s="607"/>
      <c r="AT42" s="607"/>
      <c r="AU42" s="607"/>
      <c r="AV42" s="607"/>
    </row>
    <row r="43" spans="1:48" x14ac:dyDescent="0.2">
      <c r="A43" s="326" t="s">
        <v>327</v>
      </c>
      <c r="B43" s="326"/>
      <c r="C43" s="326" t="s">
        <v>328</v>
      </c>
      <c r="D43" s="326"/>
      <c r="E43" s="326" t="s">
        <v>329</v>
      </c>
      <c r="F43" s="326"/>
      <c r="G43" s="326" t="s">
        <v>330</v>
      </c>
      <c r="H43" s="326"/>
      <c r="I43" s="326" t="s">
        <v>329</v>
      </c>
      <c r="J43" s="326"/>
      <c r="K43" s="326" t="s">
        <v>330</v>
      </c>
      <c r="L43" s="326"/>
      <c r="M43" s="326" t="s">
        <v>329</v>
      </c>
      <c r="N43" s="326"/>
      <c r="O43" s="326" t="s">
        <v>330</v>
      </c>
      <c r="P43" s="326"/>
      <c r="Q43" s="326" t="s">
        <v>329</v>
      </c>
      <c r="R43" s="326"/>
      <c r="S43" s="326" t="s">
        <v>330</v>
      </c>
      <c r="T43" s="326"/>
      <c r="U43" s="326" t="s">
        <v>329</v>
      </c>
      <c r="V43" s="326"/>
      <c r="W43" s="326" t="s">
        <v>330</v>
      </c>
      <c r="X43" s="326"/>
      <c r="Y43" s="326" t="s">
        <v>329</v>
      </c>
      <c r="Z43" s="326"/>
      <c r="AA43" s="326" t="s">
        <v>330</v>
      </c>
      <c r="AF43" s="607"/>
      <c r="AG43" s="607"/>
      <c r="AH43" s="607"/>
      <c r="AI43" s="607"/>
      <c r="AJ43" s="607"/>
      <c r="AK43" s="607"/>
      <c r="AL43" s="607"/>
      <c r="AM43" s="607"/>
      <c r="AN43" s="607"/>
      <c r="AO43" s="607"/>
      <c r="AP43" s="607"/>
      <c r="AQ43" s="607"/>
      <c r="AR43" s="607"/>
      <c r="AS43" s="607"/>
      <c r="AT43" s="607"/>
      <c r="AU43" s="607"/>
      <c r="AV43" s="607"/>
    </row>
    <row r="44" spans="1:48" x14ac:dyDescent="0.2">
      <c r="A44" s="328">
        <v>-1</v>
      </c>
      <c r="B44" s="329"/>
      <c r="C44" s="328">
        <v>-2</v>
      </c>
      <c r="D44" s="329"/>
      <c r="E44" s="328">
        <v>-3</v>
      </c>
      <c r="F44" s="329"/>
      <c r="G44" s="328" t="s">
        <v>331</v>
      </c>
      <c r="H44" s="329"/>
      <c r="I44" s="328">
        <v>-5</v>
      </c>
      <c r="J44" s="329"/>
      <c r="K44" s="328" t="s">
        <v>332</v>
      </c>
      <c r="L44" s="329"/>
      <c r="M44" s="328">
        <v>-7</v>
      </c>
      <c r="N44" s="329"/>
      <c r="O44" s="328" t="s">
        <v>335</v>
      </c>
      <c r="P44" s="329"/>
      <c r="Q44" s="328">
        <v>-9</v>
      </c>
      <c r="R44" s="329"/>
      <c r="S44" s="328" t="s">
        <v>336</v>
      </c>
      <c r="T44" s="329"/>
      <c r="U44" s="328">
        <v>-11</v>
      </c>
      <c r="V44" s="329"/>
      <c r="W44" s="328" t="s">
        <v>359</v>
      </c>
      <c r="X44" s="329"/>
      <c r="Y44" s="328">
        <v>-15</v>
      </c>
      <c r="Z44" s="329"/>
      <c r="AA44" s="328">
        <v>-16</v>
      </c>
      <c r="AF44" s="607"/>
      <c r="AG44" s="607"/>
      <c r="AH44" s="607"/>
      <c r="AI44" s="607"/>
      <c r="AJ44" s="607"/>
      <c r="AK44" s="607"/>
      <c r="AL44" s="607"/>
      <c r="AM44" s="607"/>
      <c r="AN44" s="607"/>
      <c r="AO44" s="607"/>
      <c r="AP44" s="607"/>
      <c r="AQ44" s="607"/>
      <c r="AR44" s="607"/>
      <c r="AS44" s="607"/>
      <c r="AT44" s="607"/>
      <c r="AU44" s="607"/>
      <c r="AV44" s="607"/>
    </row>
    <row r="45" spans="1:48" x14ac:dyDescent="0.2">
      <c r="A45" s="325"/>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F45" s="607"/>
      <c r="AG45" s="607"/>
      <c r="AH45" s="607"/>
      <c r="AI45" s="607"/>
      <c r="AJ45" s="607"/>
      <c r="AK45" s="607"/>
      <c r="AL45" s="607"/>
      <c r="AM45" s="607"/>
      <c r="AN45" s="607"/>
      <c r="AO45" s="607"/>
      <c r="AP45" s="607"/>
      <c r="AQ45" s="607"/>
      <c r="AR45" s="607"/>
      <c r="AS45" s="607"/>
      <c r="AT45" s="607"/>
      <c r="AU45" s="607"/>
      <c r="AV45" s="607"/>
    </row>
    <row r="46" spans="1:48" x14ac:dyDescent="0.2">
      <c r="A46" s="339" t="s">
        <v>409</v>
      </c>
      <c r="B46" s="325"/>
      <c r="C46" s="470">
        <v>1</v>
      </c>
      <c r="D46" s="325"/>
      <c r="E46" s="584">
        <f>E12+E14</f>
        <v>77109</v>
      </c>
      <c r="F46" s="325"/>
      <c r="G46" s="332">
        <f>ROUND(+E46*$C46,0)</f>
        <v>77109</v>
      </c>
      <c r="H46" s="325"/>
      <c r="I46" s="332">
        <f>I12</f>
        <v>3382</v>
      </c>
      <c r="J46" s="325"/>
      <c r="K46" s="332">
        <f>ROUND(+I46*$C46,0)</f>
        <v>3382</v>
      </c>
      <c r="L46" s="325"/>
      <c r="M46" s="332">
        <f>M12</f>
        <v>15</v>
      </c>
      <c r="N46" s="325"/>
      <c r="O46" s="332">
        <f>ROUND(+M46*$C46,0)</f>
        <v>15</v>
      </c>
      <c r="P46" s="325"/>
      <c r="Q46" s="332">
        <f>Q12</f>
        <v>179</v>
      </c>
      <c r="R46" s="325"/>
      <c r="S46" s="332">
        <f>ROUND(+Q46*$C46,0)</f>
        <v>179</v>
      </c>
      <c r="T46" s="325"/>
      <c r="U46" s="332">
        <f>U12</f>
        <v>0</v>
      </c>
      <c r="V46" s="325"/>
      <c r="W46" s="332">
        <f>ROUND(+U46*$C46,0)</f>
        <v>0</v>
      </c>
      <c r="X46" s="325"/>
      <c r="Y46" s="332">
        <f>E46+I46+M46+Q46+U46</f>
        <v>80685</v>
      </c>
      <c r="Z46" s="325"/>
      <c r="AA46" s="332">
        <f>G46+K46+O46+S46+W46</f>
        <v>80685</v>
      </c>
      <c r="AF46" s="607"/>
      <c r="AG46" s="607"/>
      <c r="AH46" s="607"/>
      <c r="AI46" s="607"/>
      <c r="AJ46" s="607"/>
      <c r="AK46" s="607"/>
      <c r="AL46" s="607"/>
      <c r="AM46" s="607"/>
      <c r="AN46" s="607"/>
      <c r="AO46" s="607"/>
      <c r="AP46" s="607"/>
      <c r="AQ46" s="607"/>
      <c r="AR46" s="607"/>
      <c r="AS46" s="607"/>
      <c r="AT46" s="607"/>
      <c r="AU46" s="607"/>
      <c r="AV46" s="607"/>
    </row>
    <row r="47" spans="1:48" x14ac:dyDescent="0.2">
      <c r="A47" s="339"/>
      <c r="B47" s="325"/>
      <c r="C47" s="470"/>
      <c r="D47" s="325"/>
      <c r="E47" s="325"/>
      <c r="F47" s="325"/>
      <c r="G47" s="332"/>
      <c r="H47" s="325"/>
      <c r="I47" s="325"/>
      <c r="J47" s="325"/>
      <c r="K47" s="332"/>
      <c r="L47" s="325"/>
      <c r="M47" s="325"/>
      <c r="N47" s="325"/>
      <c r="O47" s="332"/>
      <c r="P47" s="325"/>
      <c r="Q47" s="325"/>
      <c r="R47" s="325"/>
      <c r="S47" s="332"/>
      <c r="T47" s="325"/>
      <c r="U47" s="325"/>
      <c r="V47" s="325"/>
      <c r="W47" s="332"/>
      <c r="X47" s="325"/>
      <c r="Y47" s="325"/>
      <c r="Z47" s="325"/>
      <c r="AA47" s="325"/>
      <c r="AF47" s="607"/>
      <c r="AG47" s="607"/>
      <c r="AH47" s="607"/>
      <c r="AI47" s="607"/>
      <c r="AJ47" s="607"/>
      <c r="AK47" s="607"/>
      <c r="AL47" s="607"/>
      <c r="AM47" s="607"/>
      <c r="AN47" s="607"/>
      <c r="AO47" s="607"/>
      <c r="AP47" s="607"/>
      <c r="AQ47" s="607"/>
      <c r="AR47" s="607"/>
      <c r="AS47" s="607"/>
      <c r="AT47" s="607"/>
      <c r="AU47" s="607"/>
      <c r="AV47" s="607"/>
    </row>
    <row r="48" spans="1:48" x14ac:dyDescent="0.2">
      <c r="A48" s="339" t="s">
        <v>410</v>
      </c>
      <c r="B48" s="325"/>
      <c r="C48" s="470">
        <v>1.5462905251260191</v>
      </c>
      <c r="D48" s="325"/>
      <c r="E48" s="332">
        <f>E16</f>
        <v>576</v>
      </c>
      <c r="F48" s="325"/>
      <c r="G48" s="332">
        <f>ROUND(+E48*$C48,0)</f>
        <v>891</v>
      </c>
      <c r="H48" s="325"/>
      <c r="I48" s="332">
        <f>I16</f>
        <v>983</v>
      </c>
      <c r="J48" s="325"/>
      <c r="K48" s="332">
        <f>ROUND(+I48*$C48,0)</f>
        <v>1520</v>
      </c>
      <c r="L48" s="325"/>
      <c r="M48" s="332">
        <f>M16</f>
        <v>8.8000000000000007</v>
      </c>
      <c r="N48" s="325"/>
      <c r="O48" s="332">
        <f>ROUND(+M48*$C48,0)</f>
        <v>14</v>
      </c>
      <c r="P48" s="325"/>
      <c r="Q48" s="332">
        <f>Q16</f>
        <v>75</v>
      </c>
      <c r="R48" s="325"/>
      <c r="S48" s="332">
        <f>ROUND(+Q48*$C48,0)</f>
        <v>116</v>
      </c>
      <c r="T48" s="325"/>
      <c r="U48" s="332">
        <f>U16</f>
        <v>0</v>
      </c>
      <c r="V48" s="325"/>
      <c r="W48" s="332">
        <f>ROUND(+U48*$C48,0)</f>
        <v>0</v>
      </c>
      <c r="X48" s="325"/>
      <c r="Y48" s="332">
        <f>E48+I48+M48+Q48+U48</f>
        <v>1642.8</v>
      </c>
      <c r="Z48" s="325"/>
      <c r="AA48" s="332">
        <f>G48+K48+O48+S48+W48</f>
        <v>2541</v>
      </c>
      <c r="AF48" s="607"/>
      <c r="AG48" s="607"/>
      <c r="AH48" s="607"/>
      <c r="AI48" s="607"/>
      <c r="AJ48" s="607"/>
      <c r="AK48" s="607"/>
      <c r="AL48" s="607"/>
      <c r="AM48" s="607"/>
      <c r="AN48" s="607"/>
      <c r="AO48" s="607"/>
      <c r="AP48" s="607"/>
      <c r="AQ48" s="607"/>
      <c r="AR48" s="607"/>
      <c r="AS48" s="607"/>
      <c r="AT48" s="607"/>
      <c r="AU48" s="607"/>
      <c r="AV48" s="607"/>
    </row>
    <row r="49" spans="1:48" x14ac:dyDescent="0.2">
      <c r="A49" s="339"/>
      <c r="B49" s="325"/>
      <c r="C49" s="470"/>
      <c r="D49" s="325"/>
      <c r="E49" s="332"/>
      <c r="F49" s="325"/>
      <c r="G49" s="332"/>
      <c r="H49" s="325"/>
      <c r="I49" s="332"/>
      <c r="J49" s="325"/>
      <c r="K49" s="332"/>
      <c r="L49" s="325"/>
      <c r="M49" s="332"/>
      <c r="N49" s="325"/>
      <c r="O49" s="332"/>
      <c r="P49" s="325"/>
      <c r="Q49" s="332"/>
      <c r="R49" s="325"/>
      <c r="S49" s="332"/>
      <c r="T49" s="325"/>
      <c r="U49" s="332"/>
      <c r="V49" s="325"/>
      <c r="W49" s="332"/>
      <c r="X49" s="325"/>
      <c r="Y49" s="325"/>
      <c r="Z49" s="325"/>
      <c r="AA49" s="325"/>
      <c r="AF49" s="607"/>
      <c r="AG49" s="607"/>
      <c r="AH49" s="607"/>
      <c r="AI49" s="607"/>
      <c r="AJ49" s="607"/>
      <c r="AK49" s="607"/>
      <c r="AL49" s="607"/>
      <c r="AM49" s="607"/>
      <c r="AN49" s="607"/>
      <c r="AO49" s="607"/>
      <c r="AP49" s="607"/>
      <c r="AQ49" s="607"/>
      <c r="AR49" s="607"/>
      <c r="AS49" s="607"/>
      <c r="AT49" s="607"/>
      <c r="AU49" s="607"/>
      <c r="AV49" s="607"/>
    </row>
    <row r="50" spans="1:48" x14ac:dyDescent="0.2">
      <c r="A50" s="339" t="s">
        <v>411</v>
      </c>
      <c r="B50" s="325"/>
      <c r="C50" s="470">
        <v>3.1225767748133988</v>
      </c>
      <c r="D50" s="325"/>
      <c r="E50" s="332">
        <f>E18</f>
        <v>35</v>
      </c>
      <c r="F50" s="325"/>
      <c r="G50" s="332">
        <f>ROUND(+E50*$C50,0)</f>
        <v>109</v>
      </c>
      <c r="H50" s="325"/>
      <c r="I50" s="332">
        <f>I18</f>
        <v>783</v>
      </c>
      <c r="J50" s="325"/>
      <c r="K50" s="332">
        <f>ROUND(+I50*$C50,0)</f>
        <v>2445</v>
      </c>
      <c r="L50" s="325"/>
      <c r="M50" s="332">
        <f>M18</f>
        <v>12</v>
      </c>
      <c r="N50" s="325"/>
      <c r="O50" s="332">
        <f>ROUND(+M50*$C50,0)</f>
        <v>37</v>
      </c>
      <c r="P50" s="325"/>
      <c r="Q50" s="332">
        <f>Q18</f>
        <v>47</v>
      </c>
      <c r="R50" s="325"/>
      <c r="S50" s="332">
        <f>ROUND(+Q50*$C50,0)</f>
        <v>147</v>
      </c>
      <c r="T50" s="325"/>
      <c r="U50" s="332">
        <f>U18</f>
        <v>0</v>
      </c>
      <c r="V50" s="325"/>
      <c r="W50" s="332">
        <f>ROUND(+U50*$C50,0)</f>
        <v>0</v>
      </c>
      <c r="X50" s="325"/>
      <c r="Y50" s="332">
        <f>E50+I50+M50+Q50+U50</f>
        <v>877</v>
      </c>
      <c r="Z50" s="325"/>
      <c r="AA50" s="332">
        <f>G50+K50+O50+S50+W50</f>
        <v>2738</v>
      </c>
      <c r="AF50" s="607"/>
      <c r="AG50" s="607"/>
      <c r="AH50" s="607"/>
      <c r="AI50" s="607"/>
      <c r="AJ50" s="607"/>
      <c r="AK50" s="607"/>
      <c r="AL50" s="607"/>
      <c r="AM50" s="607"/>
      <c r="AN50" s="607"/>
      <c r="AO50" s="607"/>
      <c r="AP50" s="607"/>
      <c r="AQ50" s="607"/>
      <c r="AR50" s="607"/>
      <c r="AS50" s="607"/>
      <c r="AT50" s="607"/>
      <c r="AU50" s="607"/>
      <c r="AV50" s="607"/>
    </row>
    <row r="51" spans="1:48" x14ac:dyDescent="0.2">
      <c r="A51" s="339"/>
      <c r="B51" s="325"/>
      <c r="C51" s="470"/>
      <c r="D51" s="325"/>
      <c r="E51" s="332"/>
      <c r="F51" s="325"/>
      <c r="G51" s="332"/>
      <c r="H51" s="325"/>
      <c r="I51" s="332"/>
      <c r="J51" s="325"/>
      <c r="K51" s="332"/>
      <c r="L51" s="325"/>
      <c r="M51" s="332"/>
      <c r="N51" s="325"/>
      <c r="O51" s="332"/>
      <c r="P51" s="325"/>
      <c r="Q51" s="332"/>
      <c r="R51" s="325"/>
      <c r="S51" s="332"/>
      <c r="T51" s="325"/>
      <c r="U51" s="332"/>
      <c r="V51" s="325"/>
      <c r="W51" s="332"/>
      <c r="X51" s="325"/>
      <c r="Y51" s="325"/>
      <c r="Z51" s="325"/>
      <c r="AA51" s="325"/>
      <c r="AF51" s="607"/>
      <c r="AG51" s="607"/>
      <c r="AH51" s="607"/>
      <c r="AI51" s="607"/>
      <c r="AJ51" s="607"/>
      <c r="AK51" s="607"/>
      <c r="AL51" s="607"/>
      <c r="AM51" s="607"/>
      <c r="AN51" s="607"/>
      <c r="AO51" s="607"/>
      <c r="AP51" s="607"/>
      <c r="AQ51" s="607"/>
      <c r="AR51" s="607"/>
      <c r="AS51" s="607"/>
      <c r="AT51" s="607"/>
      <c r="AU51" s="607"/>
      <c r="AV51" s="607"/>
    </row>
    <row r="52" spans="1:48" x14ac:dyDescent="0.2">
      <c r="A52" s="339" t="s">
        <v>412</v>
      </c>
      <c r="B52" s="325"/>
      <c r="C52" s="470">
        <v>4.4345866013335513</v>
      </c>
      <c r="D52" s="325"/>
      <c r="E52" s="332">
        <f>E20</f>
        <v>7</v>
      </c>
      <c r="F52" s="325"/>
      <c r="G52" s="332">
        <f>ROUND(+E52*$C52,0)</f>
        <v>31</v>
      </c>
      <c r="H52" s="325"/>
      <c r="I52" s="332">
        <f>I20</f>
        <v>736</v>
      </c>
      <c r="J52" s="325"/>
      <c r="K52" s="332">
        <f>ROUND(+I52*$C52,0)</f>
        <v>3264</v>
      </c>
      <c r="L52" s="325"/>
      <c r="M52" s="332">
        <f>M20</f>
        <v>40</v>
      </c>
      <c r="N52" s="325"/>
      <c r="O52" s="332">
        <f>ROUND(+M52*$C52,0)</f>
        <v>177</v>
      </c>
      <c r="P52" s="325"/>
      <c r="Q52" s="332">
        <f>Q20</f>
        <v>145</v>
      </c>
      <c r="R52" s="325"/>
      <c r="S52" s="332">
        <f>ROUND(+Q52*$C52,0)</f>
        <v>643</v>
      </c>
      <c r="T52" s="325"/>
      <c r="U52" s="332">
        <f>U20</f>
        <v>0</v>
      </c>
      <c r="V52" s="325"/>
      <c r="W52" s="332">
        <f>ROUND(+U52*$C52,0)</f>
        <v>0</v>
      </c>
      <c r="X52" s="325"/>
      <c r="Y52" s="332">
        <f>E52+I52+M52+Q52+U52</f>
        <v>928</v>
      </c>
      <c r="Z52" s="325"/>
      <c r="AA52" s="332">
        <f>G52+K52+O52+S52+W52</f>
        <v>4115</v>
      </c>
    </row>
    <row r="53" spans="1:48" x14ac:dyDescent="0.2">
      <c r="A53" s="339"/>
      <c r="B53" s="325"/>
      <c r="C53" s="470"/>
      <c r="D53" s="325"/>
      <c r="E53" s="332"/>
      <c r="F53" s="325"/>
      <c r="G53" s="332"/>
      <c r="H53" s="325"/>
      <c r="I53" s="332"/>
      <c r="J53" s="325"/>
      <c r="K53" s="332"/>
      <c r="L53" s="325"/>
      <c r="M53" s="332"/>
      <c r="N53" s="325"/>
      <c r="O53" s="332"/>
      <c r="P53" s="325"/>
      <c r="Q53" s="332"/>
      <c r="R53" s="325"/>
      <c r="S53" s="332"/>
      <c r="T53" s="325"/>
      <c r="U53" s="332"/>
      <c r="V53" s="325"/>
      <c r="W53" s="332"/>
      <c r="X53" s="325"/>
      <c r="Y53" s="325"/>
      <c r="Z53" s="325"/>
      <c r="AA53" s="325"/>
    </row>
    <row r="54" spans="1:48" x14ac:dyDescent="0.2">
      <c r="A54" s="339">
        <v>3</v>
      </c>
      <c r="B54" s="325"/>
      <c r="C54" s="470">
        <v>5.54</v>
      </c>
      <c r="D54" s="325"/>
      <c r="E54" s="332">
        <f>E22</f>
        <v>0</v>
      </c>
      <c r="F54" s="332"/>
      <c r="G54" s="332">
        <f>ROUND(+E54*$C54,0)</f>
        <v>0</v>
      </c>
      <c r="H54" s="332"/>
      <c r="I54" s="332">
        <f>I22</f>
        <v>77</v>
      </c>
      <c r="J54" s="332"/>
      <c r="K54" s="332">
        <f>ROUND(+I54*$C54,0)</f>
        <v>427</v>
      </c>
      <c r="L54" s="332"/>
      <c r="M54" s="332">
        <f>M22</f>
        <v>15</v>
      </c>
      <c r="N54" s="332"/>
      <c r="O54" s="332">
        <f>ROUND(+M54*$C54,0)</f>
        <v>83</v>
      </c>
      <c r="P54" s="332"/>
      <c r="Q54" s="332">
        <f>Q22</f>
        <v>46</v>
      </c>
      <c r="R54" s="332"/>
      <c r="S54" s="332">
        <f>ROUND(+Q54*$C54,0)</f>
        <v>255</v>
      </c>
      <c r="T54" s="332"/>
      <c r="U54" s="332">
        <f>U22</f>
        <v>0</v>
      </c>
      <c r="V54" s="332"/>
      <c r="W54" s="332">
        <f>ROUND(+U54*$C54,0)</f>
        <v>0</v>
      </c>
      <c r="X54" s="325"/>
      <c r="Y54" s="332">
        <f>E54+I54+M54+Q54+U54</f>
        <v>138</v>
      </c>
      <c r="Z54" s="325"/>
      <c r="AA54" s="332">
        <f>G54+K54+O54+S54+W54</f>
        <v>765</v>
      </c>
    </row>
    <row r="55" spans="1:48" x14ac:dyDescent="0.2">
      <c r="A55" s="339"/>
      <c r="B55" s="325"/>
      <c r="C55" s="470"/>
      <c r="D55" s="325"/>
      <c r="E55" s="332"/>
      <c r="F55" s="325"/>
      <c r="G55" s="332"/>
      <c r="H55" s="325"/>
      <c r="I55" s="332"/>
      <c r="J55" s="325"/>
      <c r="K55" s="332"/>
      <c r="L55" s="325"/>
      <c r="M55" s="332"/>
      <c r="N55" s="325"/>
      <c r="O55" s="332"/>
      <c r="P55" s="325"/>
      <c r="Q55" s="332"/>
      <c r="R55" s="325"/>
      <c r="S55" s="332"/>
      <c r="T55" s="325"/>
      <c r="U55" s="332"/>
      <c r="V55" s="325"/>
      <c r="W55" s="332"/>
      <c r="X55" s="325"/>
      <c r="Y55" s="325"/>
      <c r="Z55" s="325"/>
      <c r="AA55" s="325"/>
    </row>
    <row r="56" spans="1:48" x14ac:dyDescent="0.2">
      <c r="A56" s="339" t="s">
        <v>414</v>
      </c>
      <c r="B56" s="325"/>
      <c r="C56" s="470">
        <v>6.57</v>
      </c>
      <c r="D56" s="325"/>
      <c r="E56" s="332">
        <f>E24</f>
        <v>0</v>
      </c>
      <c r="F56" s="325"/>
      <c r="G56" s="332">
        <f>ROUND(+E56*$C56,0)</f>
        <v>0</v>
      </c>
      <c r="H56" s="325"/>
      <c r="I56" s="332">
        <f>I24</f>
        <v>54</v>
      </c>
      <c r="J56" s="325"/>
      <c r="K56" s="332">
        <f>ROUND(+I56*$C56,0)</f>
        <v>355</v>
      </c>
      <c r="L56" s="325"/>
      <c r="M56" s="332">
        <f>M24</f>
        <v>14</v>
      </c>
      <c r="N56" s="325"/>
      <c r="O56" s="332">
        <f>ROUND(+M56*$C56,0)</f>
        <v>92</v>
      </c>
      <c r="P56" s="325"/>
      <c r="Q56" s="332">
        <f>Q24</f>
        <v>23</v>
      </c>
      <c r="R56" s="325"/>
      <c r="S56" s="332">
        <f>ROUND(+Q56*$C56,0)</f>
        <v>151</v>
      </c>
      <c r="T56" s="325"/>
      <c r="U56" s="332">
        <f>U24</f>
        <v>3</v>
      </c>
      <c r="V56" s="325"/>
      <c r="W56" s="332">
        <f>ROUND(+U56*$C56,0)</f>
        <v>20</v>
      </c>
      <c r="X56" s="325"/>
      <c r="Y56" s="332">
        <f>E56+I56+M56+Q56+U56</f>
        <v>94</v>
      </c>
      <c r="Z56" s="325"/>
      <c r="AA56" s="332">
        <f>G56+K56+O56+S56+W56</f>
        <v>618</v>
      </c>
    </row>
    <row r="57" spans="1:48" x14ac:dyDescent="0.2">
      <c r="A57" s="339"/>
      <c r="B57" s="325"/>
      <c r="C57" s="470"/>
      <c r="D57" s="325"/>
      <c r="E57" s="332"/>
      <c r="F57" s="325"/>
      <c r="G57" s="332"/>
      <c r="H57" s="325"/>
      <c r="I57" s="332"/>
      <c r="J57" s="325"/>
      <c r="K57" s="332"/>
      <c r="L57" s="325"/>
      <c r="M57" s="332"/>
      <c r="N57" s="325"/>
      <c r="O57" s="332"/>
      <c r="P57" s="325"/>
      <c r="Q57" s="332"/>
      <c r="R57" s="325"/>
      <c r="S57" s="332"/>
      <c r="T57" s="325"/>
      <c r="U57" s="332"/>
      <c r="V57" s="325"/>
      <c r="W57" s="332"/>
      <c r="X57" s="325"/>
      <c r="Y57" s="325"/>
      <c r="Z57" s="325"/>
      <c r="AA57" s="325"/>
    </row>
    <row r="58" spans="1:48" x14ac:dyDescent="0.2">
      <c r="A58" s="339" t="s">
        <v>415</v>
      </c>
      <c r="B58" s="325"/>
      <c r="C58" s="470">
        <v>7.51</v>
      </c>
      <c r="D58" s="325"/>
      <c r="E58" s="332">
        <f>E26</f>
        <v>0</v>
      </c>
      <c r="F58" s="325"/>
      <c r="G58" s="332">
        <f>ROUND(+E58*$C58,0)</f>
        <v>0</v>
      </c>
      <c r="H58" s="325"/>
      <c r="I58" s="332">
        <f>I26</f>
        <v>54</v>
      </c>
      <c r="J58" s="325"/>
      <c r="K58" s="332">
        <f>ROUND(+I58*$C58,0)</f>
        <v>406</v>
      </c>
      <c r="L58" s="325"/>
      <c r="M58" s="332">
        <f>M26</f>
        <v>8</v>
      </c>
      <c r="N58" s="325"/>
      <c r="O58" s="332">
        <f>ROUND(+M58*$C58,0)</f>
        <v>60</v>
      </c>
      <c r="P58" s="325"/>
      <c r="Q58" s="332">
        <f>Q26</f>
        <v>10</v>
      </c>
      <c r="R58" s="325"/>
      <c r="S58" s="332">
        <f>ROUND(+Q58*$C58,0)</f>
        <v>75</v>
      </c>
      <c r="T58" s="325"/>
      <c r="U58" s="332">
        <f>U26</f>
        <v>3</v>
      </c>
      <c r="V58" s="325"/>
      <c r="W58" s="332">
        <f>ROUND(+U58*$C58,0)</f>
        <v>23</v>
      </c>
      <c r="X58" s="325"/>
      <c r="Y58" s="332">
        <f>E58+I58+M58+Q58+U58</f>
        <v>75</v>
      </c>
      <c r="Z58" s="325"/>
      <c r="AA58" s="332">
        <f>G58+K58+O58+S58+W58</f>
        <v>564</v>
      </c>
    </row>
    <row r="59" spans="1:48" x14ac:dyDescent="0.2">
      <c r="A59" s="339"/>
      <c r="B59" s="325"/>
      <c r="C59" s="470"/>
      <c r="D59" s="325"/>
      <c r="E59" s="332"/>
      <c r="F59" s="325"/>
      <c r="G59" s="332"/>
      <c r="H59" s="325"/>
      <c r="I59" s="332"/>
      <c r="J59" s="325"/>
      <c r="K59" s="332"/>
      <c r="L59" s="325"/>
      <c r="M59" s="332"/>
      <c r="N59" s="325"/>
      <c r="O59" s="332"/>
      <c r="P59" s="325"/>
      <c r="Q59" s="332"/>
      <c r="R59" s="325"/>
      <c r="S59" s="332"/>
      <c r="T59" s="325"/>
      <c r="U59" s="332"/>
      <c r="V59" s="325"/>
      <c r="W59" s="332"/>
      <c r="X59" s="325"/>
      <c r="Y59" s="325"/>
      <c r="Z59" s="325"/>
      <c r="AA59" s="325"/>
    </row>
    <row r="60" spans="1:48" x14ac:dyDescent="0.2">
      <c r="A60" s="339" t="s">
        <v>416</v>
      </c>
      <c r="B60" s="325"/>
      <c r="C60" s="470">
        <v>9.58</v>
      </c>
      <c r="D60" s="325"/>
      <c r="E60" s="332">
        <f>E28</f>
        <v>0</v>
      </c>
      <c r="F60" s="325"/>
      <c r="G60" s="332">
        <f>ROUND(+E60*$C60,0)</f>
        <v>0</v>
      </c>
      <c r="H60" s="325"/>
      <c r="I60" s="332">
        <f>I28</f>
        <v>26</v>
      </c>
      <c r="J60" s="325"/>
      <c r="K60" s="332">
        <f>ROUND(+I60*$C60,0)</f>
        <v>249</v>
      </c>
      <c r="L60" s="325"/>
      <c r="M60" s="332">
        <f>M28</f>
        <v>3</v>
      </c>
      <c r="N60" s="325"/>
      <c r="O60" s="332">
        <f>ROUND(+M60*$C60,0)</f>
        <v>29</v>
      </c>
      <c r="P60" s="325"/>
      <c r="Q60" s="332">
        <f>Q28</f>
        <v>4</v>
      </c>
      <c r="R60" s="325"/>
      <c r="S60" s="332">
        <f>ROUND(+Q60*$C60,0)</f>
        <v>38</v>
      </c>
      <c r="T60" s="325"/>
      <c r="U60" s="332">
        <f>U28</f>
        <v>0</v>
      </c>
      <c r="V60" s="325"/>
      <c r="W60" s="332">
        <f>ROUND(+U60*$C60,0)</f>
        <v>0</v>
      </c>
      <c r="X60" s="325"/>
      <c r="Y60" s="332">
        <f>E60+I60+M60+Q60+U60</f>
        <v>33</v>
      </c>
      <c r="Z60" s="325"/>
      <c r="AA60" s="332">
        <f>G60+K60+O60+S60+W60</f>
        <v>316</v>
      </c>
    </row>
    <row r="61" spans="1:48" x14ac:dyDescent="0.2">
      <c r="A61" s="339"/>
      <c r="B61" s="325"/>
      <c r="C61" s="470"/>
      <c r="D61" s="325"/>
      <c r="E61" s="332"/>
      <c r="F61" s="325"/>
      <c r="G61" s="332"/>
      <c r="H61" s="325"/>
      <c r="I61" s="332"/>
      <c r="J61" s="325"/>
      <c r="K61" s="332"/>
      <c r="L61" s="325"/>
      <c r="M61" s="332"/>
      <c r="N61" s="325"/>
      <c r="O61" s="332"/>
      <c r="P61" s="325"/>
      <c r="Q61" s="332"/>
      <c r="R61" s="325"/>
      <c r="S61" s="332"/>
      <c r="T61" s="325"/>
      <c r="U61" s="332"/>
      <c r="V61" s="325"/>
      <c r="W61" s="332"/>
      <c r="X61" s="325"/>
      <c r="Y61" s="325"/>
      <c r="Z61" s="325"/>
      <c r="AA61" s="325"/>
    </row>
    <row r="62" spans="1:48" x14ac:dyDescent="0.2">
      <c r="A62" s="339">
        <v>10</v>
      </c>
      <c r="B62" s="325"/>
      <c r="C62" s="470">
        <v>16.72</v>
      </c>
      <c r="D62" s="325"/>
      <c r="E62" s="332">
        <v>0</v>
      </c>
      <c r="F62" s="325"/>
      <c r="G62" s="332">
        <v>0</v>
      </c>
      <c r="H62" s="325"/>
      <c r="I62" s="332">
        <f>+I30</f>
        <v>0</v>
      </c>
      <c r="J62" s="325"/>
      <c r="K62" s="332">
        <f>ROUND(+I62*$C62,0)</f>
        <v>0</v>
      </c>
      <c r="L62" s="325"/>
      <c r="M62" s="332">
        <f>+M30</f>
        <v>2</v>
      </c>
      <c r="N62" s="325"/>
      <c r="O62" s="332">
        <f>ROUND(+M62*$C62,0)</f>
        <v>33</v>
      </c>
      <c r="P62" s="325"/>
      <c r="Q62" s="332">
        <f>+Q30</f>
        <v>1</v>
      </c>
      <c r="R62" s="325"/>
      <c r="S62" s="332">
        <f>ROUND(+Q62*$C62,0)</f>
        <v>17</v>
      </c>
      <c r="T62" s="325"/>
      <c r="U62" s="332">
        <v>0</v>
      </c>
      <c r="V62" s="325"/>
      <c r="W62" s="332">
        <v>0</v>
      </c>
      <c r="X62" s="325"/>
      <c r="Y62" s="332">
        <f>E62+I62+M62+Q62+U62</f>
        <v>3</v>
      </c>
      <c r="Z62" s="325"/>
      <c r="AA62" s="332">
        <f>G62+K62+O62+S62+W62</f>
        <v>50</v>
      </c>
    </row>
    <row r="63" spans="1:48" hidden="1" x14ac:dyDescent="0.2">
      <c r="A63" s="339"/>
      <c r="B63" s="325"/>
      <c r="C63" s="470"/>
      <c r="D63" s="325"/>
      <c r="E63" s="332"/>
      <c r="F63" s="325"/>
      <c r="G63" s="332"/>
      <c r="H63" s="325"/>
      <c r="I63" s="332"/>
      <c r="J63" s="325"/>
      <c r="K63" s="332"/>
      <c r="L63" s="325"/>
      <c r="M63" s="332"/>
      <c r="N63" s="325"/>
      <c r="O63" s="332"/>
      <c r="P63" s="325"/>
      <c r="Q63" s="332"/>
      <c r="R63" s="325"/>
      <c r="S63" s="332"/>
      <c r="T63" s="325"/>
      <c r="U63" s="332"/>
      <c r="V63" s="325"/>
      <c r="W63" s="332"/>
      <c r="X63" s="325"/>
      <c r="Y63" s="325"/>
      <c r="Z63" s="325"/>
      <c r="AA63" s="325"/>
    </row>
    <row r="64" spans="1:48" hidden="1" x14ac:dyDescent="0.2">
      <c r="A64" s="339">
        <v>12</v>
      </c>
      <c r="B64" s="325"/>
      <c r="C64" s="470">
        <f>+C62</f>
        <v>16.72</v>
      </c>
      <c r="D64" s="325"/>
      <c r="E64" s="332">
        <v>0</v>
      </c>
      <c r="F64" s="325"/>
      <c r="G64" s="332">
        <v>0</v>
      </c>
      <c r="H64" s="325"/>
      <c r="I64" s="332">
        <v>0</v>
      </c>
      <c r="J64" s="325"/>
      <c r="K64" s="332">
        <v>0</v>
      </c>
      <c r="L64" s="325"/>
      <c r="M64" s="332">
        <v>0</v>
      </c>
      <c r="N64" s="325"/>
      <c r="O64" s="332">
        <v>0</v>
      </c>
      <c r="P64" s="325"/>
      <c r="Q64" s="332">
        <v>0</v>
      </c>
      <c r="R64" s="325"/>
      <c r="S64" s="332">
        <v>0</v>
      </c>
      <c r="T64" s="325"/>
      <c r="U64" s="332">
        <v>0</v>
      </c>
      <c r="V64" s="325"/>
      <c r="W64" s="332">
        <v>0</v>
      </c>
      <c r="X64" s="325"/>
      <c r="Y64" s="332">
        <f>E64+I64+M64+Q64+U64</f>
        <v>0</v>
      </c>
      <c r="Z64" s="325"/>
      <c r="AA64" s="332">
        <f>G64+K64+O64+S64+W64</f>
        <v>0</v>
      </c>
    </row>
    <row r="65" spans="1:29" x14ac:dyDescent="0.2">
      <c r="A65" s="325"/>
      <c r="B65" s="325"/>
      <c r="C65" s="325"/>
      <c r="D65" s="325"/>
      <c r="E65" s="333"/>
      <c r="F65" s="325"/>
      <c r="G65" s="333"/>
      <c r="H65" s="325"/>
      <c r="I65" s="333"/>
      <c r="J65" s="325"/>
      <c r="K65" s="333"/>
      <c r="L65" s="325"/>
      <c r="M65" s="333"/>
      <c r="N65" s="325"/>
      <c r="O65" s="333"/>
      <c r="P65" s="325"/>
      <c r="Q65" s="333"/>
      <c r="R65" s="325"/>
      <c r="S65" s="333"/>
      <c r="T65" s="325"/>
      <c r="U65" s="333"/>
      <c r="V65" s="325"/>
      <c r="W65" s="333"/>
      <c r="X65" s="325"/>
      <c r="Y65" s="333"/>
      <c r="Z65" s="325"/>
      <c r="AA65" s="333"/>
    </row>
    <row r="66" spans="1:29" ht="15.75" thickBot="1" x14ac:dyDescent="0.25">
      <c r="A66" s="325" t="s">
        <v>324</v>
      </c>
      <c r="B66" s="325"/>
      <c r="C66" s="325"/>
      <c r="D66" s="325"/>
      <c r="E66" s="334">
        <f>SUM(E46:E64)</f>
        <v>77727</v>
      </c>
      <c r="F66" s="325"/>
      <c r="G66" s="334">
        <f t="shared" ref="G66:AA66" si="0">SUM(G46:G64)</f>
        <v>78140</v>
      </c>
      <c r="H66" s="325"/>
      <c r="I66" s="334">
        <f t="shared" si="0"/>
        <v>6095</v>
      </c>
      <c r="J66" s="325"/>
      <c r="K66" s="334">
        <f t="shared" si="0"/>
        <v>12048</v>
      </c>
      <c r="L66" s="325"/>
      <c r="M66" s="334">
        <f t="shared" si="0"/>
        <v>117.8</v>
      </c>
      <c r="N66" s="325"/>
      <c r="O66" s="334">
        <f t="shared" si="0"/>
        <v>540</v>
      </c>
      <c r="P66" s="325"/>
      <c r="Q66" s="334">
        <f t="shared" si="0"/>
        <v>530</v>
      </c>
      <c r="R66" s="325"/>
      <c r="S66" s="334">
        <f t="shared" si="0"/>
        <v>1621</v>
      </c>
      <c r="T66" s="325"/>
      <c r="U66" s="334">
        <f t="shared" si="0"/>
        <v>6</v>
      </c>
      <c r="V66" s="325"/>
      <c r="W66" s="334">
        <f t="shared" si="0"/>
        <v>43</v>
      </c>
      <c r="X66" s="325"/>
      <c r="Y66" s="334">
        <f t="shared" si="0"/>
        <v>84475.8</v>
      </c>
      <c r="Z66" s="325"/>
      <c r="AA66" s="334">
        <f t="shared" si="0"/>
        <v>92392</v>
      </c>
    </row>
    <row r="67" spans="1:29" ht="15.75" thickTop="1" x14ac:dyDescent="0.2">
      <c r="A67" s="340"/>
      <c r="B67" s="340"/>
      <c r="C67" s="340"/>
      <c r="D67" s="340"/>
      <c r="E67" s="340"/>
      <c r="F67" s="340"/>
      <c r="G67" s="340"/>
      <c r="H67" s="340"/>
      <c r="I67" s="340"/>
      <c r="J67" s="340"/>
      <c r="K67" s="340"/>
      <c r="L67" s="340"/>
      <c r="M67" s="340"/>
      <c r="N67" s="340"/>
      <c r="O67" s="340"/>
      <c r="P67" s="340"/>
      <c r="Q67" s="340"/>
      <c r="R67" s="340"/>
      <c r="S67" s="340"/>
      <c r="T67" s="340"/>
      <c r="U67" s="340"/>
      <c r="V67" s="340"/>
      <c r="W67" s="340"/>
      <c r="X67" s="340"/>
      <c r="Y67" s="340"/>
      <c r="Z67" s="341"/>
      <c r="AA67" s="341"/>
    </row>
    <row r="68" spans="1:29" x14ac:dyDescent="0.2">
      <c r="A68" s="340"/>
      <c r="B68" s="340"/>
      <c r="C68" s="340"/>
      <c r="D68" s="340"/>
      <c r="E68" s="340"/>
      <c r="F68" s="340"/>
      <c r="G68" s="340"/>
      <c r="H68" s="340"/>
      <c r="I68" s="340"/>
      <c r="J68" s="340"/>
      <c r="K68" s="325"/>
      <c r="L68" s="340"/>
      <c r="M68" s="340"/>
      <c r="N68" s="340"/>
      <c r="O68" s="340"/>
      <c r="P68" s="340"/>
      <c r="Q68" s="340"/>
      <c r="R68" s="340"/>
      <c r="S68" s="340"/>
      <c r="T68" s="340"/>
      <c r="U68" s="340"/>
      <c r="V68" s="340"/>
      <c r="W68" s="340"/>
      <c r="X68" s="340"/>
      <c r="Y68" s="340"/>
      <c r="Z68" s="340"/>
      <c r="AA68" s="340"/>
      <c r="AB68" s="340"/>
      <c r="AC68" s="340"/>
    </row>
    <row r="69" spans="1:29" x14ac:dyDescent="0.2">
      <c r="A69" s="340"/>
      <c r="B69" s="340"/>
      <c r="C69" s="340"/>
      <c r="D69" s="340"/>
      <c r="E69" s="340"/>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row>
    <row r="70" spans="1:29" x14ac:dyDescent="0.2">
      <c r="A70" s="340"/>
      <c r="B70" s="340"/>
      <c r="C70" s="340"/>
      <c r="D70" s="340"/>
      <c r="E70" s="423"/>
      <c r="F70" s="423"/>
      <c r="G70" s="423"/>
      <c r="H70" s="423"/>
      <c r="I70" s="423"/>
      <c r="J70" s="423"/>
      <c r="K70" s="423"/>
      <c r="L70" s="423"/>
      <c r="M70" s="423"/>
      <c r="N70" s="423"/>
      <c r="O70" s="423"/>
      <c r="P70" s="423"/>
      <c r="Q70" s="423"/>
      <c r="R70" s="423"/>
      <c r="S70" s="423"/>
      <c r="T70" s="423"/>
      <c r="U70" s="423"/>
      <c r="V70" s="423"/>
      <c r="W70" s="423"/>
      <c r="X70" s="340"/>
      <c r="Y70" s="340"/>
      <c r="Z70" s="340"/>
      <c r="AA70" s="340"/>
      <c r="AB70" s="340"/>
      <c r="AC70" s="340"/>
    </row>
    <row r="71" spans="1:29" x14ac:dyDescent="0.2">
      <c r="A71" s="340"/>
      <c r="B71" s="340"/>
      <c r="C71" s="340"/>
      <c r="D71" s="340"/>
      <c r="E71" s="424"/>
      <c r="F71" s="424"/>
      <c r="G71" s="424"/>
      <c r="H71" s="423"/>
      <c r="I71" s="425"/>
      <c r="J71" s="426"/>
      <c r="K71" s="425"/>
      <c r="L71" s="423"/>
      <c r="M71" s="423"/>
      <c r="N71" s="423"/>
      <c r="O71" s="423"/>
      <c r="P71" s="423"/>
      <c r="Q71" s="423"/>
      <c r="R71" s="423"/>
      <c r="S71" s="423"/>
      <c r="T71" s="423"/>
      <c r="U71" s="423"/>
      <c r="V71" s="423"/>
      <c r="W71" s="423"/>
      <c r="X71" s="340"/>
      <c r="Y71" s="340"/>
      <c r="Z71" s="340"/>
      <c r="AA71" s="340"/>
      <c r="AB71" s="340"/>
      <c r="AC71" s="340"/>
    </row>
    <row r="72" spans="1:29" x14ac:dyDescent="0.2">
      <c r="A72" s="340"/>
      <c r="B72" s="340"/>
      <c r="C72" s="340"/>
      <c r="D72" s="340"/>
      <c r="E72" s="424"/>
      <c r="F72" s="424"/>
      <c r="G72" s="424"/>
      <c r="H72" s="423"/>
      <c r="I72" s="425"/>
      <c r="J72" s="426"/>
      <c r="K72" s="425"/>
      <c r="L72" s="423"/>
      <c r="M72" s="423"/>
      <c r="N72" s="423"/>
      <c r="O72" s="423"/>
      <c r="P72" s="423"/>
      <c r="Q72" s="423"/>
      <c r="R72" s="423"/>
      <c r="S72" s="423"/>
      <c r="T72" s="423"/>
      <c r="U72" s="423"/>
      <c r="V72" s="423"/>
      <c r="W72" s="423"/>
      <c r="X72" s="340"/>
      <c r="Y72" s="340"/>
      <c r="Z72" s="340"/>
      <c r="AA72" s="340"/>
      <c r="AB72" s="340"/>
      <c r="AC72" s="340"/>
    </row>
    <row r="73" spans="1:29" x14ac:dyDescent="0.2">
      <c r="A73" s="340"/>
      <c r="B73" s="340"/>
      <c r="C73" s="340"/>
      <c r="D73" s="340"/>
      <c r="E73" s="423"/>
      <c r="F73" s="423"/>
      <c r="G73" s="423"/>
      <c r="H73" s="423"/>
      <c r="I73" s="423"/>
      <c r="J73" s="423"/>
      <c r="K73" s="423"/>
      <c r="L73" s="423"/>
      <c r="M73" s="423"/>
      <c r="N73" s="423"/>
      <c r="O73" s="423"/>
      <c r="P73" s="423"/>
      <c r="Q73" s="423"/>
      <c r="R73" s="423"/>
      <c r="S73" s="423"/>
      <c r="T73" s="423"/>
      <c r="U73" s="423"/>
      <c r="V73" s="423"/>
      <c r="W73" s="423"/>
      <c r="X73" s="340"/>
      <c r="Y73" s="340"/>
      <c r="Z73" s="340"/>
      <c r="AA73" s="340"/>
      <c r="AB73" s="340"/>
      <c r="AC73" s="340"/>
    </row>
    <row r="74" spans="1:29" x14ac:dyDescent="0.2">
      <c r="A74" s="340"/>
      <c r="B74" s="340"/>
      <c r="C74" s="340"/>
      <c r="D74" s="340"/>
      <c r="E74" s="425"/>
      <c r="F74" s="423"/>
      <c r="G74" s="337"/>
      <c r="H74" s="423"/>
      <c r="I74" s="427"/>
      <c r="J74" s="423"/>
      <c r="K74" s="428"/>
      <c r="L74" s="423"/>
      <c r="M74" s="423"/>
      <c r="N74" s="423"/>
      <c r="O74" s="337"/>
      <c r="P74" s="423"/>
      <c r="Q74" s="423"/>
      <c r="R74" s="423"/>
      <c r="S74" s="423"/>
      <c r="T74" s="423"/>
      <c r="U74" s="423"/>
      <c r="V74" s="423"/>
      <c r="W74" s="423"/>
      <c r="X74" s="340"/>
      <c r="Y74" s="340"/>
      <c r="Z74" s="340"/>
      <c r="AA74" s="340"/>
      <c r="AB74" s="340"/>
      <c r="AC74" s="340"/>
    </row>
    <row r="75" spans="1:29" x14ac:dyDescent="0.2">
      <c r="A75" s="340"/>
      <c r="B75" s="340"/>
      <c r="C75" s="340"/>
      <c r="D75" s="340"/>
      <c r="E75" s="425"/>
      <c r="F75" s="423"/>
      <c r="G75" s="337"/>
      <c r="H75" s="423"/>
      <c r="I75" s="427"/>
      <c r="J75" s="423"/>
      <c r="K75" s="428"/>
      <c r="L75" s="423"/>
      <c r="M75" s="423"/>
      <c r="N75" s="423"/>
      <c r="O75" s="337"/>
      <c r="P75" s="423"/>
      <c r="Q75" s="423"/>
      <c r="R75" s="423"/>
      <c r="S75" s="423"/>
      <c r="T75" s="423"/>
      <c r="U75" s="423"/>
      <c r="V75" s="423"/>
      <c r="W75" s="423"/>
      <c r="X75" s="340"/>
      <c r="Y75" s="340"/>
      <c r="Z75" s="340"/>
      <c r="AA75" s="340"/>
      <c r="AB75" s="340"/>
      <c r="AC75" s="340"/>
    </row>
    <row r="76" spans="1:29" x14ac:dyDescent="0.2">
      <c r="A76" s="340"/>
      <c r="B76" s="340"/>
      <c r="C76" s="340"/>
      <c r="D76" s="340"/>
      <c r="E76" s="425"/>
      <c r="F76" s="423"/>
      <c r="G76" s="337"/>
      <c r="H76" s="423"/>
      <c r="I76" s="427"/>
      <c r="J76" s="423"/>
      <c r="K76" s="428"/>
      <c r="L76" s="423"/>
      <c r="M76" s="423"/>
      <c r="N76" s="423"/>
      <c r="O76" s="337"/>
      <c r="P76" s="423"/>
      <c r="Q76" s="423"/>
      <c r="R76" s="423"/>
      <c r="S76" s="423"/>
      <c r="T76" s="423"/>
      <c r="U76" s="423"/>
      <c r="V76" s="423"/>
      <c r="W76" s="423"/>
      <c r="X76" s="340"/>
      <c r="Y76" s="340"/>
      <c r="Z76" s="340"/>
      <c r="AA76" s="340"/>
      <c r="AB76" s="340"/>
      <c r="AC76" s="340"/>
    </row>
    <row r="77" spans="1:29" x14ac:dyDescent="0.2">
      <c r="A77" s="340"/>
      <c r="B77" s="340"/>
      <c r="C77" s="340"/>
      <c r="D77" s="340"/>
      <c r="E77" s="425"/>
      <c r="F77" s="423"/>
      <c r="G77" s="337"/>
      <c r="H77" s="423"/>
      <c r="I77" s="427"/>
      <c r="J77" s="423"/>
      <c r="K77" s="428"/>
      <c r="L77" s="423"/>
      <c r="M77" s="423"/>
      <c r="N77" s="423"/>
      <c r="O77" s="337"/>
      <c r="P77" s="423"/>
      <c r="Q77" s="423"/>
      <c r="R77" s="423"/>
      <c r="S77" s="423"/>
      <c r="T77" s="423"/>
      <c r="U77" s="423"/>
      <c r="V77" s="423"/>
      <c r="W77" s="423"/>
      <c r="X77" s="340"/>
      <c r="Y77" s="340"/>
      <c r="Z77" s="340"/>
      <c r="AA77" s="340"/>
      <c r="AB77" s="340"/>
      <c r="AC77" s="340"/>
    </row>
    <row r="78" spans="1:29" x14ac:dyDescent="0.2">
      <c r="A78" s="340"/>
      <c r="B78" s="340"/>
      <c r="C78" s="340"/>
      <c r="D78" s="340"/>
      <c r="E78" s="425"/>
      <c r="F78" s="423"/>
      <c r="G78" s="337"/>
      <c r="H78" s="423"/>
      <c r="I78" s="427"/>
      <c r="J78" s="423"/>
      <c r="K78" s="428"/>
      <c r="L78" s="423"/>
      <c r="M78" s="423"/>
      <c r="N78" s="423"/>
      <c r="O78" s="337"/>
      <c r="P78" s="423"/>
      <c r="Q78" s="423"/>
      <c r="R78" s="423"/>
      <c r="S78" s="423"/>
      <c r="T78" s="423"/>
      <c r="U78" s="423"/>
      <c r="V78" s="423"/>
      <c r="W78" s="423"/>
      <c r="X78" s="340"/>
      <c r="Y78" s="340"/>
      <c r="Z78" s="340"/>
      <c r="AA78" s="340"/>
      <c r="AB78" s="340"/>
      <c r="AC78" s="340"/>
    </row>
    <row r="79" spans="1:29" x14ac:dyDescent="0.2">
      <c r="A79" s="340"/>
      <c r="B79" s="340"/>
      <c r="C79" s="340"/>
      <c r="D79" s="340"/>
      <c r="E79" s="425"/>
      <c r="F79" s="423"/>
      <c r="G79" s="337"/>
      <c r="H79" s="423"/>
      <c r="I79" s="427"/>
      <c r="J79" s="423"/>
      <c r="K79" s="428"/>
      <c r="L79" s="423"/>
      <c r="M79" s="423"/>
      <c r="N79" s="423"/>
      <c r="O79" s="337"/>
      <c r="P79" s="423"/>
      <c r="Q79" s="423"/>
      <c r="R79" s="423"/>
      <c r="S79" s="423"/>
      <c r="T79" s="423"/>
      <c r="U79" s="423"/>
      <c r="V79" s="423"/>
      <c r="W79" s="423"/>
      <c r="X79" s="340"/>
      <c r="Y79" s="340"/>
      <c r="Z79" s="340"/>
      <c r="AA79" s="340"/>
      <c r="AB79" s="340"/>
      <c r="AC79" s="340"/>
    </row>
    <row r="80" spans="1:29" x14ac:dyDescent="0.2">
      <c r="A80" s="340"/>
      <c r="B80" s="340"/>
      <c r="C80" s="340"/>
      <c r="D80" s="340"/>
      <c r="E80" s="425"/>
      <c r="F80" s="423"/>
      <c r="G80" s="337"/>
      <c r="H80" s="423"/>
      <c r="I80" s="427"/>
      <c r="J80" s="423"/>
      <c r="K80" s="428"/>
      <c r="L80" s="423"/>
      <c r="M80" s="423"/>
      <c r="N80" s="423"/>
      <c r="O80" s="337"/>
      <c r="P80" s="423"/>
      <c r="Q80" s="423"/>
      <c r="R80" s="423"/>
      <c r="S80" s="423"/>
      <c r="T80" s="423"/>
      <c r="U80" s="423"/>
      <c r="V80" s="423"/>
      <c r="W80" s="423"/>
      <c r="X80" s="340"/>
      <c r="Y80" s="340"/>
      <c r="Z80" s="340"/>
      <c r="AA80" s="340"/>
      <c r="AB80" s="340"/>
      <c r="AC80" s="340"/>
    </row>
    <row r="81" spans="1:29" x14ac:dyDescent="0.2">
      <c r="A81" s="340"/>
      <c r="B81" s="340"/>
      <c r="C81" s="340"/>
      <c r="D81" s="340"/>
      <c r="E81" s="425"/>
      <c r="F81" s="423"/>
      <c r="G81" s="337"/>
      <c r="H81" s="423"/>
      <c r="I81" s="427"/>
      <c r="J81" s="423"/>
      <c r="K81" s="428"/>
      <c r="L81" s="423"/>
      <c r="M81" s="423"/>
      <c r="N81" s="423"/>
      <c r="O81" s="337"/>
      <c r="P81" s="423"/>
      <c r="Q81" s="423"/>
      <c r="R81" s="423"/>
      <c r="S81" s="423"/>
      <c r="T81" s="423"/>
      <c r="U81" s="423"/>
      <c r="V81" s="423"/>
      <c r="W81" s="423"/>
      <c r="X81" s="340"/>
      <c r="Y81" s="340"/>
      <c r="Z81" s="340"/>
      <c r="AA81" s="340"/>
      <c r="AB81" s="340"/>
      <c r="AC81" s="340"/>
    </row>
    <row r="82" spans="1:29" x14ac:dyDescent="0.2">
      <c r="A82" s="340"/>
      <c r="B82" s="340"/>
      <c r="C82" s="340"/>
      <c r="D82" s="340"/>
      <c r="E82" s="425"/>
      <c r="F82" s="423"/>
      <c r="G82" s="337"/>
      <c r="H82" s="423"/>
      <c r="I82" s="427"/>
      <c r="J82" s="423"/>
      <c r="K82" s="428"/>
      <c r="L82" s="423"/>
      <c r="M82" s="423"/>
      <c r="N82" s="423"/>
      <c r="O82" s="337"/>
      <c r="P82" s="423"/>
      <c r="Q82" s="423"/>
      <c r="R82" s="423"/>
      <c r="S82" s="423"/>
      <c r="T82" s="423"/>
      <c r="U82" s="423"/>
      <c r="V82" s="423"/>
      <c r="W82" s="423"/>
      <c r="X82" s="340"/>
      <c r="Y82" s="340"/>
      <c r="Z82" s="340"/>
      <c r="AA82" s="340"/>
      <c r="AB82" s="340"/>
      <c r="AC82" s="340"/>
    </row>
    <row r="83" spans="1:29" x14ac:dyDescent="0.2">
      <c r="A83" s="340"/>
      <c r="B83" s="340"/>
      <c r="C83" s="340"/>
      <c r="D83" s="340"/>
      <c r="E83" s="425"/>
      <c r="F83" s="423"/>
      <c r="G83" s="337"/>
      <c r="H83" s="423"/>
      <c r="I83" s="427"/>
      <c r="J83" s="423"/>
      <c r="K83" s="428"/>
      <c r="L83" s="423"/>
      <c r="M83" s="423"/>
      <c r="N83" s="423"/>
      <c r="O83" s="337"/>
      <c r="P83" s="423"/>
      <c r="Q83" s="423"/>
      <c r="R83" s="423"/>
      <c r="S83" s="423"/>
      <c r="T83" s="423"/>
      <c r="U83" s="423"/>
      <c r="V83" s="423"/>
      <c r="W83" s="423"/>
      <c r="X83" s="340"/>
      <c r="Y83" s="340"/>
      <c r="Z83" s="340"/>
      <c r="AA83" s="340"/>
      <c r="AB83" s="340"/>
      <c r="AC83" s="340"/>
    </row>
    <row r="84" spans="1:29" x14ac:dyDescent="0.2">
      <c r="A84" s="340"/>
      <c r="B84" s="340"/>
      <c r="C84" s="340"/>
      <c r="D84" s="340"/>
      <c r="E84" s="425"/>
      <c r="F84" s="423"/>
      <c r="G84" s="337"/>
      <c r="H84" s="423"/>
      <c r="I84" s="429"/>
      <c r="J84" s="423"/>
      <c r="K84" s="428"/>
      <c r="L84" s="423"/>
      <c r="M84" s="423"/>
      <c r="N84" s="423"/>
      <c r="O84" s="423"/>
      <c r="P84" s="423"/>
      <c r="Q84" s="423"/>
      <c r="R84" s="423"/>
      <c r="S84" s="423"/>
      <c r="T84" s="423"/>
      <c r="U84" s="423"/>
      <c r="V84" s="423"/>
      <c r="W84" s="423"/>
      <c r="X84" s="340"/>
      <c r="Y84" s="340"/>
      <c r="Z84" s="340"/>
      <c r="AA84" s="340"/>
      <c r="AB84" s="340"/>
      <c r="AC84" s="340"/>
    </row>
    <row r="85" spans="1:29" x14ac:dyDescent="0.2">
      <c r="A85" s="340"/>
      <c r="B85" s="340"/>
      <c r="C85" s="340"/>
      <c r="D85" s="340"/>
      <c r="E85" s="423"/>
      <c r="F85" s="423"/>
      <c r="G85" s="423"/>
      <c r="H85" s="423"/>
      <c r="I85" s="423"/>
      <c r="J85" s="423"/>
      <c r="K85" s="423"/>
      <c r="L85" s="423"/>
      <c r="M85" s="423"/>
      <c r="N85" s="423"/>
      <c r="O85" s="423"/>
      <c r="P85" s="423"/>
      <c r="Q85" s="423"/>
      <c r="R85" s="423"/>
      <c r="S85" s="423"/>
      <c r="T85" s="423"/>
      <c r="U85" s="423"/>
      <c r="V85" s="423"/>
      <c r="W85" s="423"/>
      <c r="X85" s="340"/>
      <c r="Y85" s="340"/>
      <c r="Z85" s="340"/>
      <c r="AA85" s="340"/>
      <c r="AB85" s="340"/>
      <c r="AC85" s="340"/>
    </row>
    <row r="86" spans="1:29" x14ac:dyDescent="0.2">
      <c r="A86" s="340"/>
      <c r="B86" s="340"/>
      <c r="C86" s="340"/>
      <c r="D86" s="340"/>
      <c r="E86" s="423"/>
      <c r="F86" s="423"/>
      <c r="G86" s="423"/>
      <c r="H86" s="423"/>
      <c r="I86" s="423"/>
      <c r="J86" s="423"/>
      <c r="K86" s="423"/>
      <c r="L86" s="423"/>
      <c r="M86" s="423"/>
      <c r="N86" s="423"/>
      <c r="O86" s="425"/>
      <c r="P86" s="423"/>
      <c r="Q86" s="423"/>
      <c r="R86" s="423"/>
      <c r="S86" s="423"/>
      <c r="T86" s="423"/>
      <c r="U86" s="423"/>
      <c r="V86" s="423"/>
      <c r="W86" s="423"/>
      <c r="X86" s="340"/>
      <c r="Y86" s="340"/>
      <c r="Z86" s="340"/>
      <c r="AA86" s="340"/>
      <c r="AB86" s="340"/>
      <c r="AC86" s="340"/>
    </row>
    <row r="87" spans="1:29" x14ac:dyDescent="0.2">
      <c r="A87" s="340"/>
      <c r="B87" s="340"/>
      <c r="C87" s="340"/>
      <c r="D87" s="340"/>
      <c r="E87" s="423"/>
      <c r="F87" s="423"/>
      <c r="G87" s="638"/>
      <c r="H87" s="638"/>
      <c r="I87" s="638"/>
      <c r="J87" s="423"/>
      <c r="K87" s="638"/>
      <c r="L87" s="638"/>
      <c r="M87" s="638"/>
      <c r="N87" s="423"/>
      <c r="O87" s="426"/>
      <c r="P87" s="423"/>
      <c r="Q87" s="423"/>
      <c r="R87" s="423"/>
      <c r="S87" s="423"/>
      <c r="T87" s="423"/>
      <c r="U87" s="423"/>
      <c r="V87" s="423"/>
      <c r="W87" s="423"/>
      <c r="X87" s="340"/>
      <c r="Y87" s="340"/>
      <c r="Z87" s="340"/>
      <c r="AA87" s="340"/>
      <c r="AB87" s="340"/>
      <c r="AC87" s="340"/>
    </row>
    <row r="88" spans="1:29" x14ac:dyDescent="0.2">
      <c r="A88" s="340"/>
      <c r="B88" s="340"/>
      <c r="C88" s="340"/>
      <c r="D88" s="340"/>
      <c r="E88" s="426"/>
      <c r="F88" s="423"/>
      <c r="G88" s="426"/>
      <c r="H88" s="426"/>
      <c r="I88" s="426"/>
      <c r="J88" s="423"/>
      <c r="K88" s="426"/>
      <c r="L88" s="426"/>
      <c r="M88" s="426"/>
      <c r="N88" s="423"/>
      <c r="O88" s="425"/>
      <c r="P88" s="423"/>
      <c r="Q88" s="426"/>
      <c r="R88" s="423"/>
      <c r="S88" s="423"/>
      <c r="T88" s="423"/>
      <c r="U88" s="423"/>
      <c r="V88" s="423"/>
      <c r="W88" s="423"/>
      <c r="X88" s="340"/>
      <c r="Y88" s="340"/>
      <c r="Z88" s="340"/>
      <c r="AA88" s="340"/>
      <c r="AB88" s="340"/>
      <c r="AC88" s="340"/>
    </row>
    <row r="89" spans="1:29" x14ac:dyDescent="0.2">
      <c r="A89" s="340"/>
      <c r="B89" s="340"/>
      <c r="C89" s="340"/>
      <c r="D89" s="340"/>
      <c r="E89" s="423"/>
      <c r="F89" s="423"/>
      <c r="G89" s="423"/>
      <c r="H89" s="423"/>
      <c r="I89" s="423"/>
      <c r="J89" s="423"/>
      <c r="K89" s="423"/>
      <c r="L89" s="423"/>
      <c r="M89" s="423"/>
      <c r="N89" s="423"/>
      <c r="O89" s="423"/>
      <c r="P89" s="423"/>
      <c r="Q89" s="423"/>
      <c r="R89" s="423"/>
      <c r="S89" s="423"/>
      <c r="T89" s="423"/>
      <c r="U89" s="423"/>
      <c r="V89" s="423"/>
      <c r="W89" s="423"/>
      <c r="X89" s="340"/>
      <c r="Y89" s="340"/>
      <c r="Z89" s="340"/>
      <c r="AA89" s="340"/>
      <c r="AB89" s="340"/>
      <c r="AC89" s="340"/>
    </row>
    <row r="90" spans="1:29" x14ac:dyDescent="0.2">
      <c r="A90" s="340"/>
      <c r="B90" s="340"/>
      <c r="C90" s="340"/>
      <c r="D90" s="340"/>
      <c r="E90" s="425"/>
      <c r="F90" s="425"/>
      <c r="G90" s="430"/>
      <c r="H90" s="423"/>
      <c r="I90" s="431"/>
      <c r="J90" s="427"/>
      <c r="K90" s="428"/>
      <c r="L90" s="423"/>
      <c r="M90" s="431"/>
      <c r="N90" s="423"/>
      <c r="O90" s="431"/>
      <c r="P90" s="423"/>
      <c r="Q90" s="432"/>
      <c r="R90" s="423"/>
      <c r="S90" s="427"/>
      <c r="T90" s="423"/>
      <c r="U90" s="423"/>
      <c r="V90" s="423"/>
      <c r="W90" s="423"/>
      <c r="X90" s="340"/>
      <c r="Y90" s="340"/>
      <c r="Z90" s="340"/>
      <c r="AA90" s="340"/>
      <c r="AB90" s="340"/>
      <c r="AC90" s="340"/>
    </row>
    <row r="91" spans="1:29" x14ac:dyDescent="0.2">
      <c r="A91" s="340"/>
      <c r="B91" s="340"/>
      <c r="C91" s="340"/>
      <c r="D91" s="340"/>
      <c r="E91" s="425"/>
      <c r="F91" s="425"/>
      <c r="G91" s="430"/>
      <c r="H91" s="423"/>
      <c r="I91" s="423"/>
      <c r="J91" s="423"/>
      <c r="K91" s="428"/>
      <c r="L91" s="423"/>
      <c r="M91" s="423"/>
      <c r="N91" s="423"/>
      <c r="O91" s="423"/>
      <c r="P91" s="423"/>
      <c r="Q91" s="432"/>
      <c r="R91" s="423"/>
      <c r="S91" s="427"/>
      <c r="T91" s="423"/>
      <c r="U91" s="423"/>
      <c r="V91" s="423"/>
      <c r="W91" s="423"/>
      <c r="X91" s="340"/>
      <c r="Y91" s="340"/>
      <c r="Z91" s="340"/>
      <c r="AA91" s="340"/>
      <c r="AB91" s="340"/>
      <c r="AC91" s="340"/>
    </row>
    <row r="92" spans="1:29" x14ac:dyDescent="0.2">
      <c r="A92" s="340"/>
      <c r="B92" s="340"/>
      <c r="C92" s="340"/>
      <c r="D92" s="340"/>
      <c r="E92" s="425"/>
      <c r="F92" s="425"/>
      <c r="G92" s="430"/>
      <c r="H92" s="423"/>
      <c r="I92" s="427"/>
      <c r="J92" s="423"/>
      <c r="K92" s="428"/>
      <c r="L92" s="423"/>
      <c r="M92" s="427"/>
      <c r="N92" s="423"/>
      <c r="O92" s="433"/>
      <c r="P92" s="423"/>
      <c r="Q92" s="433"/>
      <c r="R92" s="423"/>
      <c r="S92" s="427"/>
      <c r="T92" s="423"/>
      <c r="U92" s="423"/>
      <c r="V92" s="423"/>
      <c r="W92" s="423"/>
      <c r="X92" s="340"/>
      <c r="Y92" s="340"/>
      <c r="Z92" s="340"/>
      <c r="AA92" s="340"/>
      <c r="AB92" s="340"/>
      <c r="AC92" s="340"/>
    </row>
    <row r="93" spans="1:29" x14ac:dyDescent="0.2">
      <c r="A93" s="340"/>
      <c r="B93" s="340"/>
      <c r="C93" s="340"/>
      <c r="D93" s="340"/>
      <c r="E93" s="425"/>
      <c r="F93" s="425"/>
      <c r="G93" s="430"/>
      <c r="H93" s="423"/>
      <c r="I93" s="427"/>
      <c r="J93" s="423"/>
      <c r="K93" s="335"/>
      <c r="L93" s="423"/>
      <c r="M93" s="427"/>
      <c r="N93" s="423"/>
      <c r="O93" s="433"/>
      <c r="P93" s="423"/>
      <c r="Q93" s="433"/>
      <c r="R93" s="423"/>
      <c r="S93" s="427"/>
      <c r="T93" s="423"/>
      <c r="U93" s="423"/>
      <c r="V93" s="423"/>
      <c r="W93" s="423"/>
      <c r="X93" s="340"/>
      <c r="Y93" s="340"/>
      <c r="Z93" s="340"/>
      <c r="AA93" s="340"/>
      <c r="AB93" s="340"/>
      <c r="AC93" s="340"/>
    </row>
    <row r="94" spans="1:29" x14ac:dyDescent="0.2">
      <c r="A94" s="340"/>
      <c r="B94" s="340"/>
      <c r="C94" s="340"/>
      <c r="D94" s="340"/>
      <c r="E94" s="425"/>
      <c r="F94" s="425"/>
      <c r="G94" s="430"/>
      <c r="H94" s="423"/>
      <c r="I94" s="427"/>
      <c r="J94" s="423"/>
      <c r="K94" s="428"/>
      <c r="L94" s="423"/>
      <c r="M94" s="427"/>
      <c r="N94" s="423"/>
      <c r="O94" s="433"/>
      <c r="P94" s="423"/>
      <c r="Q94" s="433"/>
      <c r="R94" s="423"/>
      <c r="S94" s="427"/>
      <c r="T94" s="423"/>
      <c r="U94" s="423"/>
      <c r="V94" s="423"/>
      <c r="W94" s="423"/>
      <c r="X94" s="340"/>
      <c r="Y94" s="340"/>
      <c r="Z94" s="340"/>
      <c r="AA94" s="340"/>
      <c r="AB94" s="340"/>
      <c r="AC94" s="340"/>
    </row>
    <row r="95" spans="1:29" x14ac:dyDescent="0.2">
      <c r="E95" s="425"/>
      <c r="F95" s="425"/>
      <c r="G95" s="430"/>
      <c r="H95" s="335"/>
      <c r="I95" s="427"/>
      <c r="J95" s="335"/>
      <c r="K95" s="428"/>
      <c r="L95" s="335"/>
      <c r="M95" s="427"/>
      <c r="N95" s="335"/>
      <c r="O95" s="433"/>
      <c r="P95" s="335"/>
      <c r="Q95" s="433"/>
      <c r="R95" s="335"/>
      <c r="S95" s="427"/>
      <c r="T95" s="335"/>
      <c r="U95" s="335"/>
      <c r="V95" s="335"/>
      <c r="W95" s="335"/>
    </row>
    <row r="96" spans="1:29" x14ac:dyDescent="0.2">
      <c r="E96" s="425"/>
      <c r="F96" s="425"/>
      <c r="G96" s="430"/>
      <c r="H96" s="335"/>
      <c r="I96" s="427"/>
      <c r="J96" s="335"/>
      <c r="K96" s="428"/>
      <c r="L96" s="335"/>
      <c r="M96" s="427"/>
      <c r="N96" s="335"/>
      <c r="O96" s="433"/>
      <c r="P96" s="335"/>
      <c r="Q96" s="433"/>
      <c r="R96" s="335"/>
      <c r="S96" s="427"/>
      <c r="T96" s="335"/>
      <c r="U96" s="335"/>
      <c r="V96" s="335"/>
      <c r="W96" s="335"/>
    </row>
    <row r="97" spans="5:23" x14ac:dyDescent="0.2">
      <c r="E97" s="425"/>
      <c r="F97" s="425"/>
      <c r="G97" s="430"/>
      <c r="H97" s="335"/>
      <c r="I97" s="427"/>
      <c r="J97" s="335"/>
      <c r="K97" s="428"/>
      <c r="L97" s="335"/>
      <c r="M97" s="427"/>
      <c r="N97" s="335"/>
      <c r="O97" s="433"/>
      <c r="P97" s="335"/>
      <c r="Q97" s="433"/>
      <c r="R97" s="335"/>
      <c r="S97" s="427"/>
      <c r="T97" s="335"/>
      <c r="U97" s="335"/>
      <c r="V97" s="335"/>
      <c r="W97" s="335"/>
    </row>
    <row r="98" spans="5:23" x14ac:dyDescent="0.2">
      <c r="E98" s="425"/>
      <c r="F98" s="425"/>
      <c r="G98" s="430"/>
      <c r="H98" s="335"/>
      <c r="I98" s="427"/>
      <c r="J98" s="335"/>
      <c r="K98" s="428"/>
      <c r="L98" s="335"/>
      <c r="M98" s="427"/>
      <c r="N98" s="335"/>
      <c r="O98" s="433"/>
      <c r="P98" s="335"/>
      <c r="Q98" s="433"/>
      <c r="R98" s="335"/>
      <c r="S98" s="427"/>
      <c r="T98" s="335"/>
      <c r="U98" s="335"/>
      <c r="V98" s="335"/>
      <c r="W98" s="335"/>
    </row>
    <row r="99" spans="5:23" x14ac:dyDescent="0.2">
      <c r="E99" s="425"/>
      <c r="F99" s="425"/>
      <c r="G99" s="430"/>
      <c r="H99" s="335"/>
      <c r="I99" s="427"/>
      <c r="J99" s="335"/>
      <c r="K99" s="428"/>
      <c r="L99" s="335"/>
      <c r="M99" s="427"/>
      <c r="N99" s="335"/>
      <c r="O99" s="433"/>
      <c r="P99" s="335"/>
      <c r="Q99" s="433"/>
      <c r="R99" s="335"/>
      <c r="S99" s="427"/>
      <c r="T99" s="335"/>
      <c r="U99" s="335"/>
      <c r="V99" s="335"/>
      <c r="W99" s="335"/>
    </row>
    <row r="100" spans="5:23" x14ac:dyDescent="0.2">
      <c r="E100" s="425"/>
      <c r="F100" s="425"/>
      <c r="G100" s="430"/>
      <c r="H100" s="335"/>
      <c r="I100" s="427"/>
      <c r="J100" s="335"/>
      <c r="K100" s="428"/>
      <c r="L100" s="335"/>
      <c r="M100" s="427"/>
      <c r="N100" s="335"/>
      <c r="O100" s="433"/>
      <c r="P100" s="335"/>
      <c r="Q100" s="433"/>
      <c r="R100" s="335"/>
      <c r="S100" s="427"/>
      <c r="T100" s="335"/>
      <c r="U100" s="335"/>
      <c r="V100" s="335"/>
      <c r="W100" s="335"/>
    </row>
    <row r="101" spans="5:23" x14ac:dyDescent="0.2">
      <c r="E101" s="425"/>
      <c r="F101" s="425"/>
      <c r="G101" s="430"/>
      <c r="H101" s="335"/>
      <c r="I101" s="427"/>
      <c r="J101" s="335"/>
      <c r="K101" s="428"/>
      <c r="L101" s="335"/>
      <c r="M101" s="427"/>
      <c r="N101" s="335"/>
      <c r="O101" s="433"/>
      <c r="P101" s="335"/>
      <c r="Q101" s="433"/>
      <c r="R101" s="335"/>
      <c r="S101" s="427"/>
      <c r="T101" s="335"/>
      <c r="U101" s="335"/>
      <c r="V101" s="335"/>
      <c r="W101" s="335"/>
    </row>
    <row r="102" spans="5:23" x14ac:dyDescent="0.2">
      <c r="E102" s="425"/>
      <c r="F102" s="425"/>
      <c r="G102" s="430"/>
      <c r="H102" s="335"/>
      <c r="I102" s="427"/>
      <c r="J102" s="335"/>
      <c r="K102" s="428"/>
      <c r="L102" s="335"/>
      <c r="M102" s="427"/>
      <c r="N102" s="335"/>
      <c r="O102" s="433"/>
      <c r="P102" s="335"/>
      <c r="Q102" s="433"/>
      <c r="R102" s="335"/>
      <c r="S102" s="427"/>
      <c r="T102" s="335"/>
      <c r="U102" s="335"/>
      <c r="V102" s="335"/>
      <c r="W102" s="335"/>
    </row>
    <row r="103" spans="5:23" x14ac:dyDescent="0.2">
      <c r="E103" s="425"/>
      <c r="F103" s="425"/>
      <c r="G103" s="430"/>
      <c r="H103" s="335"/>
      <c r="I103" s="427"/>
      <c r="J103" s="335"/>
      <c r="K103" s="428"/>
      <c r="L103" s="335"/>
      <c r="M103" s="427"/>
      <c r="N103" s="335"/>
      <c r="O103" s="433"/>
      <c r="P103" s="335"/>
      <c r="Q103" s="433"/>
      <c r="R103" s="335"/>
      <c r="S103" s="427"/>
      <c r="T103" s="335"/>
      <c r="U103" s="335"/>
      <c r="V103" s="335"/>
      <c r="W103" s="335"/>
    </row>
    <row r="104" spans="5:23" x14ac:dyDescent="0.2">
      <c r="E104" s="425"/>
      <c r="F104" s="425"/>
      <c r="G104" s="430"/>
      <c r="H104" s="335"/>
      <c r="I104" s="427"/>
      <c r="J104" s="335"/>
      <c r="K104" s="428"/>
      <c r="L104" s="335"/>
      <c r="M104" s="427"/>
      <c r="N104" s="335"/>
      <c r="O104" s="433"/>
      <c r="P104" s="335"/>
      <c r="Q104" s="433"/>
      <c r="R104" s="335"/>
      <c r="S104" s="427"/>
      <c r="T104" s="335"/>
      <c r="U104" s="335"/>
      <c r="V104" s="335"/>
      <c r="W104" s="335"/>
    </row>
    <row r="105" spans="5:23" x14ac:dyDescent="0.2">
      <c r="E105" s="425"/>
      <c r="F105" s="425"/>
      <c r="G105" s="430"/>
      <c r="H105" s="335"/>
      <c r="I105" s="427"/>
      <c r="J105" s="335"/>
      <c r="K105" s="428"/>
      <c r="L105" s="335"/>
      <c r="M105" s="427"/>
      <c r="N105" s="335"/>
      <c r="O105" s="433"/>
      <c r="P105" s="335"/>
      <c r="Q105" s="433"/>
      <c r="R105" s="335"/>
      <c r="S105" s="427"/>
      <c r="T105" s="335"/>
      <c r="U105" s="335"/>
      <c r="V105" s="335"/>
      <c r="W105" s="335"/>
    </row>
    <row r="106" spans="5:23" x14ac:dyDescent="0.2">
      <c r="E106" s="425"/>
      <c r="F106" s="425"/>
      <c r="G106" s="430"/>
      <c r="H106" s="335"/>
      <c r="I106" s="427"/>
      <c r="J106" s="335"/>
      <c r="K106" s="428"/>
      <c r="L106" s="335"/>
      <c r="M106" s="427"/>
      <c r="N106" s="335"/>
      <c r="O106" s="433"/>
      <c r="P106" s="335"/>
      <c r="Q106" s="433"/>
      <c r="R106" s="335"/>
      <c r="S106" s="427"/>
      <c r="T106" s="335"/>
      <c r="U106" s="335"/>
      <c r="V106" s="335"/>
      <c r="W106" s="335"/>
    </row>
    <row r="107" spans="5:23" x14ac:dyDescent="0.2">
      <c r="E107" s="335"/>
      <c r="F107" s="335"/>
      <c r="G107" s="335"/>
      <c r="H107" s="335"/>
      <c r="I107" s="427"/>
      <c r="J107" s="335"/>
      <c r="K107" s="428"/>
      <c r="L107" s="335"/>
      <c r="M107" s="427"/>
      <c r="N107" s="335"/>
      <c r="O107" s="433"/>
      <c r="P107" s="335"/>
      <c r="Q107" s="433"/>
      <c r="R107" s="335"/>
      <c r="S107" s="427"/>
      <c r="T107" s="335"/>
      <c r="U107" s="335"/>
      <c r="V107" s="335"/>
      <c r="W107" s="335"/>
    </row>
    <row r="108" spans="5:23" x14ac:dyDescent="0.2">
      <c r="E108" s="426"/>
      <c r="F108" s="335"/>
      <c r="G108" s="426"/>
      <c r="H108" s="335"/>
      <c r="I108" s="427"/>
      <c r="J108" s="335"/>
      <c r="K108" s="428"/>
      <c r="L108" s="335"/>
      <c r="M108" s="427"/>
      <c r="N108" s="335"/>
      <c r="O108" s="433"/>
      <c r="P108" s="335"/>
      <c r="Q108" s="433"/>
      <c r="R108" s="335"/>
      <c r="S108" s="427"/>
      <c r="T108" s="335"/>
      <c r="U108" s="335"/>
      <c r="V108" s="335"/>
      <c r="W108" s="335"/>
    </row>
    <row r="109" spans="5:23" x14ac:dyDescent="0.2">
      <c r="E109" s="426"/>
      <c r="F109" s="335"/>
      <c r="G109" s="426"/>
      <c r="H109" s="335"/>
      <c r="I109" s="427"/>
      <c r="J109" s="335"/>
      <c r="K109" s="428"/>
      <c r="L109" s="335"/>
      <c r="M109" s="427"/>
      <c r="N109" s="335"/>
      <c r="O109" s="433"/>
      <c r="P109" s="335"/>
      <c r="Q109" s="433"/>
      <c r="R109" s="335"/>
      <c r="S109" s="427"/>
      <c r="T109" s="335"/>
      <c r="U109" s="335"/>
      <c r="V109" s="335"/>
      <c r="W109" s="335"/>
    </row>
    <row r="110" spans="5:23" x14ac:dyDescent="0.2">
      <c r="E110" s="426"/>
      <c r="F110" s="335"/>
      <c r="G110" s="426"/>
      <c r="H110" s="335"/>
      <c r="I110" s="427"/>
      <c r="J110" s="335"/>
      <c r="K110" s="428"/>
      <c r="L110" s="335"/>
      <c r="M110" s="427"/>
      <c r="N110" s="335"/>
      <c r="O110" s="433"/>
      <c r="P110" s="335"/>
      <c r="Q110" s="433"/>
      <c r="R110" s="335"/>
      <c r="S110" s="427"/>
      <c r="T110" s="335"/>
      <c r="U110" s="335"/>
      <c r="V110" s="335"/>
      <c r="W110" s="335"/>
    </row>
    <row r="111" spans="5:23" x14ac:dyDescent="0.2">
      <c r="E111" s="335"/>
      <c r="F111" s="335"/>
      <c r="G111" s="335"/>
      <c r="H111" s="335"/>
      <c r="I111" s="335"/>
      <c r="J111" s="335"/>
      <c r="K111" s="335"/>
      <c r="L111" s="335"/>
      <c r="M111" s="335"/>
      <c r="N111" s="335"/>
      <c r="O111" s="335"/>
      <c r="P111" s="335"/>
      <c r="Q111" s="335"/>
      <c r="R111" s="335"/>
      <c r="S111" s="335"/>
      <c r="T111" s="335"/>
      <c r="U111" s="335"/>
      <c r="V111" s="335"/>
      <c r="W111" s="335"/>
    </row>
    <row r="112" spans="5:23" x14ac:dyDescent="0.2">
      <c r="E112" s="335"/>
      <c r="F112" s="335"/>
      <c r="G112" s="335"/>
      <c r="H112" s="335"/>
      <c r="I112" s="335"/>
      <c r="J112" s="335"/>
      <c r="K112" s="335"/>
      <c r="L112" s="335"/>
      <c r="M112" s="335"/>
      <c r="N112" s="335"/>
      <c r="O112" s="335"/>
      <c r="P112" s="335"/>
      <c r="Q112" s="335"/>
      <c r="R112" s="335"/>
      <c r="S112" s="335"/>
      <c r="T112" s="335"/>
      <c r="U112" s="335"/>
      <c r="V112" s="335"/>
      <c r="W112" s="335"/>
    </row>
    <row r="113" spans="5:23" x14ac:dyDescent="0.2">
      <c r="E113" s="335"/>
      <c r="F113" s="335"/>
      <c r="G113" s="335"/>
      <c r="H113" s="335"/>
      <c r="I113" s="335"/>
      <c r="J113" s="335"/>
      <c r="K113" s="335"/>
      <c r="L113" s="335"/>
      <c r="M113" s="335"/>
      <c r="N113" s="335"/>
      <c r="O113" s="335"/>
      <c r="P113" s="335"/>
      <c r="Q113" s="335"/>
      <c r="R113" s="335"/>
      <c r="S113" s="335"/>
      <c r="T113" s="335"/>
      <c r="U113" s="335"/>
      <c r="V113" s="335"/>
      <c r="W113" s="335"/>
    </row>
    <row r="114" spans="5:23" x14ac:dyDescent="0.2">
      <c r="E114" s="335"/>
      <c r="F114" s="335"/>
      <c r="G114" s="335"/>
      <c r="H114" s="335"/>
      <c r="I114" s="335"/>
      <c r="J114" s="335"/>
      <c r="K114" s="335"/>
      <c r="L114" s="335"/>
      <c r="M114" s="335"/>
      <c r="N114" s="335"/>
      <c r="O114" s="335"/>
      <c r="P114" s="335"/>
      <c r="Q114" s="335"/>
      <c r="R114" s="335"/>
      <c r="S114" s="335"/>
      <c r="T114" s="335"/>
      <c r="U114" s="335"/>
      <c r="V114" s="335"/>
      <c r="W114" s="335"/>
    </row>
    <row r="115" spans="5:23" x14ac:dyDescent="0.2">
      <c r="E115" s="335"/>
      <c r="F115" s="335"/>
      <c r="G115" s="335"/>
      <c r="H115" s="335"/>
      <c r="I115" s="335"/>
      <c r="J115" s="335"/>
      <c r="K115" s="335"/>
      <c r="L115" s="335"/>
      <c r="M115" s="335"/>
      <c r="N115" s="335"/>
      <c r="O115" s="335"/>
      <c r="P115" s="335"/>
      <c r="Q115" s="335"/>
      <c r="R115" s="335"/>
      <c r="S115" s="335"/>
      <c r="T115" s="335"/>
      <c r="U115" s="335"/>
      <c r="V115" s="335"/>
      <c r="W115" s="335"/>
    </row>
    <row r="116" spans="5:23" x14ac:dyDescent="0.2">
      <c r="E116" s="335"/>
      <c r="F116" s="335"/>
      <c r="G116" s="335"/>
      <c r="H116" s="335"/>
      <c r="I116" s="335"/>
      <c r="J116" s="335"/>
      <c r="K116" s="335"/>
      <c r="L116" s="335"/>
      <c r="M116" s="335"/>
      <c r="N116" s="335"/>
      <c r="O116" s="335"/>
      <c r="P116" s="335"/>
      <c r="Q116" s="335"/>
      <c r="R116" s="335"/>
      <c r="S116" s="335"/>
      <c r="T116" s="335"/>
      <c r="U116" s="335"/>
      <c r="V116" s="335"/>
      <c r="W116" s="335"/>
    </row>
    <row r="117" spans="5:23" x14ac:dyDescent="0.2">
      <c r="E117" s="335"/>
      <c r="F117" s="335"/>
      <c r="G117" s="335"/>
      <c r="H117" s="335"/>
      <c r="I117" s="335"/>
      <c r="J117" s="335"/>
      <c r="K117" s="335"/>
      <c r="L117" s="335"/>
      <c r="M117" s="335"/>
      <c r="N117" s="335"/>
      <c r="O117" s="335"/>
      <c r="P117" s="335"/>
      <c r="Q117" s="335"/>
      <c r="R117" s="335"/>
      <c r="S117" s="335"/>
      <c r="T117" s="335"/>
      <c r="U117" s="335"/>
      <c r="V117" s="335"/>
      <c r="W117" s="335"/>
    </row>
    <row r="118" spans="5:23" x14ac:dyDescent="0.2">
      <c r="E118" s="335"/>
      <c r="F118" s="335"/>
      <c r="G118" s="335"/>
      <c r="H118" s="335"/>
      <c r="I118" s="335"/>
      <c r="J118" s="335"/>
      <c r="K118" s="335"/>
      <c r="L118" s="335"/>
      <c r="M118" s="335"/>
      <c r="N118" s="335"/>
      <c r="O118" s="335"/>
      <c r="P118" s="335"/>
      <c r="Q118" s="335"/>
      <c r="R118" s="335"/>
      <c r="S118" s="335"/>
      <c r="T118" s="335"/>
      <c r="U118" s="335"/>
      <c r="V118" s="335"/>
      <c r="W118" s="335"/>
    </row>
    <row r="119" spans="5:23" x14ac:dyDescent="0.2">
      <c r="E119" s="335"/>
      <c r="F119" s="335"/>
      <c r="G119" s="335"/>
      <c r="H119" s="335"/>
      <c r="I119" s="335"/>
      <c r="J119" s="335"/>
      <c r="K119" s="335"/>
      <c r="L119" s="335"/>
      <c r="M119" s="335"/>
      <c r="N119" s="335"/>
      <c r="O119" s="335"/>
      <c r="P119" s="335"/>
      <c r="Q119" s="335"/>
      <c r="R119" s="335"/>
      <c r="S119" s="335"/>
      <c r="T119" s="335"/>
      <c r="U119" s="335"/>
      <c r="V119" s="335"/>
      <c r="W119" s="335"/>
    </row>
    <row r="120" spans="5:23" x14ac:dyDescent="0.2">
      <c r="E120" s="335"/>
      <c r="F120" s="335"/>
      <c r="G120" s="335"/>
      <c r="H120" s="335"/>
      <c r="I120" s="335"/>
      <c r="J120" s="335"/>
      <c r="K120" s="335"/>
      <c r="L120" s="335"/>
      <c r="M120" s="335"/>
      <c r="N120" s="335"/>
      <c r="O120" s="335"/>
      <c r="P120" s="335"/>
      <c r="Q120" s="335"/>
      <c r="R120" s="335"/>
      <c r="S120" s="335"/>
      <c r="T120" s="335"/>
      <c r="U120" s="335"/>
      <c r="V120" s="335"/>
      <c r="W120" s="335"/>
    </row>
    <row r="121" spans="5:23" x14ac:dyDescent="0.2">
      <c r="E121" s="335"/>
      <c r="F121" s="335"/>
      <c r="G121" s="335"/>
      <c r="H121" s="335"/>
      <c r="I121" s="335"/>
      <c r="J121" s="335"/>
      <c r="K121" s="335"/>
      <c r="L121" s="335"/>
      <c r="M121" s="335"/>
      <c r="N121" s="335"/>
      <c r="O121" s="335"/>
      <c r="P121" s="335"/>
      <c r="Q121" s="335"/>
      <c r="R121" s="335"/>
      <c r="S121" s="335"/>
      <c r="T121" s="335"/>
      <c r="U121" s="335"/>
      <c r="V121" s="335"/>
      <c r="W121" s="335"/>
    </row>
    <row r="122" spans="5:23" x14ac:dyDescent="0.2">
      <c r="E122" s="335"/>
      <c r="F122" s="335"/>
      <c r="G122" s="335"/>
      <c r="H122" s="335"/>
      <c r="I122" s="335"/>
      <c r="J122" s="335"/>
      <c r="K122" s="335"/>
      <c r="L122" s="335"/>
      <c r="M122" s="335"/>
      <c r="N122" s="335"/>
      <c r="O122" s="335"/>
      <c r="P122" s="335"/>
      <c r="Q122" s="335"/>
      <c r="R122" s="335"/>
      <c r="S122" s="335"/>
      <c r="T122" s="335"/>
      <c r="U122" s="335"/>
      <c r="V122" s="335"/>
      <c r="W122" s="335"/>
    </row>
    <row r="123" spans="5:23" x14ac:dyDescent="0.2">
      <c r="E123" s="335"/>
      <c r="F123" s="335"/>
      <c r="G123" s="335"/>
      <c r="H123" s="335"/>
      <c r="I123" s="335"/>
      <c r="J123" s="335"/>
      <c r="K123" s="335"/>
      <c r="L123" s="335"/>
      <c r="M123" s="335"/>
      <c r="N123" s="335"/>
      <c r="O123" s="335"/>
      <c r="P123" s="335"/>
      <c r="Q123" s="335"/>
      <c r="R123" s="335"/>
      <c r="S123" s="335"/>
      <c r="T123" s="335"/>
      <c r="U123" s="335"/>
      <c r="V123" s="335"/>
      <c r="W123" s="335"/>
    </row>
    <row r="124" spans="5:23" x14ac:dyDescent="0.2">
      <c r="E124" s="335"/>
      <c r="F124" s="335"/>
      <c r="G124" s="335"/>
      <c r="H124" s="335"/>
      <c r="I124" s="335"/>
      <c r="J124" s="335"/>
      <c r="K124" s="335"/>
      <c r="L124" s="335"/>
      <c r="M124" s="335"/>
      <c r="N124" s="335"/>
      <c r="O124" s="335"/>
      <c r="P124" s="335"/>
      <c r="Q124" s="335"/>
      <c r="R124" s="335"/>
      <c r="S124" s="335"/>
      <c r="T124" s="335"/>
      <c r="U124" s="335"/>
      <c r="V124" s="335"/>
      <c r="W124" s="335"/>
    </row>
    <row r="125" spans="5:23" x14ac:dyDescent="0.2">
      <c r="E125" s="335"/>
      <c r="F125" s="335"/>
      <c r="G125" s="335"/>
      <c r="H125" s="335"/>
      <c r="I125" s="335"/>
      <c r="J125" s="335"/>
      <c r="K125" s="335"/>
      <c r="L125" s="335"/>
      <c r="M125" s="335"/>
      <c r="N125" s="335"/>
      <c r="O125" s="335"/>
      <c r="P125" s="335"/>
      <c r="Q125" s="335"/>
      <c r="R125" s="335"/>
      <c r="S125" s="335"/>
      <c r="T125" s="335"/>
      <c r="U125" s="335"/>
      <c r="V125" s="335"/>
      <c r="W125" s="335"/>
    </row>
    <row r="126" spans="5:23" x14ac:dyDescent="0.2">
      <c r="E126" s="335"/>
      <c r="F126" s="335"/>
      <c r="G126" s="335"/>
      <c r="H126" s="335"/>
      <c r="I126" s="335"/>
      <c r="J126" s="335"/>
      <c r="K126" s="335"/>
      <c r="L126" s="335"/>
      <c r="M126" s="335"/>
      <c r="N126" s="335"/>
      <c r="O126" s="335"/>
      <c r="P126" s="335"/>
      <c r="Q126" s="335"/>
      <c r="R126" s="335"/>
      <c r="S126" s="335"/>
      <c r="T126" s="335"/>
      <c r="U126" s="335"/>
      <c r="V126" s="335"/>
      <c r="W126" s="335"/>
    </row>
    <row r="127" spans="5:23" x14ac:dyDescent="0.2">
      <c r="E127" s="335"/>
      <c r="F127" s="335"/>
      <c r="G127" s="335"/>
      <c r="H127" s="335"/>
      <c r="I127" s="335"/>
      <c r="J127" s="335"/>
      <c r="K127" s="335"/>
      <c r="L127" s="335"/>
      <c r="M127" s="335"/>
      <c r="N127" s="335"/>
      <c r="O127" s="335"/>
      <c r="P127" s="335"/>
      <c r="Q127" s="335"/>
      <c r="R127" s="335"/>
      <c r="S127" s="335"/>
      <c r="T127" s="335"/>
      <c r="U127" s="335"/>
      <c r="V127" s="335"/>
      <c r="W127" s="335"/>
    </row>
    <row r="128" spans="5:23" x14ac:dyDescent="0.2">
      <c r="E128" s="335"/>
      <c r="F128" s="335"/>
      <c r="G128" s="335"/>
      <c r="H128" s="335"/>
      <c r="I128" s="335"/>
      <c r="J128" s="335"/>
      <c r="K128" s="335"/>
      <c r="L128" s="335"/>
      <c r="M128" s="335"/>
      <c r="N128" s="335"/>
      <c r="O128" s="335"/>
      <c r="P128" s="335"/>
      <c r="Q128" s="335"/>
      <c r="R128" s="335"/>
      <c r="S128" s="335"/>
      <c r="T128" s="335"/>
      <c r="U128" s="335"/>
      <c r="V128" s="335"/>
      <c r="W128" s="335"/>
    </row>
    <row r="129" spans="5:23" x14ac:dyDescent="0.2">
      <c r="E129" s="335"/>
      <c r="F129" s="335"/>
      <c r="G129" s="335"/>
      <c r="H129" s="335"/>
      <c r="I129" s="335"/>
      <c r="J129" s="335"/>
      <c r="K129" s="335"/>
      <c r="L129" s="335"/>
      <c r="M129" s="335"/>
      <c r="N129" s="335"/>
      <c r="O129" s="335"/>
      <c r="P129" s="335"/>
      <c r="Q129" s="335"/>
      <c r="R129" s="335"/>
      <c r="S129" s="335"/>
      <c r="T129" s="335"/>
      <c r="U129" s="335"/>
      <c r="V129" s="335"/>
      <c r="W129" s="335"/>
    </row>
    <row r="130" spans="5:23" x14ac:dyDescent="0.2">
      <c r="E130" s="335"/>
      <c r="F130" s="335"/>
      <c r="G130" s="335"/>
      <c r="H130" s="335"/>
      <c r="I130" s="335"/>
      <c r="J130" s="335"/>
      <c r="K130" s="335"/>
      <c r="L130" s="335"/>
      <c r="M130" s="335"/>
      <c r="N130" s="335"/>
      <c r="O130" s="335"/>
      <c r="P130" s="335"/>
      <c r="Q130" s="335"/>
      <c r="R130" s="335"/>
      <c r="S130" s="335"/>
      <c r="T130" s="335"/>
      <c r="U130" s="335"/>
      <c r="V130" s="335"/>
      <c r="W130" s="335"/>
    </row>
    <row r="131" spans="5:23" x14ac:dyDescent="0.2">
      <c r="E131" s="335"/>
      <c r="F131" s="335"/>
      <c r="G131" s="335"/>
      <c r="H131" s="335"/>
      <c r="I131" s="335"/>
      <c r="J131" s="335"/>
      <c r="K131" s="335"/>
      <c r="L131" s="335"/>
      <c r="M131" s="335"/>
      <c r="N131" s="335"/>
      <c r="O131" s="335"/>
      <c r="P131" s="335"/>
      <c r="Q131" s="335"/>
      <c r="R131" s="335"/>
      <c r="S131" s="335"/>
      <c r="T131" s="335"/>
      <c r="U131" s="335"/>
      <c r="V131" s="335"/>
      <c r="W131" s="335"/>
    </row>
    <row r="132" spans="5:23" x14ac:dyDescent="0.2">
      <c r="E132" s="335"/>
      <c r="F132" s="335"/>
      <c r="G132" s="335"/>
      <c r="H132" s="335"/>
      <c r="I132" s="335"/>
      <c r="J132" s="335"/>
      <c r="K132" s="335"/>
      <c r="L132" s="335"/>
      <c r="M132" s="335"/>
      <c r="N132" s="335"/>
      <c r="O132" s="335"/>
      <c r="P132" s="335"/>
      <c r="Q132" s="335"/>
      <c r="R132" s="335"/>
      <c r="S132" s="335"/>
      <c r="T132" s="335"/>
      <c r="U132" s="335"/>
      <c r="V132" s="335"/>
      <c r="W132" s="335"/>
    </row>
    <row r="133" spans="5:23" x14ac:dyDescent="0.2">
      <c r="E133" s="335"/>
      <c r="F133" s="335"/>
      <c r="G133" s="335"/>
      <c r="H133" s="335"/>
      <c r="I133" s="335"/>
      <c r="J133" s="335"/>
      <c r="K133" s="335"/>
      <c r="L133" s="335"/>
      <c r="M133" s="335"/>
      <c r="N133" s="335"/>
      <c r="O133" s="335"/>
      <c r="P133" s="335"/>
      <c r="Q133" s="335"/>
      <c r="R133" s="335"/>
      <c r="S133" s="335"/>
      <c r="T133" s="335"/>
      <c r="U133" s="335"/>
      <c r="V133" s="335"/>
      <c r="W133" s="335"/>
    </row>
    <row r="134" spans="5:23" x14ac:dyDescent="0.2">
      <c r="E134" s="335"/>
      <c r="F134" s="335"/>
      <c r="G134" s="335"/>
      <c r="H134" s="335"/>
      <c r="I134" s="335"/>
      <c r="J134" s="335"/>
      <c r="K134" s="335"/>
      <c r="L134" s="335"/>
      <c r="M134" s="335"/>
      <c r="N134" s="335"/>
      <c r="O134" s="335"/>
      <c r="P134" s="335"/>
      <c r="Q134" s="335"/>
      <c r="R134" s="335"/>
      <c r="S134" s="335"/>
      <c r="T134" s="335"/>
      <c r="U134" s="335"/>
      <c r="V134" s="335"/>
      <c r="W134" s="335"/>
    </row>
    <row r="135" spans="5:23" x14ac:dyDescent="0.2">
      <c r="E135" s="335"/>
      <c r="F135" s="335"/>
      <c r="G135" s="335"/>
      <c r="H135" s="335"/>
      <c r="I135" s="335"/>
      <c r="J135" s="335"/>
      <c r="K135" s="335"/>
      <c r="L135" s="335"/>
      <c r="M135" s="335"/>
      <c r="N135" s="335"/>
      <c r="O135" s="335"/>
      <c r="P135" s="335"/>
      <c r="Q135" s="335"/>
      <c r="R135" s="335"/>
      <c r="S135" s="335"/>
      <c r="T135" s="335"/>
      <c r="U135" s="335"/>
      <c r="V135" s="335"/>
      <c r="W135" s="335"/>
    </row>
    <row r="136" spans="5:23" x14ac:dyDescent="0.2">
      <c r="E136" s="335"/>
      <c r="F136" s="335"/>
      <c r="G136" s="335"/>
      <c r="H136" s="335"/>
      <c r="I136" s="335"/>
      <c r="J136" s="335"/>
      <c r="K136" s="335"/>
      <c r="L136" s="335"/>
      <c r="M136" s="335"/>
      <c r="N136" s="335"/>
      <c r="O136" s="335"/>
      <c r="P136" s="335"/>
      <c r="Q136" s="335"/>
      <c r="R136" s="335"/>
      <c r="S136" s="335"/>
      <c r="T136" s="335"/>
      <c r="U136" s="335"/>
      <c r="V136" s="335"/>
      <c r="W136" s="335"/>
    </row>
    <row r="137" spans="5:23" x14ac:dyDescent="0.2">
      <c r="E137" s="335"/>
      <c r="F137" s="335"/>
      <c r="G137" s="335"/>
      <c r="H137" s="335"/>
      <c r="I137" s="335"/>
      <c r="J137" s="335"/>
      <c r="K137" s="335"/>
      <c r="L137" s="335"/>
      <c r="M137" s="335"/>
      <c r="N137" s="335"/>
      <c r="O137" s="335"/>
      <c r="P137" s="335"/>
      <c r="Q137" s="335"/>
      <c r="R137" s="335"/>
      <c r="S137" s="335"/>
      <c r="T137" s="335"/>
      <c r="U137" s="335"/>
      <c r="V137" s="335"/>
      <c r="W137" s="335"/>
    </row>
    <row r="138" spans="5:23" x14ac:dyDescent="0.2">
      <c r="E138" s="335"/>
      <c r="F138" s="335"/>
      <c r="G138" s="335"/>
      <c r="H138" s="335"/>
      <c r="I138" s="335"/>
      <c r="J138" s="335"/>
      <c r="K138" s="335"/>
      <c r="L138" s="335"/>
      <c r="M138" s="335"/>
      <c r="N138" s="335"/>
      <c r="O138" s="335"/>
      <c r="P138" s="335"/>
      <c r="Q138" s="335"/>
      <c r="R138" s="335"/>
      <c r="S138" s="335"/>
      <c r="T138" s="335"/>
      <c r="U138" s="335"/>
      <c r="V138" s="335"/>
      <c r="W138" s="335"/>
    </row>
    <row r="139" spans="5:23" x14ac:dyDescent="0.2">
      <c r="E139" s="335"/>
      <c r="F139" s="335"/>
      <c r="G139" s="335"/>
      <c r="H139" s="335"/>
      <c r="I139" s="335"/>
      <c r="J139" s="335"/>
      <c r="K139" s="335"/>
      <c r="L139" s="335"/>
      <c r="M139" s="335"/>
      <c r="N139" s="335"/>
      <c r="O139" s="335"/>
      <c r="P139" s="335"/>
      <c r="Q139" s="335"/>
      <c r="R139" s="335"/>
      <c r="S139" s="335"/>
      <c r="T139" s="335"/>
      <c r="U139" s="335"/>
      <c r="V139" s="335"/>
      <c r="W139" s="335"/>
    </row>
    <row r="140" spans="5:23" x14ac:dyDescent="0.2">
      <c r="E140" s="335"/>
      <c r="F140" s="335"/>
      <c r="G140" s="335"/>
      <c r="H140" s="335"/>
      <c r="I140" s="335"/>
      <c r="J140" s="335"/>
      <c r="K140" s="335"/>
      <c r="L140" s="335"/>
      <c r="M140" s="335"/>
      <c r="N140" s="335"/>
      <c r="O140" s="335"/>
      <c r="P140" s="335"/>
      <c r="Q140" s="335"/>
      <c r="R140" s="335"/>
      <c r="S140" s="335"/>
      <c r="T140" s="335"/>
      <c r="U140" s="335"/>
      <c r="V140" s="335"/>
      <c r="W140" s="335"/>
    </row>
    <row r="141" spans="5:23" x14ac:dyDescent="0.2">
      <c r="E141" s="335"/>
      <c r="F141" s="335"/>
      <c r="G141" s="335"/>
      <c r="H141" s="335"/>
      <c r="I141" s="335"/>
      <c r="J141" s="335"/>
      <c r="K141" s="335"/>
      <c r="L141" s="335"/>
      <c r="M141" s="335"/>
      <c r="N141" s="335"/>
      <c r="O141" s="335"/>
      <c r="P141" s="335"/>
      <c r="Q141" s="335"/>
      <c r="R141" s="335"/>
      <c r="S141" s="335"/>
      <c r="T141" s="335"/>
      <c r="U141" s="335"/>
      <c r="V141" s="335"/>
      <c r="W141" s="335"/>
    </row>
    <row r="142" spans="5:23" x14ac:dyDescent="0.2">
      <c r="E142" s="335"/>
      <c r="F142" s="335"/>
      <c r="G142" s="335"/>
      <c r="H142" s="335"/>
      <c r="I142" s="335"/>
      <c r="J142" s="335"/>
      <c r="K142" s="335"/>
      <c r="L142" s="335"/>
      <c r="M142" s="335"/>
      <c r="N142" s="335"/>
      <c r="O142" s="335"/>
      <c r="P142" s="335"/>
      <c r="Q142" s="335"/>
      <c r="R142" s="335"/>
      <c r="S142" s="335"/>
      <c r="T142" s="335"/>
      <c r="U142" s="335"/>
      <c r="V142" s="335"/>
      <c r="W142" s="335"/>
    </row>
    <row r="143" spans="5:23" x14ac:dyDescent="0.2">
      <c r="E143" s="335"/>
      <c r="F143" s="335"/>
      <c r="G143" s="335"/>
      <c r="H143" s="335"/>
      <c r="I143" s="335"/>
      <c r="J143" s="335"/>
      <c r="K143" s="335"/>
      <c r="L143" s="335"/>
      <c r="M143" s="335"/>
      <c r="N143" s="335"/>
      <c r="O143" s="335"/>
      <c r="P143" s="335"/>
      <c r="Q143" s="335"/>
      <c r="R143" s="335"/>
      <c r="S143" s="335"/>
      <c r="T143" s="335"/>
      <c r="U143" s="335"/>
      <c r="V143" s="335"/>
      <c r="W143" s="335"/>
    </row>
    <row r="144" spans="5:23" x14ac:dyDescent="0.2">
      <c r="E144" s="335"/>
      <c r="F144" s="335"/>
      <c r="G144" s="335"/>
      <c r="H144" s="335"/>
      <c r="I144" s="335"/>
      <c r="J144" s="335"/>
      <c r="K144" s="335"/>
      <c r="L144" s="335"/>
      <c r="M144" s="335"/>
      <c r="N144" s="335"/>
      <c r="O144" s="335"/>
      <c r="P144" s="335"/>
      <c r="Q144" s="335"/>
      <c r="R144" s="335"/>
      <c r="S144" s="335"/>
      <c r="T144" s="335"/>
      <c r="U144" s="335"/>
      <c r="V144" s="335"/>
      <c r="W144" s="335"/>
    </row>
    <row r="145" spans="5:23" x14ac:dyDescent="0.2">
      <c r="E145" s="335"/>
      <c r="F145" s="335"/>
      <c r="G145" s="335"/>
      <c r="H145" s="335"/>
      <c r="I145" s="335"/>
      <c r="J145" s="335"/>
      <c r="K145" s="335"/>
      <c r="L145" s="335"/>
      <c r="M145" s="335"/>
      <c r="N145" s="335"/>
      <c r="O145" s="335"/>
      <c r="P145" s="335"/>
      <c r="Q145" s="335"/>
      <c r="R145" s="335"/>
      <c r="S145" s="335"/>
      <c r="T145" s="335"/>
      <c r="U145" s="335"/>
      <c r="V145" s="335"/>
      <c r="W145" s="335"/>
    </row>
    <row r="146" spans="5:23" x14ac:dyDescent="0.2">
      <c r="E146" s="335"/>
      <c r="F146" s="335"/>
      <c r="G146" s="335"/>
      <c r="H146" s="335"/>
      <c r="I146" s="335"/>
      <c r="J146" s="335"/>
      <c r="K146" s="335"/>
      <c r="L146" s="335"/>
      <c r="M146" s="335"/>
      <c r="N146" s="335"/>
      <c r="O146" s="335"/>
      <c r="P146" s="335"/>
      <c r="Q146" s="335"/>
      <c r="R146" s="335"/>
      <c r="S146" s="335"/>
      <c r="T146" s="335"/>
      <c r="U146" s="335"/>
      <c r="V146" s="335"/>
      <c r="W146" s="335"/>
    </row>
    <row r="147" spans="5:23" x14ac:dyDescent="0.2">
      <c r="E147" s="335"/>
      <c r="F147" s="335"/>
      <c r="G147" s="335"/>
      <c r="H147" s="335"/>
      <c r="I147" s="335"/>
      <c r="J147" s="335"/>
      <c r="K147" s="335"/>
      <c r="L147" s="335"/>
      <c r="M147" s="335"/>
      <c r="N147" s="335"/>
      <c r="O147" s="335"/>
      <c r="P147" s="335"/>
      <c r="Q147" s="335"/>
      <c r="R147" s="335"/>
      <c r="S147" s="335"/>
      <c r="T147" s="335"/>
      <c r="U147" s="335"/>
      <c r="V147" s="335"/>
      <c r="W147" s="335"/>
    </row>
    <row r="148" spans="5:23" x14ac:dyDescent="0.2">
      <c r="E148" s="335"/>
      <c r="F148" s="335"/>
      <c r="G148" s="335"/>
      <c r="H148" s="335"/>
      <c r="I148" s="335"/>
      <c r="J148" s="335"/>
      <c r="K148" s="335"/>
      <c r="L148" s="335"/>
      <c r="M148" s="335"/>
      <c r="N148" s="335"/>
      <c r="O148" s="335"/>
      <c r="P148" s="335"/>
      <c r="Q148" s="335"/>
      <c r="R148" s="335"/>
      <c r="S148" s="335"/>
      <c r="T148" s="335"/>
      <c r="U148" s="335"/>
      <c r="V148" s="335"/>
      <c r="W148" s="335"/>
    </row>
    <row r="149" spans="5:23" x14ac:dyDescent="0.2">
      <c r="E149" s="335"/>
      <c r="F149" s="335"/>
      <c r="G149" s="335"/>
      <c r="H149" s="335"/>
      <c r="I149" s="335"/>
      <c r="J149" s="335"/>
      <c r="K149" s="335"/>
      <c r="L149" s="335"/>
      <c r="M149" s="335"/>
      <c r="N149" s="335"/>
      <c r="O149" s="335"/>
      <c r="P149" s="335"/>
      <c r="Q149" s="335"/>
      <c r="R149" s="335"/>
      <c r="S149" s="335"/>
      <c r="T149" s="335"/>
      <c r="U149" s="335"/>
      <c r="V149" s="335"/>
      <c r="W149" s="335"/>
    </row>
    <row r="150" spans="5:23" x14ac:dyDescent="0.2">
      <c r="E150" s="335"/>
      <c r="F150" s="335"/>
      <c r="G150" s="335"/>
      <c r="H150" s="335"/>
      <c r="I150" s="335"/>
      <c r="J150" s="335"/>
      <c r="K150" s="335"/>
      <c r="L150" s="335"/>
      <c r="M150" s="335"/>
      <c r="N150" s="335"/>
      <c r="O150" s="335"/>
      <c r="P150" s="335"/>
      <c r="Q150" s="335"/>
      <c r="R150" s="335"/>
      <c r="S150" s="335"/>
      <c r="T150" s="335"/>
      <c r="U150" s="335"/>
      <c r="V150" s="335"/>
      <c r="W150" s="335"/>
    </row>
    <row r="151" spans="5:23" x14ac:dyDescent="0.2">
      <c r="E151" s="335"/>
      <c r="F151" s="335"/>
      <c r="G151" s="335"/>
      <c r="H151" s="335"/>
      <c r="I151" s="335"/>
      <c r="J151" s="335"/>
      <c r="K151" s="335"/>
      <c r="L151" s="335"/>
      <c r="M151" s="335"/>
      <c r="N151" s="335"/>
      <c r="O151" s="335"/>
      <c r="P151" s="335"/>
      <c r="Q151" s="335"/>
      <c r="R151" s="335"/>
      <c r="S151" s="335"/>
      <c r="T151" s="335"/>
      <c r="U151" s="335"/>
      <c r="V151" s="335"/>
      <c r="W151" s="335"/>
    </row>
    <row r="152" spans="5:23" x14ac:dyDescent="0.2">
      <c r="E152" s="335"/>
      <c r="F152" s="335"/>
      <c r="G152" s="335"/>
      <c r="H152" s="335"/>
      <c r="I152" s="335"/>
      <c r="J152" s="335"/>
      <c r="K152" s="335"/>
      <c r="L152" s="335"/>
      <c r="M152" s="335"/>
      <c r="N152" s="335"/>
      <c r="O152" s="335"/>
      <c r="P152" s="335"/>
      <c r="Q152" s="335"/>
      <c r="R152" s="335"/>
      <c r="S152" s="335"/>
      <c r="T152" s="335"/>
      <c r="U152" s="335"/>
      <c r="V152" s="335"/>
      <c r="W152" s="335"/>
    </row>
    <row r="153" spans="5:23" x14ac:dyDescent="0.2">
      <c r="E153" s="335"/>
      <c r="F153" s="335"/>
      <c r="G153" s="335"/>
      <c r="H153" s="335"/>
      <c r="I153" s="335"/>
      <c r="J153" s="335"/>
      <c r="K153" s="335"/>
      <c r="L153" s="335"/>
      <c r="M153" s="335"/>
      <c r="N153" s="335"/>
      <c r="O153" s="335"/>
      <c r="P153" s="335"/>
      <c r="Q153" s="335"/>
      <c r="R153" s="335"/>
      <c r="S153" s="335"/>
      <c r="T153" s="335"/>
      <c r="U153" s="335"/>
      <c r="V153" s="335"/>
      <c r="W153" s="335"/>
    </row>
    <row r="154" spans="5:23" x14ac:dyDescent="0.2">
      <c r="E154" s="335"/>
      <c r="F154" s="335"/>
      <c r="G154" s="335"/>
      <c r="H154" s="335"/>
      <c r="I154" s="335"/>
      <c r="J154" s="335"/>
      <c r="K154" s="335"/>
      <c r="L154" s="335"/>
      <c r="M154" s="335"/>
      <c r="N154" s="335"/>
      <c r="O154" s="335"/>
      <c r="P154" s="335"/>
      <c r="Q154" s="335"/>
      <c r="R154" s="335"/>
      <c r="S154" s="335"/>
      <c r="T154" s="335"/>
      <c r="U154" s="335"/>
      <c r="V154" s="335"/>
      <c r="W154" s="335"/>
    </row>
    <row r="155" spans="5:23" x14ac:dyDescent="0.2">
      <c r="E155" s="335"/>
      <c r="F155" s="335"/>
      <c r="G155" s="335"/>
      <c r="H155" s="335"/>
      <c r="I155" s="335"/>
      <c r="J155" s="335"/>
      <c r="K155" s="335"/>
      <c r="L155" s="335"/>
      <c r="M155" s="335"/>
      <c r="N155" s="335"/>
      <c r="O155" s="335"/>
      <c r="P155" s="335"/>
      <c r="Q155" s="335"/>
      <c r="R155" s="335"/>
      <c r="S155" s="335"/>
      <c r="T155" s="335"/>
      <c r="U155" s="335"/>
      <c r="V155" s="335"/>
      <c r="W155" s="335"/>
    </row>
    <row r="156" spans="5:23" x14ac:dyDescent="0.2">
      <c r="E156" s="335"/>
      <c r="F156" s="335"/>
      <c r="G156" s="335"/>
      <c r="H156" s="335"/>
      <c r="I156" s="335"/>
      <c r="J156" s="335"/>
      <c r="K156" s="335"/>
      <c r="L156" s="335"/>
      <c r="M156" s="335"/>
      <c r="N156" s="335"/>
      <c r="O156" s="335"/>
      <c r="P156" s="335"/>
      <c r="Q156" s="335"/>
      <c r="R156" s="335"/>
      <c r="S156" s="335"/>
      <c r="T156" s="335"/>
      <c r="U156" s="335"/>
      <c r="V156" s="335"/>
      <c r="W156" s="335"/>
    </row>
    <row r="157" spans="5:23" x14ac:dyDescent="0.2">
      <c r="E157" s="335"/>
      <c r="F157" s="335"/>
      <c r="G157" s="335"/>
      <c r="H157" s="335"/>
      <c r="I157" s="335"/>
      <c r="J157" s="335"/>
      <c r="K157" s="335"/>
      <c r="L157" s="335"/>
      <c r="M157" s="335"/>
      <c r="N157" s="335"/>
      <c r="O157" s="335"/>
      <c r="P157" s="335"/>
      <c r="Q157" s="335"/>
      <c r="R157" s="335"/>
      <c r="S157" s="335"/>
      <c r="T157" s="335"/>
      <c r="U157" s="335"/>
      <c r="V157" s="335"/>
      <c r="W157" s="335"/>
    </row>
    <row r="158" spans="5:23" x14ac:dyDescent="0.2">
      <c r="E158" s="335"/>
      <c r="F158" s="335"/>
      <c r="G158" s="335"/>
      <c r="H158" s="335"/>
      <c r="I158" s="335"/>
      <c r="J158" s="335"/>
      <c r="K158" s="335"/>
      <c r="L158" s="335"/>
      <c r="M158" s="335"/>
      <c r="N158" s="335"/>
      <c r="O158" s="335"/>
      <c r="P158" s="335"/>
      <c r="Q158" s="335"/>
      <c r="R158" s="335"/>
      <c r="S158" s="335"/>
      <c r="T158" s="335"/>
      <c r="U158" s="335"/>
      <c r="V158" s="335"/>
      <c r="W158" s="335"/>
    </row>
    <row r="159" spans="5:23" x14ac:dyDescent="0.2">
      <c r="E159" s="335"/>
      <c r="F159" s="335"/>
      <c r="G159" s="335"/>
      <c r="H159" s="335"/>
      <c r="I159" s="335"/>
      <c r="J159" s="335"/>
      <c r="K159" s="335"/>
      <c r="L159" s="335"/>
      <c r="M159" s="335"/>
      <c r="N159" s="335"/>
      <c r="O159" s="335"/>
      <c r="P159" s="335"/>
      <c r="Q159" s="335"/>
      <c r="R159" s="335"/>
      <c r="S159" s="335"/>
      <c r="T159" s="335"/>
      <c r="U159" s="335"/>
      <c r="V159" s="335"/>
      <c r="W159" s="335"/>
    </row>
    <row r="160" spans="5:23" x14ac:dyDescent="0.2">
      <c r="E160" s="335"/>
      <c r="F160" s="335"/>
      <c r="G160" s="335"/>
      <c r="H160" s="335"/>
      <c r="I160" s="335"/>
      <c r="J160" s="335"/>
      <c r="K160" s="335"/>
      <c r="L160" s="335"/>
      <c r="M160" s="335"/>
      <c r="N160" s="335"/>
      <c r="O160" s="335"/>
      <c r="P160" s="335"/>
      <c r="Q160" s="335"/>
      <c r="R160" s="335"/>
      <c r="S160" s="335"/>
      <c r="T160" s="335"/>
      <c r="U160" s="335"/>
      <c r="V160" s="335"/>
      <c r="W160" s="335"/>
    </row>
    <row r="161" spans="5:23" x14ac:dyDescent="0.2">
      <c r="E161" s="335"/>
      <c r="F161" s="335"/>
      <c r="G161" s="335"/>
      <c r="H161" s="335"/>
      <c r="I161" s="335"/>
      <c r="J161" s="335"/>
      <c r="K161" s="335"/>
      <c r="L161" s="335"/>
      <c r="M161" s="335"/>
      <c r="N161" s="335"/>
      <c r="O161" s="335"/>
      <c r="P161" s="335"/>
      <c r="Q161" s="335"/>
      <c r="R161" s="335"/>
      <c r="S161" s="335"/>
      <c r="T161" s="335"/>
      <c r="U161" s="335"/>
      <c r="V161" s="335"/>
      <c r="W161" s="335"/>
    </row>
    <row r="162" spans="5:23" x14ac:dyDescent="0.2">
      <c r="E162" s="335"/>
      <c r="F162" s="335"/>
      <c r="G162" s="335"/>
      <c r="H162" s="335"/>
      <c r="I162" s="335"/>
      <c r="J162" s="335"/>
      <c r="K162" s="335"/>
      <c r="L162" s="335"/>
      <c r="M162" s="335"/>
      <c r="N162" s="335"/>
      <c r="O162" s="335"/>
      <c r="P162" s="335"/>
      <c r="Q162" s="335"/>
      <c r="R162" s="335"/>
      <c r="S162" s="335"/>
      <c r="T162" s="335"/>
      <c r="U162" s="335"/>
      <c r="V162" s="335"/>
      <c r="W162" s="335"/>
    </row>
    <row r="163" spans="5:23" x14ac:dyDescent="0.2">
      <c r="E163" s="335"/>
      <c r="F163" s="335"/>
      <c r="G163" s="335"/>
      <c r="H163" s="335"/>
      <c r="I163" s="335"/>
      <c r="J163" s="335"/>
      <c r="K163" s="335"/>
      <c r="L163" s="335"/>
      <c r="M163" s="335"/>
      <c r="N163" s="335"/>
      <c r="O163" s="335"/>
      <c r="P163" s="335"/>
      <c r="Q163" s="335"/>
      <c r="R163" s="335"/>
      <c r="S163" s="335"/>
      <c r="T163" s="335"/>
      <c r="U163" s="335"/>
      <c r="V163" s="335"/>
      <c r="W163" s="335"/>
    </row>
    <row r="164" spans="5:23" x14ac:dyDescent="0.2">
      <c r="E164" s="335"/>
      <c r="F164" s="335"/>
      <c r="G164" s="335"/>
      <c r="H164" s="335"/>
      <c r="I164" s="335"/>
      <c r="J164" s="335"/>
      <c r="K164" s="335"/>
      <c r="L164" s="335"/>
      <c r="M164" s="335"/>
      <c r="N164" s="335"/>
      <c r="O164" s="335"/>
      <c r="P164" s="335"/>
      <c r="Q164" s="335"/>
      <c r="R164" s="335"/>
      <c r="S164" s="335"/>
      <c r="T164" s="335"/>
      <c r="U164" s="335"/>
      <c r="V164" s="335"/>
      <c r="W164" s="335"/>
    </row>
    <row r="165" spans="5:23" x14ac:dyDescent="0.2">
      <c r="E165" s="335"/>
      <c r="F165" s="335"/>
      <c r="G165" s="335"/>
      <c r="H165" s="335"/>
      <c r="I165" s="335"/>
      <c r="J165" s="335"/>
      <c r="K165" s="335"/>
      <c r="L165" s="335"/>
      <c r="M165" s="335"/>
      <c r="N165" s="335"/>
      <c r="O165" s="335"/>
      <c r="P165" s="335"/>
      <c r="Q165" s="335"/>
      <c r="R165" s="335"/>
      <c r="S165" s="335"/>
      <c r="T165" s="335"/>
      <c r="U165" s="335"/>
      <c r="V165" s="335"/>
      <c r="W165" s="335"/>
    </row>
    <row r="166" spans="5:23" x14ac:dyDescent="0.2">
      <c r="E166" s="335"/>
      <c r="F166" s="335"/>
      <c r="G166" s="335"/>
      <c r="H166" s="335"/>
      <c r="I166" s="335"/>
      <c r="J166" s="335"/>
      <c r="K166" s="335"/>
      <c r="L166" s="335"/>
      <c r="M166" s="335"/>
      <c r="N166" s="335"/>
      <c r="O166" s="335"/>
      <c r="P166" s="335"/>
      <c r="Q166" s="335"/>
      <c r="R166" s="335"/>
      <c r="S166" s="335"/>
      <c r="T166" s="335"/>
      <c r="U166" s="335"/>
      <c r="V166" s="335"/>
      <c r="W166" s="335"/>
    </row>
    <row r="167" spans="5:23" x14ac:dyDescent="0.2">
      <c r="E167" s="335"/>
      <c r="F167" s="335"/>
      <c r="G167" s="335"/>
      <c r="H167" s="335"/>
      <c r="I167" s="335"/>
      <c r="J167" s="335"/>
      <c r="K167" s="335"/>
      <c r="L167" s="335"/>
      <c r="M167" s="335"/>
      <c r="N167" s="335"/>
      <c r="O167" s="335"/>
      <c r="P167" s="335"/>
      <c r="Q167" s="335"/>
      <c r="R167" s="335"/>
      <c r="S167" s="335"/>
      <c r="T167" s="335"/>
      <c r="U167" s="335"/>
      <c r="V167" s="335"/>
      <c r="W167" s="335"/>
    </row>
    <row r="168" spans="5:23" x14ac:dyDescent="0.2">
      <c r="E168" s="335"/>
      <c r="F168" s="335"/>
      <c r="G168" s="335"/>
      <c r="H168" s="335"/>
      <c r="I168" s="335"/>
      <c r="J168" s="335"/>
      <c r="K168" s="335"/>
      <c r="L168" s="335"/>
      <c r="M168" s="335"/>
      <c r="N168" s="335"/>
      <c r="O168" s="335"/>
      <c r="P168" s="335"/>
      <c r="Q168" s="335"/>
      <c r="R168" s="335"/>
      <c r="S168" s="335"/>
      <c r="T168" s="335"/>
      <c r="U168" s="335"/>
      <c r="V168" s="335"/>
      <c r="W168" s="335"/>
    </row>
    <row r="169" spans="5:23" x14ac:dyDescent="0.2">
      <c r="E169" s="335"/>
      <c r="F169" s="335"/>
      <c r="G169" s="335"/>
      <c r="H169" s="335"/>
      <c r="I169" s="335"/>
      <c r="J169" s="335"/>
      <c r="K169" s="335"/>
      <c r="L169" s="335"/>
      <c r="M169" s="335"/>
      <c r="N169" s="335"/>
      <c r="O169" s="335"/>
      <c r="P169" s="335"/>
      <c r="Q169" s="335"/>
      <c r="R169" s="335"/>
      <c r="S169" s="335"/>
      <c r="T169" s="335"/>
      <c r="U169" s="335"/>
      <c r="V169" s="335"/>
      <c r="W169" s="335"/>
    </row>
    <row r="170" spans="5:23" x14ac:dyDescent="0.2">
      <c r="E170" s="335"/>
      <c r="F170" s="335"/>
      <c r="G170" s="335"/>
      <c r="H170" s="335"/>
      <c r="I170" s="335"/>
      <c r="J170" s="335"/>
      <c r="K170" s="335"/>
      <c r="L170" s="335"/>
      <c r="M170" s="335"/>
      <c r="N170" s="335"/>
      <c r="O170" s="335"/>
      <c r="P170" s="335"/>
      <c r="Q170" s="335"/>
      <c r="R170" s="335"/>
      <c r="S170" s="335"/>
      <c r="T170" s="335"/>
      <c r="U170" s="335"/>
      <c r="V170" s="335"/>
      <c r="W170" s="335"/>
    </row>
    <row r="171" spans="5:23" x14ac:dyDescent="0.2">
      <c r="E171" s="335"/>
      <c r="F171" s="335"/>
      <c r="G171" s="335"/>
      <c r="H171" s="335"/>
      <c r="I171" s="335"/>
      <c r="J171" s="335"/>
      <c r="K171" s="335"/>
      <c r="L171" s="335"/>
      <c r="M171" s="335"/>
      <c r="N171" s="335"/>
      <c r="O171" s="335"/>
      <c r="P171" s="335"/>
      <c r="Q171" s="335"/>
      <c r="R171" s="335"/>
      <c r="S171" s="335"/>
      <c r="T171" s="335"/>
      <c r="U171" s="335"/>
      <c r="V171" s="335"/>
      <c r="W171" s="335"/>
    </row>
    <row r="172" spans="5:23" x14ac:dyDescent="0.2">
      <c r="E172" s="335"/>
      <c r="F172" s="335"/>
      <c r="G172" s="335"/>
      <c r="H172" s="335"/>
      <c r="I172" s="335"/>
      <c r="J172" s="335"/>
      <c r="K172" s="335"/>
      <c r="L172" s="335"/>
      <c r="M172" s="335"/>
      <c r="N172" s="335"/>
      <c r="O172" s="335"/>
      <c r="P172" s="335"/>
      <c r="Q172" s="335"/>
      <c r="R172" s="335"/>
      <c r="S172" s="335"/>
      <c r="T172" s="335"/>
      <c r="U172" s="335"/>
      <c r="V172" s="335"/>
      <c r="W172" s="335"/>
    </row>
    <row r="173" spans="5:23" x14ac:dyDescent="0.2">
      <c r="E173" s="335"/>
      <c r="F173" s="335"/>
      <c r="G173" s="335"/>
      <c r="H173" s="335"/>
      <c r="I173" s="335"/>
      <c r="J173" s="335"/>
      <c r="K173" s="335"/>
      <c r="L173" s="335"/>
      <c r="M173" s="335"/>
      <c r="N173" s="335"/>
      <c r="O173" s="335"/>
      <c r="P173" s="335"/>
      <c r="Q173" s="335"/>
      <c r="R173" s="335"/>
      <c r="S173" s="335"/>
      <c r="T173" s="335"/>
      <c r="U173" s="335"/>
      <c r="V173" s="335"/>
      <c r="W173" s="335"/>
    </row>
    <row r="174" spans="5:23" x14ac:dyDescent="0.2">
      <c r="E174" s="335"/>
      <c r="F174" s="335"/>
      <c r="G174" s="335"/>
      <c r="H174" s="335"/>
      <c r="I174" s="335"/>
      <c r="J174" s="335"/>
      <c r="K174" s="335"/>
      <c r="L174" s="335"/>
      <c r="M174" s="335"/>
      <c r="N174" s="335"/>
      <c r="O174" s="335"/>
      <c r="P174" s="335"/>
      <c r="Q174" s="335"/>
      <c r="R174" s="335"/>
      <c r="S174" s="335"/>
      <c r="T174" s="335"/>
      <c r="U174" s="335"/>
      <c r="V174" s="335"/>
      <c r="W174" s="335"/>
    </row>
    <row r="175" spans="5:23" x14ac:dyDescent="0.2">
      <c r="E175" s="335"/>
      <c r="F175" s="335"/>
      <c r="G175" s="335"/>
      <c r="H175" s="335"/>
      <c r="I175" s="335"/>
      <c r="J175" s="335"/>
      <c r="K175" s="335"/>
      <c r="L175" s="335"/>
      <c r="M175" s="335"/>
      <c r="N175" s="335"/>
      <c r="O175" s="335"/>
      <c r="P175" s="335"/>
      <c r="Q175" s="335"/>
      <c r="R175" s="335"/>
      <c r="S175" s="335"/>
      <c r="T175" s="335"/>
      <c r="U175" s="335"/>
      <c r="V175" s="335"/>
      <c r="W175" s="335"/>
    </row>
    <row r="176" spans="5:23" x14ac:dyDescent="0.2">
      <c r="E176" s="335"/>
      <c r="F176" s="335"/>
      <c r="G176" s="335"/>
      <c r="H176" s="335"/>
      <c r="I176" s="335"/>
      <c r="J176" s="335"/>
      <c r="K176" s="335"/>
      <c r="L176" s="335"/>
      <c r="M176" s="335"/>
      <c r="N176" s="335"/>
      <c r="O176" s="335"/>
      <c r="P176" s="335"/>
      <c r="Q176" s="335"/>
      <c r="R176" s="335"/>
      <c r="S176" s="335"/>
      <c r="T176" s="335"/>
      <c r="U176" s="335"/>
      <c r="V176" s="335"/>
      <c r="W176" s="335"/>
    </row>
    <row r="177" spans="5:23" x14ac:dyDescent="0.2">
      <c r="E177" s="335"/>
      <c r="F177" s="335"/>
      <c r="G177" s="335"/>
      <c r="H177" s="335"/>
      <c r="I177" s="335"/>
      <c r="J177" s="335"/>
      <c r="K177" s="335"/>
      <c r="L177" s="335"/>
      <c r="M177" s="335"/>
      <c r="N177" s="335"/>
      <c r="O177" s="335"/>
      <c r="P177" s="335"/>
      <c r="Q177" s="335"/>
      <c r="R177" s="335"/>
      <c r="S177" s="335"/>
      <c r="T177" s="335"/>
      <c r="U177" s="335"/>
      <c r="V177" s="335"/>
      <c r="W177" s="335"/>
    </row>
    <row r="178" spans="5:23" x14ac:dyDescent="0.2">
      <c r="E178" s="335"/>
      <c r="F178" s="335"/>
      <c r="G178" s="335"/>
      <c r="H178" s="335"/>
      <c r="I178" s="335"/>
      <c r="J178" s="335"/>
      <c r="K178" s="335"/>
      <c r="L178" s="335"/>
      <c r="M178" s="335"/>
      <c r="N178" s="335"/>
      <c r="O178" s="335"/>
      <c r="P178" s="335"/>
      <c r="Q178" s="335"/>
      <c r="R178" s="335"/>
      <c r="S178" s="335"/>
      <c r="T178" s="335"/>
      <c r="U178" s="335"/>
      <c r="V178" s="335"/>
      <c r="W178" s="335"/>
    </row>
    <row r="179" spans="5:23" x14ac:dyDescent="0.2">
      <c r="E179" s="335"/>
      <c r="F179" s="335"/>
      <c r="G179" s="335"/>
      <c r="H179" s="335"/>
      <c r="I179" s="335"/>
      <c r="J179" s="335"/>
      <c r="K179" s="335"/>
      <c r="L179" s="335"/>
      <c r="M179" s="335"/>
      <c r="N179" s="335"/>
      <c r="O179" s="335"/>
      <c r="P179" s="335"/>
      <c r="Q179" s="335"/>
      <c r="R179" s="335"/>
      <c r="S179" s="335"/>
      <c r="T179" s="335"/>
      <c r="U179" s="335"/>
      <c r="V179" s="335"/>
      <c r="W179" s="335"/>
    </row>
    <row r="180" spans="5:23" x14ac:dyDescent="0.2">
      <c r="E180" s="335"/>
      <c r="F180" s="335"/>
      <c r="G180" s="335"/>
      <c r="H180" s="335"/>
      <c r="I180" s="335"/>
      <c r="J180" s="335"/>
      <c r="K180" s="335"/>
      <c r="L180" s="335"/>
      <c r="M180" s="335"/>
      <c r="N180" s="335"/>
      <c r="O180" s="335"/>
      <c r="P180" s="335"/>
      <c r="Q180" s="335"/>
      <c r="R180" s="335"/>
      <c r="S180" s="335"/>
      <c r="T180" s="335"/>
      <c r="U180" s="335"/>
      <c r="V180" s="335"/>
      <c r="W180" s="335"/>
    </row>
    <row r="181" spans="5:23" x14ac:dyDescent="0.2">
      <c r="E181" s="335"/>
      <c r="F181" s="335"/>
      <c r="G181" s="335"/>
      <c r="H181" s="335"/>
      <c r="I181" s="335"/>
      <c r="J181" s="335"/>
      <c r="K181" s="335"/>
      <c r="L181" s="335"/>
      <c r="M181" s="335"/>
      <c r="N181" s="335"/>
      <c r="O181" s="335"/>
      <c r="P181" s="335"/>
      <c r="Q181" s="335"/>
      <c r="R181" s="335"/>
      <c r="S181" s="335"/>
      <c r="T181" s="335"/>
      <c r="U181" s="335"/>
      <c r="V181" s="335"/>
      <c r="W181" s="335"/>
    </row>
    <row r="182" spans="5:23" x14ac:dyDescent="0.2">
      <c r="E182" s="335"/>
      <c r="F182" s="335"/>
      <c r="G182" s="335"/>
      <c r="H182" s="335"/>
      <c r="I182" s="335"/>
      <c r="J182" s="335"/>
      <c r="K182" s="335"/>
      <c r="L182" s="335"/>
      <c r="M182" s="335"/>
      <c r="N182" s="335"/>
      <c r="O182" s="335"/>
      <c r="P182" s="335"/>
      <c r="Q182" s="335"/>
      <c r="R182" s="335"/>
      <c r="S182" s="335"/>
      <c r="T182" s="335"/>
      <c r="U182" s="335"/>
      <c r="V182" s="335"/>
      <c r="W182" s="335"/>
    </row>
    <row r="183" spans="5:23" x14ac:dyDescent="0.2">
      <c r="E183" s="335"/>
      <c r="F183" s="335"/>
      <c r="G183" s="335"/>
      <c r="H183" s="335"/>
      <c r="I183" s="335"/>
      <c r="J183" s="335"/>
      <c r="K183" s="335"/>
      <c r="L183" s="335"/>
      <c r="M183" s="335"/>
      <c r="N183" s="335"/>
      <c r="O183" s="335"/>
      <c r="P183" s="335"/>
      <c r="Q183" s="335"/>
      <c r="R183" s="335"/>
      <c r="S183" s="335"/>
      <c r="T183" s="335"/>
      <c r="U183" s="335"/>
      <c r="V183" s="335"/>
      <c r="W183" s="335"/>
    </row>
    <row r="184" spans="5:23" x14ac:dyDescent="0.2">
      <c r="E184" s="335"/>
      <c r="F184" s="335"/>
      <c r="G184" s="335"/>
      <c r="H184" s="335"/>
      <c r="I184" s="335"/>
      <c r="J184" s="335"/>
      <c r="K184" s="335"/>
      <c r="L184" s="335"/>
      <c r="M184" s="335"/>
      <c r="N184" s="335"/>
      <c r="O184" s="335"/>
      <c r="P184" s="335"/>
      <c r="Q184" s="335"/>
      <c r="R184" s="335"/>
      <c r="S184" s="335"/>
      <c r="T184" s="335"/>
      <c r="U184" s="335"/>
      <c r="V184" s="335"/>
      <c r="W184" s="335"/>
    </row>
    <row r="185" spans="5:23" x14ac:dyDescent="0.2">
      <c r="E185" s="335"/>
      <c r="F185" s="335"/>
      <c r="G185" s="335"/>
      <c r="H185" s="335"/>
      <c r="I185" s="335"/>
      <c r="J185" s="335"/>
      <c r="K185" s="335"/>
      <c r="L185" s="335"/>
      <c r="M185" s="335"/>
      <c r="N185" s="335"/>
      <c r="O185" s="335"/>
      <c r="P185" s="335"/>
      <c r="Q185" s="335"/>
      <c r="R185" s="335"/>
      <c r="S185" s="335"/>
      <c r="T185" s="335"/>
      <c r="U185" s="335"/>
      <c r="V185" s="335"/>
      <c r="W185" s="335"/>
    </row>
    <row r="186" spans="5:23" x14ac:dyDescent="0.2">
      <c r="E186" s="335"/>
      <c r="F186" s="335"/>
      <c r="G186" s="335"/>
      <c r="H186" s="335"/>
      <c r="I186" s="335"/>
      <c r="J186" s="335"/>
      <c r="K186" s="335"/>
      <c r="L186" s="335"/>
      <c r="M186" s="335"/>
      <c r="N186" s="335"/>
      <c r="O186" s="335"/>
      <c r="P186" s="335"/>
      <c r="Q186" s="335"/>
      <c r="R186" s="335"/>
      <c r="S186" s="335"/>
      <c r="T186" s="335"/>
      <c r="U186" s="335"/>
      <c r="V186" s="335"/>
      <c r="W186" s="335"/>
    </row>
    <row r="187" spans="5:23" x14ac:dyDescent="0.2">
      <c r="E187" s="335"/>
      <c r="F187" s="335"/>
      <c r="G187" s="335"/>
      <c r="H187" s="335"/>
      <c r="I187" s="335"/>
      <c r="J187" s="335"/>
      <c r="K187" s="335"/>
      <c r="L187" s="335"/>
      <c r="M187" s="335"/>
      <c r="N187" s="335"/>
      <c r="O187" s="335"/>
      <c r="P187" s="335"/>
      <c r="Q187" s="335"/>
      <c r="R187" s="335"/>
      <c r="S187" s="335"/>
      <c r="T187" s="335"/>
      <c r="U187" s="335"/>
      <c r="V187" s="335"/>
      <c r="W187" s="335"/>
    </row>
    <row r="188" spans="5:23" x14ac:dyDescent="0.2">
      <c r="E188" s="335"/>
      <c r="F188" s="335"/>
      <c r="G188" s="335"/>
      <c r="H188" s="335"/>
      <c r="I188" s="335"/>
      <c r="J188" s="335"/>
      <c r="K188" s="335"/>
      <c r="L188" s="335"/>
      <c r="M188" s="335"/>
      <c r="N188" s="335"/>
      <c r="O188" s="335"/>
      <c r="P188" s="335"/>
      <c r="Q188" s="335"/>
      <c r="R188" s="335"/>
      <c r="S188" s="335"/>
      <c r="T188" s="335"/>
      <c r="U188" s="335"/>
      <c r="V188" s="335"/>
      <c r="W188" s="335"/>
    </row>
    <row r="189" spans="5:23" x14ac:dyDescent="0.2">
      <c r="E189" s="335"/>
      <c r="F189" s="335"/>
      <c r="G189" s="335"/>
      <c r="H189" s="335"/>
      <c r="I189" s="335"/>
      <c r="J189" s="335"/>
      <c r="K189" s="335"/>
      <c r="L189" s="335"/>
      <c r="M189" s="335"/>
      <c r="N189" s="335"/>
      <c r="O189" s="335"/>
      <c r="P189" s="335"/>
      <c r="Q189" s="335"/>
      <c r="R189" s="335"/>
      <c r="S189" s="335"/>
      <c r="T189" s="335"/>
      <c r="U189" s="335"/>
      <c r="V189" s="335"/>
      <c r="W189" s="335"/>
    </row>
    <row r="190" spans="5:23" x14ac:dyDescent="0.2">
      <c r="E190" s="335"/>
      <c r="F190" s="335"/>
      <c r="G190" s="335"/>
      <c r="H190" s="335"/>
      <c r="I190" s="335"/>
      <c r="J190" s="335"/>
      <c r="K190" s="335"/>
      <c r="L190" s="335"/>
      <c r="M190" s="335"/>
      <c r="N190" s="335"/>
      <c r="O190" s="335"/>
      <c r="P190" s="335"/>
      <c r="Q190" s="335"/>
      <c r="R190" s="335"/>
      <c r="S190" s="335"/>
      <c r="T190" s="335"/>
      <c r="U190" s="335"/>
      <c r="V190" s="335"/>
      <c r="W190" s="335"/>
    </row>
    <row r="191" spans="5:23" x14ac:dyDescent="0.2">
      <c r="E191" s="335"/>
      <c r="F191" s="335"/>
      <c r="G191" s="335"/>
      <c r="H191" s="335"/>
      <c r="I191" s="335"/>
      <c r="J191" s="335"/>
      <c r="K191" s="335"/>
      <c r="L191" s="335"/>
      <c r="M191" s="335"/>
      <c r="N191" s="335"/>
      <c r="O191" s="335"/>
      <c r="P191" s="335"/>
      <c r="Q191" s="335"/>
      <c r="R191" s="335"/>
      <c r="S191" s="335"/>
      <c r="T191" s="335"/>
      <c r="U191" s="335"/>
      <c r="V191" s="335"/>
      <c r="W191" s="335"/>
    </row>
    <row r="192" spans="5:23" x14ac:dyDescent="0.2">
      <c r="E192" s="335"/>
      <c r="F192" s="335"/>
      <c r="G192" s="335"/>
      <c r="H192" s="335"/>
      <c r="I192" s="335"/>
      <c r="J192" s="335"/>
      <c r="K192" s="335"/>
      <c r="L192" s="335"/>
      <c r="M192" s="335"/>
      <c r="N192" s="335"/>
      <c r="O192" s="335"/>
      <c r="P192" s="335"/>
      <c r="Q192" s="335"/>
      <c r="R192" s="335"/>
      <c r="S192" s="335"/>
      <c r="T192" s="335"/>
      <c r="U192" s="335"/>
      <c r="V192" s="335"/>
      <c r="W192" s="335"/>
    </row>
    <row r="193" spans="5:23" x14ac:dyDescent="0.2">
      <c r="E193" s="335"/>
      <c r="F193" s="335"/>
      <c r="G193" s="335"/>
      <c r="H193" s="335"/>
      <c r="I193" s="335"/>
      <c r="J193" s="335"/>
      <c r="K193" s="335"/>
      <c r="L193" s="335"/>
      <c r="M193" s="335"/>
      <c r="N193" s="335"/>
      <c r="O193" s="335"/>
      <c r="P193" s="335"/>
      <c r="Q193" s="335"/>
      <c r="R193" s="335"/>
      <c r="S193" s="335"/>
      <c r="T193" s="335"/>
      <c r="U193" s="335"/>
      <c r="V193" s="335"/>
      <c r="W193" s="335"/>
    </row>
    <row r="194" spans="5:23" x14ac:dyDescent="0.2">
      <c r="E194" s="335"/>
      <c r="F194" s="335"/>
      <c r="G194" s="335"/>
      <c r="H194" s="335"/>
      <c r="I194" s="335"/>
      <c r="J194" s="335"/>
      <c r="K194" s="335"/>
      <c r="L194" s="335"/>
      <c r="M194" s="335"/>
      <c r="N194" s="335"/>
      <c r="O194" s="335"/>
      <c r="P194" s="335"/>
      <c r="Q194" s="335"/>
      <c r="R194" s="335"/>
      <c r="S194" s="335"/>
      <c r="T194" s="335"/>
      <c r="U194" s="335"/>
      <c r="V194" s="335"/>
      <c r="W194" s="335"/>
    </row>
    <row r="195" spans="5:23" x14ac:dyDescent="0.2">
      <c r="E195" s="335"/>
      <c r="F195" s="335"/>
      <c r="G195" s="335"/>
      <c r="H195" s="335"/>
      <c r="I195" s="335"/>
      <c r="J195" s="335"/>
      <c r="K195" s="335"/>
      <c r="L195" s="335"/>
      <c r="M195" s="335"/>
      <c r="N195" s="335"/>
      <c r="O195" s="335"/>
      <c r="P195" s="335"/>
      <c r="Q195" s="335"/>
      <c r="R195" s="335"/>
      <c r="S195" s="335"/>
      <c r="T195" s="335"/>
      <c r="U195" s="335"/>
      <c r="V195" s="335"/>
      <c r="W195" s="335"/>
    </row>
    <row r="196" spans="5:23" x14ac:dyDescent="0.2">
      <c r="E196" s="335"/>
      <c r="F196" s="335"/>
      <c r="G196" s="335"/>
      <c r="H196" s="335"/>
      <c r="I196" s="335"/>
      <c r="J196" s="335"/>
      <c r="K196" s="335"/>
      <c r="L196" s="335"/>
      <c r="M196" s="335"/>
      <c r="N196" s="335"/>
      <c r="O196" s="335"/>
      <c r="P196" s="335"/>
      <c r="Q196" s="335"/>
      <c r="R196" s="335"/>
      <c r="S196" s="335"/>
      <c r="T196" s="335"/>
      <c r="U196" s="335"/>
      <c r="V196" s="335"/>
      <c r="W196" s="335"/>
    </row>
  </sheetData>
  <mergeCells count="7">
    <mergeCell ref="A1:AA1"/>
    <mergeCell ref="A4:AA4"/>
    <mergeCell ref="A2:AA2"/>
    <mergeCell ref="G87:I87"/>
    <mergeCell ref="K87:M87"/>
    <mergeCell ref="U41:W41"/>
    <mergeCell ref="U7:W7"/>
  </mergeCells>
  <phoneticPr fontId="12" type="noConversion"/>
  <printOptions horizontalCentered="1"/>
  <pageMargins left="0.5" right="0.5" top="1.5" bottom="0.5" header="0.5" footer="0.5"/>
  <pageSetup scale="71" fitToHeight="0" orientation="landscape" r:id="rId1"/>
  <headerFooter alignWithMargins="0"/>
  <rowBreaks count="1" manualBreakCount="1">
    <brk id="35" max="3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72"/>
  <sheetViews>
    <sheetView workbookViewId="0"/>
  </sheetViews>
  <sheetFormatPr defaultColWidth="9.77734375" defaultRowHeight="15" x14ac:dyDescent="0.2"/>
  <cols>
    <col min="1" max="1" width="7.77734375" style="37" customWidth="1"/>
    <col min="2" max="2" width="9.109375" style="37" customWidth="1"/>
    <col min="3" max="3" width="11.33203125" style="37" customWidth="1"/>
    <col min="4" max="4" width="9.77734375" style="37" customWidth="1"/>
    <col min="5" max="5" width="11.44140625" style="37" customWidth="1"/>
    <col min="6" max="6" width="9.77734375" style="37" customWidth="1"/>
    <col min="7" max="7" width="10.109375" style="37" customWidth="1"/>
    <col min="8" max="16384" width="9.77734375" style="37"/>
  </cols>
  <sheetData>
    <row r="1" spans="1:9" x14ac:dyDescent="0.2">
      <c r="A1" s="36" t="s">
        <v>51</v>
      </c>
      <c r="B1" s="1"/>
      <c r="C1" s="36"/>
      <c r="D1" s="1"/>
      <c r="E1" s="1"/>
      <c r="F1" s="1"/>
      <c r="G1" s="1"/>
    </row>
    <row r="2" spans="1:9" x14ac:dyDescent="0.2">
      <c r="A2" s="36"/>
      <c r="B2" s="1"/>
      <c r="C2" s="36"/>
      <c r="D2" s="1"/>
      <c r="E2" s="1"/>
      <c r="F2" s="1"/>
      <c r="G2" s="1"/>
    </row>
    <row r="3" spans="1:9" x14ac:dyDescent="0.2">
      <c r="A3" s="1"/>
      <c r="B3" s="1"/>
      <c r="C3" s="1"/>
      <c r="D3" s="1"/>
      <c r="E3" s="1"/>
      <c r="F3" s="1"/>
      <c r="G3" s="1"/>
      <c r="I3" s="2"/>
    </row>
    <row r="4" spans="1:9" x14ac:dyDescent="0.2">
      <c r="A4" s="1" t="s">
        <v>221</v>
      </c>
      <c r="B4" s="1"/>
      <c r="C4" s="1"/>
      <c r="D4" s="1"/>
      <c r="E4" s="1"/>
      <c r="F4" s="1"/>
      <c r="G4" s="1"/>
    </row>
    <row r="5" spans="1:9" x14ac:dyDescent="0.2">
      <c r="A5" s="2"/>
      <c r="B5" s="2"/>
      <c r="C5" s="2"/>
      <c r="D5" s="2"/>
      <c r="E5" s="2"/>
      <c r="F5" s="2"/>
      <c r="G5" s="2"/>
    </row>
    <row r="6" spans="1:9" x14ac:dyDescent="0.2">
      <c r="A6" s="2"/>
      <c r="B6" s="123"/>
      <c r="C6" s="2"/>
      <c r="D6" s="2"/>
      <c r="E6" s="2"/>
      <c r="F6" s="2"/>
      <c r="G6" s="2"/>
    </row>
    <row r="7" spans="1:9" x14ac:dyDescent="0.2">
      <c r="A7" s="2" t="s">
        <v>358</v>
      </c>
      <c r="B7" s="2"/>
      <c r="C7" s="2"/>
      <c r="D7" s="2"/>
      <c r="E7" s="2"/>
      <c r="F7" s="2"/>
      <c r="G7" s="2"/>
    </row>
    <row r="8" spans="1:9" hidden="1" x14ac:dyDescent="0.2">
      <c r="A8" s="2"/>
      <c r="B8" s="2"/>
      <c r="C8" s="2"/>
      <c r="D8" s="2"/>
      <c r="E8" s="2"/>
      <c r="F8" s="2"/>
      <c r="G8" s="2"/>
    </row>
    <row r="9" spans="1:9" ht="9.1999999999999993" hidden="1" customHeight="1" x14ac:dyDescent="0.2">
      <c r="A9" s="2"/>
      <c r="B9" s="2"/>
      <c r="C9" s="2"/>
      <c r="D9" s="2"/>
      <c r="E9" s="2"/>
      <c r="F9" s="2"/>
      <c r="G9" s="2"/>
    </row>
    <row r="10" spans="1:9" ht="27.6" hidden="1" customHeight="1" x14ac:dyDescent="0.2">
      <c r="A10" s="623" t="s">
        <v>374</v>
      </c>
      <c r="B10" s="623"/>
      <c r="C10" s="623"/>
      <c r="D10" s="623"/>
      <c r="E10" s="623"/>
      <c r="F10" s="623"/>
      <c r="G10" s="623"/>
    </row>
    <row r="11" spans="1:9" ht="9.1999999999999993" hidden="1" customHeight="1" x14ac:dyDescent="0.2">
      <c r="A11" s="2"/>
      <c r="B11" s="2"/>
      <c r="C11" s="2"/>
      <c r="D11" s="2"/>
      <c r="E11" s="2"/>
      <c r="F11" s="2"/>
      <c r="G11" s="2"/>
    </row>
    <row r="12" spans="1:9" ht="13.35" hidden="1" customHeight="1" x14ac:dyDescent="0.2">
      <c r="A12" s="2"/>
      <c r="B12" s="2"/>
      <c r="C12" s="2"/>
      <c r="D12" s="11" t="s">
        <v>375</v>
      </c>
      <c r="E12" s="2"/>
      <c r="F12" s="2"/>
      <c r="G12" s="2"/>
    </row>
    <row r="13" spans="1:9" ht="13.35" hidden="1" customHeight="1" x14ac:dyDescent="0.2">
      <c r="A13" s="2"/>
      <c r="B13" s="2"/>
      <c r="C13" s="2"/>
      <c r="D13" s="11" t="s">
        <v>455</v>
      </c>
      <c r="E13" s="2"/>
      <c r="F13" s="2"/>
      <c r="G13" s="2"/>
    </row>
    <row r="14" spans="1:9" ht="13.35" hidden="1" customHeight="1" x14ac:dyDescent="0.2">
      <c r="A14" s="1" t="s">
        <v>190</v>
      </c>
      <c r="B14" s="36"/>
      <c r="C14" s="2"/>
      <c r="D14" s="11" t="s">
        <v>378</v>
      </c>
      <c r="E14" s="2"/>
      <c r="F14" s="11" t="s">
        <v>192</v>
      </c>
      <c r="G14" s="2"/>
    </row>
    <row r="15" spans="1:9" ht="13.35" hidden="1" customHeight="1" x14ac:dyDescent="0.2">
      <c r="A15" s="1" t="s">
        <v>193</v>
      </c>
      <c r="B15" s="36"/>
      <c r="C15" s="2"/>
      <c r="D15" s="11" t="s">
        <v>379</v>
      </c>
      <c r="E15" s="2"/>
      <c r="F15" s="11" t="s">
        <v>194</v>
      </c>
      <c r="G15" s="2"/>
    </row>
    <row r="16" spans="1:9" hidden="1" x14ac:dyDescent="0.2">
      <c r="A16" s="3" t="s">
        <v>195</v>
      </c>
      <c r="B16" s="124"/>
      <c r="C16" s="2"/>
      <c r="D16" s="10" t="s">
        <v>214</v>
      </c>
      <c r="E16" s="2" t="s">
        <v>314</v>
      </c>
      <c r="F16" s="10" t="s">
        <v>197</v>
      </c>
      <c r="G16" s="2"/>
    </row>
    <row r="17" spans="1:19" ht="7.9" hidden="1" customHeight="1" x14ac:dyDescent="0.2">
      <c r="A17" s="2"/>
      <c r="C17" s="2"/>
      <c r="D17" s="2"/>
      <c r="E17" s="2"/>
      <c r="F17" s="125"/>
      <c r="G17" s="2"/>
    </row>
    <row r="18" spans="1:19" ht="13.35" hidden="1" customHeight="1" x14ac:dyDescent="0.2">
      <c r="A18" s="2" t="s">
        <v>198</v>
      </c>
      <c r="C18" s="2"/>
      <c r="D18" s="260">
        <f>+'COS 1'!J308</f>
        <v>0</v>
      </c>
      <c r="E18" s="2"/>
      <c r="F18" s="125">
        <f>+'COS 1'!J309</f>
        <v>0</v>
      </c>
      <c r="G18" s="125"/>
      <c r="H18" s="125"/>
      <c r="I18" s="125"/>
      <c r="J18" s="125"/>
      <c r="K18" s="125"/>
      <c r="M18" s="125"/>
      <c r="O18" s="125"/>
      <c r="Q18" s="125"/>
      <c r="S18" s="125"/>
    </row>
    <row r="19" spans="1:19" ht="13.35" hidden="1" customHeight="1" x14ac:dyDescent="0.2">
      <c r="A19" s="2" t="s">
        <v>199</v>
      </c>
      <c r="C19" s="2"/>
      <c r="D19" s="257">
        <f>+'COS 1'!L308</f>
        <v>0</v>
      </c>
      <c r="E19" s="2"/>
      <c r="F19" s="125">
        <f>+'COS 1'!L309</f>
        <v>0</v>
      </c>
      <c r="G19" s="2"/>
    </row>
    <row r="20" spans="1:19" ht="13.35" hidden="1" customHeight="1" x14ac:dyDescent="0.2">
      <c r="A20" s="2" t="s">
        <v>200</v>
      </c>
      <c r="C20" s="2"/>
      <c r="D20" s="257">
        <f>+'COS 1'!N308</f>
        <v>0</v>
      </c>
      <c r="E20" s="2"/>
      <c r="F20" s="125">
        <f>+'COS 1'!N309</f>
        <v>0</v>
      </c>
      <c r="G20" s="2"/>
    </row>
    <row r="21" spans="1:19" ht="13.35" hidden="1" customHeight="1" x14ac:dyDescent="0.2">
      <c r="A21" s="2" t="s">
        <v>201</v>
      </c>
      <c r="C21" s="2"/>
      <c r="D21" s="257">
        <f>+'COS 1'!P308</f>
        <v>0</v>
      </c>
      <c r="E21" s="2"/>
      <c r="F21" s="125">
        <f>+'COS 1'!P309</f>
        <v>0</v>
      </c>
      <c r="G21" s="2"/>
    </row>
    <row r="22" spans="1:19" ht="13.35" hidden="1" customHeight="1" x14ac:dyDescent="0.2">
      <c r="A22" s="2" t="s">
        <v>321</v>
      </c>
      <c r="C22" s="2"/>
      <c r="D22" s="257">
        <f>+'COS 1'!R308</f>
        <v>0</v>
      </c>
      <c r="E22" s="2"/>
      <c r="F22" s="125">
        <f>+'COS 1'!R309</f>
        <v>0</v>
      </c>
      <c r="G22" s="2"/>
    </row>
    <row r="23" spans="1:19" ht="13.35" hidden="1" customHeight="1" x14ac:dyDescent="0.2">
      <c r="A23" s="2" t="s">
        <v>203</v>
      </c>
      <c r="C23" s="2"/>
      <c r="D23" s="257">
        <f>+'COS 1'!T308</f>
        <v>0</v>
      </c>
      <c r="E23" s="2"/>
      <c r="F23" s="125">
        <f>+'COS 1'!T309</f>
        <v>0</v>
      </c>
      <c r="G23" s="2"/>
    </row>
    <row r="24" spans="1:19" ht="13.35" hidden="1" customHeight="1" x14ac:dyDescent="0.2">
      <c r="A24" s="2" t="s">
        <v>204</v>
      </c>
      <c r="C24" s="2"/>
      <c r="D24" s="257">
        <f>+'COS 1'!V308</f>
        <v>0</v>
      </c>
      <c r="E24" s="2"/>
      <c r="F24" s="125">
        <f>+'COS 1'!V309</f>
        <v>0</v>
      </c>
      <c r="G24" s="2"/>
    </row>
    <row r="25" spans="1:19" ht="8.25" hidden="1" customHeight="1" x14ac:dyDescent="0.2">
      <c r="A25" s="2"/>
      <c r="C25" s="2"/>
      <c r="D25" s="258"/>
      <c r="E25" s="2"/>
      <c r="F25" s="6"/>
      <c r="G25" s="2"/>
    </row>
    <row r="26" spans="1:19" ht="15.75" hidden="1" thickBot="1" x14ac:dyDescent="0.25">
      <c r="A26" s="2" t="s">
        <v>205</v>
      </c>
      <c r="C26" s="2"/>
      <c r="D26" s="259">
        <f>SUM(D18:D25)</f>
        <v>0</v>
      </c>
      <c r="E26" s="2"/>
      <c r="F26" s="158">
        <f>SUM(F18:F25)</f>
        <v>0</v>
      </c>
      <c r="G26" s="2"/>
    </row>
    <row r="27" spans="1:19" ht="11.85" hidden="1" customHeight="1" thickTop="1" x14ac:dyDescent="0.2">
      <c r="A27" s="2"/>
      <c r="B27" s="2"/>
      <c r="C27"/>
      <c r="D27"/>
      <c r="E27"/>
      <c r="F27"/>
      <c r="G27"/>
      <c r="H27"/>
    </row>
    <row r="28" spans="1:19" ht="15" hidden="1" customHeight="1" x14ac:dyDescent="0.2">
      <c r="A28" s="2"/>
      <c r="B28" s="2"/>
      <c r="C28"/>
      <c r="D28"/>
      <c r="E28"/>
      <c r="F28"/>
      <c r="G28"/>
      <c r="H28"/>
    </row>
    <row r="29" spans="1:19" ht="15" hidden="1" customHeight="1" x14ac:dyDescent="0.2">
      <c r="A29" s="126" t="s">
        <v>380</v>
      </c>
      <c r="B29" s="2"/>
      <c r="C29"/>
      <c r="D29"/>
      <c r="E29"/>
      <c r="F29"/>
      <c r="G29"/>
      <c r="H29"/>
    </row>
    <row r="30" spans="1:19" ht="15" hidden="1" customHeight="1" x14ac:dyDescent="0.2">
      <c r="A30" s="126" t="s">
        <v>381</v>
      </c>
      <c r="B30" s="2"/>
      <c r="C30"/>
      <c r="D30"/>
      <c r="E30"/>
      <c r="F30"/>
      <c r="G30"/>
      <c r="H30"/>
    </row>
    <row r="31" spans="1:19" ht="15" hidden="1" customHeight="1" x14ac:dyDescent="0.2">
      <c r="A31" s="2"/>
      <c r="B31" s="2"/>
      <c r="C31"/>
      <c r="D31"/>
      <c r="E31"/>
      <c r="F31"/>
      <c r="G31"/>
      <c r="H31"/>
    </row>
    <row r="32" spans="1:19" ht="15" hidden="1" customHeight="1" x14ac:dyDescent="0.2">
      <c r="A32" s="2"/>
      <c r="B32" s="2" t="s">
        <v>383</v>
      </c>
      <c r="C32"/>
      <c r="D32"/>
      <c r="E32"/>
      <c r="F32"/>
      <c r="G32"/>
      <c r="H32"/>
    </row>
    <row r="33" spans="1:8" ht="15" hidden="1" customHeight="1" x14ac:dyDescent="0.2">
      <c r="A33" s="2" t="s">
        <v>384</v>
      </c>
      <c r="B33" s="2"/>
      <c r="C33"/>
      <c r="D33"/>
      <c r="E33"/>
      <c r="F33"/>
      <c r="G33"/>
      <c r="H33"/>
    </row>
    <row r="34" spans="1:8" ht="15" hidden="1" customHeight="1" x14ac:dyDescent="0.2">
      <c r="A34" s="2"/>
      <c r="B34" s="2"/>
      <c r="C34"/>
      <c r="D34"/>
      <c r="E34"/>
      <c r="F34"/>
      <c r="G34"/>
      <c r="H34"/>
    </row>
    <row r="35" spans="1:8" ht="12.75" hidden="1" customHeight="1" x14ac:dyDescent="0.2">
      <c r="A35" s="2"/>
      <c r="B35" s="2"/>
      <c r="C35"/>
      <c r="D35" t="s">
        <v>375</v>
      </c>
      <c r="E35"/>
      <c r="F35"/>
      <c r="G35"/>
      <c r="H35"/>
    </row>
    <row r="36" spans="1:8" ht="12.75" hidden="1" customHeight="1" x14ac:dyDescent="0.2">
      <c r="A36" s="2"/>
      <c r="B36" s="2"/>
      <c r="C36"/>
      <c r="D36" t="s">
        <v>376</v>
      </c>
      <c r="E36"/>
      <c r="F36"/>
      <c r="G36"/>
      <c r="H36"/>
    </row>
    <row r="37" spans="1:8" ht="12.75" hidden="1" customHeight="1" x14ac:dyDescent="0.2">
      <c r="A37" s="2"/>
      <c r="B37" s="2"/>
      <c r="C37"/>
      <c r="D37" t="s">
        <v>377</v>
      </c>
      <c r="E37"/>
      <c r="F37"/>
      <c r="G37"/>
      <c r="H37"/>
    </row>
    <row r="38" spans="1:8" ht="12.75" hidden="1" customHeight="1" x14ac:dyDescent="0.2">
      <c r="A38" s="1" t="s">
        <v>190</v>
      </c>
      <c r="B38" s="36"/>
      <c r="C38"/>
      <c r="D38" t="s">
        <v>385</v>
      </c>
      <c r="E38"/>
      <c r="F38" t="s">
        <v>192</v>
      </c>
      <c r="G38"/>
      <c r="H38"/>
    </row>
    <row r="39" spans="1:8" ht="12.75" hidden="1" customHeight="1" x14ac:dyDescent="0.2">
      <c r="A39" s="1" t="s">
        <v>193</v>
      </c>
      <c r="B39" s="36"/>
      <c r="C39"/>
      <c r="D39" t="s">
        <v>379</v>
      </c>
      <c r="E39"/>
      <c r="F39" t="s">
        <v>194</v>
      </c>
      <c r="G39"/>
      <c r="H39"/>
    </row>
    <row r="40" spans="1:8" ht="15" hidden="1" customHeight="1" x14ac:dyDescent="0.2">
      <c r="A40" s="3" t="s">
        <v>195</v>
      </c>
      <c r="B40" s="124"/>
      <c r="C40"/>
      <c r="D40" t="s">
        <v>214</v>
      </c>
      <c r="E40" t="s">
        <v>314</v>
      </c>
      <c r="F40" t="s">
        <v>197</v>
      </c>
      <c r="G40"/>
      <c r="H40"/>
    </row>
    <row r="41" spans="1:8" ht="12.75" hidden="1" customHeight="1" x14ac:dyDescent="0.2">
      <c r="A41" s="2"/>
      <c r="C41"/>
      <c r="D41"/>
      <c r="E41"/>
      <c r="F41"/>
      <c r="G41"/>
      <c r="H41"/>
    </row>
    <row r="42" spans="1:8" ht="12.75" hidden="1" customHeight="1" x14ac:dyDescent="0.2">
      <c r="A42" s="2" t="s">
        <v>198</v>
      </c>
      <c r="C42"/>
      <c r="D42">
        <v>3511291</v>
      </c>
      <c r="E42"/>
      <c r="F42">
        <f t="shared" ref="F42:F48" si="0">ROUND(D42/D$50,4)</f>
        <v>0.5907</v>
      </c>
      <c r="G42"/>
      <c r="H42"/>
    </row>
    <row r="43" spans="1:8" ht="12.75" hidden="1" customHeight="1" x14ac:dyDescent="0.2">
      <c r="A43" s="2" t="s">
        <v>199</v>
      </c>
      <c r="C43"/>
      <c r="D43">
        <v>941329</v>
      </c>
      <c r="E43"/>
      <c r="F43">
        <f t="shared" si="0"/>
        <v>0.1583</v>
      </c>
      <c r="G43"/>
      <c r="H43"/>
    </row>
    <row r="44" spans="1:8" ht="12.75" hidden="1" customHeight="1" x14ac:dyDescent="0.2">
      <c r="A44" s="2" t="s">
        <v>200</v>
      </c>
      <c r="C44"/>
      <c r="D44">
        <v>191461</v>
      </c>
      <c r="E44"/>
      <c r="F44">
        <f t="shared" si="0"/>
        <v>3.2199999999999999E-2</v>
      </c>
      <c r="G44"/>
      <c r="H44"/>
    </row>
    <row r="45" spans="1:8" ht="12.75" hidden="1" customHeight="1" x14ac:dyDescent="0.2">
      <c r="A45" s="2" t="s">
        <v>386</v>
      </c>
      <c r="C45"/>
      <c r="D45">
        <v>42532</v>
      </c>
      <c r="E45"/>
      <c r="F45">
        <f t="shared" si="0"/>
        <v>7.1999999999999998E-3</v>
      </c>
      <c r="G45"/>
      <c r="H45"/>
    </row>
    <row r="46" spans="1:8" ht="12.75" hidden="1" customHeight="1" x14ac:dyDescent="0.2">
      <c r="A46" s="2" t="s">
        <v>202</v>
      </c>
      <c r="C46"/>
      <c r="D46">
        <v>62932</v>
      </c>
      <c r="E46"/>
      <c r="F46">
        <f t="shared" si="0"/>
        <v>1.06E-2</v>
      </c>
      <c r="G46"/>
      <c r="H46"/>
    </row>
    <row r="47" spans="1:8" ht="12.75" hidden="1" customHeight="1" x14ac:dyDescent="0.2">
      <c r="A47" s="2" t="s">
        <v>203</v>
      </c>
      <c r="C47"/>
      <c r="D47">
        <v>229566</v>
      </c>
      <c r="E47"/>
      <c r="F47">
        <f t="shared" si="0"/>
        <v>3.8600000000000002E-2</v>
      </c>
      <c r="G47"/>
      <c r="H47"/>
    </row>
    <row r="48" spans="1:8" ht="12.75" hidden="1" customHeight="1" x14ac:dyDescent="0.2">
      <c r="A48" s="2" t="s">
        <v>204</v>
      </c>
      <c r="C48"/>
      <c r="D48">
        <v>965510</v>
      </c>
      <c r="E48"/>
      <c r="F48">
        <f t="shared" si="0"/>
        <v>0.16239999999999999</v>
      </c>
      <c r="G48"/>
      <c r="H48"/>
    </row>
    <row r="49" spans="1:8" ht="15" hidden="1" customHeight="1" x14ac:dyDescent="0.2">
      <c r="A49" s="2"/>
      <c r="C49"/>
      <c r="D49"/>
      <c r="E49"/>
      <c r="F49"/>
      <c r="G49"/>
      <c r="H49"/>
    </row>
    <row r="50" spans="1:8" ht="15" hidden="1" customHeight="1" x14ac:dyDescent="0.2">
      <c r="A50" s="2" t="s">
        <v>205</v>
      </c>
      <c r="C50"/>
      <c r="D50">
        <f>SUM(D42:D49)</f>
        <v>5944621</v>
      </c>
      <c r="E50"/>
      <c r="F50">
        <f>SUM(F42:F49)</f>
        <v>1</v>
      </c>
      <c r="G50"/>
      <c r="H50"/>
    </row>
    <row r="51" spans="1:8" x14ac:dyDescent="0.2">
      <c r="A51" s="2"/>
      <c r="B51" s="2"/>
      <c r="C51"/>
      <c r="D51"/>
      <c r="E51"/>
      <c r="F51"/>
      <c r="G51"/>
      <c r="H51"/>
    </row>
    <row r="52" spans="1:8" x14ac:dyDescent="0.2">
      <c r="A52" s="2" t="s">
        <v>356</v>
      </c>
      <c r="B52" s="2"/>
      <c r="C52" s="2"/>
      <c r="D52" s="2"/>
      <c r="E52" s="2"/>
      <c r="F52" s="2"/>
      <c r="G52" s="2"/>
    </row>
    <row r="53" spans="1:8" x14ac:dyDescent="0.2">
      <c r="A53" s="2" t="s">
        <v>155</v>
      </c>
      <c r="B53" s="2"/>
      <c r="C53" s="2"/>
      <c r="D53" s="2"/>
      <c r="E53" s="2"/>
      <c r="F53" s="2"/>
      <c r="G53" s="2"/>
    </row>
    <row r="54" spans="1:8" x14ac:dyDescent="0.2">
      <c r="A54" s="2"/>
      <c r="B54" s="2"/>
      <c r="C54" s="2"/>
      <c r="D54" s="2"/>
      <c r="E54" s="2"/>
      <c r="F54" s="2"/>
      <c r="G54" s="2"/>
    </row>
    <row r="55" spans="1:8" ht="27.6" customHeight="1" x14ac:dyDescent="0.2">
      <c r="A55" s="623" t="s">
        <v>387</v>
      </c>
      <c r="B55" s="623"/>
      <c r="C55" s="623"/>
      <c r="D55" s="623"/>
      <c r="E55" s="623"/>
      <c r="F55" s="623"/>
      <c r="G55" s="623"/>
    </row>
    <row r="56" spans="1:8" ht="9.75" customHeight="1" x14ac:dyDescent="0.2">
      <c r="A56" s="2"/>
      <c r="B56" s="2"/>
      <c r="C56" s="2"/>
      <c r="D56" s="2"/>
      <c r="E56" s="2"/>
      <c r="F56" s="2"/>
      <c r="G56" s="2"/>
    </row>
    <row r="57" spans="1:8" x14ac:dyDescent="0.2">
      <c r="A57" s="2"/>
      <c r="B57" s="2"/>
      <c r="C57" s="2"/>
      <c r="D57" s="11" t="s">
        <v>375</v>
      </c>
      <c r="E57" s="2"/>
      <c r="F57" s="2"/>
      <c r="G57" s="2"/>
    </row>
    <row r="58" spans="1:8" x14ac:dyDescent="0.2">
      <c r="A58" s="2"/>
      <c r="B58" s="2"/>
      <c r="C58" s="2"/>
      <c r="D58" s="11" t="s">
        <v>455</v>
      </c>
      <c r="E58" s="2"/>
      <c r="F58" s="2"/>
      <c r="G58" s="2"/>
    </row>
    <row r="59" spans="1:8" x14ac:dyDescent="0.2">
      <c r="A59" s="1" t="s">
        <v>190</v>
      </c>
      <c r="B59" s="36"/>
      <c r="C59" s="2"/>
      <c r="D59" s="11" t="s">
        <v>385</v>
      </c>
      <c r="E59" s="2"/>
      <c r="F59" s="11" t="s">
        <v>192</v>
      </c>
      <c r="G59" s="2"/>
    </row>
    <row r="60" spans="1:8" x14ac:dyDescent="0.2">
      <c r="A60" s="1" t="s">
        <v>193</v>
      </c>
      <c r="B60" s="36"/>
      <c r="C60" s="2"/>
      <c r="D60" s="11" t="s">
        <v>379</v>
      </c>
      <c r="E60" s="2"/>
      <c r="F60" s="11" t="s">
        <v>194</v>
      </c>
      <c r="G60" s="2"/>
    </row>
    <row r="61" spans="1:8" x14ac:dyDescent="0.2">
      <c r="A61" s="3" t="s">
        <v>195</v>
      </c>
      <c r="B61" s="124"/>
      <c r="C61" s="2"/>
      <c r="D61" s="10" t="s">
        <v>214</v>
      </c>
      <c r="E61" s="2" t="s">
        <v>314</v>
      </c>
      <c r="F61" s="10" t="s">
        <v>197</v>
      </c>
      <c r="G61" s="2"/>
    </row>
    <row r="62" spans="1:8" ht="10.7" customHeight="1" x14ac:dyDescent="0.2">
      <c r="A62" s="2"/>
      <c r="C62" s="2"/>
      <c r="D62" s="2"/>
      <c r="E62" s="2"/>
      <c r="F62" s="125"/>
      <c r="G62" s="2"/>
    </row>
    <row r="63" spans="1:8" x14ac:dyDescent="0.2">
      <c r="A63" s="2" t="s">
        <v>198</v>
      </c>
      <c r="C63" s="2"/>
      <c r="D63" s="260">
        <f>+'COS 1'!J310</f>
        <v>1953198.6124700001</v>
      </c>
      <c r="E63" s="2"/>
      <c r="F63" s="125">
        <f>+'COS 1'!J311</f>
        <v>0.49680000000000002</v>
      </c>
      <c r="G63" s="2"/>
    </row>
    <row r="64" spans="1:8" x14ac:dyDescent="0.2">
      <c r="A64" s="2" t="s">
        <v>334</v>
      </c>
      <c r="C64" s="2"/>
      <c r="D64" s="257">
        <f>+'COS 1'!L310</f>
        <v>746860.59005600004</v>
      </c>
      <c r="E64" s="2"/>
      <c r="F64" s="125">
        <f>+'COS 1'!L311</f>
        <v>0.19</v>
      </c>
      <c r="G64" s="2"/>
    </row>
    <row r="65" spans="1:7" x14ac:dyDescent="0.2">
      <c r="A65" s="2" t="s">
        <v>200</v>
      </c>
      <c r="C65" s="2"/>
      <c r="D65" s="257">
        <f>+'COS 1'!N310</f>
        <v>224125.19905399994</v>
      </c>
      <c r="E65" s="2"/>
      <c r="F65" s="125">
        <f>+'COS 1'!N311</f>
        <v>5.7000000000000002E-2</v>
      </c>
      <c r="G65" s="2"/>
    </row>
    <row r="66" spans="1:7" x14ac:dyDescent="0.2">
      <c r="A66" s="2" t="s">
        <v>201</v>
      </c>
      <c r="C66" s="2"/>
      <c r="D66" s="257">
        <f>+'COS 1'!P310</f>
        <v>139475.795797</v>
      </c>
      <c r="E66" s="2"/>
      <c r="F66" s="125">
        <f>+'COS 1'!P311</f>
        <v>3.5499999999999997E-2</v>
      </c>
      <c r="G66" s="2"/>
    </row>
    <row r="67" spans="1:7" x14ac:dyDescent="0.2">
      <c r="A67" s="2" t="s">
        <v>105</v>
      </c>
      <c r="C67" s="2"/>
      <c r="D67" s="257">
        <f>+'COS 1'!R310</f>
        <v>38265.086359000001</v>
      </c>
      <c r="E67" s="2"/>
      <c r="F67" s="125">
        <f>+'COS 1'!R311</f>
        <v>9.7000000000000003E-3</v>
      </c>
      <c r="G67" s="2"/>
    </row>
    <row r="68" spans="1:7" hidden="1" x14ac:dyDescent="0.2">
      <c r="A68" s="2" t="s">
        <v>203</v>
      </c>
      <c r="C68" s="2"/>
      <c r="D68" s="257">
        <f>+'COS 1'!T310</f>
        <v>0</v>
      </c>
      <c r="E68" s="2"/>
      <c r="F68" s="125">
        <f>+'COS 1'!T311</f>
        <v>0</v>
      </c>
      <c r="G68" s="2"/>
    </row>
    <row r="69" spans="1:7" x14ac:dyDescent="0.2">
      <c r="A69" s="2" t="s">
        <v>238</v>
      </c>
      <c r="C69" s="2"/>
      <c r="D69" s="257">
        <f>+'COS 1'!V310</f>
        <v>829531.53626399999</v>
      </c>
      <c r="E69" s="2"/>
      <c r="F69" s="125">
        <f>+'COS 1'!V311</f>
        <v>0.21099999999999999</v>
      </c>
      <c r="G69" s="2"/>
    </row>
    <row r="70" spans="1:7" ht="7.9" customHeight="1" x14ac:dyDescent="0.2">
      <c r="A70" s="2"/>
      <c r="C70" s="2"/>
      <c r="D70" s="5"/>
      <c r="E70" s="2"/>
      <c r="F70" s="6"/>
      <c r="G70" s="2"/>
    </row>
    <row r="71" spans="1:7" ht="15.75" thickBot="1" x14ac:dyDescent="0.25">
      <c r="A71" s="2" t="s">
        <v>205</v>
      </c>
      <c r="C71" s="2"/>
      <c r="D71" s="225">
        <f>SUM(D63:D70)</f>
        <v>3931456.8200000003</v>
      </c>
      <c r="E71" s="2"/>
      <c r="F71" s="158">
        <f>SUM(F63:F70)</f>
        <v>1.0000000000000002</v>
      </c>
      <c r="G71" s="2"/>
    </row>
    <row r="72" spans="1:7" ht="15.75" thickTop="1" x14ac:dyDescent="0.2">
      <c r="A72" s="2"/>
      <c r="B72" s="2"/>
      <c r="C72" s="2"/>
      <c r="D72" s="160"/>
      <c r="E72" s="13"/>
      <c r="F72" s="155"/>
      <c r="G72" s="2"/>
    </row>
  </sheetData>
  <mergeCells count="2">
    <mergeCell ref="A55:G55"/>
    <mergeCell ref="A10:G10"/>
  </mergeCells>
  <phoneticPr fontId="12" type="noConversion"/>
  <printOptions horizontalCentered="1"/>
  <pageMargins left="1" right="1" top="1" bottom="0.5" header="0.5" footer="0.5"/>
  <pageSetup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1"/>
  <sheetViews>
    <sheetView workbookViewId="0">
      <selection activeCell="I9" sqref="I9"/>
    </sheetView>
  </sheetViews>
  <sheetFormatPr defaultColWidth="9.77734375" defaultRowHeight="15" x14ac:dyDescent="0.2"/>
  <cols>
    <col min="1" max="1" width="7.77734375" style="37" customWidth="1"/>
    <col min="2" max="2" width="8.77734375" style="37" customWidth="1"/>
    <col min="3" max="3" width="11.109375" style="37" customWidth="1"/>
    <col min="4" max="4" width="9.77734375" style="37" customWidth="1"/>
    <col min="5" max="5" width="11.109375" style="37" customWidth="1"/>
    <col min="6" max="6" width="9.77734375" style="37" customWidth="1"/>
    <col min="7" max="7" width="7.77734375" style="37" customWidth="1"/>
    <col min="8" max="16384" width="9.77734375" style="37"/>
  </cols>
  <sheetData>
    <row r="1" spans="1:9" x14ac:dyDescent="0.2">
      <c r="A1" s="36" t="s">
        <v>51</v>
      </c>
      <c r="B1" s="36"/>
      <c r="C1" s="36"/>
      <c r="D1" s="36"/>
      <c r="E1" s="36"/>
      <c r="F1" s="36"/>
      <c r="G1" s="36"/>
      <c r="I1" s="2"/>
    </row>
    <row r="2" spans="1:9" x14ac:dyDescent="0.2">
      <c r="A2" s="36"/>
      <c r="B2" s="36"/>
      <c r="C2" s="36"/>
      <c r="D2" s="36"/>
      <c r="E2" s="36"/>
      <c r="F2" s="36"/>
      <c r="G2" s="36"/>
      <c r="I2" s="2"/>
    </row>
    <row r="3" spans="1:9" x14ac:dyDescent="0.2">
      <c r="A3" s="1"/>
      <c r="B3" s="1"/>
      <c r="C3" s="36"/>
      <c r="D3" s="36"/>
      <c r="E3" s="36"/>
      <c r="F3" s="36"/>
      <c r="G3" s="36"/>
    </row>
    <row r="4" spans="1:9" x14ac:dyDescent="0.2">
      <c r="A4" s="1" t="s">
        <v>221</v>
      </c>
      <c r="B4" s="1"/>
      <c r="C4" s="1"/>
      <c r="D4" s="1"/>
      <c r="E4" s="1"/>
      <c r="F4" s="1"/>
      <c r="G4" s="1"/>
    </row>
    <row r="5" spans="1:9" x14ac:dyDescent="0.2">
      <c r="A5" s="2"/>
      <c r="B5" s="2"/>
    </row>
    <row r="6" spans="1:9" x14ac:dyDescent="0.2">
      <c r="A6" s="2"/>
      <c r="B6" s="2"/>
    </row>
    <row r="7" spans="1:9" x14ac:dyDescent="0.2">
      <c r="A7" s="2" t="s">
        <v>102</v>
      </c>
      <c r="B7" s="2"/>
    </row>
    <row r="8" spans="1:9" x14ac:dyDescent="0.2">
      <c r="A8" s="2"/>
      <c r="B8" s="2"/>
    </row>
    <row r="9" spans="1:9" ht="15" customHeight="1" x14ac:dyDescent="0.2">
      <c r="A9" s="623" t="s">
        <v>499</v>
      </c>
      <c r="B9" s="623"/>
      <c r="C9" s="623"/>
      <c r="D9" s="623"/>
      <c r="E9" s="623"/>
      <c r="F9" s="623"/>
      <c r="G9" s="121"/>
    </row>
    <row r="10" spans="1:9" x14ac:dyDescent="0.2">
      <c r="A10" s="2"/>
      <c r="B10" s="2"/>
    </row>
    <row r="11" spans="1:9" x14ac:dyDescent="0.2">
      <c r="A11" s="1" t="s">
        <v>239</v>
      </c>
      <c r="B11" s="1"/>
      <c r="D11" s="11" t="s">
        <v>324</v>
      </c>
      <c r="E11" s="11"/>
      <c r="F11" s="11" t="s">
        <v>192</v>
      </c>
    </row>
    <row r="12" spans="1:9" x14ac:dyDescent="0.2">
      <c r="A12" s="1" t="s">
        <v>193</v>
      </c>
      <c r="B12" s="1"/>
      <c r="D12" s="11" t="s">
        <v>498</v>
      </c>
      <c r="E12" s="11"/>
      <c r="F12" s="11" t="s">
        <v>194</v>
      </c>
    </row>
    <row r="13" spans="1:9" x14ac:dyDescent="0.2">
      <c r="A13" s="3" t="s">
        <v>195</v>
      </c>
      <c r="B13" s="3"/>
      <c r="D13" s="128" t="s">
        <v>214</v>
      </c>
      <c r="E13" s="122"/>
      <c r="F13" s="128" t="s">
        <v>197</v>
      </c>
    </row>
    <row r="14" spans="1:9" ht="12.75" customHeight="1" x14ac:dyDescent="0.2">
      <c r="A14" s="2"/>
      <c r="B14" s="2"/>
      <c r="D14" s="2"/>
      <c r="E14" s="2"/>
      <c r="F14" s="4"/>
    </row>
    <row r="15" spans="1:9" ht="13.35" customHeight="1" x14ac:dyDescent="0.2">
      <c r="A15" s="2" t="s">
        <v>198</v>
      </c>
      <c r="B15" s="2"/>
      <c r="D15" s="9">
        <v>333989</v>
      </c>
      <c r="E15" s="9"/>
      <c r="F15" s="481">
        <f>ROUND(D15/$D$22,5)</f>
        <v>0.92239000000000004</v>
      </c>
      <c r="H15" s="355"/>
    </row>
    <row r="16" spans="1:9" ht="13.35" customHeight="1" x14ac:dyDescent="0.2">
      <c r="A16" s="2" t="s">
        <v>334</v>
      </c>
      <c r="B16" s="2"/>
      <c r="D16" s="9">
        <v>25329</v>
      </c>
      <c r="E16" s="9"/>
      <c r="F16" s="481">
        <f t="shared" ref="F16:F19" si="0">ROUND(D16/$D$22,5)</f>
        <v>6.9949999999999998E-2</v>
      </c>
      <c r="H16" s="355"/>
    </row>
    <row r="17" spans="1:8" ht="13.35" customHeight="1" x14ac:dyDescent="0.2">
      <c r="A17" s="2" t="s">
        <v>200</v>
      </c>
      <c r="B17" s="2"/>
      <c r="D17" s="9">
        <v>489</v>
      </c>
      <c r="E17" s="9"/>
      <c r="F17" s="481">
        <f t="shared" si="0"/>
        <v>1.3500000000000001E-3</v>
      </c>
      <c r="H17" s="355"/>
    </row>
    <row r="18" spans="1:8" ht="13.35" customHeight="1" x14ac:dyDescent="0.2">
      <c r="A18" s="2" t="s">
        <v>201</v>
      </c>
      <c r="B18" s="2"/>
      <c r="D18" s="9">
        <v>2212</v>
      </c>
      <c r="E18" s="9"/>
      <c r="F18" s="481">
        <f t="shared" si="0"/>
        <v>6.11E-3</v>
      </c>
      <c r="H18" s="355"/>
    </row>
    <row r="19" spans="1:8" ht="13.35" customHeight="1" x14ac:dyDescent="0.2">
      <c r="A19" s="2" t="s">
        <v>105</v>
      </c>
      <c r="B19" s="2"/>
      <c r="D19" s="9">
        <v>72</v>
      </c>
      <c r="E19" s="9"/>
      <c r="F19" s="482">
        <f t="shared" si="0"/>
        <v>2.0000000000000001E-4</v>
      </c>
      <c r="H19" s="317"/>
    </row>
    <row r="20" spans="1:8" ht="13.35" customHeight="1" x14ac:dyDescent="0.2">
      <c r="A20" s="2"/>
      <c r="B20" s="2"/>
      <c r="D20" s="619"/>
      <c r="E20" s="9"/>
      <c r="F20" s="481"/>
      <c r="H20" s="2"/>
    </row>
    <row r="21" spans="1:8" x14ac:dyDescent="0.2">
      <c r="A21" s="2"/>
      <c r="B21" s="2"/>
      <c r="D21" s="160"/>
      <c r="E21" s="9"/>
      <c r="F21" s="155"/>
      <c r="H21" s="2"/>
    </row>
    <row r="22" spans="1:8" ht="15.75" thickBot="1" x14ac:dyDescent="0.25">
      <c r="A22" s="2" t="s">
        <v>205</v>
      </c>
      <c r="B22" s="2"/>
      <c r="D22" s="9">
        <f>SUM(D15:D21)</f>
        <v>362091</v>
      </c>
      <c r="E22" s="9"/>
      <c r="F22" s="569">
        <f>SUM(F15:F21)</f>
        <v>0.99999999999999989</v>
      </c>
      <c r="H22" s="317"/>
    </row>
    <row r="23" spans="1:8" ht="15.75" thickTop="1" x14ac:dyDescent="0.2">
      <c r="A23" s="2"/>
      <c r="B23" s="2"/>
      <c r="D23" s="7"/>
      <c r="E23" s="9"/>
      <c r="F23" s="155"/>
      <c r="H23" s="2"/>
    </row>
    <row r="24" spans="1:8" x14ac:dyDescent="0.2">
      <c r="A24" s="2"/>
      <c r="B24" s="2"/>
      <c r="D24" s="2"/>
      <c r="E24" s="2"/>
      <c r="F24" s="2"/>
      <c r="H24" s="2"/>
    </row>
    <row r="25" spans="1:8" x14ac:dyDescent="0.2">
      <c r="A25" s="2"/>
      <c r="B25" s="2"/>
      <c r="D25" s="9"/>
      <c r="E25" s="9"/>
      <c r="F25" s="2"/>
      <c r="H25" s="2"/>
    </row>
    <row r="26" spans="1:8" x14ac:dyDescent="0.2">
      <c r="A26" s="2" t="s">
        <v>103</v>
      </c>
      <c r="B26" s="2"/>
      <c r="D26" s="2"/>
      <c r="E26" s="2"/>
      <c r="F26" s="2"/>
      <c r="H26" s="2"/>
    </row>
    <row r="27" spans="1:8" x14ac:dyDescent="0.2">
      <c r="A27" s="2"/>
      <c r="B27" s="2"/>
      <c r="D27" s="2"/>
      <c r="E27" s="2"/>
      <c r="F27" s="2"/>
      <c r="H27" s="2"/>
    </row>
    <row r="28" spans="1:8" hidden="1" x14ac:dyDescent="0.2">
      <c r="A28" s="2" t="s">
        <v>372</v>
      </c>
      <c r="B28" s="2"/>
      <c r="D28" s="2"/>
      <c r="E28" s="2"/>
      <c r="F28" s="2"/>
      <c r="H28" s="2"/>
    </row>
    <row r="29" spans="1:8" hidden="1" x14ac:dyDescent="0.2">
      <c r="A29" s="2"/>
      <c r="B29" s="2"/>
      <c r="D29" s="2"/>
      <c r="E29" s="2"/>
      <c r="F29" s="2"/>
      <c r="H29" s="2"/>
    </row>
    <row r="30" spans="1:8" hidden="1" x14ac:dyDescent="0.2">
      <c r="A30" s="1" t="s">
        <v>239</v>
      </c>
      <c r="B30" s="1"/>
      <c r="D30" s="11" t="s">
        <v>373</v>
      </c>
      <c r="E30" s="11"/>
      <c r="F30" s="11" t="s">
        <v>192</v>
      </c>
      <c r="H30" s="2"/>
    </row>
    <row r="31" spans="1:8" hidden="1" x14ac:dyDescent="0.2">
      <c r="A31" s="1" t="s">
        <v>193</v>
      </c>
      <c r="B31" s="1"/>
      <c r="D31" s="11" t="s">
        <v>371</v>
      </c>
      <c r="E31" s="11"/>
      <c r="F31" s="11" t="s">
        <v>194</v>
      </c>
      <c r="H31" s="2"/>
    </row>
    <row r="32" spans="1:8" hidden="1" x14ac:dyDescent="0.2">
      <c r="A32" s="3" t="s">
        <v>195</v>
      </c>
      <c r="B32" s="3"/>
      <c r="D32" s="128" t="s">
        <v>214</v>
      </c>
      <c r="E32" s="122"/>
      <c r="F32" s="128" t="s">
        <v>197</v>
      </c>
      <c r="H32" s="2"/>
    </row>
    <row r="33" spans="1:8" ht="12.75" hidden="1" customHeight="1" x14ac:dyDescent="0.2">
      <c r="A33" s="2"/>
      <c r="B33" s="2"/>
      <c r="D33" s="2"/>
      <c r="E33" s="2"/>
      <c r="F33" s="2"/>
      <c r="H33" s="2"/>
    </row>
    <row r="34" spans="1:8" ht="13.35" hidden="1" customHeight="1" x14ac:dyDescent="0.2">
      <c r="A34" s="2" t="s">
        <v>198</v>
      </c>
      <c r="B34" s="2"/>
      <c r="D34" s="9">
        <f>D15</f>
        <v>333989</v>
      </c>
      <c r="E34" s="9"/>
      <c r="F34" s="480">
        <f>ROUND(D34/$D$40,45)</f>
        <v>0.922389675523556</v>
      </c>
      <c r="H34" s="2"/>
    </row>
    <row r="35" spans="1:8" ht="13.35" hidden="1" customHeight="1" x14ac:dyDescent="0.2">
      <c r="A35" s="2" t="s">
        <v>334</v>
      </c>
      <c r="B35" s="2"/>
      <c r="D35" s="9">
        <f>D16</f>
        <v>25329</v>
      </c>
      <c r="E35" s="9"/>
      <c r="F35" s="480">
        <f>ROUND(D35/$D$40,45)</f>
        <v>6.9952028633686006E-2</v>
      </c>
      <c r="H35" s="2"/>
    </row>
    <row r="36" spans="1:8" ht="13.35" hidden="1" customHeight="1" x14ac:dyDescent="0.2">
      <c r="A36" s="2" t="s">
        <v>200</v>
      </c>
      <c r="B36" s="2"/>
      <c r="D36" s="9">
        <f>D17</f>
        <v>489</v>
      </c>
      <c r="E36" s="9"/>
      <c r="F36" s="480">
        <f>ROUND(D36/$D$40,45)</f>
        <v>1.35048924165472E-3</v>
      </c>
      <c r="H36" s="2"/>
    </row>
    <row r="37" spans="1:8" ht="13.35" hidden="1" customHeight="1" x14ac:dyDescent="0.2">
      <c r="A37" s="2" t="s">
        <v>201</v>
      </c>
      <c r="B37" s="2"/>
      <c r="D37" s="9">
        <f>D18</f>
        <v>2212</v>
      </c>
      <c r="E37" s="9"/>
      <c r="F37" s="480">
        <f>ROUND(D37/$D$40,45)</f>
        <v>6.1089615593870102E-3</v>
      </c>
      <c r="H37" s="2"/>
    </row>
    <row r="38" spans="1:8" ht="13.35" hidden="1" customHeight="1" x14ac:dyDescent="0.2">
      <c r="A38" s="2" t="s">
        <v>105</v>
      </c>
      <c r="B38" s="2"/>
      <c r="D38" s="9">
        <f>D19</f>
        <v>72</v>
      </c>
      <c r="E38" s="9"/>
      <c r="F38" s="480">
        <f>ROUND(D38/$D$40,45)</f>
        <v>1.9884504171603301E-4</v>
      </c>
      <c r="H38" s="2"/>
    </row>
    <row r="39" spans="1:8" hidden="1" x14ac:dyDescent="0.2">
      <c r="A39" s="2"/>
      <c r="B39" s="2"/>
      <c r="D39" s="5"/>
      <c r="E39" s="9"/>
      <c r="F39" s="6"/>
      <c r="H39" s="2"/>
    </row>
    <row r="40" spans="1:8" ht="15.75" hidden="1" thickBot="1" x14ac:dyDescent="0.25">
      <c r="A40" s="2" t="s">
        <v>205</v>
      </c>
      <c r="B40" s="2"/>
      <c r="D40" s="157">
        <f>SUM(D34:D39)</f>
        <v>362091</v>
      </c>
      <c r="E40" s="9"/>
      <c r="F40" s="480">
        <f>SUM(F34:F39)</f>
        <v>0.99999999999999978</v>
      </c>
      <c r="H40" s="2"/>
    </row>
    <row r="41" spans="1:8" ht="15.75" hidden="1" thickTop="1" x14ac:dyDescent="0.2">
      <c r="D41" s="179"/>
      <c r="F41" s="14"/>
    </row>
  </sheetData>
  <mergeCells count="1">
    <mergeCell ref="A9:F9"/>
  </mergeCells>
  <phoneticPr fontId="12" type="noConversion"/>
  <printOptions horizontalCentered="1"/>
  <pageMargins left="1" right="1" top="1" bottom="0.5" header="0.5" footer="0.5"/>
  <pageSetup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163"/>
  <sheetViews>
    <sheetView workbookViewId="0"/>
  </sheetViews>
  <sheetFormatPr defaultColWidth="9.77734375" defaultRowHeight="15" x14ac:dyDescent="0.2"/>
  <cols>
    <col min="1" max="1" width="7.77734375" style="37" customWidth="1"/>
    <col min="2" max="2" width="10.44140625" style="37" customWidth="1"/>
    <col min="3" max="3" width="12.77734375" style="37" customWidth="1"/>
    <col min="4" max="4" width="11.77734375" style="37" customWidth="1"/>
    <col min="5" max="5" width="13" style="37" customWidth="1"/>
    <col min="6" max="6" width="11.77734375" style="37" customWidth="1"/>
    <col min="7" max="7" width="9.77734375" style="37" customWidth="1"/>
    <col min="8" max="9" width="7.77734375" style="37" customWidth="1"/>
    <col min="10" max="10" width="14.77734375" style="37" customWidth="1"/>
    <col min="11" max="11" width="10.77734375" style="37" customWidth="1"/>
    <col min="12" max="12" width="14.77734375" style="37" customWidth="1"/>
    <col min="13" max="13" width="8.77734375" style="37" customWidth="1"/>
    <col min="14" max="14" width="6.77734375" style="37" customWidth="1"/>
    <col min="15" max="15" width="9.77734375" style="37" customWidth="1"/>
    <col min="16" max="17" width="7.77734375" style="37" customWidth="1"/>
    <col min="18" max="18" width="14.77734375" style="37" customWidth="1"/>
    <col min="19" max="19" width="10.77734375" style="37" customWidth="1"/>
    <col min="20" max="20" width="14.77734375" style="37" customWidth="1"/>
    <col min="21" max="21" width="8.77734375" style="37" customWidth="1"/>
    <col min="22" max="22" width="5.77734375" style="37" customWidth="1"/>
    <col min="23" max="16384" width="9.77734375" style="37"/>
  </cols>
  <sheetData>
    <row r="1" spans="1:23" x14ac:dyDescent="0.2">
      <c r="A1" s="36" t="s">
        <v>51</v>
      </c>
      <c r="B1" s="1"/>
      <c r="C1" s="1"/>
      <c r="D1" s="1"/>
      <c r="E1" s="1"/>
      <c r="F1" s="1"/>
      <c r="G1" s="2"/>
      <c r="H1" s="2"/>
      <c r="I1" s="2"/>
      <c r="J1" s="2"/>
      <c r="K1" s="2"/>
      <c r="L1" s="2"/>
      <c r="M1" s="2"/>
      <c r="N1" s="2"/>
      <c r="O1" s="2"/>
      <c r="P1" s="2"/>
      <c r="Q1" s="2"/>
      <c r="R1" s="2"/>
      <c r="S1" s="2"/>
      <c r="T1" s="2"/>
      <c r="U1" s="2"/>
      <c r="V1" s="2"/>
      <c r="W1" s="2"/>
    </row>
    <row r="2" spans="1:23" x14ac:dyDescent="0.2">
      <c r="A2" s="36"/>
      <c r="B2" s="1"/>
      <c r="C2" s="1"/>
      <c r="D2" s="1"/>
      <c r="E2" s="1"/>
      <c r="F2" s="1"/>
      <c r="G2" s="2"/>
      <c r="H2" s="2"/>
      <c r="I2" s="2"/>
      <c r="J2" s="2"/>
      <c r="K2" s="2"/>
      <c r="L2" s="2"/>
      <c r="M2" s="2"/>
      <c r="N2" s="2"/>
      <c r="O2" s="2"/>
      <c r="P2" s="2"/>
      <c r="Q2" s="2"/>
      <c r="R2" s="2"/>
      <c r="S2" s="2"/>
      <c r="T2" s="2"/>
      <c r="U2" s="2"/>
      <c r="V2" s="2"/>
      <c r="W2" s="2"/>
    </row>
    <row r="3" spans="1:23" x14ac:dyDescent="0.2">
      <c r="A3" s="1"/>
      <c r="B3" s="1"/>
      <c r="C3" s="1"/>
      <c r="D3" s="1"/>
      <c r="E3" s="1"/>
      <c r="F3" s="1"/>
      <c r="G3" s="2"/>
      <c r="H3" s="2"/>
      <c r="I3" s="2"/>
      <c r="J3" s="2"/>
      <c r="K3" s="2"/>
      <c r="L3" s="2"/>
      <c r="M3" s="2"/>
      <c r="N3" s="2"/>
      <c r="O3" s="2"/>
      <c r="P3" s="2"/>
      <c r="Q3" s="2"/>
      <c r="R3" s="2"/>
      <c r="S3" s="2"/>
      <c r="T3" s="2"/>
      <c r="U3" s="2"/>
      <c r="V3" s="2"/>
      <c r="W3" s="2"/>
    </row>
    <row r="4" spans="1:23" x14ac:dyDescent="0.2">
      <c r="A4" s="1" t="s">
        <v>221</v>
      </c>
      <c r="B4" s="1"/>
      <c r="C4" s="1"/>
      <c r="D4" s="1"/>
      <c r="E4" s="1"/>
      <c r="F4" s="1"/>
      <c r="G4" s="2"/>
      <c r="H4" s="2"/>
      <c r="I4" s="2"/>
      <c r="J4" s="2"/>
      <c r="K4" s="2"/>
      <c r="L4" s="2"/>
      <c r="M4" s="2"/>
      <c r="N4" s="2"/>
      <c r="O4" s="2"/>
      <c r="P4" s="2"/>
      <c r="Q4" s="2"/>
      <c r="R4" s="2"/>
      <c r="S4" s="2"/>
      <c r="T4" s="2"/>
      <c r="U4" s="2"/>
      <c r="V4" s="2"/>
      <c r="W4" s="2"/>
    </row>
    <row r="5" spans="1:23" x14ac:dyDescent="0.2">
      <c r="A5" s="2"/>
      <c r="B5" s="2"/>
      <c r="C5" s="2"/>
      <c r="D5" s="2"/>
      <c r="E5" s="2"/>
      <c r="F5" s="2"/>
      <c r="G5" s="2"/>
      <c r="H5" s="2"/>
      <c r="I5" s="2"/>
      <c r="J5" s="2"/>
      <c r="K5" s="2"/>
      <c r="L5" s="2"/>
      <c r="M5" s="2"/>
      <c r="N5" s="2"/>
      <c r="O5" s="2"/>
      <c r="P5" s="2"/>
      <c r="Q5" s="2"/>
      <c r="R5" s="2"/>
      <c r="S5" s="2"/>
      <c r="T5" s="2"/>
      <c r="U5" s="2"/>
      <c r="V5" s="2"/>
      <c r="W5" s="2"/>
    </row>
    <row r="6" spans="1:23" x14ac:dyDescent="0.2">
      <c r="A6" s="2"/>
      <c r="B6" s="2"/>
      <c r="C6" s="2"/>
      <c r="D6" s="2"/>
      <c r="E6" s="2"/>
      <c r="F6" s="2"/>
      <c r="G6" s="2"/>
      <c r="H6" s="2"/>
      <c r="I6" s="2"/>
      <c r="J6" s="2"/>
      <c r="K6" s="2"/>
      <c r="L6" s="2"/>
      <c r="M6" s="2"/>
      <c r="N6" s="2"/>
      <c r="O6" s="2"/>
      <c r="P6" s="2"/>
      <c r="Q6" s="2"/>
      <c r="R6" s="2"/>
      <c r="S6" s="2"/>
      <c r="T6" s="2"/>
      <c r="U6" s="2"/>
      <c r="V6" s="2"/>
      <c r="W6" s="2"/>
    </row>
    <row r="7" spans="1:23" x14ac:dyDescent="0.2">
      <c r="A7" s="2" t="s">
        <v>357</v>
      </c>
      <c r="B7" s="2"/>
      <c r="C7" s="2"/>
      <c r="D7" s="2"/>
      <c r="E7" s="2"/>
      <c r="F7" s="2"/>
      <c r="G7" s="2"/>
      <c r="H7" s="2"/>
      <c r="I7" s="2"/>
      <c r="J7" s="2"/>
      <c r="K7" s="2"/>
      <c r="L7" s="2"/>
      <c r="M7" s="2"/>
      <c r="N7" s="2"/>
      <c r="O7" s="2"/>
      <c r="P7" s="2"/>
      <c r="Q7" s="2"/>
      <c r="R7" s="2"/>
      <c r="S7" s="2"/>
      <c r="T7" s="2"/>
      <c r="U7" s="2"/>
      <c r="V7" s="2"/>
      <c r="W7" s="2"/>
    </row>
    <row r="8" spans="1:23" x14ac:dyDescent="0.2">
      <c r="A8" s="2"/>
      <c r="B8" s="2"/>
      <c r="C8" s="2"/>
      <c r="D8" s="2"/>
      <c r="E8" s="2"/>
      <c r="F8" s="2"/>
      <c r="G8" s="2"/>
      <c r="H8" s="2"/>
      <c r="I8" s="2"/>
      <c r="J8" s="2"/>
      <c r="K8" s="2"/>
      <c r="L8" s="2"/>
      <c r="M8" s="2"/>
      <c r="N8" s="2"/>
      <c r="O8" s="2"/>
      <c r="P8" s="2"/>
      <c r="Q8" s="2"/>
      <c r="R8" s="2"/>
      <c r="S8" s="2"/>
      <c r="T8" s="2"/>
      <c r="U8" s="2"/>
      <c r="V8" s="2"/>
      <c r="W8" s="2"/>
    </row>
    <row r="9" spans="1:23" x14ac:dyDescent="0.2">
      <c r="A9" s="2"/>
      <c r="B9" s="2"/>
      <c r="C9" s="2"/>
      <c r="D9" s="2"/>
      <c r="E9" s="2"/>
      <c r="F9" s="2"/>
      <c r="G9" s="2"/>
      <c r="H9" s="2"/>
      <c r="I9" s="2"/>
      <c r="J9" s="2"/>
      <c r="K9" s="2"/>
      <c r="L9" s="2"/>
      <c r="M9" s="2"/>
      <c r="N9" s="2"/>
      <c r="O9" s="2"/>
      <c r="P9" s="2"/>
      <c r="Q9" s="2"/>
      <c r="R9" s="2"/>
      <c r="S9" s="2"/>
      <c r="T9" s="2"/>
      <c r="U9" s="2"/>
      <c r="V9" s="2"/>
      <c r="W9" s="2"/>
    </row>
    <row r="10" spans="1:23" ht="29.25" customHeight="1" x14ac:dyDescent="0.2">
      <c r="A10" s="623" t="s">
        <v>456</v>
      </c>
      <c r="B10" s="623"/>
      <c r="C10" s="623"/>
      <c r="D10" s="623"/>
      <c r="E10" s="623"/>
      <c r="F10" s="623"/>
      <c r="G10" s="2"/>
      <c r="H10" s="2"/>
      <c r="I10" s="2"/>
      <c r="J10" s="2"/>
      <c r="K10" s="2"/>
      <c r="L10" s="2"/>
      <c r="M10" s="2"/>
      <c r="N10" s="2"/>
      <c r="O10" s="2"/>
      <c r="P10" s="2"/>
      <c r="Q10" s="2"/>
      <c r="R10" s="2"/>
      <c r="S10" s="2"/>
      <c r="T10" s="2"/>
      <c r="U10" s="2"/>
      <c r="V10" s="2"/>
      <c r="W10" s="2"/>
    </row>
    <row r="11" spans="1:23" x14ac:dyDescent="0.2">
      <c r="A11" s="2"/>
      <c r="B11" s="2"/>
      <c r="C11" s="2"/>
      <c r="D11" s="2"/>
      <c r="E11" s="2"/>
      <c r="F11" s="2"/>
      <c r="G11" s="2"/>
      <c r="H11" s="2"/>
      <c r="I11" s="2"/>
      <c r="J11" s="2"/>
      <c r="K11" s="2"/>
      <c r="L11" s="2"/>
      <c r="M11" s="2"/>
      <c r="N11" s="2"/>
      <c r="O11" s="2"/>
      <c r="P11" s="2"/>
      <c r="Q11" s="2"/>
      <c r="R11" s="2"/>
      <c r="S11" s="2"/>
      <c r="T11" s="2"/>
      <c r="U11" s="2"/>
      <c r="V11" s="2"/>
      <c r="W11" s="2"/>
    </row>
    <row r="12" spans="1:23" x14ac:dyDescent="0.2">
      <c r="A12" s="2"/>
      <c r="B12" s="2"/>
      <c r="C12" s="2"/>
      <c r="D12" s="2"/>
      <c r="E12" s="2"/>
      <c r="F12" s="2"/>
      <c r="G12" s="2"/>
      <c r="H12" s="2"/>
      <c r="I12" s="2"/>
      <c r="J12" s="2"/>
      <c r="K12" s="2"/>
      <c r="L12" s="2"/>
      <c r="M12" s="2"/>
      <c r="N12" s="2"/>
      <c r="O12" s="2"/>
      <c r="P12" s="2"/>
      <c r="Q12" s="2"/>
      <c r="R12" s="2"/>
      <c r="S12" s="2"/>
      <c r="T12" s="2"/>
      <c r="U12" s="2"/>
      <c r="V12" s="2"/>
      <c r="W12" s="2"/>
    </row>
    <row r="13" spans="1:23" x14ac:dyDescent="0.2">
      <c r="A13" s="2"/>
      <c r="B13" s="2"/>
      <c r="C13" s="2"/>
      <c r="D13" s="11" t="s">
        <v>389</v>
      </c>
      <c r="E13" s="11"/>
      <c r="F13" s="11"/>
      <c r="G13" s="2"/>
      <c r="H13" s="2"/>
      <c r="I13" s="2"/>
      <c r="J13" s="2"/>
      <c r="K13" s="2"/>
      <c r="L13" s="2"/>
      <c r="M13" s="2"/>
      <c r="N13" s="2"/>
      <c r="O13" s="2"/>
      <c r="P13" s="2"/>
      <c r="Q13" s="2"/>
      <c r="R13" s="2"/>
      <c r="S13" s="2"/>
      <c r="T13" s="2"/>
      <c r="U13" s="2"/>
      <c r="V13" s="2"/>
      <c r="W13" s="2"/>
    </row>
    <row r="14" spans="1:23" x14ac:dyDescent="0.2">
      <c r="A14" s="1" t="s">
        <v>190</v>
      </c>
      <c r="B14" s="36"/>
      <c r="C14" s="2"/>
      <c r="D14" s="11" t="s">
        <v>385</v>
      </c>
      <c r="E14" s="11"/>
      <c r="F14" s="11" t="s">
        <v>192</v>
      </c>
      <c r="G14" s="2"/>
      <c r="H14" s="2"/>
      <c r="I14" s="2"/>
      <c r="J14" s="2"/>
      <c r="K14" s="2"/>
      <c r="L14" s="2"/>
      <c r="M14" s="2"/>
      <c r="N14" s="2"/>
      <c r="O14" s="2"/>
      <c r="P14" s="2"/>
      <c r="Q14" s="2"/>
      <c r="R14" s="2"/>
      <c r="S14" s="2"/>
      <c r="T14" s="2"/>
      <c r="U14" s="2"/>
      <c r="V14" s="2"/>
      <c r="W14" s="2"/>
    </row>
    <row r="15" spans="1:23" x14ac:dyDescent="0.2">
      <c r="A15" s="1" t="s">
        <v>193</v>
      </c>
      <c r="B15" s="36"/>
      <c r="C15" s="2"/>
      <c r="D15" s="11" t="s">
        <v>379</v>
      </c>
      <c r="E15" s="11"/>
      <c r="F15" s="11" t="s">
        <v>194</v>
      </c>
      <c r="G15" s="2"/>
      <c r="H15" s="2"/>
      <c r="I15" s="2"/>
      <c r="J15" s="2"/>
      <c r="K15" s="2"/>
      <c r="L15" s="2"/>
      <c r="M15" s="2"/>
      <c r="N15" s="2"/>
      <c r="O15" s="2"/>
      <c r="P15" s="2"/>
      <c r="Q15" s="2"/>
      <c r="R15" s="2"/>
      <c r="S15" s="2"/>
      <c r="T15" s="2"/>
      <c r="U15" s="2"/>
      <c r="V15" s="2"/>
      <c r="W15" s="2"/>
    </row>
    <row r="16" spans="1:23" x14ac:dyDescent="0.2">
      <c r="A16" s="3" t="s">
        <v>195</v>
      </c>
      <c r="B16" s="124"/>
      <c r="C16" s="2"/>
      <c r="D16" s="10" t="s">
        <v>214</v>
      </c>
      <c r="E16" s="11" t="s">
        <v>314</v>
      </c>
      <c r="F16" s="10" t="s">
        <v>197</v>
      </c>
      <c r="G16" s="2"/>
      <c r="H16" s="2"/>
      <c r="I16" s="2"/>
      <c r="J16" s="2"/>
      <c r="K16" s="2"/>
      <c r="L16" s="2"/>
      <c r="M16" s="2"/>
      <c r="N16" s="2"/>
      <c r="O16" s="2"/>
      <c r="P16" s="2"/>
      <c r="Q16" s="2"/>
      <c r="R16" s="2"/>
      <c r="S16" s="2"/>
      <c r="T16" s="2"/>
      <c r="U16" s="2"/>
      <c r="V16" s="2"/>
      <c r="W16" s="2"/>
    </row>
    <row r="17" spans="1:23" ht="12.75" customHeight="1" x14ac:dyDescent="0.2">
      <c r="A17" s="2"/>
      <c r="C17" s="2"/>
      <c r="D17" s="2"/>
      <c r="E17" s="2"/>
      <c r="F17" s="125"/>
      <c r="G17" s="2"/>
      <c r="H17" s="2"/>
      <c r="I17" s="2"/>
      <c r="J17" s="2"/>
      <c r="K17" s="2"/>
      <c r="L17" s="2"/>
      <c r="M17" s="2"/>
      <c r="N17" s="2"/>
      <c r="O17" s="2"/>
      <c r="P17" s="2"/>
      <c r="Q17" s="2"/>
      <c r="R17" s="2"/>
      <c r="S17" s="2"/>
      <c r="T17" s="2"/>
      <c r="U17" s="2"/>
      <c r="V17" s="2"/>
      <c r="W17" s="2"/>
    </row>
    <row r="18" spans="1:23" ht="13.35" customHeight="1" x14ac:dyDescent="0.2">
      <c r="A18" s="2" t="s">
        <v>198</v>
      </c>
      <c r="C18" s="2"/>
      <c r="D18" s="224">
        <f>+'COS 1'!J312</f>
        <v>6711712.2355863014</v>
      </c>
      <c r="E18" s="2"/>
      <c r="F18" s="167">
        <f>+'COS 1'!J313</f>
        <v>0.56720000000000004</v>
      </c>
      <c r="G18" s="2"/>
      <c r="H18" s="2"/>
      <c r="I18" s="2"/>
      <c r="J18" s="2"/>
      <c r="K18" s="2"/>
      <c r="L18" s="2"/>
      <c r="M18" s="2"/>
      <c r="N18" s="2"/>
      <c r="O18" s="2"/>
      <c r="P18" s="2"/>
      <c r="Q18" s="2"/>
      <c r="R18" s="2"/>
      <c r="S18" s="2"/>
      <c r="T18" s="2"/>
      <c r="U18" s="2"/>
      <c r="V18" s="2"/>
      <c r="W18" s="2"/>
    </row>
    <row r="19" spans="1:23" ht="13.35" customHeight="1" x14ac:dyDescent="0.2">
      <c r="A19" s="2" t="s">
        <v>334</v>
      </c>
      <c r="C19" s="2"/>
      <c r="D19" s="9">
        <f>+'COS 1'!L312</f>
        <v>2340315.5013234993</v>
      </c>
      <c r="E19" s="2"/>
      <c r="F19" s="125">
        <f>+'COS 1'!L313</f>
        <v>0.1978</v>
      </c>
      <c r="G19" s="2"/>
      <c r="H19" s="2"/>
      <c r="I19" s="2"/>
      <c r="J19" s="2"/>
      <c r="K19" s="2"/>
      <c r="L19" s="2"/>
      <c r="M19" s="2"/>
      <c r="N19" s="2"/>
      <c r="O19" s="2"/>
      <c r="P19" s="2"/>
      <c r="Q19" s="2"/>
      <c r="R19" s="2"/>
      <c r="S19" s="2"/>
      <c r="T19" s="2"/>
      <c r="U19" s="2"/>
      <c r="V19" s="2"/>
      <c r="W19" s="2"/>
    </row>
    <row r="20" spans="1:23" ht="13.35" customHeight="1" x14ac:dyDescent="0.2">
      <c r="A20" s="2" t="s">
        <v>200</v>
      </c>
      <c r="C20" s="2"/>
      <c r="D20" s="9">
        <f>+'COS 1'!N312</f>
        <v>728296.32089949981</v>
      </c>
      <c r="E20" s="2"/>
      <c r="F20" s="125">
        <f>+'COS 1'!N313</f>
        <v>6.1600000000000002E-2</v>
      </c>
      <c r="G20" s="2"/>
      <c r="H20" s="2"/>
      <c r="I20" s="2"/>
      <c r="J20" s="2"/>
      <c r="K20" s="2"/>
      <c r="L20" s="2"/>
      <c r="M20" s="2"/>
      <c r="N20" s="2"/>
      <c r="O20" s="2"/>
      <c r="P20" s="2"/>
      <c r="Q20" s="2"/>
      <c r="R20" s="2"/>
      <c r="S20" s="2"/>
      <c r="T20" s="2"/>
      <c r="U20" s="2"/>
      <c r="V20" s="2"/>
      <c r="W20" s="2"/>
    </row>
    <row r="21" spans="1:23" ht="13.35" customHeight="1" x14ac:dyDescent="0.2">
      <c r="A21" s="2" t="s">
        <v>201</v>
      </c>
      <c r="C21" s="2"/>
      <c r="D21" s="9">
        <f>+'COS 1'!P312</f>
        <v>455047.60280469997</v>
      </c>
      <c r="E21" s="2"/>
      <c r="F21" s="125">
        <f>+'COS 1'!P313</f>
        <v>3.85E-2</v>
      </c>
      <c r="G21" s="2"/>
      <c r="H21" s="2"/>
      <c r="I21" s="2"/>
      <c r="J21" s="2"/>
      <c r="K21" s="2"/>
      <c r="L21" s="2"/>
      <c r="M21" s="2"/>
      <c r="N21" s="2"/>
      <c r="O21" s="2"/>
      <c r="P21" s="2"/>
      <c r="Q21" s="2"/>
      <c r="R21" s="2"/>
      <c r="S21" s="2"/>
      <c r="T21" s="2"/>
      <c r="U21" s="2"/>
      <c r="V21" s="2"/>
      <c r="W21" s="2"/>
    </row>
    <row r="22" spans="1:23" ht="13.35" customHeight="1" x14ac:dyDescent="0.2">
      <c r="A22" s="2" t="s">
        <v>105</v>
      </c>
      <c r="C22" s="2"/>
      <c r="D22" s="9">
        <f>+'COS 1'!R312</f>
        <v>226471.4981749999</v>
      </c>
      <c r="E22" s="2"/>
      <c r="F22" s="125">
        <f>+'COS 1'!R313</f>
        <v>1.9099999999999999E-2</v>
      </c>
      <c r="G22" s="2"/>
      <c r="H22" s="2"/>
      <c r="I22" s="2"/>
      <c r="J22" s="2"/>
      <c r="K22" s="2"/>
      <c r="L22" s="2"/>
      <c r="M22" s="2"/>
      <c r="N22" s="2"/>
      <c r="O22" s="2"/>
      <c r="P22" s="2"/>
      <c r="Q22" s="2"/>
      <c r="R22" s="2"/>
      <c r="S22" s="2"/>
      <c r="T22" s="2"/>
      <c r="U22" s="2"/>
      <c r="V22" s="2"/>
      <c r="W22" s="2"/>
    </row>
    <row r="23" spans="1:23" ht="13.35" hidden="1" customHeight="1" x14ac:dyDescent="0.2">
      <c r="A23" s="2" t="s">
        <v>203</v>
      </c>
      <c r="C23" s="2"/>
      <c r="D23" s="9">
        <f>+'COS 1'!T312</f>
        <v>0</v>
      </c>
      <c r="E23" s="2"/>
      <c r="F23" s="125">
        <f>+'COS 1'!T313</f>
        <v>0</v>
      </c>
      <c r="G23" s="2"/>
      <c r="H23" s="2"/>
      <c r="I23" s="2"/>
      <c r="J23" s="2"/>
      <c r="K23" s="2"/>
      <c r="L23" s="2"/>
      <c r="M23" s="2"/>
      <c r="N23" s="2"/>
      <c r="O23" s="2"/>
      <c r="P23" s="2"/>
      <c r="Q23" s="2"/>
      <c r="R23" s="2"/>
      <c r="S23" s="2"/>
      <c r="T23" s="2"/>
      <c r="U23" s="2"/>
      <c r="V23" s="2"/>
      <c r="W23" s="2"/>
    </row>
    <row r="24" spans="1:23" ht="13.35" customHeight="1" x14ac:dyDescent="0.2">
      <c r="A24" s="2" t="s">
        <v>238</v>
      </c>
      <c r="C24" s="2"/>
      <c r="D24" s="9">
        <f>+'COS 1'!V312</f>
        <v>1369782.2812110002</v>
      </c>
      <c r="E24" s="2"/>
      <c r="F24" s="125">
        <f>+'COS 1'!V313</f>
        <v>0.1158</v>
      </c>
      <c r="G24" s="2"/>
      <c r="H24" s="2"/>
      <c r="I24" s="2"/>
      <c r="J24" s="2"/>
      <c r="K24" s="2"/>
      <c r="L24" s="2"/>
      <c r="M24" s="2"/>
      <c r="N24" s="2"/>
      <c r="O24" s="2"/>
      <c r="P24" s="2"/>
      <c r="Q24" s="2"/>
      <c r="R24" s="2"/>
      <c r="S24" s="2"/>
      <c r="T24" s="2"/>
      <c r="U24" s="2"/>
      <c r="V24" s="2"/>
      <c r="W24" s="2"/>
    </row>
    <row r="25" spans="1:23" x14ac:dyDescent="0.2">
      <c r="A25" s="2"/>
      <c r="C25" s="2"/>
      <c r="D25" s="5"/>
      <c r="E25" s="2"/>
      <c r="F25" s="6"/>
      <c r="G25" s="2"/>
      <c r="H25" s="2"/>
      <c r="I25" s="2"/>
      <c r="J25" s="2"/>
      <c r="K25" s="2"/>
      <c r="L25" s="2"/>
      <c r="M25" s="2"/>
      <c r="N25" s="2"/>
      <c r="O25" s="2"/>
      <c r="P25" s="2"/>
      <c r="Q25" s="2"/>
      <c r="R25" s="2"/>
      <c r="S25" s="2"/>
      <c r="T25" s="2"/>
      <c r="U25" s="2"/>
      <c r="V25" s="2"/>
      <c r="W25" s="2"/>
    </row>
    <row r="26" spans="1:23" ht="15.75" thickBot="1" x14ac:dyDescent="0.25">
      <c r="A26" s="2" t="s">
        <v>205</v>
      </c>
      <c r="C26" s="2"/>
      <c r="D26" s="225">
        <f>SUM(D18:D25)</f>
        <v>11831625.440000001</v>
      </c>
      <c r="E26" s="2"/>
      <c r="F26" s="158">
        <f>SUM(F18:F25)</f>
        <v>1</v>
      </c>
      <c r="G26" s="2"/>
      <c r="H26" s="2"/>
      <c r="I26" s="2"/>
      <c r="J26" s="2"/>
      <c r="K26" s="2"/>
      <c r="L26" s="2"/>
      <c r="M26" s="2"/>
      <c r="N26" s="2"/>
      <c r="O26" s="2"/>
      <c r="P26" s="2"/>
      <c r="Q26" s="2"/>
      <c r="R26" s="2"/>
      <c r="S26" s="2"/>
      <c r="T26" s="2"/>
      <c r="U26" s="2"/>
      <c r="V26" s="2"/>
      <c r="W26" s="2"/>
    </row>
    <row r="27" spans="1:23" ht="15.75" thickTop="1" x14ac:dyDescent="0.2">
      <c r="A27" s="2"/>
      <c r="C27" s="2"/>
      <c r="D27" s="478"/>
      <c r="E27" s="2"/>
      <c r="F27" s="479"/>
      <c r="G27" s="2"/>
      <c r="H27" s="2"/>
      <c r="I27" s="2"/>
      <c r="J27" s="2"/>
      <c r="K27" s="2"/>
      <c r="L27" s="2"/>
      <c r="M27" s="2"/>
      <c r="N27" s="2"/>
      <c r="O27" s="2"/>
      <c r="P27" s="2"/>
      <c r="Q27" s="2"/>
      <c r="R27" s="2"/>
      <c r="S27" s="2"/>
      <c r="T27" s="2"/>
      <c r="U27" s="2"/>
      <c r="V27" s="2"/>
      <c r="W27" s="2"/>
    </row>
    <row r="28" spans="1:23" x14ac:dyDescent="0.2">
      <c r="A28" s="2"/>
      <c r="B28" s="2"/>
      <c r="C28" s="2"/>
      <c r="D28" s="160"/>
      <c r="E28" s="13"/>
      <c r="F28" s="155"/>
      <c r="G28" s="2"/>
      <c r="H28" s="2"/>
      <c r="I28" s="2"/>
      <c r="J28" s="2"/>
      <c r="K28" s="2"/>
      <c r="L28" s="2"/>
      <c r="M28" s="2"/>
      <c r="N28" s="2"/>
      <c r="O28" s="2"/>
      <c r="P28" s="2"/>
      <c r="Q28" s="2"/>
      <c r="R28" s="2"/>
      <c r="S28" s="2"/>
      <c r="T28" s="2"/>
      <c r="U28" s="2"/>
      <c r="V28" s="2"/>
      <c r="W28" s="2"/>
    </row>
    <row r="29" spans="1:23" x14ac:dyDescent="0.2">
      <c r="A29" s="2" t="s">
        <v>91</v>
      </c>
      <c r="B29" s="2"/>
      <c r="C29" s="2"/>
      <c r="D29" s="2"/>
      <c r="E29" s="2"/>
      <c r="F29" s="2"/>
      <c r="G29" s="2"/>
      <c r="H29" s="2"/>
      <c r="I29" s="2"/>
      <c r="J29" s="2"/>
      <c r="K29" s="2"/>
      <c r="L29" s="2"/>
      <c r="M29" s="2"/>
      <c r="N29" s="2"/>
      <c r="O29" s="2"/>
      <c r="P29" s="2"/>
      <c r="Q29" s="2"/>
      <c r="R29" s="2"/>
      <c r="S29" s="2"/>
      <c r="T29" s="2"/>
      <c r="U29" s="2"/>
      <c r="V29" s="2"/>
      <c r="W29" s="2"/>
    </row>
    <row r="30" spans="1:23" hidden="1" x14ac:dyDescent="0.2">
      <c r="A30" s="2"/>
      <c r="B30" s="2"/>
      <c r="C30" s="2"/>
      <c r="D30" s="2"/>
      <c r="E30" s="2"/>
      <c r="F30" s="2"/>
      <c r="G30" s="2"/>
      <c r="H30" s="2"/>
      <c r="I30" s="2"/>
      <c r="J30" s="2"/>
      <c r="K30" s="2"/>
      <c r="L30" s="2"/>
      <c r="M30" s="2"/>
      <c r="N30" s="2"/>
      <c r="O30" s="2"/>
      <c r="P30" s="2"/>
      <c r="Q30" s="2"/>
      <c r="R30" s="2"/>
      <c r="S30" s="2"/>
      <c r="T30" s="2"/>
      <c r="U30" s="2"/>
      <c r="V30" s="2"/>
      <c r="W30" s="2"/>
    </row>
    <row r="31" spans="1:23" hidden="1" x14ac:dyDescent="0.2">
      <c r="A31" s="2"/>
      <c r="B31" s="2"/>
      <c r="C31" s="2"/>
      <c r="D31" s="2"/>
      <c r="E31" s="2"/>
      <c r="F31" s="2"/>
      <c r="G31" s="2"/>
      <c r="H31" s="2"/>
      <c r="I31" s="2"/>
      <c r="J31" s="2"/>
      <c r="K31" s="2"/>
      <c r="L31" s="2"/>
      <c r="M31" s="2"/>
      <c r="N31" s="2"/>
      <c r="O31" s="2"/>
      <c r="P31" s="2"/>
      <c r="Q31" s="2"/>
      <c r="R31" s="2"/>
      <c r="S31" s="2"/>
      <c r="T31" s="2"/>
      <c r="U31" s="2"/>
      <c r="V31" s="2"/>
      <c r="W31" s="2"/>
    </row>
    <row r="32" spans="1:23" ht="29.25" hidden="1" customHeight="1" x14ac:dyDescent="0.2">
      <c r="A32" s="623" t="s">
        <v>1</v>
      </c>
      <c r="B32" s="623"/>
      <c r="C32" s="623"/>
      <c r="D32" s="623"/>
      <c r="E32" s="623"/>
      <c r="F32" s="623"/>
      <c r="G32" s="2"/>
      <c r="H32" s="2"/>
      <c r="I32" s="2"/>
      <c r="J32" s="2"/>
      <c r="K32" s="2"/>
      <c r="L32" s="2"/>
      <c r="M32" s="2"/>
      <c r="N32" s="2"/>
      <c r="O32" s="2"/>
      <c r="P32" s="2"/>
      <c r="Q32" s="2"/>
      <c r="R32" s="2"/>
      <c r="S32" s="2"/>
      <c r="T32" s="2"/>
      <c r="U32" s="2"/>
      <c r="V32" s="2"/>
      <c r="W32" s="2"/>
    </row>
    <row r="33" spans="1:23" hidden="1" x14ac:dyDescent="0.2">
      <c r="A33" s="2"/>
      <c r="B33" s="2"/>
      <c r="C33" s="2"/>
      <c r="D33" s="2"/>
      <c r="E33" s="2"/>
      <c r="F33" s="2"/>
      <c r="G33" s="2"/>
      <c r="H33" s="2"/>
      <c r="I33" s="2"/>
      <c r="J33" s="2"/>
      <c r="K33" s="2"/>
      <c r="L33" s="2"/>
      <c r="M33" s="2"/>
      <c r="N33" s="2"/>
      <c r="O33" s="2"/>
      <c r="P33" s="2"/>
      <c r="Q33" s="2"/>
      <c r="R33" s="2"/>
      <c r="S33" s="2"/>
      <c r="T33" s="2"/>
      <c r="U33" s="2"/>
      <c r="V33" s="2"/>
      <c r="W33" s="2"/>
    </row>
    <row r="34" spans="1:23" hidden="1" x14ac:dyDescent="0.2">
      <c r="A34" s="2"/>
      <c r="B34" s="2"/>
      <c r="C34" s="2"/>
      <c r="D34" s="2"/>
      <c r="E34" s="2"/>
      <c r="F34" s="2"/>
      <c r="G34" s="2"/>
      <c r="H34" s="2"/>
      <c r="I34" s="2"/>
      <c r="J34" s="2"/>
      <c r="K34" s="2"/>
      <c r="L34" s="2"/>
      <c r="M34" s="2"/>
      <c r="N34" s="2"/>
      <c r="O34" s="2"/>
      <c r="P34" s="2"/>
      <c r="Q34" s="2"/>
      <c r="R34" s="2"/>
      <c r="S34" s="2"/>
      <c r="T34" s="2"/>
      <c r="U34" s="2"/>
      <c r="V34" s="2"/>
      <c r="W34" s="2"/>
    </row>
    <row r="35" spans="1:23" hidden="1" x14ac:dyDescent="0.2">
      <c r="A35" s="2"/>
      <c r="B35" s="2"/>
      <c r="C35" s="2"/>
      <c r="D35" s="11" t="s">
        <v>389</v>
      </c>
      <c r="E35" s="11"/>
      <c r="F35" s="11"/>
      <c r="G35" s="2"/>
      <c r="H35" s="2"/>
      <c r="I35" s="2"/>
      <c r="J35" s="2"/>
      <c r="K35" s="2"/>
      <c r="L35" s="2"/>
      <c r="M35" s="2"/>
      <c r="N35" s="2"/>
      <c r="O35" s="2"/>
      <c r="P35" s="2"/>
      <c r="Q35" s="2"/>
      <c r="R35" s="2"/>
      <c r="S35" s="2"/>
      <c r="T35" s="2"/>
      <c r="U35" s="2"/>
      <c r="V35" s="2"/>
      <c r="W35" s="2"/>
    </row>
    <row r="36" spans="1:23" hidden="1" x14ac:dyDescent="0.2">
      <c r="A36" s="1" t="s">
        <v>190</v>
      </c>
      <c r="B36" s="36"/>
      <c r="C36" s="2"/>
      <c r="D36" s="11" t="s">
        <v>385</v>
      </c>
      <c r="E36" s="11"/>
      <c r="F36" s="11" t="s">
        <v>192</v>
      </c>
      <c r="G36" s="2"/>
      <c r="H36" s="2"/>
      <c r="I36" s="2"/>
      <c r="J36" s="2"/>
      <c r="K36" s="2"/>
      <c r="L36" s="2"/>
      <c r="M36" s="2"/>
      <c r="N36" s="2"/>
      <c r="O36" s="2"/>
      <c r="P36" s="2"/>
      <c r="Q36" s="2"/>
      <c r="R36" s="2"/>
      <c r="S36" s="2"/>
      <c r="T36" s="2"/>
      <c r="U36" s="2"/>
      <c r="V36" s="2"/>
      <c r="W36" s="2"/>
    </row>
    <row r="37" spans="1:23" hidden="1" x14ac:dyDescent="0.2">
      <c r="A37" s="1" t="s">
        <v>193</v>
      </c>
      <c r="B37" s="36"/>
      <c r="C37" s="2"/>
      <c r="D37" s="11" t="s">
        <v>379</v>
      </c>
      <c r="E37" s="11"/>
      <c r="F37" s="11" t="s">
        <v>194</v>
      </c>
      <c r="G37" s="2"/>
      <c r="H37" s="2"/>
      <c r="I37" s="2"/>
      <c r="J37" s="2"/>
      <c r="K37" s="2"/>
      <c r="L37" s="2"/>
      <c r="M37" s="2"/>
      <c r="N37" s="2"/>
      <c r="O37" s="2"/>
      <c r="P37" s="2"/>
      <c r="Q37" s="2"/>
      <c r="R37" s="2"/>
      <c r="S37" s="2"/>
      <c r="T37" s="2"/>
      <c r="U37" s="2"/>
      <c r="V37" s="2"/>
      <c r="W37" s="2"/>
    </row>
    <row r="38" spans="1:23" hidden="1" x14ac:dyDescent="0.2">
      <c r="A38" s="3" t="s">
        <v>195</v>
      </c>
      <c r="B38" s="124"/>
      <c r="C38" s="2"/>
      <c r="D38" s="10" t="s">
        <v>214</v>
      </c>
      <c r="E38" s="11" t="s">
        <v>314</v>
      </c>
      <c r="F38" s="10" t="s">
        <v>197</v>
      </c>
      <c r="G38" s="2"/>
      <c r="H38" s="2"/>
      <c r="I38" s="2"/>
      <c r="J38" s="2"/>
      <c r="K38" s="2"/>
      <c r="L38" s="2"/>
      <c r="M38" s="2"/>
      <c r="N38" s="2"/>
      <c r="O38" s="2"/>
      <c r="P38" s="2"/>
      <c r="Q38" s="2"/>
      <c r="R38" s="2"/>
      <c r="S38" s="2"/>
      <c r="T38" s="2"/>
      <c r="U38" s="2"/>
      <c r="V38" s="2"/>
      <c r="W38" s="2"/>
    </row>
    <row r="39" spans="1:23" ht="12.75" hidden="1" customHeight="1" x14ac:dyDescent="0.2">
      <c r="A39" s="2"/>
      <c r="C39" s="2"/>
      <c r="D39" s="2"/>
      <c r="E39" s="2"/>
      <c r="F39" s="125"/>
      <c r="G39" s="2"/>
      <c r="H39" s="2"/>
      <c r="I39" s="2"/>
      <c r="J39" s="2"/>
      <c r="K39" s="2"/>
      <c r="L39" s="2"/>
      <c r="M39" s="2"/>
      <c r="N39" s="2"/>
      <c r="O39" s="2"/>
      <c r="P39" s="2"/>
      <c r="Q39" s="2"/>
      <c r="R39" s="2"/>
      <c r="S39" s="2"/>
      <c r="T39" s="2"/>
      <c r="U39" s="2"/>
      <c r="V39" s="2"/>
      <c r="W39" s="2"/>
    </row>
    <row r="40" spans="1:23" ht="13.35" hidden="1" customHeight="1" x14ac:dyDescent="0.2">
      <c r="A40" s="2" t="s">
        <v>198</v>
      </c>
      <c r="C40" s="2"/>
      <c r="D40" s="224">
        <f ca="1">+'COS 1'!J314</f>
        <v>13798939.717170998</v>
      </c>
      <c r="E40" s="2"/>
      <c r="F40" s="167">
        <f ca="1">+'COS 1'!J315</f>
        <v>0.55840000000000001</v>
      </c>
      <c r="G40" s="2"/>
      <c r="H40" s="2"/>
      <c r="I40" s="2"/>
      <c r="J40" s="2"/>
      <c r="K40" s="2"/>
      <c r="L40" s="2"/>
      <c r="M40" s="2"/>
      <c r="N40" s="2"/>
      <c r="O40" s="2"/>
      <c r="P40" s="2"/>
      <c r="Q40" s="2"/>
      <c r="R40" s="2"/>
      <c r="S40" s="2"/>
      <c r="T40" s="2"/>
      <c r="U40" s="2"/>
      <c r="V40" s="2"/>
      <c r="W40" s="2"/>
    </row>
    <row r="41" spans="1:23" ht="13.35" hidden="1" customHeight="1" x14ac:dyDescent="0.2">
      <c r="A41" s="2" t="s">
        <v>334</v>
      </c>
      <c r="C41" s="2"/>
      <c r="D41" s="9">
        <f ca="1">+'COS 1'!L314</f>
        <v>5249870.1372129992</v>
      </c>
      <c r="E41" s="2"/>
      <c r="F41" s="125">
        <f ca="1">+'COS 1'!L315</f>
        <v>0.21240000000000001</v>
      </c>
      <c r="G41" s="2"/>
      <c r="H41" s="2"/>
      <c r="I41" s="2"/>
      <c r="J41" s="2"/>
      <c r="K41" s="2"/>
      <c r="L41" s="2"/>
      <c r="M41" s="2"/>
      <c r="N41" s="2"/>
      <c r="O41" s="2"/>
      <c r="P41" s="2"/>
      <c r="Q41" s="2"/>
      <c r="R41" s="2"/>
      <c r="S41" s="2"/>
      <c r="T41" s="2"/>
      <c r="U41" s="2"/>
      <c r="V41" s="2"/>
      <c r="W41" s="2"/>
    </row>
    <row r="42" spans="1:23" ht="13.35" hidden="1" customHeight="1" x14ac:dyDescent="0.2">
      <c r="A42" s="2" t="s">
        <v>200</v>
      </c>
      <c r="C42" s="2"/>
      <c r="D42" s="9">
        <f ca="1">+'COS 1'!N314</f>
        <v>1739524.5878579998</v>
      </c>
      <c r="E42" s="2"/>
      <c r="F42" s="125">
        <f ca="1">+'COS 1'!N315</f>
        <v>7.0400000000000004E-2</v>
      </c>
      <c r="G42" s="2"/>
      <c r="H42" s="2"/>
      <c r="I42" s="2"/>
      <c r="J42" s="2"/>
      <c r="K42" s="2"/>
      <c r="L42" s="2"/>
      <c r="M42" s="2"/>
      <c r="N42" s="2"/>
      <c r="O42" s="2"/>
      <c r="P42" s="2"/>
      <c r="Q42" s="2"/>
      <c r="R42" s="2"/>
      <c r="S42" s="2"/>
      <c r="T42" s="2"/>
      <c r="U42" s="2"/>
      <c r="V42" s="2"/>
      <c r="W42" s="2"/>
    </row>
    <row r="43" spans="1:23" ht="13.35" hidden="1" customHeight="1" x14ac:dyDescent="0.2">
      <c r="A43" s="2" t="s">
        <v>201</v>
      </c>
      <c r="C43" s="2"/>
      <c r="D43" s="9">
        <f ca="1">+'COS 1'!P314</f>
        <v>1064656.7176669999</v>
      </c>
      <c r="E43" s="2"/>
      <c r="F43" s="125">
        <f ca="1">+'COS 1'!P315</f>
        <v>4.3099999999999999E-2</v>
      </c>
      <c r="G43" s="2"/>
      <c r="H43" s="2"/>
      <c r="I43" s="2"/>
      <c r="J43" s="2"/>
      <c r="K43" s="2"/>
      <c r="L43" s="2"/>
      <c r="M43" s="2"/>
      <c r="N43" s="2"/>
      <c r="O43" s="2"/>
      <c r="P43" s="2"/>
      <c r="Q43" s="2"/>
      <c r="R43" s="2"/>
      <c r="S43" s="2"/>
      <c r="T43" s="2"/>
      <c r="U43" s="2"/>
      <c r="V43" s="2"/>
      <c r="W43" s="2"/>
    </row>
    <row r="44" spans="1:23" ht="13.35" hidden="1" customHeight="1" x14ac:dyDescent="0.2">
      <c r="A44" s="2" t="s">
        <v>105</v>
      </c>
      <c r="C44" s="2"/>
      <c r="D44" s="9">
        <f ca="1">+'COS 1'!R314</f>
        <v>637726.22144399979</v>
      </c>
      <c r="E44" s="2"/>
      <c r="F44" s="125">
        <f ca="1">+'COS 1'!R315</f>
        <v>2.58E-2</v>
      </c>
      <c r="G44" s="2"/>
      <c r="H44" s="2"/>
      <c r="I44" s="2"/>
      <c r="J44" s="2"/>
      <c r="K44" s="2"/>
      <c r="L44" s="2"/>
      <c r="M44" s="2"/>
      <c r="N44" s="2"/>
      <c r="O44" s="2"/>
      <c r="P44" s="2"/>
      <c r="Q44" s="2"/>
      <c r="R44" s="2"/>
      <c r="S44" s="2"/>
      <c r="T44" s="2"/>
      <c r="U44" s="2"/>
      <c r="V44" s="2"/>
      <c r="W44" s="2"/>
    </row>
    <row r="45" spans="1:23" ht="13.35" hidden="1" customHeight="1" x14ac:dyDescent="0.2">
      <c r="A45" s="2" t="s">
        <v>203</v>
      </c>
      <c r="C45" s="2"/>
      <c r="D45" s="9">
        <f ca="1">+'COS 1'!T314</f>
        <v>0</v>
      </c>
      <c r="E45" s="2"/>
      <c r="F45" s="125">
        <f ca="1">+'COS 1'!T315</f>
        <v>0</v>
      </c>
      <c r="G45" s="2"/>
      <c r="H45" s="2"/>
      <c r="I45" s="2"/>
      <c r="J45" s="2"/>
      <c r="K45" s="2"/>
      <c r="L45" s="2"/>
      <c r="M45" s="2"/>
      <c r="N45" s="2"/>
      <c r="O45" s="2"/>
      <c r="P45" s="2"/>
      <c r="Q45" s="2"/>
      <c r="R45" s="2"/>
      <c r="S45" s="2"/>
      <c r="T45" s="2"/>
      <c r="U45" s="2"/>
      <c r="V45" s="2"/>
      <c r="W45" s="2"/>
    </row>
    <row r="46" spans="1:23" ht="13.35" hidden="1" customHeight="1" x14ac:dyDescent="0.2">
      <c r="A46" s="2" t="s">
        <v>238</v>
      </c>
      <c r="C46" s="2"/>
      <c r="D46" s="9">
        <f ca="1">+'COS 1'!V314</f>
        <v>2221563.1286470001</v>
      </c>
      <c r="E46" s="2"/>
      <c r="F46" s="125">
        <f ca="1">+'COS 1'!V315</f>
        <v>8.9899999999999994E-2</v>
      </c>
      <c r="G46" s="2"/>
      <c r="H46" s="2"/>
      <c r="I46" s="2"/>
      <c r="J46" s="2"/>
      <c r="K46" s="2"/>
      <c r="L46" s="2"/>
      <c r="M46" s="2"/>
      <c r="N46" s="2"/>
      <c r="O46" s="2"/>
      <c r="P46" s="2"/>
      <c r="Q46" s="2"/>
      <c r="R46" s="2"/>
      <c r="S46" s="2"/>
      <c r="T46" s="2"/>
      <c r="U46" s="2"/>
      <c r="V46" s="2"/>
      <c r="W46" s="2"/>
    </row>
    <row r="47" spans="1:23" hidden="1" x14ac:dyDescent="0.2">
      <c r="A47" s="2"/>
      <c r="C47" s="2"/>
      <c r="D47" s="5"/>
      <c r="E47" s="2"/>
      <c r="F47" s="6"/>
      <c r="G47" s="2"/>
      <c r="H47" s="2"/>
      <c r="I47" s="2"/>
      <c r="J47" s="2"/>
      <c r="K47" s="2"/>
      <c r="L47" s="2"/>
      <c r="M47" s="2"/>
      <c r="N47" s="2"/>
      <c r="O47" s="2"/>
      <c r="P47" s="2"/>
      <c r="Q47" s="2"/>
      <c r="R47" s="2"/>
      <c r="S47" s="2"/>
      <c r="T47" s="2"/>
      <c r="U47" s="2"/>
      <c r="V47" s="2"/>
      <c r="W47" s="2"/>
    </row>
    <row r="48" spans="1:23" ht="15.75" hidden="1" thickBot="1" x14ac:dyDescent="0.25">
      <c r="A48" s="2" t="s">
        <v>205</v>
      </c>
      <c r="C48" s="2"/>
      <c r="D48" s="225">
        <f ca="1">SUM(D40:D47)</f>
        <v>24712280.509999994</v>
      </c>
      <c r="E48" s="2"/>
      <c r="F48" s="125">
        <f ca="1">SUM(F40:F47)</f>
        <v>1.0000000000000002</v>
      </c>
      <c r="G48" s="2"/>
      <c r="H48" s="2"/>
      <c r="I48" s="2"/>
      <c r="J48" s="2"/>
      <c r="K48" s="2"/>
      <c r="L48" s="2"/>
      <c r="M48" s="2"/>
      <c r="N48" s="2"/>
      <c r="O48" s="2"/>
      <c r="P48" s="2"/>
      <c r="Q48" s="2"/>
      <c r="R48" s="2"/>
      <c r="S48" s="2"/>
      <c r="T48" s="2"/>
      <c r="U48" s="2"/>
      <c r="V48" s="2"/>
      <c r="W48" s="2"/>
    </row>
    <row r="49" spans="1:23" x14ac:dyDescent="0.2">
      <c r="A49" s="2"/>
      <c r="B49" s="2"/>
      <c r="C49" s="2"/>
      <c r="D49" s="2"/>
      <c r="E49" s="2"/>
      <c r="F49" s="2"/>
      <c r="G49" s="2"/>
      <c r="H49" s="2"/>
      <c r="I49" s="2"/>
      <c r="J49" s="2"/>
      <c r="K49" s="2"/>
      <c r="L49" s="2"/>
      <c r="M49" s="2"/>
      <c r="N49" s="2"/>
      <c r="O49" s="2"/>
      <c r="P49" s="2"/>
      <c r="Q49" s="2"/>
      <c r="R49" s="2"/>
      <c r="S49" s="2"/>
      <c r="T49" s="2"/>
      <c r="U49" s="2"/>
      <c r="V49" s="2"/>
      <c r="W49" s="2"/>
    </row>
    <row r="50" spans="1:23" x14ac:dyDescent="0.2">
      <c r="A50" s="2"/>
      <c r="B50" s="2"/>
      <c r="C50" s="2"/>
      <c r="D50" s="2"/>
      <c r="E50" s="2"/>
      <c r="F50" s="2"/>
      <c r="G50" s="2"/>
      <c r="H50" s="2"/>
      <c r="I50" s="2"/>
      <c r="J50" s="2"/>
      <c r="K50" s="2"/>
      <c r="L50" s="2"/>
      <c r="M50" s="2"/>
      <c r="N50" s="2"/>
      <c r="O50" s="2"/>
      <c r="P50" s="2"/>
      <c r="Q50" s="2"/>
      <c r="R50" s="2"/>
      <c r="S50" s="2"/>
      <c r="T50" s="2"/>
      <c r="U50" s="2"/>
      <c r="V50" s="2"/>
      <c r="W50" s="2"/>
    </row>
    <row r="51" spans="1:23" x14ac:dyDescent="0.2">
      <c r="A51" s="36" t="s">
        <v>51</v>
      </c>
      <c r="B51" s="1"/>
      <c r="C51" s="36"/>
      <c r="D51" s="1"/>
      <c r="E51" s="1"/>
      <c r="F51" s="1"/>
      <c r="G51" s="2"/>
      <c r="H51" s="2"/>
      <c r="I51" s="2"/>
      <c r="J51" s="2"/>
      <c r="K51" s="2"/>
      <c r="L51" s="2"/>
      <c r="M51" s="2"/>
      <c r="N51" s="2"/>
      <c r="O51" s="2"/>
      <c r="P51" s="2"/>
      <c r="Q51" s="2"/>
      <c r="R51" s="2"/>
      <c r="S51" s="2"/>
      <c r="T51" s="2"/>
      <c r="U51" s="2"/>
      <c r="V51" s="2"/>
      <c r="W51" s="2"/>
    </row>
    <row r="52" spans="1:23" x14ac:dyDescent="0.2">
      <c r="A52" s="36"/>
      <c r="B52" s="1"/>
      <c r="C52" s="36"/>
      <c r="D52" s="1"/>
      <c r="E52" s="1"/>
      <c r="F52" s="1"/>
      <c r="G52" s="2"/>
      <c r="H52" s="2"/>
      <c r="I52" s="2"/>
      <c r="J52" s="2"/>
      <c r="K52" s="2"/>
      <c r="L52" s="2"/>
      <c r="M52" s="2"/>
      <c r="N52" s="2"/>
      <c r="O52" s="2"/>
      <c r="P52" s="2"/>
      <c r="Q52" s="2"/>
      <c r="R52" s="2"/>
      <c r="S52" s="2"/>
      <c r="T52" s="2"/>
      <c r="U52" s="2"/>
      <c r="V52" s="2"/>
      <c r="W52" s="2"/>
    </row>
    <row r="53" spans="1:23" x14ac:dyDescent="0.2">
      <c r="A53" s="1"/>
      <c r="B53" s="1"/>
      <c r="C53" s="1"/>
      <c r="D53" s="1"/>
      <c r="E53" s="1"/>
      <c r="F53" s="1"/>
      <c r="G53" s="2"/>
      <c r="H53" s="2"/>
      <c r="I53" s="2"/>
      <c r="J53" s="2"/>
      <c r="K53" s="2"/>
      <c r="L53" s="2"/>
      <c r="M53" s="2"/>
      <c r="N53" s="2"/>
      <c r="O53" s="2"/>
      <c r="P53" s="2"/>
      <c r="Q53" s="2"/>
      <c r="R53" s="2"/>
      <c r="S53" s="2"/>
      <c r="T53" s="2"/>
      <c r="U53" s="2"/>
      <c r="V53" s="2"/>
      <c r="W53" s="2"/>
    </row>
    <row r="54" spans="1:23" x14ac:dyDescent="0.2">
      <c r="A54" s="1" t="s">
        <v>221</v>
      </c>
      <c r="B54" s="1"/>
      <c r="C54" s="1"/>
      <c r="D54" s="1"/>
      <c r="E54" s="1"/>
      <c r="F54" s="1"/>
      <c r="G54" s="2"/>
      <c r="H54" s="2"/>
      <c r="I54" s="2"/>
      <c r="J54" s="2"/>
      <c r="K54" s="2"/>
      <c r="L54" s="2"/>
      <c r="M54" s="2"/>
      <c r="N54" s="2"/>
      <c r="O54" s="2"/>
      <c r="P54" s="2"/>
      <c r="Q54" s="2"/>
      <c r="R54" s="2"/>
      <c r="S54" s="2"/>
      <c r="T54" s="2"/>
      <c r="U54" s="2"/>
      <c r="V54" s="2"/>
      <c r="W54" s="2"/>
    </row>
    <row r="55" spans="1:23" x14ac:dyDescent="0.2">
      <c r="A55" s="2"/>
      <c r="B55" s="2"/>
      <c r="C55" s="2"/>
      <c r="D55" s="2"/>
      <c r="E55" s="2"/>
      <c r="F55" s="2"/>
      <c r="G55" s="2"/>
      <c r="H55" s="2"/>
      <c r="I55" s="2"/>
      <c r="J55" s="2"/>
      <c r="K55" s="2"/>
      <c r="L55" s="2"/>
      <c r="M55" s="2"/>
      <c r="N55" s="2"/>
      <c r="O55" s="125"/>
      <c r="P55" s="2"/>
      <c r="Q55" s="2"/>
      <c r="R55" s="2"/>
      <c r="S55" s="2"/>
      <c r="T55" s="2"/>
      <c r="U55" s="2"/>
      <c r="V55" s="2"/>
      <c r="W55" s="2"/>
    </row>
    <row r="56" spans="1:23" x14ac:dyDescent="0.2">
      <c r="A56" s="2"/>
      <c r="B56" s="2"/>
      <c r="C56" s="2"/>
      <c r="D56" s="2"/>
      <c r="E56" s="2"/>
      <c r="F56" s="2"/>
      <c r="G56" s="2"/>
      <c r="H56" s="2"/>
      <c r="I56" s="2"/>
      <c r="J56" s="2"/>
      <c r="K56" s="2"/>
      <c r="L56" s="2"/>
      <c r="M56" s="2"/>
      <c r="N56" s="2"/>
      <c r="O56" s="125"/>
      <c r="P56" s="2"/>
      <c r="Q56" s="2"/>
      <c r="R56" s="2"/>
      <c r="S56" s="2"/>
      <c r="T56" s="2"/>
      <c r="U56" s="2"/>
      <c r="V56" s="2"/>
      <c r="W56" s="2"/>
    </row>
    <row r="57" spans="1:23" x14ac:dyDescent="0.2">
      <c r="A57" s="2" t="s">
        <v>390</v>
      </c>
      <c r="B57" s="2"/>
      <c r="C57" s="2"/>
      <c r="D57" s="2"/>
      <c r="E57" s="2"/>
      <c r="F57" s="2"/>
      <c r="G57" s="2"/>
      <c r="O57" s="125"/>
      <c r="P57" s="2"/>
      <c r="Q57" s="2"/>
      <c r="R57" s="2"/>
      <c r="S57" s="2"/>
      <c r="T57" s="2"/>
      <c r="U57" s="2"/>
      <c r="V57" s="2"/>
      <c r="W57" s="2"/>
    </row>
    <row r="58" spans="1:23" x14ac:dyDescent="0.2">
      <c r="A58" s="2"/>
      <c r="B58" s="2"/>
      <c r="C58" s="2"/>
      <c r="D58" s="2"/>
      <c r="E58" s="2"/>
      <c r="F58" s="2"/>
      <c r="G58" s="2"/>
      <c r="O58" s="125"/>
      <c r="P58" s="2"/>
      <c r="Q58" s="2"/>
      <c r="R58" s="2"/>
      <c r="S58" s="2"/>
      <c r="T58" s="2"/>
      <c r="U58" s="2"/>
      <c r="V58" s="2"/>
      <c r="W58" s="2"/>
    </row>
    <row r="59" spans="1:23" ht="14.65" customHeight="1" x14ac:dyDescent="0.2">
      <c r="A59" s="623" t="s">
        <v>152</v>
      </c>
      <c r="B59" s="623"/>
      <c r="C59" s="623"/>
      <c r="D59" s="623"/>
      <c r="E59" s="623"/>
      <c r="F59" s="623"/>
      <c r="G59" s="2"/>
      <c r="O59" s="125"/>
      <c r="P59" s="2"/>
      <c r="Q59" s="2"/>
      <c r="R59" s="2"/>
      <c r="S59" s="2"/>
      <c r="T59" s="2"/>
      <c r="U59" s="2"/>
      <c r="V59" s="2"/>
      <c r="W59" s="2"/>
    </row>
    <row r="60" spans="1:23" x14ac:dyDescent="0.2">
      <c r="A60" s="2"/>
      <c r="B60" s="2"/>
      <c r="C60" s="2"/>
      <c r="D60" s="2"/>
      <c r="E60" s="2"/>
      <c r="F60" s="2"/>
      <c r="G60" s="2"/>
      <c r="O60" s="2"/>
      <c r="P60" s="2"/>
      <c r="Q60" s="2"/>
      <c r="R60" s="2"/>
      <c r="S60" s="2"/>
      <c r="T60" s="2"/>
      <c r="U60" s="2"/>
      <c r="V60" s="2"/>
      <c r="W60" s="2"/>
    </row>
    <row r="61" spans="1:23" x14ac:dyDescent="0.2">
      <c r="A61" s="1" t="s">
        <v>190</v>
      </c>
      <c r="B61" s="36"/>
      <c r="C61" s="2"/>
      <c r="D61" s="11" t="s">
        <v>391</v>
      </c>
      <c r="E61" s="11"/>
      <c r="F61" s="11" t="s">
        <v>192</v>
      </c>
      <c r="G61" s="2"/>
      <c r="O61" s="2"/>
      <c r="P61" s="2"/>
      <c r="Q61" s="2"/>
      <c r="R61" s="2"/>
      <c r="S61" s="2"/>
      <c r="T61" s="2"/>
      <c r="U61" s="2"/>
      <c r="V61" s="2"/>
      <c r="W61" s="2"/>
    </row>
    <row r="62" spans="1:23" x14ac:dyDescent="0.2">
      <c r="A62" s="1" t="s">
        <v>193</v>
      </c>
      <c r="B62" s="36"/>
      <c r="C62" s="2"/>
      <c r="D62" s="11" t="s">
        <v>392</v>
      </c>
      <c r="E62" s="11"/>
      <c r="F62" s="11" t="s">
        <v>194</v>
      </c>
      <c r="G62" s="2"/>
      <c r="O62" s="2"/>
      <c r="P62" s="2"/>
      <c r="Q62" s="2"/>
      <c r="R62" s="2"/>
      <c r="S62" s="2"/>
      <c r="T62" s="2"/>
      <c r="U62" s="2"/>
      <c r="V62" s="2"/>
      <c r="W62" s="2"/>
    </row>
    <row r="63" spans="1:23" x14ac:dyDescent="0.2">
      <c r="A63" s="3" t="s">
        <v>195</v>
      </c>
      <c r="B63" s="124"/>
      <c r="C63" s="2"/>
      <c r="D63" s="10" t="s">
        <v>214</v>
      </c>
      <c r="E63" s="11" t="s">
        <v>314</v>
      </c>
      <c r="F63" s="10" t="s">
        <v>197</v>
      </c>
      <c r="G63" s="2"/>
      <c r="O63" s="2"/>
      <c r="P63" s="2"/>
      <c r="Q63" s="2"/>
      <c r="R63" s="2"/>
      <c r="S63" s="2"/>
      <c r="T63" s="2"/>
      <c r="U63" s="2"/>
      <c r="V63" s="2"/>
      <c r="W63" s="2"/>
    </row>
    <row r="64" spans="1:23" x14ac:dyDescent="0.2">
      <c r="A64" s="2"/>
      <c r="C64" s="2"/>
      <c r="D64" s="2"/>
      <c r="E64" s="2"/>
      <c r="F64" s="125"/>
      <c r="G64" s="2"/>
      <c r="O64" s="2"/>
      <c r="P64" s="2"/>
      <c r="Q64" s="2"/>
      <c r="R64" s="2"/>
      <c r="S64" s="2"/>
      <c r="T64" s="2"/>
      <c r="U64" s="2"/>
      <c r="V64" s="2"/>
      <c r="W64" s="2"/>
    </row>
    <row r="65" spans="1:23" x14ac:dyDescent="0.2">
      <c r="A65" s="2" t="s">
        <v>198</v>
      </c>
      <c r="C65" s="2"/>
      <c r="D65" s="224">
        <f>+'COS 1'!J316</f>
        <v>4478989.9356936002</v>
      </c>
      <c r="E65" s="2"/>
      <c r="F65" s="167">
        <f>+'COS 1'!J317</f>
        <v>0.56469999999999998</v>
      </c>
      <c r="G65" s="2"/>
      <c r="O65" s="2"/>
      <c r="P65" s="2"/>
      <c r="Q65" s="2"/>
      <c r="R65" s="2"/>
      <c r="S65" s="2"/>
      <c r="T65" s="2"/>
      <c r="U65" s="2"/>
      <c r="V65" s="2"/>
      <c r="W65" s="2"/>
    </row>
    <row r="66" spans="1:23" x14ac:dyDescent="0.2">
      <c r="A66" s="2" t="s">
        <v>334</v>
      </c>
      <c r="C66" s="2"/>
      <c r="D66" s="9">
        <f>+'COS 1'!L316</f>
        <v>1627316.0343809999</v>
      </c>
      <c r="E66" s="2"/>
      <c r="F66" s="125">
        <f>+'COS 1'!L317</f>
        <v>0.20519999999999999</v>
      </c>
      <c r="G66" s="2"/>
      <c r="O66" s="2"/>
      <c r="P66" s="2"/>
      <c r="Q66" s="2"/>
      <c r="R66" s="2"/>
      <c r="S66" s="2"/>
      <c r="T66" s="2"/>
      <c r="U66" s="2"/>
      <c r="V66" s="2"/>
      <c r="W66" s="2"/>
    </row>
    <row r="67" spans="1:23" x14ac:dyDescent="0.2">
      <c r="A67" s="2" t="s">
        <v>200</v>
      </c>
      <c r="C67" s="2"/>
      <c r="D67" s="9">
        <f>+'COS 1'!N316</f>
        <v>512278.432745</v>
      </c>
      <c r="E67" s="2"/>
      <c r="F67" s="125">
        <f>+'COS 1'!N317</f>
        <v>6.4600000000000005E-2</v>
      </c>
      <c r="G67" s="2"/>
      <c r="O67" s="2"/>
      <c r="P67" s="2"/>
      <c r="Q67" s="2"/>
      <c r="R67" s="2"/>
      <c r="S67" s="2"/>
      <c r="T67" s="2"/>
      <c r="U67" s="2"/>
      <c r="V67" s="2"/>
      <c r="W67" s="2"/>
    </row>
    <row r="68" spans="1:23" x14ac:dyDescent="0.2">
      <c r="A68" s="2" t="s">
        <v>201</v>
      </c>
      <c r="C68" s="2"/>
      <c r="D68" s="9">
        <f>+'COS 1'!P316</f>
        <v>319886.50970539998</v>
      </c>
      <c r="E68" s="2"/>
      <c r="F68" s="125">
        <f>+'COS 1'!P317</f>
        <v>4.0300000000000002E-2</v>
      </c>
      <c r="G68" s="2"/>
      <c r="O68" s="2"/>
      <c r="P68" s="2"/>
      <c r="Q68" s="2"/>
      <c r="R68" s="2"/>
      <c r="S68" s="2"/>
      <c r="T68" s="2"/>
      <c r="U68" s="2"/>
      <c r="V68" s="2"/>
      <c r="W68" s="2"/>
    </row>
    <row r="69" spans="1:23" ht="13.9" customHeight="1" x14ac:dyDescent="0.2">
      <c r="A69" s="2" t="s">
        <v>105</v>
      </c>
      <c r="C69" s="2"/>
      <c r="D69" s="9">
        <f>+'COS 1'!R316</f>
        <v>161957.75785299999</v>
      </c>
      <c r="E69" s="2"/>
      <c r="F69" s="125">
        <f>+'COS 1'!R317</f>
        <v>2.0400000000000001E-2</v>
      </c>
      <c r="G69" s="2"/>
      <c r="O69" s="2"/>
      <c r="P69" s="2"/>
      <c r="Q69" s="2"/>
      <c r="R69" s="2"/>
      <c r="S69" s="2"/>
      <c r="T69" s="2"/>
      <c r="U69" s="2"/>
      <c r="V69" s="2"/>
      <c r="W69" s="2"/>
    </row>
    <row r="70" spans="1:23" ht="13.35" hidden="1" customHeight="1" x14ac:dyDescent="0.2">
      <c r="A70" s="2" t="s">
        <v>203</v>
      </c>
      <c r="C70" s="2"/>
      <c r="D70" s="9">
        <f>+'COS 1'!T316</f>
        <v>0</v>
      </c>
      <c r="E70" s="2"/>
      <c r="F70" s="125">
        <f>+'COS 1'!T317</f>
        <v>0</v>
      </c>
      <c r="G70" s="2"/>
      <c r="O70" s="2"/>
      <c r="P70" s="2"/>
      <c r="Q70" s="2"/>
      <c r="R70" s="2"/>
      <c r="S70" s="2"/>
      <c r="T70" s="2"/>
      <c r="U70" s="2"/>
      <c r="V70" s="2"/>
      <c r="W70" s="2"/>
    </row>
    <row r="71" spans="1:23" ht="13.35" customHeight="1" x14ac:dyDescent="0.2">
      <c r="A71" s="2" t="s">
        <v>238</v>
      </c>
      <c r="C71" s="2"/>
      <c r="D71" s="9">
        <f>+'COS 1'!V316</f>
        <v>831523.12962200004</v>
      </c>
      <c r="E71" s="2"/>
      <c r="F71" s="125">
        <f>+'COS 1'!V317</f>
        <v>0.1048</v>
      </c>
      <c r="G71" s="2"/>
      <c r="O71" s="2"/>
      <c r="P71" s="2"/>
      <c r="Q71" s="2"/>
      <c r="R71" s="2"/>
      <c r="S71" s="2"/>
      <c r="T71" s="2"/>
      <c r="U71" s="2"/>
      <c r="V71" s="2"/>
      <c r="W71" s="2"/>
    </row>
    <row r="72" spans="1:23" ht="13.35" customHeight="1" x14ac:dyDescent="0.2">
      <c r="A72" s="2"/>
      <c r="C72" s="2"/>
      <c r="D72" s="5"/>
      <c r="E72" s="2"/>
      <c r="F72" s="6"/>
      <c r="G72" s="2"/>
      <c r="O72" s="2"/>
      <c r="P72" s="2"/>
      <c r="Q72" s="2"/>
      <c r="R72" s="2"/>
      <c r="S72" s="2"/>
      <c r="T72" s="2"/>
      <c r="U72" s="2"/>
      <c r="V72" s="2"/>
      <c r="W72" s="2"/>
    </row>
    <row r="73" spans="1:23" ht="13.35" customHeight="1" thickBot="1" x14ac:dyDescent="0.25">
      <c r="A73" s="2" t="s">
        <v>205</v>
      </c>
      <c r="C73" s="2"/>
      <c r="D73" s="225">
        <f>SUM(D65:D72)</f>
        <v>7931951.8000000007</v>
      </c>
      <c r="E73" s="2"/>
      <c r="F73" s="125">
        <f>SUM(F65:F72)</f>
        <v>1</v>
      </c>
      <c r="G73" s="2"/>
      <c r="O73" s="2"/>
      <c r="P73" s="2"/>
      <c r="Q73" s="2"/>
      <c r="R73" s="2"/>
      <c r="S73" s="2"/>
      <c r="T73" s="2"/>
      <c r="U73" s="2"/>
      <c r="V73" s="2"/>
      <c r="W73" s="2"/>
    </row>
    <row r="74" spans="1:23" ht="13.35" customHeight="1" thickTop="1" x14ac:dyDescent="0.2">
      <c r="A74" s="2"/>
      <c r="B74" s="2"/>
      <c r="C74" s="2"/>
      <c r="D74" s="160"/>
      <c r="E74" s="13"/>
      <c r="F74" s="8"/>
      <c r="G74" s="2"/>
      <c r="O74" s="2"/>
      <c r="P74" s="2"/>
      <c r="Q74" s="2"/>
      <c r="R74" s="2"/>
      <c r="S74" s="2"/>
      <c r="T74" s="2"/>
      <c r="U74" s="2"/>
      <c r="V74" s="2"/>
      <c r="W74" s="2"/>
    </row>
    <row r="75" spans="1:23" ht="13.35" customHeight="1" x14ac:dyDescent="0.2">
      <c r="A75" s="2"/>
      <c r="B75" s="2"/>
      <c r="C75" s="2"/>
      <c r="D75" s="2"/>
      <c r="E75" s="2"/>
      <c r="F75" s="2"/>
      <c r="G75" s="2"/>
      <c r="O75" s="2"/>
      <c r="P75" s="2"/>
      <c r="Q75" s="2"/>
      <c r="R75" s="2"/>
      <c r="S75" s="2"/>
      <c r="T75" s="2"/>
      <c r="U75" s="2"/>
      <c r="V75" s="2"/>
      <c r="W75" s="2"/>
    </row>
    <row r="76" spans="1:23" ht="13.35" customHeight="1" x14ac:dyDescent="0.2">
      <c r="A76" s="2"/>
      <c r="B76" s="2"/>
      <c r="C76" s="2"/>
      <c r="D76" s="2"/>
      <c r="E76" s="2"/>
      <c r="F76" s="2"/>
      <c r="G76" s="2"/>
      <c r="O76" s="2"/>
      <c r="P76" s="2"/>
      <c r="Q76" s="2"/>
      <c r="R76" s="2"/>
      <c r="S76" s="2"/>
      <c r="T76" s="2"/>
      <c r="U76" s="2"/>
      <c r="V76" s="2"/>
      <c r="W76" s="2"/>
    </row>
    <row r="77" spans="1:23" x14ac:dyDescent="0.2">
      <c r="A77" s="2" t="s">
        <v>137</v>
      </c>
      <c r="B77" s="2"/>
      <c r="C77" s="2"/>
      <c r="D77" s="2"/>
      <c r="E77" s="2"/>
      <c r="F77" s="2"/>
      <c r="G77" s="2"/>
      <c r="O77" s="2"/>
      <c r="P77" s="2"/>
      <c r="Q77" s="2"/>
      <c r="R77" s="2"/>
      <c r="S77" s="2"/>
      <c r="T77" s="2"/>
      <c r="U77" s="2"/>
      <c r="V77" s="2"/>
      <c r="W77" s="2"/>
    </row>
    <row r="78" spans="1:23" x14ac:dyDescent="0.2">
      <c r="A78" s="2" t="s">
        <v>156</v>
      </c>
      <c r="B78" s="2"/>
      <c r="C78" s="2"/>
      <c r="D78" s="2"/>
      <c r="E78" s="2"/>
      <c r="F78" s="2"/>
      <c r="G78" s="2"/>
      <c r="O78" s="2"/>
      <c r="P78" s="2"/>
      <c r="Q78" s="2"/>
      <c r="R78" s="2"/>
      <c r="S78" s="2"/>
      <c r="T78" s="2"/>
      <c r="U78" s="2"/>
      <c r="V78" s="2"/>
      <c r="W78" s="2"/>
    </row>
    <row r="79" spans="1:23" x14ac:dyDescent="0.2">
      <c r="A79" s="2"/>
      <c r="B79" s="2"/>
      <c r="C79" s="2"/>
      <c r="D79" s="2"/>
      <c r="E79" s="2"/>
      <c r="F79" s="2"/>
      <c r="G79" s="2"/>
      <c r="O79" s="2"/>
      <c r="P79" s="2"/>
      <c r="Q79" s="2"/>
      <c r="R79" s="2"/>
      <c r="S79" s="2"/>
      <c r="T79" s="2"/>
      <c r="U79" s="2"/>
      <c r="V79" s="2"/>
      <c r="W79" s="2"/>
    </row>
    <row r="80" spans="1:23" ht="28.15" customHeight="1" x14ac:dyDescent="0.2">
      <c r="A80" s="623" t="s">
        <v>393</v>
      </c>
      <c r="B80" s="623"/>
      <c r="C80" s="623"/>
      <c r="D80" s="623"/>
      <c r="E80" s="623"/>
      <c r="F80" s="623"/>
      <c r="G80" s="2"/>
      <c r="O80" s="2"/>
      <c r="P80" s="2"/>
      <c r="Q80" s="2"/>
      <c r="R80" s="2"/>
      <c r="S80" s="2"/>
      <c r="T80" s="2"/>
      <c r="U80" s="2"/>
      <c r="V80" s="2"/>
      <c r="W80" s="2"/>
    </row>
    <row r="81" spans="1:23" x14ac:dyDescent="0.2">
      <c r="A81" s="2"/>
      <c r="B81" s="2"/>
      <c r="C81" s="2"/>
      <c r="D81" s="2"/>
      <c r="E81" s="2"/>
      <c r="F81" s="2"/>
      <c r="G81" s="2"/>
      <c r="O81" s="2"/>
      <c r="P81" s="2"/>
      <c r="Q81" s="2"/>
      <c r="R81" s="2"/>
      <c r="S81" s="2"/>
      <c r="T81" s="2"/>
      <c r="U81" s="2"/>
      <c r="V81" s="2"/>
      <c r="W81" s="2"/>
    </row>
    <row r="82" spans="1:23" x14ac:dyDescent="0.2">
      <c r="A82" s="2"/>
      <c r="B82" s="2"/>
      <c r="C82" s="2"/>
      <c r="D82" s="11" t="s">
        <v>394</v>
      </c>
      <c r="E82" s="11"/>
      <c r="F82" s="11"/>
      <c r="G82" s="2"/>
      <c r="O82" s="2"/>
      <c r="P82" s="2"/>
      <c r="Q82" s="2"/>
      <c r="R82" s="2"/>
      <c r="S82" s="2"/>
      <c r="T82" s="2"/>
      <c r="U82" s="2"/>
      <c r="V82" s="2"/>
      <c r="W82" s="2"/>
    </row>
    <row r="83" spans="1:23" x14ac:dyDescent="0.2">
      <c r="A83" s="1" t="s">
        <v>190</v>
      </c>
      <c r="B83" s="36"/>
      <c r="C83" s="2"/>
      <c r="D83" s="11" t="s">
        <v>395</v>
      </c>
      <c r="E83" s="11"/>
      <c r="F83" s="11" t="s">
        <v>192</v>
      </c>
      <c r="G83" s="2"/>
      <c r="O83" s="2"/>
      <c r="P83" s="2"/>
      <c r="Q83" s="2"/>
      <c r="R83" s="2"/>
      <c r="S83" s="2"/>
      <c r="T83" s="2"/>
      <c r="U83" s="2"/>
      <c r="V83" s="2"/>
      <c r="W83" s="2"/>
    </row>
    <row r="84" spans="1:23" x14ac:dyDescent="0.2">
      <c r="A84" s="1" t="s">
        <v>193</v>
      </c>
      <c r="B84" s="36"/>
      <c r="C84" s="2"/>
      <c r="D84" s="11" t="s">
        <v>396</v>
      </c>
      <c r="E84" s="11"/>
      <c r="F84" s="11" t="s">
        <v>194</v>
      </c>
      <c r="G84" s="2"/>
      <c r="O84" s="2"/>
      <c r="P84" s="2"/>
      <c r="Q84" s="2"/>
      <c r="R84" s="2"/>
      <c r="S84" s="2"/>
      <c r="T84" s="2"/>
      <c r="U84" s="2"/>
      <c r="V84" s="2"/>
      <c r="W84" s="2"/>
    </row>
    <row r="85" spans="1:23" x14ac:dyDescent="0.2">
      <c r="A85" s="3" t="s">
        <v>195</v>
      </c>
      <c r="B85" s="124"/>
      <c r="C85" s="2"/>
      <c r="D85" s="10" t="s">
        <v>214</v>
      </c>
      <c r="E85" s="11" t="s">
        <v>314</v>
      </c>
      <c r="F85" s="10" t="s">
        <v>197</v>
      </c>
      <c r="G85" s="2"/>
      <c r="O85" s="2"/>
      <c r="P85" s="2"/>
      <c r="Q85" s="2"/>
      <c r="R85" s="2"/>
      <c r="S85" s="2"/>
      <c r="T85" s="2"/>
      <c r="U85" s="2"/>
      <c r="V85" s="2"/>
      <c r="W85" s="2"/>
    </row>
    <row r="86" spans="1:23" x14ac:dyDescent="0.2">
      <c r="A86" s="2"/>
      <c r="C86" s="2"/>
      <c r="D86" s="2"/>
      <c r="E86" s="2"/>
      <c r="F86" s="125"/>
      <c r="G86" s="2"/>
      <c r="O86" s="2"/>
      <c r="P86" s="2"/>
      <c r="Q86" s="2"/>
      <c r="R86" s="2"/>
      <c r="S86" s="2"/>
      <c r="T86" s="2"/>
      <c r="U86" s="2"/>
      <c r="V86" s="2"/>
      <c r="W86" s="2"/>
    </row>
    <row r="87" spans="1:23" x14ac:dyDescent="0.2">
      <c r="A87" s="2" t="s">
        <v>198</v>
      </c>
      <c r="C87" s="2"/>
      <c r="D87" s="224">
        <f>+'COS 1'!J318</f>
        <v>158668232.2127471</v>
      </c>
      <c r="E87" s="2"/>
      <c r="F87" s="167">
        <f>+'COS 1'!J319</f>
        <v>0.504</v>
      </c>
      <c r="G87" s="2"/>
      <c r="O87" s="2"/>
      <c r="P87" s="2"/>
      <c r="Q87" s="2"/>
      <c r="R87" s="2"/>
      <c r="S87" s="2"/>
      <c r="T87" s="2"/>
      <c r="U87" s="2"/>
      <c r="V87" s="2"/>
      <c r="W87" s="2"/>
    </row>
    <row r="88" spans="1:23" x14ac:dyDescent="0.2">
      <c r="A88" s="2" t="s">
        <v>334</v>
      </c>
      <c r="C88" s="2"/>
      <c r="D88" s="9">
        <f>+'COS 1'!L318</f>
        <v>69822796.352354079</v>
      </c>
      <c r="E88" s="2"/>
      <c r="F88" s="125">
        <f>+'COS 1'!L319</f>
        <v>0.2218</v>
      </c>
      <c r="G88" s="2"/>
      <c r="O88" s="2"/>
      <c r="P88" s="2"/>
      <c r="Q88" s="2"/>
      <c r="R88" s="2"/>
      <c r="S88" s="2"/>
      <c r="T88" s="2"/>
      <c r="U88" s="2"/>
      <c r="V88" s="2"/>
      <c r="W88" s="2"/>
    </row>
    <row r="89" spans="1:23" x14ac:dyDescent="0.2">
      <c r="A89" s="2" t="s">
        <v>200</v>
      </c>
      <c r="C89" s="2"/>
      <c r="D89" s="9">
        <f>+'COS 1'!N318</f>
        <v>23937599.493770152</v>
      </c>
      <c r="E89" s="2"/>
      <c r="F89" s="125">
        <f>+'COS 1'!N319</f>
        <v>7.5999999999999998E-2</v>
      </c>
      <c r="G89" s="2"/>
      <c r="O89" s="2"/>
      <c r="P89" s="2"/>
      <c r="Q89" s="2"/>
      <c r="R89" s="2"/>
      <c r="S89" s="2"/>
      <c r="T89" s="2"/>
      <c r="U89" s="2"/>
      <c r="V89" s="2"/>
      <c r="W89" s="2"/>
    </row>
    <row r="90" spans="1:23" x14ac:dyDescent="0.2">
      <c r="A90" s="2" t="s">
        <v>201</v>
      </c>
      <c r="C90" s="2"/>
      <c r="D90" s="9">
        <f>+'COS 1'!P318</f>
        <v>14369877.337608946</v>
      </c>
      <c r="E90" s="2"/>
      <c r="F90" s="125">
        <f>+'COS 1'!P319</f>
        <v>4.5600000000000002E-2</v>
      </c>
      <c r="G90" s="2"/>
      <c r="O90" s="2"/>
      <c r="P90" s="2"/>
      <c r="Q90" s="2"/>
      <c r="R90" s="2"/>
      <c r="S90" s="2"/>
      <c r="T90" s="2"/>
      <c r="U90" s="2"/>
      <c r="V90" s="2"/>
      <c r="W90" s="2"/>
    </row>
    <row r="91" spans="1:23" ht="13.9" customHeight="1" x14ac:dyDescent="0.2">
      <c r="A91" s="2" t="s">
        <v>105</v>
      </c>
      <c r="C91" s="2"/>
      <c r="D91" s="9">
        <f>+'COS 1'!R318</f>
        <v>8717325.8234103955</v>
      </c>
      <c r="E91" s="2"/>
      <c r="F91" s="125">
        <f>+'COS 1'!R319</f>
        <v>2.7699999999999999E-2</v>
      </c>
      <c r="G91" s="2"/>
      <c r="O91" s="2"/>
      <c r="P91" s="2"/>
      <c r="Q91" s="2"/>
      <c r="R91" s="2"/>
      <c r="S91" s="2"/>
      <c r="T91" s="2"/>
      <c r="U91" s="2"/>
      <c r="V91" s="2"/>
      <c r="W91" s="2"/>
    </row>
    <row r="92" spans="1:23" ht="13.35" hidden="1" customHeight="1" x14ac:dyDescent="0.2">
      <c r="A92" s="2" t="s">
        <v>203</v>
      </c>
      <c r="C92" s="2"/>
      <c r="D92" s="9">
        <f>+'COS 1'!T318</f>
        <v>0</v>
      </c>
      <c r="E92" s="2"/>
      <c r="F92" s="125">
        <f>+'COS 1'!T319</f>
        <v>0</v>
      </c>
      <c r="G92" s="2"/>
      <c r="O92" s="2"/>
      <c r="P92" s="2"/>
      <c r="Q92" s="2"/>
      <c r="R92" s="2"/>
      <c r="S92" s="2"/>
      <c r="T92" s="2"/>
      <c r="U92" s="2"/>
      <c r="V92" s="2"/>
      <c r="W92" s="2"/>
    </row>
    <row r="93" spans="1:23" ht="13.35" customHeight="1" x14ac:dyDescent="0.2">
      <c r="A93" s="2" t="s">
        <v>238</v>
      </c>
      <c r="C93" s="2"/>
      <c r="D93" s="9">
        <f>+'COS 1'!V318</f>
        <v>39322805.800109267</v>
      </c>
      <c r="E93" s="2"/>
      <c r="F93" s="125">
        <f>+'COS 1'!V319</f>
        <v>0.1249</v>
      </c>
      <c r="G93" s="2"/>
      <c r="O93" s="2"/>
      <c r="P93" s="2"/>
      <c r="Q93" s="2"/>
      <c r="R93" s="2"/>
      <c r="S93" s="2"/>
      <c r="T93" s="2"/>
      <c r="U93" s="2"/>
      <c r="V93" s="2"/>
      <c r="W93" s="2"/>
    </row>
    <row r="94" spans="1:23" ht="13.35" customHeight="1" x14ac:dyDescent="0.2">
      <c r="A94" s="2"/>
      <c r="C94" s="2"/>
      <c r="D94" s="5"/>
      <c r="E94" s="2"/>
      <c r="F94" s="6"/>
      <c r="G94" s="2"/>
      <c r="O94" s="2"/>
      <c r="P94" s="2"/>
      <c r="Q94" s="2"/>
      <c r="R94" s="2"/>
      <c r="S94" s="2"/>
      <c r="T94" s="2"/>
      <c r="U94" s="2"/>
      <c r="V94" s="2"/>
      <c r="W94" s="2"/>
    </row>
    <row r="95" spans="1:23" ht="13.35" customHeight="1" thickBot="1" x14ac:dyDescent="0.25">
      <c r="A95" s="2" t="s">
        <v>205</v>
      </c>
      <c r="C95" s="2"/>
      <c r="D95" s="225">
        <f>SUM(D87:D94)</f>
        <v>314838637.01999992</v>
      </c>
      <c r="E95" s="2"/>
      <c r="F95" s="125">
        <f>SUM(F87:F94)</f>
        <v>0.99999999999999989</v>
      </c>
      <c r="G95" s="2"/>
      <c r="O95" s="2"/>
      <c r="P95" s="2"/>
      <c r="Q95" s="2"/>
      <c r="R95" s="2"/>
      <c r="S95" s="2"/>
      <c r="T95" s="2"/>
      <c r="U95" s="2"/>
      <c r="V95" s="2"/>
      <c r="W95" s="2"/>
    </row>
    <row r="96" spans="1:23" ht="13.35" customHeight="1" thickTop="1" x14ac:dyDescent="0.2">
      <c r="A96" s="2"/>
      <c r="B96" s="2"/>
      <c r="C96" s="2"/>
      <c r="D96" s="160"/>
      <c r="E96" s="13"/>
      <c r="F96" s="8"/>
      <c r="G96" s="2"/>
      <c r="O96" s="2"/>
      <c r="P96" s="2"/>
      <c r="Q96" s="2"/>
      <c r="R96" s="2"/>
      <c r="S96" s="2"/>
      <c r="T96" s="2"/>
      <c r="U96" s="2"/>
      <c r="V96" s="2"/>
      <c r="W96" s="2"/>
    </row>
    <row r="97" spans="1:23" x14ac:dyDescent="0.2">
      <c r="A97" s="36" t="s">
        <v>51</v>
      </c>
      <c r="B97" s="1"/>
      <c r="C97" s="36"/>
      <c r="D97" s="1"/>
      <c r="E97" s="1"/>
      <c r="F97" s="1"/>
      <c r="G97" s="2"/>
      <c r="O97" s="2"/>
      <c r="P97" s="2"/>
      <c r="Q97" s="2"/>
      <c r="R97" s="2"/>
      <c r="S97" s="2"/>
      <c r="T97" s="2"/>
      <c r="U97" s="2"/>
      <c r="V97" s="2"/>
      <c r="W97" s="2"/>
    </row>
    <row r="98" spans="1:23" x14ac:dyDescent="0.2">
      <c r="A98" s="36"/>
      <c r="B98" s="1"/>
      <c r="C98" s="36"/>
      <c r="D98" s="1"/>
      <c r="E98" s="1"/>
      <c r="F98" s="1"/>
      <c r="G98" s="2"/>
      <c r="O98" s="2"/>
      <c r="P98" s="2"/>
      <c r="Q98" s="2"/>
      <c r="R98" s="2"/>
      <c r="S98" s="2"/>
      <c r="T98" s="2"/>
      <c r="U98" s="2"/>
      <c r="V98" s="2"/>
      <c r="W98" s="2"/>
    </row>
    <row r="99" spans="1:23" x14ac:dyDescent="0.2">
      <c r="A99" s="1"/>
      <c r="B99" s="1"/>
      <c r="C99" s="1"/>
      <c r="D99" s="1"/>
      <c r="E99" s="1"/>
      <c r="F99" s="1"/>
      <c r="G99" s="2"/>
      <c r="O99" s="2"/>
      <c r="P99" s="2"/>
      <c r="Q99" s="2"/>
      <c r="R99" s="2"/>
      <c r="S99" s="2"/>
      <c r="T99" s="2"/>
      <c r="U99" s="2"/>
      <c r="V99" s="2"/>
      <c r="W99" s="2"/>
    </row>
    <row r="100" spans="1:23" x14ac:dyDescent="0.2">
      <c r="A100" s="1" t="s">
        <v>221</v>
      </c>
      <c r="B100" s="1"/>
      <c r="C100" s="1"/>
      <c r="D100" s="1"/>
      <c r="E100" s="1"/>
      <c r="F100" s="1"/>
      <c r="G100" s="2"/>
      <c r="O100" s="2"/>
      <c r="P100" s="2"/>
      <c r="Q100" s="2"/>
      <c r="R100" s="2"/>
      <c r="S100" s="2"/>
      <c r="T100" s="2"/>
      <c r="U100" s="2"/>
      <c r="V100" s="2"/>
      <c r="W100" s="2"/>
    </row>
    <row r="101" spans="1:23" x14ac:dyDescent="0.2">
      <c r="A101" s="2"/>
      <c r="B101" s="2"/>
      <c r="C101" s="2"/>
      <c r="D101" s="2"/>
      <c r="E101" s="2"/>
      <c r="F101" s="2"/>
      <c r="G101" s="2"/>
      <c r="H101" s="2"/>
      <c r="I101" s="2"/>
      <c r="J101" s="2"/>
      <c r="K101" s="2"/>
      <c r="L101" s="2"/>
      <c r="M101" s="2"/>
      <c r="N101" s="2"/>
      <c r="O101" s="2"/>
      <c r="P101" s="2"/>
      <c r="Q101" s="2"/>
      <c r="R101" s="2"/>
      <c r="S101" s="2"/>
      <c r="T101" s="2"/>
      <c r="U101" s="125"/>
      <c r="V101" s="2"/>
      <c r="W101" s="2"/>
    </row>
    <row r="102" spans="1:23" x14ac:dyDescent="0.2">
      <c r="A102" s="2"/>
      <c r="B102" s="2"/>
      <c r="C102" s="2"/>
      <c r="D102" s="2"/>
      <c r="E102" s="2"/>
      <c r="F102" s="2"/>
      <c r="G102" s="2"/>
      <c r="H102" s="2"/>
      <c r="I102" s="2"/>
      <c r="J102" s="2"/>
      <c r="K102" s="2"/>
      <c r="L102" s="2"/>
      <c r="M102" s="2"/>
      <c r="N102" s="2"/>
      <c r="O102" s="2"/>
      <c r="P102" s="2"/>
      <c r="Q102" s="2"/>
      <c r="R102" s="2"/>
      <c r="S102" s="9"/>
      <c r="T102" s="2"/>
      <c r="U102" s="125"/>
      <c r="V102" s="2"/>
      <c r="W102" s="2"/>
    </row>
    <row r="103" spans="1:23" x14ac:dyDescent="0.2">
      <c r="A103" s="2" t="s">
        <v>303</v>
      </c>
      <c r="B103" s="2"/>
      <c r="C103" s="2"/>
      <c r="D103" s="2"/>
      <c r="E103" s="2"/>
      <c r="F103" s="2"/>
      <c r="G103" s="2"/>
      <c r="H103" s="2"/>
      <c r="I103" s="2"/>
      <c r="J103" s="2"/>
      <c r="K103" s="2"/>
      <c r="L103" s="2"/>
      <c r="M103" s="2"/>
      <c r="N103" s="2"/>
      <c r="O103" s="2"/>
      <c r="P103" s="2"/>
      <c r="Q103" s="2"/>
      <c r="R103" s="2"/>
      <c r="S103" s="9"/>
      <c r="T103" s="2"/>
      <c r="U103" s="125"/>
      <c r="V103" s="2"/>
      <c r="W103" s="2"/>
    </row>
    <row r="104" spans="1:23" x14ac:dyDescent="0.2">
      <c r="A104" s="2"/>
      <c r="B104" s="2"/>
      <c r="C104" s="2"/>
      <c r="D104" s="2"/>
      <c r="E104" s="2"/>
      <c r="F104" s="2"/>
      <c r="G104" s="2"/>
      <c r="H104" s="2"/>
      <c r="I104" s="2"/>
      <c r="J104" s="2"/>
      <c r="K104" s="2"/>
      <c r="L104" s="2"/>
      <c r="M104" s="2"/>
      <c r="N104" s="2"/>
      <c r="O104" s="2"/>
      <c r="P104" s="2"/>
      <c r="Q104" s="2"/>
      <c r="R104" s="2"/>
      <c r="S104" s="9"/>
      <c r="T104" s="2"/>
      <c r="U104" s="125"/>
      <c r="V104" s="2"/>
      <c r="W104" s="2"/>
    </row>
    <row r="105" spans="1:23" ht="28.15" customHeight="1" x14ac:dyDescent="0.2">
      <c r="A105" s="623" t="s">
        <v>397</v>
      </c>
      <c r="B105" s="623"/>
      <c r="C105" s="623"/>
      <c r="D105" s="623"/>
      <c r="E105" s="623"/>
      <c r="F105" s="623"/>
      <c r="G105" s="2"/>
      <c r="H105" s="2"/>
      <c r="I105" s="2"/>
      <c r="J105" s="2"/>
      <c r="K105" s="2"/>
      <c r="L105" s="2"/>
      <c r="M105" s="2"/>
      <c r="N105" s="2"/>
      <c r="O105" s="2"/>
      <c r="P105" s="2"/>
      <c r="Q105" s="2"/>
      <c r="R105" s="2"/>
      <c r="S105" s="9"/>
      <c r="T105" s="2"/>
      <c r="U105" s="125"/>
      <c r="V105" s="2"/>
      <c r="W105" s="2"/>
    </row>
    <row r="106" spans="1:23" x14ac:dyDescent="0.2">
      <c r="A106" s="2"/>
      <c r="B106" s="2"/>
      <c r="C106" s="2"/>
      <c r="D106" s="2"/>
      <c r="E106" s="2"/>
      <c r="F106" s="2"/>
      <c r="G106" s="2"/>
      <c r="H106" s="2"/>
      <c r="I106" s="2"/>
      <c r="J106" s="2"/>
      <c r="K106" s="2"/>
      <c r="L106" s="2"/>
      <c r="M106" s="2"/>
      <c r="N106" s="2"/>
      <c r="O106" s="2"/>
    </row>
    <row r="107" spans="1:23" x14ac:dyDescent="0.2">
      <c r="A107" s="2"/>
      <c r="B107" s="2"/>
      <c r="C107" s="2"/>
      <c r="D107" s="11" t="s">
        <v>394</v>
      </c>
      <c r="E107" s="11"/>
      <c r="F107" s="11"/>
      <c r="G107" s="2"/>
      <c r="H107" s="2"/>
      <c r="I107" s="2"/>
      <c r="J107" s="2"/>
      <c r="K107" s="2"/>
      <c r="L107" s="2"/>
      <c r="M107" s="2"/>
      <c r="N107" s="2"/>
      <c r="O107" s="2"/>
    </row>
    <row r="108" spans="1:23" x14ac:dyDescent="0.2">
      <c r="A108" s="1" t="s">
        <v>190</v>
      </c>
      <c r="B108" s="36"/>
      <c r="C108" s="2"/>
      <c r="D108" s="11" t="s">
        <v>398</v>
      </c>
      <c r="E108" s="11"/>
      <c r="F108" s="11" t="s">
        <v>192</v>
      </c>
      <c r="G108" s="2"/>
      <c r="H108" s="2"/>
      <c r="I108" s="2"/>
      <c r="J108" s="2"/>
      <c r="K108" s="2"/>
      <c r="L108" s="2"/>
      <c r="M108" s="2"/>
      <c r="N108" s="2"/>
      <c r="O108" s="2"/>
    </row>
    <row r="109" spans="1:23" x14ac:dyDescent="0.2">
      <c r="A109" s="1" t="s">
        <v>193</v>
      </c>
      <c r="B109" s="36"/>
      <c r="C109" s="2"/>
      <c r="D109" s="11" t="s">
        <v>399</v>
      </c>
      <c r="E109" s="11"/>
      <c r="F109" s="11" t="s">
        <v>194</v>
      </c>
      <c r="G109" s="2"/>
      <c r="H109" s="2"/>
      <c r="I109" s="2"/>
      <c r="J109" s="2"/>
      <c r="K109" s="2"/>
      <c r="L109" s="2"/>
      <c r="M109" s="2"/>
      <c r="N109" s="2"/>
      <c r="O109" s="2"/>
    </row>
    <row r="110" spans="1:23" x14ac:dyDescent="0.2">
      <c r="A110" s="3" t="s">
        <v>195</v>
      </c>
      <c r="B110" s="124"/>
      <c r="C110" s="2"/>
      <c r="D110" s="10" t="s">
        <v>214</v>
      </c>
      <c r="E110" s="11" t="s">
        <v>314</v>
      </c>
      <c r="F110" s="10" t="s">
        <v>197</v>
      </c>
      <c r="G110" s="2"/>
      <c r="H110" s="2"/>
      <c r="I110" s="2"/>
      <c r="J110" s="2"/>
      <c r="K110" s="2"/>
      <c r="L110" s="2"/>
      <c r="M110" s="2"/>
      <c r="N110" s="2"/>
      <c r="O110" s="2"/>
    </row>
    <row r="111" spans="1:23" x14ac:dyDescent="0.2">
      <c r="A111" s="2"/>
      <c r="C111" s="2"/>
      <c r="D111" s="2"/>
      <c r="E111" s="2"/>
      <c r="F111" s="125"/>
      <c r="G111" s="2"/>
      <c r="H111" s="2"/>
      <c r="I111" s="2"/>
      <c r="J111" s="2"/>
      <c r="K111" s="2"/>
      <c r="L111" s="2"/>
      <c r="M111" s="2"/>
      <c r="N111" s="2"/>
      <c r="O111" s="2"/>
    </row>
    <row r="112" spans="1:23" x14ac:dyDescent="0.2">
      <c r="A112" s="2" t="s">
        <v>198</v>
      </c>
      <c r="C112" s="2"/>
      <c r="D112" s="224">
        <f ca="1">+'COS 1'!J320</f>
        <v>153176233.22045711</v>
      </c>
      <c r="E112" s="2"/>
      <c r="F112" s="167">
        <f ca="1">+'COS 1'!J321</f>
        <v>0.50580000000000003</v>
      </c>
      <c r="G112" s="2"/>
      <c r="H112" s="2"/>
      <c r="I112" s="2"/>
      <c r="J112" s="2"/>
      <c r="K112" s="2"/>
      <c r="L112" s="2"/>
      <c r="M112" s="2"/>
      <c r="N112" s="2"/>
      <c r="O112" s="2"/>
    </row>
    <row r="113" spans="1:15" x14ac:dyDescent="0.2">
      <c r="A113" s="2" t="s">
        <v>334</v>
      </c>
      <c r="C113" s="2"/>
      <c r="D113" s="9">
        <f ca="1">+'COS 1'!L320</f>
        <v>67345742.801910087</v>
      </c>
      <c r="E113" s="2"/>
      <c r="F113" s="125">
        <f ca="1">+'COS 1'!L321</f>
        <v>0.22239999999999999</v>
      </c>
      <c r="G113" s="2"/>
      <c r="H113" s="2"/>
      <c r="I113" s="2"/>
      <c r="J113" s="2"/>
      <c r="K113" s="2"/>
      <c r="L113" s="2"/>
      <c r="M113" s="2"/>
      <c r="N113" s="2"/>
      <c r="O113" s="2"/>
    </row>
    <row r="114" spans="1:15" x14ac:dyDescent="0.2">
      <c r="A114" s="2" t="s">
        <v>200</v>
      </c>
      <c r="C114" s="2"/>
      <c r="D114" s="9">
        <f ca="1">+'COS 1'!N320</f>
        <v>23245598.222923152</v>
      </c>
      <c r="E114" s="2"/>
      <c r="F114" s="125">
        <f ca="1">+'COS 1'!N321</f>
        <v>7.6799999999999993E-2</v>
      </c>
      <c r="G114" s="2"/>
      <c r="H114" s="2"/>
      <c r="I114" s="2"/>
      <c r="J114" s="2"/>
      <c r="K114" s="2"/>
      <c r="L114" s="2"/>
      <c r="M114" s="2"/>
      <c r="N114" s="2"/>
      <c r="O114" s="2"/>
    </row>
    <row r="115" spans="1:15" x14ac:dyDescent="0.2">
      <c r="A115" s="2" t="s">
        <v>201</v>
      </c>
      <c r="C115" s="2"/>
      <c r="D115" s="9">
        <f ca="1">+'COS 1'!P320</f>
        <v>13970457.096114947</v>
      </c>
      <c r="E115" s="2"/>
      <c r="F115" s="125">
        <f ca="1">+'COS 1'!P321</f>
        <v>4.6100000000000002E-2</v>
      </c>
      <c r="G115" s="2"/>
      <c r="H115" s="2"/>
      <c r="I115" s="2"/>
      <c r="J115" s="2"/>
      <c r="K115" s="2"/>
      <c r="L115" s="2"/>
      <c r="M115" s="2"/>
      <c r="N115" s="2"/>
      <c r="O115" s="2"/>
    </row>
    <row r="116" spans="1:15" x14ac:dyDescent="0.2">
      <c r="A116" s="2" t="s">
        <v>105</v>
      </c>
      <c r="C116" s="2"/>
      <c r="D116" s="9">
        <f ca="1">+'COS 1'!R320</f>
        <v>9085887.7219833955</v>
      </c>
      <c r="E116" s="2"/>
      <c r="F116" s="125">
        <f ca="1">+'COS 1'!R321</f>
        <v>0.03</v>
      </c>
      <c r="G116" s="2"/>
      <c r="H116" s="2"/>
      <c r="I116" s="2"/>
      <c r="J116" s="2"/>
      <c r="K116" s="2"/>
      <c r="L116" s="2"/>
      <c r="M116" s="2"/>
      <c r="N116" s="2"/>
      <c r="O116" s="2"/>
    </row>
    <row r="117" spans="1:15" hidden="1" x14ac:dyDescent="0.2">
      <c r="A117" s="2" t="s">
        <v>203</v>
      </c>
      <c r="C117" s="2"/>
      <c r="D117" s="9">
        <f ca="1">+'COS 1'!T320</f>
        <v>0</v>
      </c>
      <c r="E117" s="2"/>
      <c r="F117" s="125">
        <f ca="1">+'COS 1'!T321</f>
        <v>0</v>
      </c>
      <c r="G117" s="2"/>
      <c r="H117" s="2"/>
      <c r="I117" s="2"/>
      <c r="J117" s="2"/>
      <c r="K117" s="2"/>
      <c r="L117" s="2"/>
      <c r="M117" s="2"/>
      <c r="N117" s="2"/>
      <c r="O117" s="2"/>
    </row>
    <row r="118" spans="1:15" x14ac:dyDescent="0.2">
      <c r="A118" s="2" t="s">
        <v>238</v>
      </c>
      <c r="C118" s="2"/>
      <c r="D118" s="9">
        <f ca="1">+'COS 1'!V320</f>
        <v>35989387.686611265</v>
      </c>
      <c r="E118" s="2"/>
      <c r="F118" s="125">
        <f ca="1">+'COS 1'!V321</f>
        <v>0.11890000000000001</v>
      </c>
      <c r="G118" s="2"/>
      <c r="H118" s="2"/>
      <c r="I118" s="2"/>
      <c r="J118" s="2"/>
      <c r="K118" s="2"/>
      <c r="L118" s="2"/>
      <c r="M118" s="2"/>
      <c r="N118" s="2"/>
      <c r="O118" s="2"/>
    </row>
    <row r="119" spans="1:15" ht="12.75" customHeight="1" x14ac:dyDescent="0.2">
      <c r="A119" s="2"/>
      <c r="C119" s="2"/>
      <c r="D119" s="5"/>
      <c r="E119" s="2"/>
      <c r="F119" s="6"/>
      <c r="G119" s="2"/>
      <c r="H119" s="2"/>
      <c r="I119" s="2"/>
      <c r="J119" s="2"/>
      <c r="K119" s="2"/>
      <c r="L119" s="2"/>
      <c r="M119" s="2"/>
      <c r="N119" s="2"/>
      <c r="O119" s="2"/>
    </row>
    <row r="120" spans="1:15" ht="13.35" customHeight="1" thickBot="1" x14ac:dyDescent="0.25">
      <c r="A120" s="2" t="s">
        <v>205</v>
      </c>
      <c r="C120" s="2"/>
      <c r="D120" s="225">
        <f ca="1">SUM(D112:D119)</f>
        <v>302813306.74999994</v>
      </c>
      <c r="E120" s="2"/>
      <c r="F120" s="125">
        <f ca="1">SUM(F112:F119)</f>
        <v>1</v>
      </c>
      <c r="G120" s="2"/>
      <c r="H120" s="2"/>
      <c r="I120" s="2"/>
      <c r="J120" s="2"/>
      <c r="K120" s="2"/>
      <c r="L120" s="2"/>
      <c r="M120" s="2"/>
      <c r="N120" s="2"/>
      <c r="O120" s="2"/>
    </row>
    <row r="121" spans="1:15" ht="13.35" customHeight="1" thickTop="1" x14ac:dyDescent="0.2">
      <c r="A121" s="2"/>
      <c r="B121" s="2"/>
      <c r="C121" s="2"/>
      <c r="D121" s="160"/>
      <c r="E121" s="13"/>
      <c r="F121" s="8"/>
      <c r="G121" s="2"/>
      <c r="H121" s="2"/>
      <c r="I121" s="2"/>
      <c r="J121" s="2"/>
      <c r="K121" s="2"/>
      <c r="L121" s="2"/>
      <c r="M121" s="2"/>
      <c r="N121" s="2"/>
      <c r="O121" s="2"/>
    </row>
    <row r="122" spans="1:15" ht="13.35" customHeight="1" x14ac:dyDescent="0.2">
      <c r="A122" s="2"/>
      <c r="B122" s="2"/>
      <c r="C122" s="2"/>
      <c r="D122" s="2"/>
      <c r="E122" s="2"/>
      <c r="F122" s="2"/>
      <c r="G122" s="2"/>
      <c r="H122" s="2"/>
      <c r="I122" s="2"/>
      <c r="J122" s="2"/>
      <c r="K122" s="2"/>
      <c r="L122" s="2"/>
      <c r="M122" s="2"/>
      <c r="N122" s="2"/>
      <c r="O122" s="2"/>
    </row>
    <row r="123" spans="1:15" ht="13.35" customHeight="1" x14ac:dyDescent="0.2">
      <c r="A123" s="2" t="s">
        <v>138</v>
      </c>
      <c r="B123" s="2"/>
      <c r="C123" s="2"/>
      <c r="D123" s="2"/>
      <c r="E123" s="2"/>
      <c r="F123" s="2"/>
      <c r="G123" s="2"/>
      <c r="H123" s="2"/>
      <c r="I123" s="2"/>
      <c r="J123" s="2"/>
      <c r="K123" s="2"/>
      <c r="L123" s="2"/>
      <c r="M123" s="2"/>
      <c r="N123" s="2"/>
      <c r="O123" s="2"/>
    </row>
    <row r="124" spans="1:15" ht="13.35" customHeight="1" x14ac:dyDescent="0.2">
      <c r="A124" s="2" t="s">
        <v>400</v>
      </c>
      <c r="B124" s="2"/>
      <c r="C124" s="2"/>
      <c r="D124" s="2"/>
      <c r="E124" s="2"/>
      <c r="F124" s="2"/>
      <c r="G124" s="2"/>
      <c r="H124" s="2"/>
      <c r="I124" s="2"/>
      <c r="J124" s="2"/>
      <c r="K124" s="2"/>
      <c r="L124" s="2"/>
      <c r="M124" s="2"/>
      <c r="N124" s="2"/>
      <c r="O124" s="2"/>
    </row>
    <row r="125" spans="1:15" ht="13.35" customHeight="1" x14ac:dyDescent="0.2">
      <c r="A125" s="2"/>
      <c r="B125" s="2"/>
      <c r="C125" s="2"/>
      <c r="D125" s="2"/>
      <c r="E125" s="2"/>
      <c r="F125" s="2"/>
      <c r="G125" s="2"/>
      <c r="H125" s="2"/>
      <c r="I125" s="2"/>
      <c r="J125" s="2"/>
      <c r="K125" s="2"/>
      <c r="L125" s="2"/>
      <c r="M125" s="2"/>
      <c r="N125" s="2"/>
      <c r="O125" s="2"/>
    </row>
    <row r="126" spans="1:15" ht="29.25" customHeight="1" x14ac:dyDescent="0.2">
      <c r="A126" s="623" t="s">
        <v>401</v>
      </c>
      <c r="B126" s="623"/>
      <c r="C126" s="623"/>
      <c r="D126" s="623"/>
      <c r="E126" s="623"/>
      <c r="F126" s="623"/>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1" t="s">
        <v>190</v>
      </c>
      <c r="B128" s="36"/>
      <c r="C128" s="2"/>
      <c r="D128" s="11" t="s">
        <v>402</v>
      </c>
      <c r="E128" s="11"/>
      <c r="F128" s="11" t="s">
        <v>192</v>
      </c>
      <c r="G128" s="2"/>
      <c r="H128" s="2"/>
      <c r="I128" s="2"/>
      <c r="J128" s="2"/>
      <c r="K128" s="2"/>
      <c r="L128" s="2"/>
      <c r="M128" s="2"/>
      <c r="N128" s="2"/>
      <c r="O128" s="2"/>
    </row>
    <row r="129" spans="1:21" x14ac:dyDescent="0.2">
      <c r="A129" s="1" t="s">
        <v>193</v>
      </c>
      <c r="B129" s="36"/>
      <c r="C129" s="2"/>
      <c r="D129" s="11" t="s">
        <v>403</v>
      </c>
      <c r="E129" s="11"/>
      <c r="F129" s="11" t="s">
        <v>194</v>
      </c>
      <c r="G129" s="2"/>
      <c r="H129" s="2"/>
      <c r="I129" s="2"/>
      <c r="J129" s="2"/>
      <c r="K129" s="2"/>
      <c r="L129" s="2"/>
      <c r="M129" s="2"/>
      <c r="N129" s="2"/>
      <c r="O129" s="2"/>
    </row>
    <row r="130" spans="1:21" x14ac:dyDescent="0.2">
      <c r="A130" s="3" t="s">
        <v>195</v>
      </c>
      <c r="B130" s="124"/>
      <c r="C130" s="2"/>
      <c r="D130" s="10" t="s">
        <v>214</v>
      </c>
      <c r="E130" s="11" t="s">
        <v>314</v>
      </c>
      <c r="F130" s="10" t="s">
        <v>197</v>
      </c>
      <c r="G130" s="2"/>
      <c r="H130" s="2"/>
      <c r="I130" s="2"/>
      <c r="J130" s="2"/>
      <c r="K130" s="2"/>
      <c r="L130" s="2"/>
      <c r="M130" s="2"/>
      <c r="N130" s="2"/>
      <c r="O130" s="2"/>
    </row>
    <row r="131" spans="1:21" x14ac:dyDescent="0.2">
      <c r="A131" s="2"/>
      <c r="C131" s="2"/>
      <c r="D131" s="2"/>
      <c r="E131" s="2"/>
      <c r="F131" s="125"/>
      <c r="G131" s="2"/>
      <c r="H131" s="2"/>
      <c r="I131" s="2"/>
      <c r="J131" s="2"/>
      <c r="K131" s="2"/>
      <c r="L131" s="2"/>
      <c r="M131" s="2"/>
      <c r="N131" s="2"/>
      <c r="O131" s="2"/>
    </row>
    <row r="132" spans="1:21" x14ac:dyDescent="0.2">
      <c r="A132" s="2" t="s">
        <v>198</v>
      </c>
      <c r="C132" s="2"/>
      <c r="D132" s="224">
        <f ca="1">+'COS 1'!J322</f>
        <v>31183588.594510961</v>
      </c>
      <c r="E132" s="2"/>
      <c r="F132" s="167">
        <f ca="1">+'COS 1'!J323</f>
        <v>0.53200000000000003</v>
      </c>
      <c r="G132" s="2"/>
      <c r="H132" s="2"/>
      <c r="I132" s="2"/>
      <c r="J132" s="2"/>
      <c r="K132" s="2"/>
      <c r="L132" s="2"/>
      <c r="M132" s="2"/>
      <c r="N132" s="2"/>
      <c r="O132" s="2"/>
    </row>
    <row r="133" spans="1:21" x14ac:dyDescent="0.2">
      <c r="A133" s="2" t="s">
        <v>334</v>
      </c>
      <c r="C133" s="2"/>
      <c r="D133" s="9">
        <f ca="1">+'COS 1'!L322</f>
        <v>12751606.105570963</v>
      </c>
      <c r="E133" s="2"/>
      <c r="F133" s="125">
        <f ca="1">+'COS 1'!L323</f>
        <v>0.21759999999999999</v>
      </c>
      <c r="G133" s="2"/>
      <c r="H133" s="2"/>
      <c r="I133" s="2"/>
      <c r="J133" s="2"/>
      <c r="K133" s="2"/>
      <c r="L133" s="2"/>
      <c r="M133" s="2"/>
      <c r="N133" s="2"/>
      <c r="O133" s="2"/>
    </row>
    <row r="134" spans="1:21" x14ac:dyDescent="0.2">
      <c r="A134" s="2" t="s">
        <v>200</v>
      </c>
      <c r="C134" s="2"/>
      <c r="D134" s="9">
        <f ca="1">+'COS 1'!N322</f>
        <v>4306799.1580408197</v>
      </c>
      <c r="E134" s="2"/>
      <c r="F134" s="125">
        <f ca="1">+'COS 1'!N323</f>
        <v>7.3499999999999996E-2</v>
      </c>
      <c r="G134" s="2"/>
      <c r="H134" s="2"/>
      <c r="I134" s="2"/>
      <c r="J134" s="2"/>
      <c r="K134" s="2"/>
      <c r="L134" s="2"/>
      <c r="M134" s="2"/>
      <c r="N134" s="2"/>
      <c r="O134" s="2"/>
    </row>
    <row r="135" spans="1:21" x14ac:dyDescent="0.2">
      <c r="A135" s="2" t="s">
        <v>201</v>
      </c>
      <c r="C135" s="2"/>
      <c r="D135" s="9">
        <f ca="1">+'COS 1'!P322</f>
        <v>2614727.837601623</v>
      </c>
      <c r="E135" s="2"/>
      <c r="F135" s="125">
        <f ca="1">+'COS 1'!P323</f>
        <v>4.4600000000000001E-2</v>
      </c>
      <c r="G135" s="2"/>
      <c r="H135" s="2"/>
      <c r="I135" s="2"/>
      <c r="J135" s="2"/>
      <c r="K135" s="2"/>
      <c r="L135" s="2"/>
      <c r="M135" s="2"/>
      <c r="N135" s="2"/>
      <c r="O135" s="2"/>
    </row>
    <row r="136" spans="1:21" x14ac:dyDescent="0.2">
      <c r="A136" s="2" t="s">
        <v>105</v>
      </c>
      <c r="C136" s="2"/>
      <c r="D136" s="9">
        <f ca="1">+'COS 1'!R322</f>
        <v>1642697.4552830285</v>
      </c>
      <c r="E136" s="2"/>
      <c r="F136" s="125">
        <f ca="1">+'COS 1'!R323</f>
        <v>2.8000000000000001E-2</v>
      </c>
      <c r="G136" s="2"/>
      <c r="H136" s="2"/>
      <c r="I136" s="2"/>
      <c r="J136" s="2"/>
      <c r="K136" s="2"/>
      <c r="L136" s="2"/>
      <c r="M136" s="2"/>
      <c r="N136" s="2"/>
      <c r="O136" s="2"/>
    </row>
    <row r="137" spans="1:21" hidden="1" x14ac:dyDescent="0.2">
      <c r="A137" s="2" t="s">
        <v>203</v>
      </c>
      <c r="C137" s="2"/>
      <c r="D137" s="9">
        <f ca="1">+'COS 1'!T322</f>
        <v>0</v>
      </c>
      <c r="E137" s="2"/>
      <c r="F137" s="125">
        <f ca="1">+'COS 1'!T323</f>
        <v>0</v>
      </c>
      <c r="G137" s="2"/>
      <c r="H137" s="2"/>
      <c r="I137" s="2"/>
      <c r="J137" s="2"/>
      <c r="K137" s="2"/>
      <c r="L137" s="2"/>
      <c r="M137" s="2"/>
      <c r="N137" s="2"/>
      <c r="O137" s="2"/>
    </row>
    <row r="138" spans="1:21" x14ac:dyDescent="0.2">
      <c r="A138" s="2" t="s">
        <v>238</v>
      </c>
      <c r="C138" s="2"/>
      <c r="D138" s="9">
        <f ca="1">+'COS 1'!V322</f>
        <v>6110538.086325937</v>
      </c>
      <c r="E138" s="2"/>
      <c r="F138" s="125">
        <f ca="1">+'COS 1'!V323</f>
        <v>0.1043</v>
      </c>
      <c r="G138" s="2"/>
      <c r="H138" s="2"/>
      <c r="I138" s="2"/>
      <c r="J138" s="2"/>
      <c r="K138" s="2"/>
      <c r="L138" s="2"/>
      <c r="M138" s="2"/>
      <c r="N138" s="2"/>
      <c r="O138" s="2"/>
    </row>
    <row r="139" spans="1:21" ht="12.75" customHeight="1" x14ac:dyDescent="0.2">
      <c r="A139" s="2"/>
      <c r="C139" s="2"/>
      <c r="D139" s="5"/>
      <c r="E139" s="2"/>
      <c r="F139" s="6"/>
      <c r="G139" s="2"/>
      <c r="H139" s="2"/>
      <c r="I139" s="2"/>
      <c r="J139" s="2"/>
      <c r="K139" s="2"/>
      <c r="L139" s="2"/>
      <c r="M139" s="2"/>
      <c r="N139" s="2"/>
      <c r="O139" s="2"/>
    </row>
    <row r="140" spans="1:21" ht="13.35" customHeight="1" thickBot="1" x14ac:dyDescent="0.25">
      <c r="A140" s="2" t="s">
        <v>205</v>
      </c>
      <c r="C140" s="2"/>
      <c r="D140" s="225">
        <f ca="1">SUM(D132:D139)</f>
        <v>58609957.237333335</v>
      </c>
      <c r="E140" s="2"/>
      <c r="F140" s="125">
        <f ca="1">SUM(F132:F139)</f>
        <v>1</v>
      </c>
      <c r="G140" s="2"/>
      <c r="H140" s="2"/>
      <c r="I140" s="2"/>
      <c r="J140" s="2"/>
      <c r="K140" s="2"/>
      <c r="L140" s="2"/>
      <c r="M140" s="2"/>
      <c r="N140" s="2"/>
      <c r="O140" s="2"/>
      <c r="U140" s="15"/>
    </row>
    <row r="141" spans="1:21" ht="13.35" customHeight="1" thickTop="1" x14ac:dyDescent="0.2">
      <c r="A141" s="2"/>
      <c r="B141" s="2"/>
      <c r="C141" s="2"/>
      <c r="D141" s="160"/>
      <c r="E141" s="13"/>
      <c r="F141" s="8"/>
      <c r="G141" s="2"/>
      <c r="H141" s="2"/>
      <c r="I141" s="2"/>
      <c r="J141" s="2"/>
      <c r="K141" s="2"/>
      <c r="L141" s="2"/>
      <c r="M141" s="2"/>
      <c r="N141" s="2"/>
      <c r="O141" s="2"/>
    </row>
    <row r="142" spans="1:21" ht="13.35" customHeight="1" x14ac:dyDescent="0.2">
      <c r="A142" s="2"/>
      <c r="B142" s="2"/>
      <c r="C142" s="2"/>
      <c r="D142" s="2"/>
      <c r="E142" s="2"/>
      <c r="F142" s="2"/>
      <c r="G142" s="2"/>
      <c r="H142" s="2"/>
      <c r="I142" s="2"/>
      <c r="J142" s="2"/>
      <c r="K142" s="2"/>
      <c r="L142" s="2"/>
      <c r="M142" s="2"/>
      <c r="N142" s="2"/>
      <c r="O142" s="2"/>
    </row>
    <row r="143" spans="1:21" ht="13.35" customHeight="1" x14ac:dyDescent="0.2">
      <c r="A143" s="36" t="s">
        <v>51</v>
      </c>
      <c r="B143" s="1"/>
      <c r="C143" s="36"/>
      <c r="D143" s="1"/>
      <c r="E143" s="1"/>
      <c r="F143" s="1"/>
      <c r="G143" s="2"/>
      <c r="H143" s="2"/>
      <c r="I143" s="2"/>
      <c r="J143" s="2"/>
      <c r="K143" s="2"/>
      <c r="L143" s="2"/>
      <c r="M143" s="2"/>
      <c r="N143" s="2"/>
      <c r="O143" s="2"/>
    </row>
    <row r="144" spans="1:21" ht="13.35" customHeight="1" x14ac:dyDescent="0.2">
      <c r="A144" s="36"/>
      <c r="B144" s="1"/>
      <c r="C144" s="36"/>
      <c r="D144" s="1"/>
      <c r="E144" s="1"/>
      <c r="F144" s="1"/>
      <c r="G144" s="2"/>
      <c r="H144" s="2"/>
      <c r="I144" s="2"/>
      <c r="J144" s="2"/>
      <c r="K144" s="2"/>
      <c r="L144" s="2"/>
      <c r="M144" s="2"/>
      <c r="N144" s="2"/>
      <c r="O144" s="2"/>
    </row>
    <row r="145" spans="1:15" ht="13.35" customHeight="1" x14ac:dyDescent="0.2">
      <c r="A145" s="1"/>
      <c r="B145" s="1"/>
      <c r="C145" s="1"/>
      <c r="D145" s="1"/>
      <c r="E145" s="1"/>
      <c r="F145" s="1"/>
      <c r="G145" s="2"/>
      <c r="H145" s="2"/>
      <c r="I145" s="2"/>
      <c r="J145" s="2"/>
      <c r="K145" s="2"/>
      <c r="L145" s="2"/>
      <c r="M145" s="2"/>
      <c r="N145" s="2"/>
      <c r="O145" s="2"/>
    </row>
    <row r="146" spans="1:15" ht="13.35" customHeight="1" x14ac:dyDescent="0.2">
      <c r="A146" s="1" t="s">
        <v>221</v>
      </c>
      <c r="B146" s="1"/>
      <c r="C146" s="1"/>
      <c r="D146" s="1"/>
      <c r="E146" s="1"/>
      <c r="F146" s="1"/>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ht="15" customHeight="1" x14ac:dyDescent="0.2">
      <c r="A148" s="102" t="s">
        <v>465</v>
      </c>
      <c r="B148" s="102"/>
      <c r="C148" s="102"/>
      <c r="D148" s="102"/>
      <c r="E148" s="102"/>
      <c r="F148" s="102"/>
      <c r="G148" s="102"/>
      <c r="H148" s="2"/>
      <c r="I148" s="2"/>
      <c r="J148" s="2"/>
      <c r="K148" s="2"/>
      <c r="L148" s="2"/>
      <c r="M148" s="2"/>
      <c r="N148" s="2"/>
      <c r="O148" s="2"/>
    </row>
    <row r="149" spans="1:15" x14ac:dyDescent="0.2">
      <c r="A149" s="102"/>
      <c r="B149" s="102"/>
      <c r="C149" s="102"/>
      <c r="D149" s="102"/>
      <c r="E149" s="102"/>
      <c r="F149" s="102"/>
      <c r="G149" s="102"/>
      <c r="H149" s="2"/>
      <c r="I149" s="2"/>
      <c r="J149" s="2"/>
      <c r="K149" s="2"/>
      <c r="L149" s="2"/>
      <c r="M149" s="2"/>
      <c r="N149" s="2"/>
      <c r="O149" s="2"/>
    </row>
    <row r="150" spans="1:15" ht="27.75" customHeight="1" x14ac:dyDescent="0.2">
      <c r="A150" s="635" t="s">
        <v>476</v>
      </c>
      <c r="B150" s="635"/>
      <c r="C150" s="635"/>
      <c r="D150" s="635"/>
      <c r="E150" s="635"/>
      <c r="F150" s="635"/>
      <c r="G150" s="370"/>
      <c r="H150" s="2"/>
      <c r="I150" s="2"/>
      <c r="J150" s="2"/>
      <c r="K150" s="2"/>
      <c r="L150" s="2"/>
      <c r="M150" s="2"/>
      <c r="N150" s="2"/>
      <c r="O150" s="2"/>
    </row>
    <row r="151" spans="1:15" x14ac:dyDescent="0.2">
      <c r="A151" s="102"/>
      <c r="B151" s="102"/>
      <c r="C151" s="102"/>
      <c r="D151" s="102"/>
      <c r="E151" s="102"/>
      <c r="F151" s="102"/>
      <c r="G151" s="102"/>
    </row>
    <row r="152" spans="1:15" x14ac:dyDescent="0.2">
      <c r="A152" s="100" t="s">
        <v>190</v>
      </c>
      <c r="B152" s="99"/>
      <c r="C152" s="102"/>
      <c r="D152" s="103" t="s">
        <v>312</v>
      </c>
      <c r="E152" s="103"/>
      <c r="F152" s="103" t="s">
        <v>192</v>
      </c>
      <c r="G152" s="102"/>
    </row>
    <row r="153" spans="1:15" x14ac:dyDescent="0.2">
      <c r="A153" s="100" t="s">
        <v>193</v>
      </c>
      <c r="B153" s="99"/>
      <c r="C153" s="102"/>
      <c r="D153" s="103" t="s">
        <v>313</v>
      </c>
      <c r="E153" s="103"/>
      <c r="F153" s="103" t="s">
        <v>194</v>
      </c>
      <c r="G153" s="102"/>
    </row>
    <row r="154" spans="1:15" x14ac:dyDescent="0.2">
      <c r="A154" s="104" t="s">
        <v>195</v>
      </c>
      <c r="B154" s="105"/>
      <c r="C154" s="102"/>
      <c r="D154" s="106" t="s">
        <v>214</v>
      </c>
      <c r="E154" s="103" t="s">
        <v>314</v>
      </c>
      <c r="F154" s="106" t="s">
        <v>197</v>
      </c>
      <c r="G154" s="102"/>
    </row>
    <row r="155" spans="1:15" x14ac:dyDescent="0.2">
      <c r="A155" s="102"/>
      <c r="B155" s="101"/>
      <c r="C155" s="102"/>
      <c r="D155" s="102"/>
      <c r="E155" s="102"/>
      <c r="F155" s="108"/>
      <c r="G155" s="102"/>
    </row>
    <row r="156" spans="1:15" x14ac:dyDescent="0.2">
      <c r="A156" s="2" t="s">
        <v>198</v>
      </c>
      <c r="B156" s="101"/>
      <c r="C156" s="102"/>
      <c r="D156" s="107">
        <f>Meters!$G$32</f>
        <v>78368</v>
      </c>
      <c r="E156" s="102"/>
      <c r="F156" s="375">
        <f>+ROUND(D156/$D$162,4)+0.0001</f>
        <v>0.81210000000000004</v>
      </c>
      <c r="G156" s="102"/>
    </row>
    <row r="157" spans="1:15" x14ac:dyDescent="0.2">
      <c r="A157" s="2" t="s">
        <v>334</v>
      </c>
      <c r="B157" s="101"/>
      <c r="C157" s="102"/>
      <c r="D157" s="107">
        <f>Meters!$K$32</f>
        <v>14979</v>
      </c>
      <c r="E157" s="102"/>
      <c r="F157" s="375">
        <f>+ROUND(D157/$D$162,4)</f>
        <v>0.1552</v>
      </c>
      <c r="G157" s="102"/>
    </row>
    <row r="158" spans="1:15" x14ac:dyDescent="0.2">
      <c r="A158" s="2" t="s">
        <v>200</v>
      </c>
      <c r="B158" s="101"/>
      <c r="C158" s="102"/>
      <c r="D158" s="107">
        <f>Meters!$O$32</f>
        <v>948</v>
      </c>
      <c r="E158" s="102"/>
      <c r="F158" s="375">
        <f>+ROUND(D158/$D$162,4)</f>
        <v>9.7999999999999997E-3</v>
      </c>
      <c r="G158" s="102"/>
    </row>
    <row r="159" spans="1:15" x14ac:dyDescent="0.2">
      <c r="A159" s="2" t="s">
        <v>201</v>
      </c>
      <c r="B159" s="101"/>
      <c r="C159" s="102"/>
      <c r="D159" s="107">
        <f>Meters!$S$32</f>
        <v>2214</v>
      </c>
      <c r="E159" s="102"/>
      <c r="F159" s="376">
        <f>+ROUND(D159/$D$162,4)</f>
        <v>2.29E-2</v>
      </c>
      <c r="G159" s="102"/>
    </row>
    <row r="160" spans="1:15" hidden="1" x14ac:dyDescent="0.2">
      <c r="A160" s="102" t="s">
        <v>131</v>
      </c>
      <c r="B160" s="101"/>
      <c r="C160" s="102"/>
      <c r="D160" s="107">
        <v>0</v>
      </c>
      <c r="E160" s="102"/>
      <c r="F160" s="376">
        <f>+ROUND(D160/$D$162,4)</f>
        <v>0</v>
      </c>
      <c r="G160" s="102"/>
    </row>
    <row r="161" spans="1:7" x14ac:dyDescent="0.2">
      <c r="A161" s="102"/>
      <c r="B161" s="101"/>
      <c r="C161" s="102"/>
      <c r="D161" s="109"/>
      <c r="E161" s="102"/>
      <c r="F161" s="177"/>
      <c r="G161" s="102"/>
    </row>
    <row r="162" spans="1:7" ht="15.75" thickBot="1" x14ac:dyDescent="0.25">
      <c r="A162" s="102" t="s">
        <v>205</v>
      </c>
      <c r="B162" s="101"/>
      <c r="C162" s="102"/>
      <c r="D162" s="382">
        <f>SUM(D156:D161)</f>
        <v>96509</v>
      </c>
      <c r="E162" s="102"/>
      <c r="F162" s="178">
        <f>SUM(F156:F161)</f>
        <v>1</v>
      </c>
      <c r="G162" s="102"/>
    </row>
    <row r="163" spans="1:7" ht="15.75" thickTop="1" x14ac:dyDescent="0.2"/>
  </sheetData>
  <mergeCells count="7">
    <mergeCell ref="A150:F150"/>
    <mergeCell ref="A126:F126"/>
    <mergeCell ref="A10:F10"/>
    <mergeCell ref="A59:F59"/>
    <mergeCell ref="A80:F80"/>
    <mergeCell ref="A105:F105"/>
    <mergeCell ref="A32:F32"/>
  </mergeCells>
  <phoneticPr fontId="12" type="noConversion"/>
  <printOptions horizontalCentered="1"/>
  <pageMargins left="1" right="1" top="1" bottom="0.5" header="0.5" footer="0.5"/>
  <pageSetup scale="94" fitToHeight="0" orientation="portrait" r:id="rId1"/>
  <headerFooter alignWithMargins="0"/>
  <rowBreaks count="3" manualBreakCount="3">
    <brk id="50" max="16383" man="1"/>
    <brk id="96" max="16383" man="1"/>
    <brk id="1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workbookViewId="0">
      <selection activeCell="D19" sqref="D19"/>
    </sheetView>
  </sheetViews>
  <sheetFormatPr defaultColWidth="8.88671875" defaultRowHeight="15" x14ac:dyDescent="0.2"/>
  <cols>
    <col min="1" max="1" width="3" style="37" customWidth="1"/>
    <col min="2" max="2" width="11.5546875" style="37" customWidth="1"/>
    <col min="3" max="3" width="2.5546875" style="37" customWidth="1"/>
    <col min="4" max="4" width="15.33203125" style="37" customWidth="1"/>
    <col min="5" max="5" width="3" style="37" customWidth="1"/>
    <col min="6" max="6" width="11.44140625" style="37" customWidth="1"/>
    <col min="7" max="7" width="13.88671875" style="37" customWidth="1"/>
    <col min="8" max="8" width="15" style="37" customWidth="1"/>
    <col min="9" max="9" width="1.5546875" style="37" customWidth="1"/>
    <col min="10" max="11" width="9" style="37" bestFit="1" customWidth="1"/>
    <col min="12" max="12" width="10.44140625" style="37" bestFit="1" customWidth="1"/>
    <col min="13" max="13" width="8.88671875" style="37"/>
    <col min="14" max="14" width="12.33203125" style="37" bestFit="1" customWidth="1"/>
    <col min="15" max="16384" width="8.88671875" style="37"/>
  </cols>
  <sheetData>
    <row r="1" spans="2:18" x14ac:dyDescent="0.2">
      <c r="B1" s="642" t="s">
        <v>51</v>
      </c>
      <c r="C1" s="642"/>
      <c r="D1" s="642"/>
      <c r="E1" s="642"/>
      <c r="F1" s="642"/>
      <c r="G1" s="642"/>
      <c r="H1" s="642"/>
      <c r="I1" s="303"/>
      <c r="J1" s="303"/>
      <c r="K1" s="303"/>
      <c r="L1" s="303"/>
      <c r="M1" s="303"/>
      <c r="N1" s="303"/>
      <c r="O1" s="303"/>
      <c r="P1" s="303"/>
      <c r="Q1" s="303"/>
      <c r="R1" s="303"/>
    </row>
    <row r="2" spans="2:18" x14ac:dyDescent="0.2">
      <c r="B2" s="642"/>
      <c r="C2" s="642"/>
      <c r="D2" s="642"/>
      <c r="E2" s="642"/>
      <c r="F2" s="642"/>
      <c r="G2" s="642"/>
      <c r="H2" s="642"/>
      <c r="I2" s="303"/>
      <c r="J2" s="303"/>
      <c r="K2" s="303"/>
      <c r="L2" s="303"/>
      <c r="M2" s="303"/>
      <c r="N2" s="303"/>
      <c r="O2" s="303"/>
      <c r="P2" s="303"/>
      <c r="Q2" s="303"/>
      <c r="R2" s="303"/>
    </row>
    <row r="3" spans="2:18" x14ac:dyDescent="0.2">
      <c r="B3" s="303"/>
      <c r="C3" s="303"/>
      <c r="D3" s="303"/>
      <c r="E3" s="303"/>
      <c r="F3" s="303"/>
      <c r="G3" s="303"/>
      <c r="H3" s="303"/>
      <c r="I3" s="303"/>
      <c r="J3" s="303"/>
      <c r="K3" s="303"/>
      <c r="L3" s="303"/>
      <c r="M3" s="303"/>
      <c r="N3" s="303"/>
      <c r="O3" s="303"/>
      <c r="P3" s="303"/>
      <c r="Q3" s="303"/>
      <c r="R3" s="303"/>
    </row>
    <row r="4" spans="2:18" x14ac:dyDescent="0.2">
      <c r="B4" s="642" t="s">
        <v>459</v>
      </c>
      <c r="C4" s="642"/>
      <c r="D4" s="642"/>
      <c r="E4" s="642"/>
      <c r="F4" s="642"/>
      <c r="G4" s="642"/>
      <c r="H4" s="642"/>
      <c r="I4" s="303"/>
      <c r="J4" s="303"/>
      <c r="K4" s="303"/>
      <c r="L4" s="303"/>
      <c r="M4" s="303"/>
      <c r="N4" s="303"/>
      <c r="O4" s="303"/>
      <c r="P4" s="303"/>
      <c r="Q4" s="303"/>
      <c r="R4" s="303"/>
    </row>
    <row r="5" spans="2:18" x14ac:dyDescent="0.2">
      <c r="B5" s="642" t="s">
        <v>484</v>
      </c>
      <c r="C5" s="642"/>
      <c r="D5" s="642"/>
      <c r="E5" s="642"/>
      <c r="F5" s="642"/>
      <c r="G5" s="642"/>
      <c r="H5" s="642"/>
      <c r="I5" s="303"/>
      <c r="J5" s="303"/>
      <c r="K5" s="303"/>
      <c r="L5" s="303"/>
      <c r="M5" s="303"/>
      <c r="N5" s="303"/>
      <c r="O5" s="303"/>
      <c r="P5" s="303"/>
      <c r="Q5" s="303"/>
      <c r="R5" s="303"/>
    </row>
    <row r="6" spans="2:18" x14ac:dyDescent="0.2">
      <c r="B6" s="299"/>
      <c r="C6" s="299"/>
      <c r="D6" s="299"/>
      <c r="E6" s="299"/>
      <c r="F6" s="299"/>
      <c r="G6" s="299"/>
      <c r="H6" s="299"/>
      <c r="I6" s="299"/>
      <c r="J6" s="614"/>
      <c r="K6" s="614"/>
      <c r="L6" s="614"/>
      <c r="M6" s="614"/>
      <c r="N6" s="614"/>
      <c r="O6" s="614"/>
      <c r="P6" s="614"/>
      <c r="Q6" s="299"/>
      <c r="R6" s="299"/>
    </row>
    <row r="7" spans="2:18" x14ac:dyDescent="0.2">
      <c r="B7" s="299"/>
      <c r="C7" s="299"/>
      <c r="D7" s="299" t="s">
        <v>189</v>
      </c>
      <c r="E7" s="299"/>
      <c r="F7" s="641" t="s">
        <v>460</v>
      </c>
      <c r="G7" s="641"/>
      <c r="H7" s="641"/>
      <c r="I7" s="299"/>
      <c r="J7" s="640"/>
      <c r="K7" s="640"/>
      <c r="L7" s="640"/>
      <c r="M7" s="614"/>
      <c r="N7" s="614"/>
      <c r="O7" s="614"/>
      <c r="P7" s="614"/>
      <c r="Q7" s="299"/>
      <c r="R7" s="299"/>
    </row>
    <row r="8" spans="2:18" x14ac:dyDescent="0.2">
      <c r="B8" s="299"/>
      <c r="C8" s="299"/>
      <c r="D8" s="299" t="s">
        <v>461</v>
      </c>
      <c r="E8" s="299"/>
      <c r="F8" s="299"/>
      <c r="G8" s="299" t="s">
        <v>462</v>
      </c>
      <c r="H8" s="299" t="s">
        <v>463</v>
      </c>
      <c r="I8" s="299"/>
      <c r="J8" s="614"/>
      <c r="K8" s="614"/>
      <c r="L8" s="614"/>
      <c r="M8" s="614"/>
      <c r="N8" s="614"/>
      <c r="O8" s="614"/>
      <c r="P8" s="614"/>
      <c r="Q8" s="299"/>
      <c r="R8" s="299"/>
    </row>
    <row r="9" spans="2:18" x14ac:dyDescent="0.2">
      <c r="B9" s="300" t="s">
        <v>464</v>
      </c>
      <c r="C9" s="297"/>
      <c r="D9" s="300" t="s">
        <v>466</v>
      </c>
      <c r="E9" s="297"/>
      <c r="F9" s="300" t="s">
        <v>467</v>
      </c>
      <c r="G9" s="300" t="s">
        <v>261</v>
      </c>
      <c r="H9" s="300" t="s">
        <v>468</v>
      </c>
      <c r="I9" s="297"/>
      <c r="J9" s="371"/>
      <c r="K9" s="371"/>
      <c r="L9" s="371"/>
      <c r="M9" s="415"/>
      <c r="N9" s="415"/>
      <c r="O9" s="415"/>
      <c r="P9" s="415"/>
    </row>
    <row r="10" spans="2:18" x14ac:dyDescent="0.2">
      <c r="B10" s="301" t="s">
        <v>195</v>
      </c>
      <c r="C10" s="297"/>
      <c r="D10" s="302" t="s">
        <v>214</v>
      </c>
      <c r="E10" s="297"/>
      <c r="F10" s="301" t="s">
        <v>197</v>
      </c>
      <c r="G10" s="301" t="s">
        <v>216</v>
      </c>
      <c r="H10" s="301" t="s">
        <v>228</v>
      </c>
      <c r="I10" s="297"/>
      <c r="J10" s="615"/>
      <c r="K10" s="615"/>
      <c r="L10" s="615"/>
      <c r="M10" s="415"/>
      <c r="N10" s="415"/>
      <c r="O10" s="415"/>
      <c r="P10" s="415"/>
    </row>
    <row r="11" spans="2:18" x14ac:dyDescent="0.2">
      <c r="B11" s="301"/>
      <c r="C11" s="297"/>
      <c r="D11" s="302"/>
      <c r="E11" s="297"/>
      <c r="F11" s="301"/>
      <c r="G11" s="301"/>
      <c r="H11" s="301"/>
      <c r="I11" s="297"/>
      <c r="J11" s="415"/>
      <c r="K11" s="415"/>
      <c r="L11" s="415"/>
      <c r="M11" s="415"/>
      <c r="N11" s="415"/>
      <c r="O11" s="415"/>
      <c r="P11" s="415"/>
    </row>
    <row r="12" spans="2:18" x14ac:dyDescent="0.2">
      <c r="B12" s="297">
        <v>1998</v>
      </c>
      <c r="C12" s="297"/>
      <c r="D12" s="458">
        <v>32.1</v>
      </c>
      <c r="E12" s="297"/>
      <c r="F12" s="457">
        <v>46.6</v>
      </c>
      <c r="G12" s="372">
        <f t="shared" ref="G12:G21" si="0">+F12/D12</f>
        <v>1.4517133956386292</v>
      </c>
      <c r="H12" s="454">
        <v>36051</v>
      </c>
      <c r="I12" s="297"/>
      <c r="J12" s="415"/>
      <c r="K12" s="415"/>
      <c r="L12" s="415"/>
      <c r="M12" s="415"/>
      <c r="N12" s="415"/>
      <c r="O12" s="415"/>
      <c r="P12" s="415"/>
    </row>
    <row r="13" spans="2:18" x14ac:dyDescent="0.2">
      <c r="B13" s="297">
        <v>1999</v>
      </c>
      <c r="C13" s="297"/>
      <c r="D13" s="458">
        <v>34.700000000000003</v>
      </c>
      <c r="E13" s="297"/>
      <c r="F13" s="457">
        <v>51.2</v>
      </c>
      <c r="G13" s="372">
        <f t="shared" si="0"/>
        <v>1.4755043227665705</v>
      </c>
      <c r="H13" s="454">
        <v>36367</v>
      </c>
      <c r="I13" s="297"/>
      <c r="J13" s="415"/>
      <c r="K13" s="415"/>
      <c r="L13" s="415"/>
      <c r="M13" s="415"/>
      <c r="N13" s="415"/>
      <c r="O13" s="415"/>
      <c r="P13" s="415"/>
    </row>
    <row r="14" spans="2:18" x14ac:dyDescent="0.2">
      <c r="B14" s="297">
        <v>2000</v>
      </c>
      <c r="D14" s="459">
        <v>33</v>
      </c>
      <c r="E14" s="304"/>
      <c r="F14" s="456">
        <v>48.5</v>
      </c>
      <c r="G14" s="372">
        <f t="shared" si="0"/>
        <v>1.4696969696969697</v>
      </c>
      <c r="H14" s="455">
        <v>36690</v>
      </c>
      <c r="J14" s="415"/>
      <c r="K14" s="415"/>
      <c r="L14" s="415"/>
      <c r="M14" s="415"/>
      <c r="N14" s="415"/>
      <c r="O14" s="415"/>
      <c r="P14" s="415"/>
    </row>
    <row r="15" spans="2:18" x14ac:dyDescent="0.2">
      <c r="B15" s="297">
        <f t="shared" ref="B15:B28" si="1">+B14+1</f>
        <v>2001</v>
      </c>
      <c r="D15" s="459">
        <v>33.299999999999997</v>
      </c>
      <c r="E15" s="304"/>
      <c r="F15" s="456">
        <v>47.1</v>
      </c>
      <c r="G15" s="372">
        <f t="shared" si="0"/>
        <v>1.4144144144144146</v>
      </c>
      <c r="H15" s="455">
        <v>37070</v>
      </c>
      <c r="J15" s="415"/>
      <c r="K15" s="415"/>
      <c r="L15" s="415"/>
      <c r="M15" s="415"/>
      <c r="N15" s="415"/>
      <c r="O15" s="415"/>
      <c r="P15" s="415"/>
    </row>
    <row r="16" spans="2:18" x14ac:dyDescent="0.2">
      <c r="B16" s="297">
        <f t="shared" si="1"/>
        <v>2002</v>
      </c>
      <c r="D16" s="459">
        <v>36.4</v>
      </c>
      <c r="E16" s="304"/>
      <c r="F16" s="456">
        <v>57.3</v>
      </c>
      <c r="G16" s="372">
        <f t="shared" si="0"/>
        <v>1.5741758241758241</v>
      </c>
      <c r="H16" s="455">
        <v>37512</v>
      </c>
      <c r="J16" s="415"/>
      <c r="K16" s="415"/>
      <c r="L16" s="415"/>
      <c r="M16" s="415"/>
      <c r="N16" s="415"/>
      <c r="O16" s="415"/>
      <c r="P16" s="415"/>
    </row>
    <row r="17" spans="2:16" x14ac:dyDescent="0.2">
      <c r="B17" s="297">
        <f t="shared" si="1"/>
        <v>2003</v>
      </c>
      <c r="D17" s="459">
        <v>26.8</v>
      </c>
      <c r="E17" s="304"/>
      <c r="F17" s="456">
        <v>38.4</v>
      </c>
      <c r="G17" s="372">
        <f t="shared" si="0"/>
        <v>1.4328358208955223</v>
      </c>
      <c r="H17" s="455">
        <v>37470</v>
      </c>
      <c r="J17" s="616"/>
      <c r="K17" s="616"/>
      <c r="L17" s="617"/>
      <c r="M17" s="415"/>
      <c r="N17" s="415"/>
      <c r="O17" s="415"/>
      <c r="P17" s="415"/>
    </row>
    <row r="18" spans="2:16" x14ac:dyDescent="0.2">
      <c r="B18" s="297">
        <f t="shared" si="1"/>
        <v>2004</v>
      </c>
      <c r="D18" s="459">
        <v>27.9</v>
      </c>
      <c r="E18" s="304"/>
      <c r="F18" s="456">
        <v>36.9</v>
      </c>
      <c r="G18" s="372">
        <f t="shared" si="0"/>
        <v>1.3225806451612903</v>
      </c>
      <c r="H18" s="455">
        <v>38174</v>
      </c>
      <c r="J18" s="618"/>
      <c r="K18" s="617"/>
      <c r="L18" s="617"/>
      <c r="M18" s="415"/>
      <c r="N18" s="415"/>
      <c r="O18" s="415"/>
      <c r="P18" s="415"/>
    </row>
    <row r="19" spans="2:16" x14ac:dyDescent="0.2">
      <c r="B19" s="297">
        <f t="shared" si="1"/>
        <v>2005</v>
      </c>
      <c r="D19" s="459">
        <v>29.18</v>
      </c>
      <c r="E19" s="304"/>
      <c r="F19" s="456">
        <v>44.475999999999999</v>
      </c>
      <c r="G19" s="372">
        <f t="shared" si="0"/>
        <v>1.5241946538725155</v>
      </c>
      <c r="H19" s="455">
        <v>38568</v>
      </c>
      <c r="J19" s="618"/>
      <c r="K19" s="617"/>
      <c r="L19" s="617"/>
      <c r="M19" s="415"/>
      <c r="N19" s="415"/>
      <c r="O19" s="415"/>
      <c r="P19" s="415"/>
    </row>
    <row r="20" spans="2:16" x14ac:dyDescent="0.2">
      <c r="B20" s="297">
        <f t="shared" si="1"/>
        <v>2006</v>
      </c>
      <c r="D20" s="459">
        <v>27.7</v>
      </c>
      <c r="F20" s="456">
        <v>40.299999999999997</v>
      </c>
      <c r="G20" s="372">
        <f t="shared" si="0"/>
        <v>1.4548736462093863</v>
      </c>
      <c r="H20" s="455">
        <v>38952</v>
      </c>
      <c r="J20" s="618"/>
      <c r="K20" s="617"/>
      <c r="L20" s="415"/>
      <c r="M20" s="415"/>
      <c r="N20" s="415"/>
      <c r="O20" s="415"/>
      <c r="P20" s="415"/>
    </row>
    <row r="21" spans="2:16" x14ac:dyDescent="0.2">
      <c r="B21" s="297">
        <f t="shared" si="1"/>
        <v>2007</v>
      </c>
      <c r="D21" s="459">
        <v>31.07</v>
      </c>
      <c r="F21" s="456">
        <v>48.755000000000003</v>
      </c>
      <c r="G21" s="372">
        <f t="shared" si="0"/>
        <v>1.5691985838429354</v>
      </c>
      <c r="H21" s="455">
        <v>39328</v>
      </c>
      <c r="J21" s="618"/>
      <c r="K21" s="617"/>
      <c r="L21" s="415"/>
      <c r="M21" s="415"/>
      <c r="N21" s="415"/>
      <c r="O21" s="415"/>
      <c r="P21" s="415"/>
    </row>
    <row r="22" spans="2:16" x14ac:dyDescent="0.2">
      <c r="B22" s="297">
        <f t="shared" si="1"/>
        <v>2008</v>
      </c>
      <c r="D22" s="459">
        <v>29</v>
      </c>
      <c r="F22" s="456">
        <v>42</v>
      </c>
      <c r="G22" s="372">
        <f>+F22/D22</f>
        <v>1.4482758620689655</v>
      </c>
      <c r="H22" s="455">
        <v>39664</v>
      </c>
      <c r="J22" s="618"/>
      <c r="K22" s="617"/>
      <c r="L22" s="415"/>
      <c r="M22" s="415"/>
      <c r="N22" s="415"/>
      <c r="O22" s="415"/>
      <c r="P22" s="415"/>
    </row>
    <row r="23" spans="2:16" x14ac:dyDescent="0.2">
      <c r="B23" s="297">
        <f t="shared" si="1"/>
        <v>2009</v>
      </c>
      <c r="D23" s="459">
        <v>27.216000000000001</v>
      </c>
      <c r="F23" s="456">
        <v>36.188000000000002</v>
      </c>
      <c r="G23" s="372">
        <f>+F23/D23</f>
        <v>1.3296590241034685</v>
      </c>
      <c r="H23" s="455">
        <v>40058</v>
      </c>
      <c r="J23" s="618"/>
      <c r="K23" s="617"/>
      <c r="L23" s="415"/>
      <c r="M23" s="415"/>
      <c r="N23" s="415"/>
      <c r="O23" s="415"/>
      <c r="P23" s="415"/>
    </row>
    <row r="24" spans="2:16" x14ac:dyDescent="0.2">
      <c r="B24" s="491">
        <f t="shared" si="1"/>
        <v>2010</v>
      </c>
      <c r="D24" s="37">
        <v>28.7</v>
      </c>
      <c r="F24" s="456">
        <v>42.238</v>
      </c>
      <c r="G24" s="372">
        <f t="shared" ref="G24:G28" si="2">+F24/D24</f>
        <v>1.4717073170731707</v>
      </c>
      <c r="H24" s="455">
        <v>40420</v>
      </c>
      <c r="J24" s="618"/>
      <c r="K24" s="617"/>
      <c r="L24" s="415"/>
      <c r="M24" s="415"/>
      <c r="N24" s="415"/>
      <c r="O24" s="415"/>
      <c r="P24" s="415"/>
    </row>
    <row r="25" spans="2:16" x14ac:dyDescent="0.2">
      <c r="B25" s="491">
        <f t="shared" si="1"/>
        <v>2011</v>
      </c>
      <c r="D25" s="37">
        <v>27.4</v>
      </c>
      <c r="F25" s="456">
        <v>41.137</v>
      </c>
      <c r="G25" s="372">
        <f t="shared" si="2"/>
        <v>1.5013503649635038</v>
      </c>
      <c r="H25" s="455">
        <v>40752</v>
      </c>
      <c r="J25" s="415"/>
      <c r="K25" s="617"/>
      <c r="L25" s="415"/>
      <c r="M25" s="415"/>
      <c r="N25" s="415"/>
      <c r="O25" s="415"/>
      <c r="P25" s="415"/>
    </row>
    <row r="26" spans="2:16" x14ac:dyDescent="0.2">
      <c r="B26" s="524">
        <f t="shared" si="1"/>
        <v>2012</v>
      </c>
      <c r="D26" s="37">
        <v>29.9</v>
      </c>
      <c r="F26" s="37">
        <v>46.2</v>
      </c>
      <c r="G26" s="372">
        <f t="shared" si="2"/>
        <v>1.5451505016722409</v>
      </c>
      <c r="H26" s="455">
        <v>41088</v>
      </c>
      <c r="J26" s="415"/>
      <c r="K26" s="415"/>
      <c r="L26" s="415"/>
      <c r="M26" s="415"/>
      <c r="N26" s="415"/>
      <c r="O26" s="415"/>
      <c r="P26" s="415"/>
    </row>
    <row r="27" spans="2:16" x14ac:dyDescent="0.2">
      <c r="B27" s="524">
        <f t="shared" si="1"/>
        <v>2013</v>
      </c>
      <c r="D27" s="37">
        <v>25.7</v>
      </c>
      <c r="F27" s="37">
        <v>34.299999999999997</v>
      </c>
      <c r="G27" s="372">
        <f t="shared" si="2"/>
        <v>1.3346303501945525</v>
      </c>
      <c r="H27" s="455">
        <v>41516</v>
      </c>
      <c r="J27" s="415"/>
      <c r="K27" s="415"/>
      <c r="L27" s="415"/>
      <c r="M27" s="415"/>
      <c r="N27" s="415"/>
      <c r="O27" s="415"/>
      <c r="P27" s="415"/>
    </row>
    <row r="28" spans="2:16" x14ac:dyDescent="0.2">
      <c r="B28" s="524">
        <f t="shared" si="1"/>
        <v>2014</v>
      </c>
      <c r="D28" s="37">
        <v>26.4</v>
      </c>
      <c r="F28" s="37">
        <v>34.799999999999997</v>
      </c>
      <c r="G28" s="372">
        <f t="shared" si="2"/>
        <v>1.3181818181818181</v>
      </c>
      <c r="H28" s="455">
        <v>41803</v>
      </c>
      <c r="J28" s="415"/>
      <c r="K28" s="415"/>
      <c r="L28" s="415"/>
      <c r="M28" s="415"/>
      <c r="N28" s="415"/>
      <c r="O28" s="415"/>
      <c r="P28" s="415"/>
    </row>
    <row r="29" spans="2:16" x14ac:dyDescent="0.2">
      <c r="B29" s="524"/>
      <c r="J29" s="415"/>
      <c r="K29" s="415"/>
      <c r="L29" s="415"/>
      <c r="M29" s="415"/>
      <c r="N29" s="415"/>
      <c r="O29" s="415"/>
      <c r="P29" s="415"/>
    </row>
    <row r="30" spans="2:16" x14ac:dyDescent="0.2">
      <c r="J30" s="415"/>
      <c r="K30" s="415"/>
      <c r="L30" s="415"/>
      <c r="M30" s="415"/>
      <c r="N30" s="415"/>
      <c r="O30" s="415"/>
      <c r="P30" s="415"/>
    </row>
    <row r="31" spans="2:16" x14ac:dyDescent="0.2">
      <c r="J31" s="415"/>
      <c r="K31" s="415"/>
      <c r="L31" s="415"/>
      <c r="M31" s="415"/>
      <c r="N31" s="415"/>
      <c r="O31" s="415"/>
      <c r="P31" s="415"/>
    </row>
    <row r="32" spans="2:16" x14ac:dyDescent="0.2">
      <c r="J32" s="415"/>
      <c r="K32" s="415"/>
      <c r="L32" s="415"/>
      <c r="M32" s="415"/>
      <c r="N32" s="415"/>
      <c r="O32" s="415"/>
      <c r="P32" s="415"/>
    </row>
    <row r="33" spans="10:16" x14ac:dyDescent="0.2">
      <c r="J33" s="415"/>
      <c r="K33" s="415"/>
      <c r="L33" s="415"/>
      <c r="M33" s="415"/>
      <c r="N33" s="415"/>
      <c r="O33" s="415"/>
      <c r="P33" s="415"/>
    </row>
    <row r="34" spans="10:16" x14ac:dyDescent="0.2">
      <c r="J34" s="415"/>
      <c r="K34" s="415"/>
      <c r="L34" s="415"/>
      <c r="M34" s="415"/>
      <c r="N34" s="415"/>
      <c r="O34" s="415"/>
      <c r="P34" s="415"/>
    </row>
    <row r="35" spans="10:16" x14ac:dyDescent="0.2">
      <c r="J35" s="415"/>
      <c r="K35" s="415"/>
      <c r="L35" s="415"/>
      <c r="M35" s="415"/>
      <c r="N35" s="415"/>
      <c r="O35" s="415"/>
      <c r="P35" s="415"/>
    </row>
  </sheetData>
  <mergeCells count="6">
    <mergeCell ref="J7:L7"/>
    <mergeCell ref="F7:H7"/>
    <mergeCell ref="B1:H1"/>
    <mergeCell ref="B2:H2"/>
    <mergeCell ref="B4:H4"/>
    <mergeCell ref="B5:H5"/>
  </mergeCells>
  <phoneticPr fontId="12" type="noConversion"/>
  <pageMargins left="0.75" right="0.75" top="1" bottom="1" header="0.5" footer="0.5"/>
  <pageSetup scale="92" orientation="portrait" r:id="rId1"/>
  <headerFooter alignWithMargins="0"/>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
  <sheetViews>
    <sheetView workbookViewId="0">
      <selection activeCell="C14" sqref="C14:E14"/>
    </sheetView>
  </sheetViews>
  <sheetFormatPr defaultColWidth="8.77734375" defaultRowHeight="12.75" x14ac:dyDescent="0.2"/>
  <cols>
    <col min="1" max="2" width="3.77734375" style="127" customWidth="1"/>
    <col min="3" max="3" width="7.33203125" style="127" customWidth="1"/>
    <col min="4" max="6" width="2.109375" style="127" customWidth="1"/>
    <col min="7" max="7" width="11.44140625" style="127" customWidth="1"/>
    <col min="8" max="8" width="2.77734375" style="127" customWidth="1"/>
    <col min="9" max="9" width="8.77734375" style="127" customWidth="1"/>
    <col min="10" max="10" width="2.77734375" style="127" customWidth="1"/>
    <col min="11" max="11" width="7.77734375" style="127" customWidth="1"/>
    <col min="12" max="12" width="2.77734375" style="127" customWidth="1"/>
    <col min="13" max="13" width="9.77734375" style="127" customWidth="1"/>
    <col min="14" max="14" width="2.77734375" style="127" customWidth="1"/>
    <col min="15" max="16" width="9.77734375" style="127" customWidth="1"/>
    <col min="17" max="16384" width="8.77734375" style="127"/>
  </cols>
  <sheetData>
    <row r="1" spans="1:256" ht="15" x14ac:dyDescent="0.2">
      <c r="A1" s="188"/>
      <c r="B1" s="188"/>
      <c r="C1" s="228" t="s">
        <v>51</v>
      </c>
      <c r="D1" s="187"/>
      <c r="E1" s="187"/>
      <c r="F1" s="187"/>
      <c r="G1" s="187"/>
      <c r="H1" s="187"/>
      <c r="I1" s="187"/>
      <c r="J1" s="187"/>
      <c r="K1" s="187"/>
      <c r="L1" s="187"/>
      <c r="M1" s="187"/>
      <c r="N1" s="187"/>
      <c r="O1" s="187"/>
      <c r="P1" s="189"/>
    </row>
    <row r="2" spans="1:256" ht="15" x14ac:dyDescent="0.2">
      <c r="B2" s="342"/>
      <c r="C2" s="228"/>
      <c r="D2" s="187"/>
      <c r="E2" s="187"/>
      <c r="F2" s="187"/>
      <c r="G2" s="187"/>
      <c r="H2" s="187"/>
      <c r="I2" s="187"/>
      <c r="J2" s="187"/>
      <c r="K2" s="187"/>
      <c r="L2" s="187"/>
      <c r="M2" s="187"/>
      <c r="N2" s="187"/>
      <c r="O2" s="187"/>
      <c r="P2" s="189"/>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BS2" s="342"/>
      <c r="BT2" s="342"/>
      <c r="BU2" s="342"/>
      <c r="BV2" s="342"/>
      <c r="BW2" s="342"/>
      <c r="BX2" s="342"/>
      <c r="BY2" s="342"/>
      <c r="BZ2" s="342"/>
      <c r="CA2" s="342"/>
      <c r="CB2" s="342"/>
      <c r="CC2" s="342"/>
      <c r="CD2" s="342"/>
      <c r="CE2" s="342"/>
      <c r="CF2" s="342"/>
      <c r="CG2" s="342"/>
      <c r="CH2" s="342"/>
      <c r="CI2" s="342"/>
      <c r="CJ2" s="342"/>
      <c r="CK2" s="342"/>
      <c r="CL2" s="342"/>
      <c r="CM2" s="342"/>
      <c r="CN2" s="342"/>
      <c r="CO2" s="342"/>
      <c r="CP2" s="342"/>
      <c r="CQ2" s="342"/>
      <c r="CR2" s="342"/>
      <c r="CS2" s="342"/>
      <c r="CT2" s="342"/>
      <c r="CU2" s="342"/>
      <c r="CV2" s="342"/>
      <c r="CW2" s="342"/>
      <c r="CX2" s="342"/>
      <c r="CY2" s="342"/>
      <c r="CZ2" s="342"/>
      <c r="DA2" s="342"/>
      <c r="DB2" s="342"/>
      <c r="DC2" s="342"/>
      <c r="DD2" s="342"/>
      <c r="DE2" s="342"/>
      <c r="DF2" s="342"/>
      <c r="DG2" s="342"/>
      <c r="DH2" s="342"/>
      <c r="DI2" s="342"/>
      <c r="DJ2" s="342"/>
      <c r="DK2" s="342"/>
      <c r="DL2" s="342"/>
      <c r="DM2" s="342"/>
      <c r="DN2" s="342"/>
      <c r="DO2" s="342"/>
      <c r="DP2" s="342"/>
      <c r="DQ2" s="342"/>
      <c r="DR2" s="342"/>
      <c r="DS2" s="342"/>
      <c r="DT2" s="342"/>
      <c r="DU2" s="342"/>
      <c r="DV2" s="342"/>
      <c r="DW2" s="342"/>
      <c r="DX2" s="342"/>
      <c r="DY2" s="342"/>
      <c r="DZ2" s="342"/>
      <c r="EA2" s="342"/>
      <c r="EB2" s="342"/>
      <c r="EC2" s="342"/>
      <c r="ED2" s="342"/>
      <c r="EE2" s="342"/>
      <c r="EF2" s="342"/>
      <c r="EG2" s="342"/>
      <c r="EH2" s="342"/>
      <c r="EI2" s="342"/>
      <c r="EJ2" s="342"/>
      <c r="EK2" s="342"/>
      <c r="EL2" s="342"/>
      <c r="EM2" s="342"/>
      <c r="EN2" s="342"/>
      <c r="EO2" s="342"/>
      <c r="EP2" s="342"/>
      <c r="EQ2" s="342"/>
      <c r="ER2" s="342"/>
      <c r="ES2" s="342"/>
      <c r="ET2" s="342"/>
      <c r="EU2" s="342"/>
      <c r="EV2" s="342"/>
      <c r="EW2" s="342"/>
      <c r="EX2" s="342"/>
      <c r="EY2" s="342"/>
      <c r="EZ2" s="342"/>
      <c r="FA2" s="342"/>
      <c r="FB2" s="342"/>
      <c r="FC2" s="342"/>
      <c r="FD2" s="342"/>
      <c r="FE2" s="342"/>
      <c r="FF2" s="342"/>
      <c r="FG2" s="342"/>
      <c r="FH2" s="342"/>
      <c r="FI2" s="342"/>
      <c r="FJ2" s="342"/>
      <c r="FK2" s="342"/>
      <c r="FL2" s="342"/>
      <c r="FM2" s="342"/>
      <c r="FN2" s="342"/>
      <c r="FO2" s="342"/>
      <c r="FP2" s="342"/>
      <c r="FQ2" s="342"/>
      <c r="FR2" s="342"/>
      <c r="FS2" s="342"/>
      <c r="FT2" s="342"/>
      <c r="FU2" s="342"/>
      <c r="FV2" s="342"/>
      <c r="FW2" s="342"/>
      <c r="FX2" s="342"/>
      <c r="FY2" s="342"/>
      <c r="FZ2" s="342"/>
      <c r="GA2" s="342"/>
      <c r="GB2" s="342"/>
      <c r="GC2" s="342"/>
      <c r="GD2" s="342"/>
      <c r="GE2" s="342"/>
      <c r="GF2" s="342"/>
      <c r="GG2" s="342"/>
      <c r="GH2" s="342"/>
      <c r="GI2" s="342"/>
      <c r="GJ2" s="342"/>
      <c r="GK2" s="342"/>
      <c r="GL2" s="342"/>
      <c r="GM2" s="342"/>
      <c r="GN2" s="342"/>
      <c r="GO2" s="342"/>
      <c r="GP2" s="342"/>
      <c r="GQ2" s="342"/>
      <c r="GR2" s="342"/>
      <c r="GS2" s="342"/>
      <c r="GT2" s="342"/>
      <c r="GU2" s="342"/>
      <c r="GV2" s="342"/>
      <c r="GW2" s="342"/>
      <c r="GX2" s="342"/>
      <c r="GY2" s="342"/>
      <c r="GZ2" s="342"/>
      <c r="HA2" s="342"/>
      <c r="HB2" s="342"/>
      <c r="HC2" s="342"/>
      <c r="HD2" s="342"/>
      <c r="HE2" s="342"/>
      <c r="HF2" s="342"/>
      <c r="HG2" s="342"/>
      <c r="HH2" s="342"/>
      <c r="HI2" s="342"/>
      <c r="HJ2" s="342"/>
      <c r="HK2" s="342"/>
      <c r="HL2" s="342"/>
      <c r="HM2" s="342"/>
      <c r="HN2" s="342"/>
      <c r="HO2" s="342"/>
      <c r="HP2" s="342"/>
      <c r="HQ2" s="342"/>
      <c r="HR2" s="342"/>
      <c r="HS2" s="342"/>
      <c r="HT2" s="342"/>
      <c r="HU2" s="342"/>
      <c r="HV2" s="342"/>
      <c r="HW2" s="342"/>
      <c r="HX2" s="342"/>
      <c r="HY2" s="342"/>
      <c r="HZ2" s="342"/>
      <c r="IA2" s="342"/>
      <c r="IB2" s="342"/>
      <c r="IC2" s="342"/>
      <c r="ID2" s="342"/>
      <c r="IE2" s="342"/>
      <c r="IF2" s="342"/>
      <c r="IG2" s="342"/>
      <c r="IH2" s="342"/>
      <c r="II2" s="342"/>
      <c r="IJ2" s="342"/>
      <c r="IK2" s="342"/>
      <c r="IL2" s="342"/>
      <c r="IM2" s="342"/>
      <c r="IN2" s="342"/>
      <c r="IO2" s="342"/>
      <c r="IP2" s="342"/>
      <c r="IQ2" s="342"/>
      <c r="IR2" s="342"/>
      <c r="IS2" s="342"/>
      <c r="IT2" s="342"/>
      <c r="IU2" s="342"/>
      <c r="IV2" s="342"/>
    </row>
    <row r="3" spans="1:256" x14ac:dyDescent="0.2">
      <c r="A3" s="188"/>
      <c r="B3" s="188"/>
      <c r="C3" s="187" t="s">
        <v>185</v>
      </c>
      <c r="D3" s="187"/>
      <c r="E3" s="187"/>
      <c r="F3" s="187"/>
      <c r="G3" s="187"/>
      <c r="H3" s="187"/>
      <c r="I3" s="187"/>
      <c r="J3" s="187"/>
      <c r="K3" s="187"/>
      <c r="L3" s="187"/>
      <c r="M3" s="187"/>
      <c r="N3" s="187"/>
      <c r="O3" s="187"/>
      <c r="P3" s="189"/>
    </row>
    <row r="4" spans="1:256" x14ac:dyDescent="0.2">
      <c r="A4" s="188"/>
      <c r="B4" s="188"/>
      <c r="C4" s="187" t="s">
        <v>417</v>
      </c>
      <c r="D4" s="187"/>
      <c r="E4" s="187"/>
      <c r="F4" s="187"/>
      <c r="G4" s="187"/>
      <c r="H4" s="187"/>
      <c r="I4" s="187"/>
      <c r="J4" s="187"/>
      <c r="K4" s="187"/>
      <c r="L4" s="187"/>
      <c r="M4" s="187"/>
      <c r="N4" s="187"/>
      <c r="O4" s="187"/>
      <c r="P4" s="189"/>
    </row>
    <row r="5" spans="1:256" x14ac:dyDescent="0.2">
      <c r="A5" s="188"/>
      <c r="B5" s="188"/>
      <c r="C5" s="187" t="s">
        <v>179</v>
      </c>
      <c r="D5" s="187"/>
      <c r="E5" s="187"/>
      <c r="F5" s="187"/>
      <c r="G5" s="187"/>
      <c r="H5" s="187"/>
      <c r="I5" s="187"/>
      <c r="J5" s="187"/>
      <c r="K5" s="187"/>
      <c r="L5" s="187"/>
      <c r="M5" s="187"/>
      <c r="N5" s="187"/>
      <c r="O5" s="187"/>
      <c r="P5" s="189"/>
    </row>
    <row r="6" spans="1:256" x14ac:dyDescent="0.2">
      <c r="A6" s="188"/>
      <c r="B6" s="188"/>
      <c r="C6" s="189"/>
      <c r="D6" s="189"/>
      <c r="E6" s="189"/>
      <c r="F6" s="189"/>
      <c r="G6" s="189"/>
      <c r="H6" s="189"/>
      <c r="I6" s="189"/>
      <c r="J6" s="189"/>
      <c r="K6" s="189"/>
      <c r="L6" s="189"/>
      <c r="M6" s="189"/>
      <c r="N6" s="189"/>
      <c r="O6" s="189"/>
      <c r="P6" s="189"/>
    </row>
    <row r="7" spans="1:256" x14ac:dyDescent="0.2">
      <c r="A7" s="188"/>
      <c r="B7" s="188"/>
      <c r="C7" s="189"/>
      <c r="D7" s="189"/>
      <c r="E7" s="189"/>
      <c r="F7" s="189"/>
      <c r="G7" s="189"/>
      <c r="H7" s="189"/>
      <c r="I7" s="190" t="s">
        <v>418</v>
      </c>
      <c r="J7" s="189"/>
      <c r="K7" s="189"/>
      <c r="L7" s="189"/>
      <c r="M7" s="189"/>
      <c r="N7" s="189"/>
      <c r="O7" s="189"/>
      <c r="P7" s="189"/>
    </row>
    <row r="8" spans="1:256" x14ac:dyDescent="0.2">
      <c r="A8" s="188"/>
      <c r="B8" s="188"/>
      <c r="C8" s="189"/>
      <c r="D8" s="189"/>
      <c r="E8" s="189"/>
      <c r="F8" s="189"/>
      <c r="G8" s="189"/>
      <c r="H8" s="189"/>
      <c r="I8" s="190" t="s">
        <v>419</v>
      </c>
      <c r="J8" s="189"/>
      <c r="K8" s="189"/>
      <c r="L8" s="189"/>
      <c r="M8" s="190" t="s">
        <v>420</v>
      </c>
      <c r="N8" s="189"/>
      <c r="O8" s="190" t="s">
        <v>192</v>
      </c>
      <c r="P8" s="189"/>
    </row>
    <row r="9" spans="1:256" x14ac:dyDescent="0.2">
      <c r="A9" s="188"/>
      <c r="B9" s="188"/>
      <c r="C9" s="187" t="s">
        <v>421</v>
      </c>
      <c r="D9" s="187"/>
      <c r="E9" s="187"/>
      <c r="F9" s="187"/>
      <c r="G9" s="187"/>
      <c r="H9" s="189"/>
      <c r="I9" s="190" t="s">
        <v>422</v>
      </c>
      <c r="J9" s="189"/>
      <c r="K9" s="190" t="s">
        <v>423</v>
      </c>
      <c r="L9" s="189"/>
      <c r="M9" s="190" t="s">
        <v>457</v>
      </c>
      <c r="N9" s="189"/>
      <c r="O9" s="190" t="s">
        <v>194</v>
      </c>
      <c r="P9" s="189"/>
    </row>
    <row r="10" spans="1:256" x14ac:dyDescent="0.2">
      <c r="A10" s="188"/>
      <c r="B10" s="188"/>
      <c r="C10" s="191" t="s">
        <v>195</v>
      </c>
      <c r="D10" s="191"/>
      <c r="E10" s="191"/>
      <c r="F10" s="191"/>
      <c r="G10" s="191"/>
      <c r="H10" s="189"/>
      <c r="I10" s="192" t="s">
        <v>214</v>
      </c>
      <c r="J10" s="190"/>
      <c r="K10" s="192" t="s">
        <v>197</v>
      </c>
      <c r="L10" s="189"/>
      <c r="M10" s="192" t="s">
        <v>227</v>
      </c>
      <c r="N10" s="189"/>
      <c r="O10" s="192" t="s">
        <v>228</v>
      </c>
      <c r="P10" s="189"/>
    </row>
    <row r="11" spans="1:256" ht="16.149999999999999" customHeight="1" x14ac:dyDescent="0.2">
      <c r="A11" s="188"/>
      <c r="B11" s="188"/>
      <c r="C11" s="189"/>
      <c r="D11" s="189"/>
      <c r="E11" s="189"/>
      <c r="F11" s="189"/>
      <c r="G11" s="189"/>
      <c r="H11" s="189"/>
      <c r="I11" s="189"/>
      <c r="J11" s="189"/>
      <c r="K11" s="189"/>
      <c r="L11" s="189"/>
      <c r="M11" s="189"/>
      <c r="N11" s="189"/>
      <c r="O11" s="189"/>
      <c r="P11" s="189"/>
    </row>
    <row r="12" spans="1:256" x14ac:dyDescent="0.2">
      <c r="A12" s="188"/>
      <c r="B12" s="188"/>
      <c r="C12" s="193" t="s">
        <v>424</v>
      </c>
      <c r="D12" s="189"/>
      <c r="E12" s="189"/>
      <c r="F12" s="189"/>
      <c r="G12" s="189"/>
      <c r="H12" s="189"/>
      <c r="I12" s="189"/>
      <c r="J12" s="189"/>
      <c r="K12" s="189"/>
      <c r="L12" s="189"/>
      <c r="M12" s="189"/>
      <c r="N12" s="189"/>
      <c r="O12" s="189"/>
      <c r="P12" s="189"/>
    </row>
    <row r="13" spans="1:256" ht="13.9" customHeight="1" x14ac:dyDescent="0.2">
      <c r="A13" s="188"/>
      <c r="B13" s="188"/>
      <c r="C13" s="193"/>
      <c r="D13" s="189"/>
      <c r="E13" s="189"/>
      <c r="F13" s="189"/>
      <c r="G13" s="189"/>
      <c r="H13" s="189"/>
      <c r="I13" s="189"/>
      <c r="J13" s="189"/>
      <c r="K13" s="189"/>
      <c r="L13" s="189"/>
      <c r="M13" s="189"/>
      <c r="N13" s="189"/>
      <c r="O13" s="189"/>
      <c r="P13" s="189"/>
    </row>
    <row r="14" spans="1:256" x14ac:dyDescent="0.2">
      <c r="A14" s="188"/>
      <c r="B14" s="188"/>
      <c r="C14" s="643" t="s">
        <v>427</v>
      </c>
      <c r="D14" s="643"/>
      <c r="E14" s="643"/>
      <c r="F14" s="189"/>
      <c r="G14" s="189"/>
      <c r="H14" s="189"/>
      <c r="I14" s="172"/>
      <c r="J14" s="189"/>
      <c r="K14" s="189"/>
      <c r="L14" s="189"/>
      <c r="M14" s="189"/>
      <c r="N14" s="189"/>
      <c r="O14" s="189"/>
      <c r="P14" s="189"/>
    </row>
    <row r="15" spans="1:256" x14ac:dyDescent="0.2">
      <c r="A15" s="188"/>
      <c r="B15" s="188"/>
      <c r="C15" s="434">
        <v>2.5</v>
      </c>
      <c r="D15" s="194" t="s">
        <v>428</v>
      </c>
      <c r="E15" s="194"/>
      <c r="F15" s="189"/>
      <c r="G15" s="189"/>
      <c r="H15" s="189"/>
      <c r="I15" s="217">
        <f>+C15^2.5</f>
        <v>9.8821176880261863</v>
      </c>
      <c r="J15" s="189"/>
      <c r="K15" s="374"/>
      <c r="L15" s="189"/>
      <c r="M15" s="195">
        <f>ROUND((+I15*K15),0)</f>
        <v>0</v>
      </c>
      <c r="N15" s="189"/>
      <c r="O15" s="189"/>
      <c r="P15" s="189"/>
      <c r="R15" s="374"/>
    </row>
    <row r="16" spans="1:256" x14ac:dyDescent="0.2">
      <c r="A16" s="188"/>
      <c r="B16" s="188"/>
      <c r="C16" s="196">
        <v>3</v>
      </c>
      <c r="D16" s="189" t="s">
        <v>428</v>
      </c>
      <c r="E16" s="189"/>
      <c r="F16" s="189"/>
      <c r="G16" s="189"/>
      <c r="H16" s="189"/>
      <c r="I16" s="217">
        <f t="shared" ref="I16:I21" si="0">+C16^2</f>
        <v>9</v>
      </c>
      <c r="J16" s="189"/>
      <c r="K16" s="374"/>
      <c r="L16" s="189"/>
      <c r="M16" s="195">
        <f t="shared" ref="M16:M22" si="1">ROUND((+I16*K16),0)</f>
        <v>0</v>
      </c>
      <c r="N16" s="189"/>
      <c r="O16" s="189"/>
      <c r="P16" s="189"/>
      <c r="R16" s="374"/>
    </row>
    <row r="17" spans="1:18" x14ac:dyDescent="0.2">
      <c r="A17" s="188"/>
      <c r="B17" s="188"/>
      <c r="C17" s="196">
        <v>4</v>
      </c>
      <c r="D17" s="189" t="s">
        <v>428</v>
      </c>
      <c r="E17" s="189"/>
      <c r="F17" s="189"/>
      <c r="G17" s="189"/>
      <c r="H17" s="189"/>
      <c r="I17" s="217">
        <f t="shared" si="0"/>
        <v>16</v>
      </c>
      <c r="J17" s="189"/>
      <c r="K17" s="374"/>
      <c r="L17" s="189"/>
      <c r="M17" s="195">
        <f t="shared" si="1"/>
        <v>0</v>
      </c>
      <c r="N17" s="189"/>
      <c r="O17" s="189"/>
      <c r="P17" s="189"/>
      <c r="R17" s="374"/>
    </row>
    <row r="18" spans="1:18" x14ac:dyDescent="0.2">
      <c r="A18" s="188"/>
      <c r="B18" s="188"/>
      <c r="C18" s="196">
        <v>6</v>
      </c>
      <c r="D18" s="189" t="s">
        <v>428</v>
      </c>
      <c r="E18" s="189"/>
      <c r="F18" s="189"/>
      <c r="G18" s="189"/>
      <c r="H18" s="189"/>
      <c r="I18" s="217">
        <f t="shared" si="0"/>
        <v>36</v>
      </c>
      <c r="J18" s="189"/>
      <c r="K18" s="374"/>
      <c r="L18" s="189"/>
      <c r="M18" s="195">
        <f t="shared" si="1"/>
        <v>0</v>
      </c>
      <c r="N18" s="189"/>
      <c r="O18" s="189"/>
      <c r="P18" s="189"/>
      <c r="R18" s="374"/>
    </row>
    <row r="19" spans="1:18" x14ac:dyDescent="0.2">
      <c r="A19" s="188"/>
      <c r="B19" s="188"/>
      <c r="C19" s="196">
        <v>8</v>
      </c>
      <c r="D19" s="189" t="s">
        <v>428</v>
      </c>
      <c r="E19" s="189"/>
      <c r="F19" s="189"/>
      <c r="G19" s="189"/>
      <c r="H19" s="189"/>
      <c r="I19" s="217">
        <f t="shared" si="0"/>
        <v>64</v>
      </c>
      <c r="J19" s="189"/>
      <c r="K19" s="374"/>
      <c r="L19" s="189"/>
      <c r="M19" s="195">
        <f t="shared" si="1"/>
        <v>0</v>
      </c>
      <c r="N19" s="189"/>
      <c r="O19" s="189"/>
      <c r="P19" s="189"/>
      <c r="R19" s="374"/>
    </row>
    <row r="20" spans="1:18" x14ac:dyDescent="0.2">
      <c r="A20" s="188"/>
      <c r="B20" s="188"/>
      <c r="C20" s="196">
        <v>10</v>
      </c>
      <c r="D20" s="189" t="s">
        <v>428</v>
      </c>
      <c r="E20" s="189"/>
      <c r="F20" s="189"/>
      <c r="G20" s="189"/>
      <c r="H20" s="189"/>
      <c r="I20" s="217">
        <f t="shared" si="0"/>
        <v>100</v>
      </c>
      <c r="J20" s="189"/>
      <c r="K20" s="374"/>
      <c r="L20" s="189"/>
      <c r="M20" s="195">
        <f t="shared" si="1"/>
        <v>0</v>
      </c>
      <c r="N20" s="189"/>
      <c r="O20" s="189"/>
      <c r="P20" s="189"/>
      <c r="R20" s="374"/>
    </row>
    <row r="21" spans="1:18" x14ac:dyDescent="0.2">
      <c r="A21" s="188"/>
      <c r="B21" s="188"/>
      <c r="C21" s="196">
        <v>12</v>
      </c>
      <c r="D21" s="189" t="s">
        <v>428</v>
      </c>
      <c r="E21" s="189"/>
      <c r="F21" s="189"/>
      <c r="G21" s="189"/>
      <c r="H21" s="189"/>
      <c r="I21" s="217">
        <f t="shared" si="0"/>
        <v>144</v>
      </c>
      <c r="J21" s="189"/>
      <c r="K21" s="374"/>
      <c r="L21" s="189"/>
      <c r="M21" s="195">
        <f t="shared" si="1"/>
        <v>0</v>
      </c>
      <c r="N21" s="189"/>
      <c r="O21" s="189"/>
      <c r="P21" s="189"/>
      <c r="R21" s="374"/>
    </row>
    <row r="22" spans="1:18" x14ac:dyDescent="0.2">
      <c r="A22" s="188"/>
      <c r="B22" s="188"/>
      <c r="C22" s="644" t="s">
        <v>157</v>
      </c>
      <c r="D22" s="644"/>
      <c r="E22" s="644"/>
      <c r="F22" s="189"/>
      <c r="G22" s="189"/>
      <c r="H22" s="189"/>
      <c r="I22" s="217">
        <f>+I30</f>
        <v>25.3125</v>
      </c>
      <c r="J22" s="189"/>
      <c r="K22" s="189"/>
      <c r="L22" s="189"/>
      <c r="M22" s="195">
        <f t="shared" si="1"/>
        <v>0</v>
      </c>
      <c r="N22" s="189"/>
      <c r="O22" s="189"/>
      <c r="P22" s="189"/>
    </row>
    <row r="23" spans="1:18" x14ac:dyDescent="0.2">
      <c r="A23" s="188"/>
      <c r="B23" s="188"/>
      <c r="C23" s="189"/>
      <c r="D23" s="189"/>
      <c r="E23" s="189"/>
      <c r="F23" s="189"/>
      <c r="G23" s="189"/>
      <c r="H23" s="189"/>
      <c r="I23" s="172"/>
      <c r="J23" s="189"/>
      <c r="K23" s="197"/>
      <c r="L23" s="189"/>
      <c r="M23" s="197"/>
      <c r="N23" s="189"/>
      <c r="O23" s="189"/>
      <c r="P23" s="189"/>
      <c r="R23" s="146"/>
    </row>
    <row r="24" spans="1:18" x14ac:dyDescent="0.2">
      <c r="A24" s="188"/>
      <c r="B24" s="188"/>
      <c r="C24" s="189" t="s">
        <v>429</v>
      </c>
      <c r="D24" s="189"/>
      <c r="E24" s="189"/>
      <c r="F24" s="189"/>
      <c r="G24" s="189"/>
      <c r="H24" s="189"/>
      <c r="I24" s="172"/>
      <c r="J24" s="189"/>
      <c r="K24" s="460">
        <f>SUM(K15:K22)</f>
        <v>0</v>
      </c>
      <c r="L24" s="189"/>
      <c r="M24" s="229">
        <f>SUM(M15:M22)</f>
        <v>0</v>
      </c>
      <c r="N24" s="189"/>
      <c r="O24" s="198">
        <f>ROUND(+M24/M$34,4)</f>
        <v>0</v>
      </c>
      <c r="P24" s="189"/>
    </row>
    <row r="25" spans="1:18" x14ac:dyDescent="0.2">
      <c r="A25" s="188"/>
      <c r="B25" s="188"/>
      <c r="C25" s="189"/>
      <c r="D25" s="189"/>
      <c r="E25" s="189"/>
      <c r="F25" s="189"/>
      <c r="G25" s="189"/>
      <c r="H25" s="189"/>
      <c r="I25" s="172"/>
      <c r="J25" s="189"/>
      <c r="K25" s="195"/>
      <c r="L25" s="189"/>
      <c r="M25" s="195"/>
      <c r="N25" s="189"/>
      <c r="O25" s="198"/>
      <c r="P25" s="189"/>
    </row>
    <row r="26" spans="1:18" x14ac:dyDescent="0.2">
      <c r="A26" s="188"/>
      <c r="B26" s="188"/>
      <c r="C26" s="189"/>
      <c r="D26" s="189"/>
      <c r="E26" s="189"/>
      <c r="F26" s="189"/>
      <c r="G26" s="189"/>
      <c r="H26" s="189"/>
      <c r="I26" s="172"/>
      <c r="J26" s="189"/>
      <c r="K26" s="195"/>
      <c r="L26" s="189"/>
      <c r="M26" s="195"/>
      <c r="N26" s="189"/>
      <c r="O26" s="189"/>
      <c r="P26" s="189"/>
      <c r="Q26" s="361"/>
    </row>
    <row r="27" spans="1:18" x14ac:dyDescent="0.2">
      <c r="A27" s="188"/>
      <c r="B27" s="188"/>
      <c r="C27" s="193" t="s">
        <v>430</v>
      </c>
      <c r="D27" s="189"/>
      <c r="E27" s="189"/>
      <c r="F27" s="189"/>
      <c r="G27" s="189"/>
      <c r="H27" s="189"/>
      <c r="I27" s="172"/>
      <c r="J27" s="189"/>
      <c r="K27" s="195"/>
      <c r="L27" s="189"/>
      <c r="M27" s="195"/>
      <c r="N27" s="189"/>
      <c r="O27" s="189"/>
      <c r="P27" s="189"/>
    </row>
    <row r="28" spans="1:18" x14ac:dyDescent="0.2">
      <c r="A28" s="188"/>
      <c r="B28" s="188"/>
      <c r="C28" s="193"/>
      <c r="D28" s="189"/>
      <c r="E28" s="189"/>
      <c r="F28" s="189"/>
      <c r="G28" s="189"/>
      <c r="H28" s="189"/>
      <c r="I28" s="172"/>
      <c r="J28" s="189"/>
      <c r="K28" s="195"/>
      <c r="L28" s="189"/>
      <c r="M28" s="195"/>
      <c r="N28" s="189"/>
      <c r="O28" s="189"/>
      <c r="P28" s="189"/>
    </row>
    <row r="29" spans="1:18" x14ac:dyDescent="0.2">
      <c r="A29" s="188"/>
      <c r="B29" s="188"/>
      <c r="C29" s="199" t="s">
        <v>425</v>
      </c>
      <c r="D29" s="190"/>
      <c r="F29" s="190"/>
      <c r="G29" s="199" t="s">
        <v>426</v>
      </c>
      <c r="H29" s="189"/>
      <c r="I29" s="172"/>
      <c r="J29" s="189"/>
      <c r="K29" s="195"/>
      <c r="L29" s="189"/>
      <c r="M29" s="195"/>
      <c r="N29" s="189"/>
      <c r="O29" s="189"/>
      <c r="P29" s="189"/>
    </row>
    <row r="30" spans="1:18" x14ac:dyDescent="0.2">
      <c r="A30" s="188">
        <f>5.25^2</f>
        <v>27.5625</v>
      </c>
      <c r="B30" s="189">
        <f>2.25^2+4.5^2</f>
        <v>25.3125</v>
      </c>
      <c r="C30" s="216" t="s">
        <v>471</v>
      </c>
      <c r="D30" s="200"/>
      <c r="F30" s="201"/>
      <c r="G30" s="356" t="s">
        <v>339</v>
      </c>
      <c r="H30" s="189"/>
      <c r="I30" s="217">
        <f>+MIN(A30:B30)</f>
        <v>25.3125</v>
      </c>
      <c r="J30" s="189"/>
      <c r="K30" s="343">
        <f>7599+3579.154</f>
        <v>11178.154</v>
      </c>
      <c r="L30" s="189"/>
      <c r="M30" s="195">
        <f>ROUND(+I30*K30,0)</f>
        <v>282947</v>
      </c>
      <c r="N30" s="189"/>
      <c r="O30" s="189"/>
      <c r="P30" s="189"/>
    </row>
    <row r="31" spans="1:18" x14ac:dyDescent="0.2">
      <c r="A31" s="188"/>
      <c r="B31" s="188"/>
      <c r="D31" s="189"/>
      <c r="E31" s="189"/>
      <c r="F31" s="189"/>
      <c r="G31" s="189"/>
      <c r="H31" s="189"/>
      <c r="I31" s="172"/>
      <c r="J31" s="189"/>
      <c r="K31" s="197"/>
      <c r="L31" s="189"/>
      <c r="M31" s="197"/>
      <c r="N31" s="189"/>
      <c r="O31" s="189"/>
      <c r="P31" s="189"/>
    </row>
    <row r="32" spans="1:18" x14ac:dyDescent="0.2">
      <c r="A32" s="188"/>
      <c r="B32" s="188"/>
      <c r="C32" s="582" t="s">
        <v>497</v>
      </c>
      <c r="D32" s="189"/>
      <c r="E32" s="189"/>
      <c r="F32" s="189"/>
      <c r="G32" s="189"/>
      <c r="H32" s="189"/>
      <c r="I32" s="189"/>
      <c r="J32" s="189"/>
      <c r="K32" s="195">
        <f>SUM(K30:K31)</f>
        <v>11178.154</v>
      </c>
      <c r="L32" s="189"/>
      <c r="M32" s="195">
        <f>SUM(M30:M31)</f>
        <v>282947</v>
      </c>
      <c r="N32" s="189"/>
      <c r="O32" s="198">
        <f>ROUND(+M32/M$34,4)</f>
        <v>1</v>
      </c>
      <c r="P32" s="189"/>
    </row>
    <row r="33" spans="1:16" x14ac:dyDescent="0.2">
      <c r="A33" s="188"/>
      <c r="B33" s="188"/>
      <c r="C33" s="189"/>
      <c r="D33" s="189"/>
      <c r="E33" s="189"/>
      <c r="F33" s="189"/>
      <c r="G33" s="189"/>
      <c r="H33" s="189"/>
      <c r="I33" s="189"/>
      <c r="J33" s="189"/>
      <c r="K33" s="197"/>
      <c r="L33" s="189"/>
      <c r="M33" s="197"/>
      <c r="N33" s="189"/>
      <c r="O33" s="197"/>
      <c r="P33" s="189"/>
    </row>
    <row r="34" spans="1:16" ht="13.5" thickBot="1" x14ac:dyDescent="0.25">
      <c r="A34" s="188"/>
      <c r="B34" s="188"/>
      <c r="C34" s="189" t="s">
        <v>431</v>
      </c>
      <c r="D34" s="189"/>
      <c r="E34" s="189"/>
      <c r="F34" s="189"/>
      <c r="G34" s="189"/>
      <c r="H34" s="189"/>
      <c r="I34" s="189"/>
      <c r="J34" s="189"/>
      <c r="K34" s="226">
        <f>K24+K32</f>
        <v>11178.154</v>
      </c>
      <c r="L34" s="189"/>
      <c r="M34" s="226">
        <f>M24+M32</f>
        <v>282947</v>
      </c>
      <c r="N34" s="198"/>
      <c r="O34" s="227">
        <f>O24+O32</f>
        <v>1</v>
      </c>
      <c r="P34" s="189"/>
    </row>
    <row r="35" spans="1:16" ht="13.5" thickTop="1" x14ac:dyDescent="0.2"/>
  </sheetData>
  <mergeCells count="2">
    <mergeCell ref="C14:E14"/>
    <mergeCell ref="C22:E22"/>
  </mergeCells>
  <phoneticPr fontId="12" type="noConversion"/>
  <pageMargins left="1" right="0.75" top="1" bottom="1" header="0.5" footer="0.5"/>
  <pageSetup scale="99"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workbookViewId="0">
      <selection activeCell="C20" sqref="C20"/>
    </sheetView>
  </sheetViews>
  <sheetFormatPr defaultRowHeight="12.75" x14ac:dyDescent="0.2"/>
  <cols>
    <col min="1" max="1" width="3.77734375" customWidth="1"/>
    <col min="2" max="2" width="28" customWidth="1"/>
    <col min="3" max="3" width="9.88671875" customWidth="1"/>
    <col min="5" max="5" width="1.88671875" style="153" customWidth="1"/>
  </cols>
  <sheetData>
    <row r="1" spans="1:6" ht="15" x14ac:dyDescent="0.2">
      <c r="A1" s="36" t="s">
        <v>51</v>
      </c>
      <c r="B1" s="358"/>
      <c r="C1" s="358"/>
      <c r="D1" s="358"/>
      <c r="E1" s="477"/>
      <c r="F1" s="358"/>
    </row>
    <row r="2" spans="1:6" ht="15" x14ac:dyDescent="0.2">
      <c r="A2" s="186"/>
      <c r="B2" s="358"/>
      <c r="C2" s="358"/>
      <c r="D2" s="358"/>
      <c r="E2" s="477"/>
      <c r="F2" s="358"/>
    </row>
    <row r="3" spans="1:6" x14ac:dyDescent="0.2">
      <c r="A3" s="1"/>
      <c r="B3" s="358"/>
      <c r="C3" s="358"/>
      <c r="D3" s="358"/>
      <c r="E3" s="477"/>
      <c r="F3" s="358"/>
    </row>
    <row r="4" spans="1:6" x14ac:dyDescent="0.2">
      <c r="A4" s="1" t="s">
        <v>472</v>
      </c>
      <c r="B4" s="358"/>
      <c r="C4" s="358"/>
      <c r="D4" s="358"/>
      <c r="E4" s="477"/>
      <c r="F4" s="358"/>
    </row>
    <row r="5" spans="1:6" x14ac:dyDescent="0.2">
      <c r="A5" s="1"/>
      <c r="B5" s="358"/>
      <c r="C5" s="358"/>
      <c r="D5" s="358"/>
      <c r="E5" s="477"/>
      <c r="F5" s="358"/>
    </row>
    <row r="6" spans="1:6" x14ac:dyDescent="0.2">
      <c r="A6" s="358"/>
      <c r="B6" s="358"/>
      <c r="C6" s="358"/>
      <c r="D6" s="464" t="s">
        <v>107</v>
      </c>
      <c r="E6" s="397"/>
      <c r="F6" s="464" t="s">
        <v>108</v>
      </c>
    </row>
    <row r="8" spans="1:6" x14ac:dyDescent="0.2">
      <c r="A8" s="279">
        <v>-1</v>
      </c>
      <c r="B8" t="s">
        <v>2</v>
      </c>
      <c r="C8" s="472">
        <f ca="1">+'COS 1'!AM215</f>
        <v>8607059.1353009157</v>
      </c>
    </row>
    <row r="9" spans="1:6" x14ac:dyDescent="0.2">
      <c r="A9" s="279"/>
      <c r="C9" s="231"/>
      <c r="D9" s="387"/>
      <c r="E9" s="466"/>
    </row>
    <row r="10" spans="1:6" x14ac:dyDescent="0.2">
      <c r="A10" s="279">
        <f>+A8-1</f>
        <v>-2</v>
      </c>
      <c r="B10" t="s">
        <v>473</v>
      </c>
      <c r="C10" s="231">
        <f>+Meters!AA32*12</f>
        <v>1159356</v>
      </c>
      <c r="D10" s="387"/>
      <c r="E10" s="466"/>
    </row>
    <row r="11" spans="1:6" x14ac:dyDescent="0.2">
      <c r="A11" s="279"/>
      <c r="C11" s="231"/>
      <c r="D11" s="387"/>
      <c r="E11" s="466"/>
    </row>
    <row r="12" spans="1:6" x14ac:dyDescent="0.2">
      <c r="A12" s="279">
        <f>+A10-1</f>
        <v>-3</v>
      </c>
      <c r="B12" t="s">
        <v>3</v>
      </c>
      <c r="D12" s="387">
        <f ca="1">ROUND(+C8/C10,2)</f>
        <v>7.42</v>
      </c>
      <c r="E12" s="466"/>
      <c r="F12" s="467">
        <f ca="1">+D12*3</f>
        <v>22.259999999999998</v>
      </c>
    </row>
    <row r="13" spans="1:6" x14ac:dyDescent="0.2">
      <c r="A13" s="279"/>
      <c r="C13" s="231"/>
      <c r="D13" s="387"/>
      <c r="E13" s="466"/>
    </row>
    <row r="14" spans="1:6" x14ac:dyDescent="0.2">
      <c r="A14" s="279">
        <f>+A12-1</f>
        <v>-4</v>
      </c>
      <c r="B14" t="s">
        <v>4</v>
      </c>
      <c r="C14" s="472">
        <f ca="1">+'COS 1'!AO215</f>
        <v>3304838.226801856</v>
      </c>
      <c r="D14" s="387"/>
      <c r="E14" s="466"/>
    </row>
    <row r="15" spans="1:6" x14ac:dyDescent="0.2">
      <c r="A15" s="279"/>
      <c r="C15" s="231"/>
      <c r="D15" s="387"/>
      <c r="E15" s="466"/>
    </row>
    <row r="16" spans="1:6" x14ac:dyDescent="0.2">
      <c r="A16" s="279">
        <f>+A14-1</f>
        <v>-5</v>
      </c>
      <c r="B16" t="s">
        <v>474</v>
      </c>
      <c r="C16" s="231">
        <f>+(Meters!AA66)*12</f>
        <v>1108704</v>
      </c>
      <c r="D16" s="387"/>
      <c r="E16" s="466"/>
    </row>
    <row r="17" spans="1:6" x14ac:dyDescent="0.2">
      <c r="A17" s="279"/>
      <c r="C17" s="231"/>
      <c r="D17" s="387"/>
      <c r="E17" s="466"/>
    </row>
    <row r="18" spans="1:6" x14ac:dyDescent="0.2">
      <c r="A18" s="279">
        <f>+A16-1</f>
        <v>-6</v>
      </c>
      <c r="B18" t="s">
        <v>5</v>
      </c>
      <c r="D18" s="387">
        <f ca="1">ROUND(+C14/C16,2)</f>
        <v>2.98</v>
      </c>
      <c r="E18" s="466"/>
      <c r="F18" s="465">
        <f ca="1">+D18*3</f>
        <v>8.94</v>
      </c>
    </row>
    <row r="19" spans="1:6" x14ac:dyDescent="0.2">
      <c r="A19" s="279"/>
      <c r="C19" s="231"/>
      <c r="D19" s="387"/>
      <c r="E19" s="466"/>
    </row>
    <row r="20" spans="1:6" x14ac:dyDescent="0.2">
      <c r="A20" s="279">
        <f>+A18-1</f>
        <v>-7</v>
      </c>
      <c r="B20" t="s">
        <v>6</v>
      </c>
      <c r="C20" s="472">
        <f ca="1">+'COS 1'!AQ215</f>
        <v>2731676.5963981668</v>
      </c>
      <c r="D20" s="387"/>
      <c r="E20" s="466"/>
    </row>
    <row r="21" spans="1:6" x14ac:dyDescent="0.2">
      <c r="A21" s="279"/>
      <c r="D21" s="387"/>
      <c r="E21" s="466"/>
    </row>
    <row r="22" spans="1:6" x14ac:dyDescent="0.2">
      <c r="A22" s="279">
        <f>+A20-1</f>
        <v>-8</v>
      </c>
      <c r="B22" t="s">
        <v>106</v>
      </c>
      <c r="C22" s="476">
        <v>362091</v>
      </c>
      <c r="D22" s="387"/>
      <c r="E22" s="466"/>
    </row>
    <row r="23" spans="1:6" x14ac:dyDescent="0.2">
      <c r="A23" s="279"/>
      <c r="D23" s="387"/>
      <c r="E23" s="466"/>
    </row>
    <row r="24" spans="1:6" x14ac:dyDescent="0.2">
      <c r="A24" s="279">
        <f>+A22-1</f>
        <v>-9</v>
      </c>
      <c r="B24" t="s">
        <v>7</v>
      </c>
      <c r="D24" s="388">
        <f ca="1">ROUND(+C20/C22,2)</f>
        <v>7.54</v>
      </c>
      <c r="E24" s="466"/>
      <c r="F24" s="468">
        <f ca="1">+D24</f>
        <v>7.54</v>
      </c>
    </row>
    <row r="25" spans="1:6" x14ac:dyDescent="0.2">
      <c r="A25" s="279"/>
      <c r="D25" s="387"/>
      <c r="E25" s="466"/>
    </row>
    <row r="26" spans="1:6" x14ac:dyDescent="0.2">
      <c r="A26" s="279">
        <f>+A24-1</f>
        <v>-10</v>
      </c>
      <c r="B26" t="s">
        <v>475</v>
      </c>
      <c r="D26" s="387">
        <f ca="1">+D12+D18+D24</f>
        <v>17.940000000000001</v>
      </c>
      <c r="E26"/>
      <c r="F26" s="387">
        <f ca="1">+F12+F18+F24</f>
        <v>38.739999999999995</v>
      </c>
    </row>
    <row r="27" spans="1:6" x14ac:dyDescent="0.2">
      <c r="D27" s="387"/>
      <c r="E27" s="466"/>
    </row>
  </sheetData>
  <phoneticPr fontId="12"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X44"/>
  <sheetViews>
    <sheetView workbookViewId="0">
      <selection activeCell="A64" sqref="A64"/>
    </sheetView>
  </sheetViews>
  <sheetFormatPr defaultRowHeight="12.75" x14ac:dyDescent="0.2"/>
  <cols>
    <col min="2" max="2" width="19.5546875" customWidth="1"/>
    <col min="3" max="3" width="3.6640625" customWidth="1"/>
    <col min="4" max="4" width="12.44140625" customWidth="1"/>
    <col min="5" max="5" width="3.21875" customWidth="1"/>
    <col min="6" max="6" width="8.109375" customWidth="1"/>
    <col min="7" max="7" width="3.5546875" customWidth="1"/>
    <col min="8" max="8" width="14.5546875" bestFit="1" customWidth="1"/>
    <col min="9" max="9" width="1.77734375" customWidth="1"/>
    <col min="10" max="10" width="8.5546875" customWidth="1"/>
    <col min="11" max="11" width="3.6640625" customWidth="1"/>
    <col min="12" max="12" width="12.21875" customWidth="1"/>
    <col min="13" max="13" width="1.6640625" customWidth="1"/>
    <col min="14" max="14" width="9.5546875" bestFit="1" customWidth="1"/>
    <col min="15" max="15" width="3.5546875" customWidth="1"/>
    <col min="16" max="16" width="12.88671875" bestFit="1" customWidth="1"/>
    <col min="17" max="17" width="2.33203125" customWidth="1"/>
    <col min="18" max="18" width="8.33203125" customWidth="1"/>
    <col min="21" max="21" width="10" bestFit="1" customWidth="1"/>
    <col min="24" max="24" width="9.5546875" bestFit="1" customWidth="1"/>
  </cols>
  <sheetData>
    <row r="6" spans="2:24" ht="15" x14ac:dyDescent="0.2">
      <c r="B6" s="646" t="s">
        <v>51</v>
      </c>
      <c r="C6" s="646"/>
      <c r="D6" s="646"/>
      <c r="E6" s="646"/>
      <c r="F6" s="646"/>
      <c r="G6" s="646"/>
      <c r="H6" s="646"/>
      <c r="I6" s="646"/>
      <c r="J6" s="646"/>
      <c r="K6" s="646"/>
      <c r="L6" s="646"/>
      <c r="M6" s="646"/>
      <c r="N6" s="646"/>
      <c r="O6" s="646"/>
      <c r="P6" s="646"/>
      <c r="Q6" s="646"/>
      <c r="R6" s="646"/>
    </row>
    <row r="7" spans="2:24" ht="15.75" x14ac:dyDescent="0.25">
      <c r="B7" s="647"/>
      <c r="C7" s="647"/>
      <c r="D7" s="647"/>
      <c r="E7" s="647"/>
      <c r="F7" s="647"/>
      <c r="G7" s="647"/>
      <c r="H7" s="647"/>
      <c r="I7" s="647"/>
      <c r="J7" s="647"/>
      <c r="K7" s="647"/>
      <c r="L7" s="647"/>
      <c r="M7" s="647"/>
      <c r="N7" s="647"/>
      <c r="O7" s="647"/>
      <c r="P7" s="647"/>
      <c r="Q7" s="647"/>
      <c r="R7" s="647"/>
    </row>
    <row r="8" spans="2:24" ht="15" x14ac:dyDescent="0.2">
      <c r="B8" s="266"/>
      <c r="C8" s="266"/>
      <c r="D8" s="266"/>
      <c r="E8" s="266"/>
      <c r="F8" s="266"/>
      <c r="G8" s="266"/>
      <c r="H8" s="266"/>
      <c r="I8" s="266"/>
      <c r="J8" s="266"/>
      <c r="K8" s="266"/>
      <c r="L8" s="266"/>
      <c r="M8" s="267"/>
      <c r="N8" s="267"/>
      <c r="O8" s="267"/>
      <c r="P8" s="267"/>
      <c r="Q8" s="267"/>
      <c r="R8" s="267"/>
    </row>
    <row r="9" spans="2:24" ht="15" x14ac:dyDescent="0.2">
      <c r="B9" s="646" t="s">
        <v>483</v>
      </c>
      <c r="C9" s="646"/>
      <c r="D9" s="646"/>
      <c r="E9" s="646"/>
      <c r="F9" s="646"/>
      <c r="G9" s="646"/>
      <c r="H9" s="646"/>
      <c r="I9" s="646"/>
      <c r="J9" s="646"/>
      <c r="K9" s="646"/>
      <c r="L9" s="646"/>
      <c r="M9" s="646"/>
      <c r="N9" s="646"/>
      <c r="O9" s="646"/>
      <c r="P9" s="646"/>
      <c r="Q9" s="646"/>
      <c r="R9" s="646"/>
    </row>
    <row r="10" spans="2:24" ht="15" x14ac:dyDescent="0.2">
      <c r="B10" s="642" t="s">
        <v>489</v>
      </c>
      <c r="C10" s="642"/>
      <c r="D10" s="642"/>
      <c r="E10" s="642"/>
      <c r="F10" s="642"/>
      <c r="G10" s="642"/>
      <c r="H10" s="642"/>
      <c r="I10" s="642"/>
      <c r="J10" s="642"/>
      <c r="K10" s="642"/>
      <c r="L10" s="642"/>
      <c r="M10" s="642"/>
      <c r="N10" s="642"/>
      <c r="O10" s="642"/>
      <c r="P10" s="642"/>
      <c r="Q10" s="642"/>
      <c r="R10" s="642"/>
      <c r="X10" s="598"/>
    </row>
    <row r="11" spans="2:24" ht="15" x14ac:dyDescent="0.2">
      <c r="B11" s="266"/>
      <c r="C11" s="266"/>
      <c r="D11" s="266"/>
      <c r="E11" s="266"/>
      <c r="F11" s="266"/>
      <c r="G11" s="266"/>
      <c r="H11" s="266"/>
      <c r="I11" s="266"/>
      <c r="J11" s="266"/>
      <c r="K11" s="266"/>
      <c r="L11" s="266"/>
      <c r="M11" s="267"/>
      <c r="N11" s="267"/>
      <c r="O11" s="267"/>
      <c r="P11" s="267"/>
      <c r="Q11" s="267"/>
      <c r="R11" s="267"/>
      <c r="X11" s="598"/>
    </row>
    <row r="12" spans="2:24" ht="15" x14ac:dyDescent="0.2">
      <c r="B12" s="266"/>
      <c r="C12" s="266"/>
      <c r="D12" s="266"/>
      <c r="E12" s="266"/>
      <c r="F12" s="266"/>
      <c r="G12" s="266"/>
      <c r="H12" s="266"/>
      <c r="I12" s="266"/>
      <c r="J12" s="266"/>
      <c r="K12" s="266"/>
      <c r="L12" s="266"/>
      <c r="M12" s="267"/>
      <c r="N12" s="267"/>
      <c r="O12" s="267"/>
      <c r="P12" s="648"/>
      <c r="Q12" s="648"/>
      <c r="R12" s="648"/>
      <c r="X12" s="598"/>
    </row>
    <row r="13" spans="2:24" ht="15" x14ac:dyDescent="0.2">
      <c r="B13" s="268"/>
      <c r="C13" s="268"/>
      <c r="D13" s="645" t="s">
        <v>438</v>
      </c>
      <c r="E13" s="645"/>
      <c r="F13" s="645"/>
      <c r="G13" s="266"/>
      <c r="H13" s="266"/>
      <c r="I13" s="266"/>
      <c r="J13" s="266"/>
      <c r="K13" s="266"/>
      <c r="L13" s="266"/>
      <c r="M13" s="267"/>
      <c r="N13" s="267"/>
      <c r="O13" s="267"/>
      <c r="P13" s="645" t="s">
        <v>482</v>
      </c>
      <c r="Q13" s="645"/>
      <c r="R13" s="645"/>
    </row>
    <row r="14" spans="2:24" ht="15" x14ac:dyDescent="0.2">
      <c r="B14" s="265" t="s">
        <v>239</v>
      </c>
      <c r="C14" s="265"/>
      <c r="D14" s="297" t="s">
        <v>439</v>
      </c>
      <c r="G14" s="266"/>
      <c r="H14" s="645" t="s">
        <v>440</v>
      </c>
      <c r="I14" s="645"/>
      <c r="J14" s="645"/>
      <c r="K14" s="266"/>
      <c r="L14" s="645" t="s">
        <v>481</v>
      </c>
      <c r="M14" s="645"/>
      <c r="N14" s="645"/>
      <c r="O14" s="267"/>
      <c r="P14" s="267"/>
      <c r="Q14" s="267"/>
      <c r="R14" s="265" t="s">
        <v>277</v>
      </c>
    </row>
    <row r="15" spans="2:24" ht="15" x14ac:dyDescent="0.2">
      <c r="B15" s="269" t="s">
        <v>193</v>
      </c>
      <c r="C15" s="268"/>
      <c r="D15" s="269" t="s">
        <v>458</v>
      </c>
      <c r="E15" s="266"/>
      <c r="F15" s="269" t="s">
        <v>277</v>
      </c>
      <c r="G15" s="266"/>
      <c r="H15" s="269" t="s">
        <v>439</v>
      </c>
      <c r="I15" s="266"/>
      <c r="J15" s="269" t="s">
        <v>277</v>
      </c>
      <c r="K15" s="266"/>
      <c r="L15" s="269" t="s">
        <v>439</v>
      </c>
      <c r="M15" s="266"/>
      <c r="N15" s="269" t="s">
        <v>277</v>
      </c>
      <c r="O15" s="267"/>
      <c r="P15" s="269" t="s">
        <v>439</v>
      </c>
      <c r="Q15" s="266"/>
      <c r="R15" s="269" t="s">
        <v>441</v>
      </c>
    </row>
    <row r="16" spans="2:24" ht="15" x14ac:dyDescent="0.2">
      <c r="B16" s="270" t="s">
        <v>195</v>
      </c>
      <c r="C16" s="271"/>
      <c r="D16" s="270" t="s">
        <v>214</v>
      </c>
      <c r="E16" s="271"/>
      <c r="F16" s="270" t="s">
        <v>197</v>
      </c>
      <c r="G16" s="271"/>
      <c r="H16" s="270" t="s">
        <v>216</v>
      </c>
      <c r="I16" s="271"/>
      <c r="J16" s="270" t="s">
        <v>228</v>
      </c>
      <c r="K16" s="266"/>
      <c r="L16" s="270" t="s">
        <v>242</v>
      </c>
      <c r="M16" s="271"/>
      <c r="N16" s="270" t="s">
        <v>249</v>
      </c>
      <c r="O16" s="267"/>
      <c r="P16" s="270" t="s">
        <v>442</v>
      </c>
      <c r="Q16" s="271"/>
      <c r="R16" s="270" t="s">
        <v>443</v>
      </c>
    </row>
    <row r="17" spans="1:21" ht="15" x14ac:dyDescent="0.2">
      <c r="B17" s="266"/>
      <c r="C17" s="266"/>
      <c r="D17" s="266"/>
      <c r="E17" s="266"/>
      <c r="F17" s="266"/>
      <c r="G17" s="266"/>
      <c r="H17" s="266"/>
      <c r="I17" s="266"/>
      <c r="J17" s="266"/>
      <c r="K17" s="266"/>
      <c r="L17" s="266"/>
      <c r="M17" s="266"/>
      <c r="N17" s="266"/>
      <c r="O17" s="267"/>
      <c r="P17" s="266"/>
      <c r="Q17" s="266"/>
      <c r="R17" s="266"/>
    </row>
    <row r="18" spans="1:21" ht="15" x14ac:dyDescent="0.2">
      <c r="A18" s="294"/>
      <c r="B18" s="266" t="s">
        <v>198</v>
      </c>
      <c r="C18" s="266"/>
      <c r="D18" s="272">
        <f ca="1">+'COS 1'!J215</f>
        <v>34179578.438527115</v>
      </c>
      <c r="E18" s="266"/>
      <c r="F18" s="264">
        <f ca="1">ROUND(D18/D$28,3)</f>
        <v>0.61599999999999999</v>
      </c>
      <c r="G18" s="266"/>
      <c r="H18" s="272">
        <v>31512313.810796209</v>
      </c>
      <c r="I18" s="266"/>
      <c r="J18" s="264">
        <f>ROUND(H18/H$28,3)-0.001</f>
        <v>0.621</v>
      </c>
      <c r="K18" s="266"/>
      <c r="L18" s="272">
        <v>34434936.819333009</v>
      </c>
      <c r="M18" s="266"/>
      <c r="N18" s="264">
        <f>ROUND(L18/L$28,3)</f>
        <v>0.62</v>
      </c>
      <c r="O18" s="267"/>
      <c r="P18" s="272">
        <f>+L18-H18</f>
        <v>2922623.0085368007</v>
      </c>
      <c r="Q18" s="266"/>
      <c r="R18" s="264">
        <f>+P18/H18</f>
        <v>9.2745427266451685E-2</v>
      </c>
      <c r="S18" s="389"/>
    </row>
    <row r="19" spans="1:21" ht="15" x14ac:dyDescent="0.2">
      <c r="A19" s="294"/>
      <c r="B19" s="266"/>
      <c r="C19" s="266"/>
      <c r="D19" s="266"/>
      <c r="E19" s="266"/>
      <c r="F19" s="264"/>
      <c r="G19" s="266"/>
      <c r="H19" s="272"/>
      <c r="I19" s="266"/>
      <c r="J19" s="264"/>
      <c r="K19" s="266"/>
      <c r="L19" s="384"/>
      <c r="M19" s="266"/>
      <c r="N19" s="264"/>
      <c r="O19" s="267"/>
      <c r="P19" s="266"/>
      <c r="Q19" s="266"/>
      <c r="R19" s="264"/>
    </row>
    <row r="20" spans="1:21" ht="15" x14ac:dyDescent="0.2">
      <c r="A20" s="294"/>
      <c r="B20" s="266" t="s">
        <v>334</v>
      </c>
      <c r="C20" s="266"/>
      <c r="D20" s="271">
        <f ca="1">+'COS 1'!L215</f>
        <v>12999907.693659218</v>
      </c>
      <c r="E20" s="266"/>
      <c r="F20" s="264">
        <f ca="1">ROUND(D20/D$28,3)</f>
        <v>0.23400000000000001</v>
      </c>
      <c r="G20" s="266"/>
      <c r="H20" s="293">
        <v>11696687</v>
      </c>
      <c r="I20" s="266"/>
      <c r="J20" s="264">
        <f>ROUND(H20/H$28,3)</f>
        <v>0.23100000000000001</v>
      </c>
      <c r="K20" s="266"/>
      <c r="L20" s="385">
        <v>12905072.390054483</v>
      </c>
      <c r="M20" s="266"/>
      <c r="N20" s="264">
        <f>ROUND(L20/L$28,3)</f>
        <v>0.23200000000000001</v>
      </c>
      <c r="O20" s="267"/>
      <c r="P20" s="271">
        <f>+L20-H20</f>
        <v>1208385.390054483</v>
      </c>
      <c r="Q20" s="266"/>
      <c r="R20" s="264">
        <f>+P20/H20</f>
        <v>0.10331005609147983</v>
      </c>
      <c r="S20" s="389"/>
    </row>
    <row r="21" spans="1:21" ht="15" x14ac:dyDescent="0.2">
      <c r="A21" s="294"/>
      <c r="B21" s="266"/>
      <c r="C21" s="266"/>
      <c r="D21" s="271"/>
      <c r="E21" s="266"/>
      <c r="F21" s="264"/>
      <c r="G21" s="266"/>
      <c r="H21" s="293"/>
      <c r="I21" s="266"/>
      <c r="J21" s="264"/>
      <c r="K21" s="266"/>
      <c r="L21" s="384"/>
      <c r="M21" s="266"/>
      <c r="N21" s="264"/>
      <c r="O21" s="267"/>
      <c r="P21" s="271"/>
      <c r="Q21" s="266"/>
      <c r="R21" s="264"/>
    </row>
    <row r="22" spans="1:21" ht="15" x14ac:dyDescent="0.2">
      <c r="A22" s="294"/>
      <c r="B22" s="266" t="s">
        <v>200</v>
      </c>
      <c r="C22" s="266"/>
      <c r="D22" s="271">
        <f ca="1">+'COS 1'!N215</f>
        <v>4156099.2647074088</v>
      </c>
      <c r="E22" s="266"/>
      <c r="F22" s="264">
        <f ca="1">ROUND(D22/D$28,3)</f>
        <v>7.4999999999999997E-2</v>
      </c>
      <c r="G22" s="266"/>
      <c r="H22" s="293">
        <v>3677160</v>
      </c>
      <c r="I22" s="266"/>
      <c r="J22" s="264">
        <f>ROUND(H22/H$28,3)</f>
        <v>7.2999999999999995E-2</v>
      </c>
      <c r="K22" s="266"/>
      <c r="L22" s="385">
        <v>4006695.27</v>
      </c>
      <c r="M22" s="266"/>
      <c r="N22" s="264">
        <f>ROUND(L22/L$28,3)</f>
        <v>7.1999999999999995E-2</v>
      </c>
      <c r="O22" s="267"/>
      <c r="P22" s="271">
        <f>+L22-H22</f>
        <v>329535.27</v>
      </c>
      <c r="Q22" s="266"/>
      <c r="R22" s="264">
        <f>+P22/H22</f>
        <v>8.9616788499820521E-2</v>
      </c>
      <c r="S22" s="389"/>
    </row>
    <row r="23" spans="1:21" ht="15" x14ac:dyDescent="0.2">
      <c r="A23" s="294"/>
      <c r="B23" s="266"/>
      <c r="C23" s="266"/>
      <c r="D23" s="271"/>
      <c r="E23" s="266"/>
      <c r="F23" s="264"/>
      <c r="G23" s="266"/>
      <c r="H23" s="293"/>
      <c r="I23" s="266"/>
      <c r="J23" s="264"/>
      <c r="K23" s="266"/>
      <c r="L23" s="384"/>
      <c r="M23" s="266"/>
      <c r="N23" s="264"/>
      <c r="O23" s="267"/>
      <c r="P23" s="271"/>
      <c r="Q23" s="266"/>
      <c r="R23" s="264"/>
    </row>
    <row r="24" spans="1:21" ht="15" x14ac:dyDescent="0.2">
      <c r="A24" s="294"/>
      <c r="B24" s="266" t="s">
        <v>444</v>
      </c>
      <c r="C24" s="266"/>
      <c r="D24" s="271">
        <f ca="1">+'COS 1'!P215</f>
        <v>2616503.1306505636</v>
      </c>
      <c r="E24" s="266"/>
      <c r="F24" s="264">
        <f ca="1">ROUND(D24/D$28,3)</f>
        <v>4.7E-2</v>
      </c>
      <c r="G24" s="266"/>
      <c r="H24" s="293">
        <v>2395947</v>
      </c>
      <c r="I24" s="266"/>
      <c r="J24" s="264">
        <f>ROUND(H24/H$28,3)</f>
        <v>4.7E-2</v>
      </c>
      <c r="K24" s="266"/>
      <c r="L24" s="385">
        <v>2636894.4499999997</v>
      </c>
      <c r="M24" s="266"/>
      <c r="N24" s="264">
        <f>ROUND(L24/L$28,3)</f>
        <v>4.8000000000000001E-2</v>
      </c>
      <c r="O24" s="267"/>
      <c r="P24" s="271">
        <f>+L24-H24</f>
        <v>240947.44999999972</v>
      </c>
      <c r="Q24" s="266"/>
      <c r="R24" s="264">
        <f>+P24/H24</f>
        <v>0.10056459930040176</v>
      </c>
      <c r="S24" s="389"/>
      <c r="U24" s="222"/>
    </row>
    <row r="25" spans="1:21" ht="15" x14ac:dyDescent="0.2">
      <c r="A25" s="294"/>
      <c r="B25" s="266"/>
      <c r="C25" s="266"/>
      <c r="D25" s="271"/>
      <c r="E25" s="266"/>
      <c r="F25" s="264"/>
      <c r="G25" s="266"/>
      <c r="H25" s="293"/>
      <c r="I25" s="266"/>
      <c r="J25" s="264"/>
      <c r="K25" s="266"/>
      <c r="L25" s="384"/>
      <c r="M25" s="266"/>
      <c r="N25" s="264"/>
      <c r="O25" s="267"/>
      <c r="P25" s="271"/>
      <c r="Q25" s="266"/>
      <c r="R25" s="264"/>
    </row>
    <row r="26" spans="1:21" ht="15" x14ac:dyDescent="0.2">
      <c r="A26" s="294"/>
      <c r="B26" s="266" t="s">
        <v>104</v>
      </c>
      <c r="C26" s="266"/>
      <c r="D26" s="274">
        <f ca="1">+'COS 1'!R215</f>
        <v>1564055.666344584</v>
      </c>
      <c r="E26" s="266"/>
      <c r="F26" s="273">
        <f ca="1">ROUND(D26/D$28,3)</f>
        <v>2.8000000000000001E-2</v>
      </c>
      <c r="G26" s="266"/>
      <c r="H26" s="386">
        <v>1397555</v>
      </c>
      <c r="I26" s="266"/>
      <c r="J26" s="273">
        <f>ROUND(H26/H$28,3)</f>
        <v>2.8000000000000001E-2</v>
      </c>
      <c r="K26" s="266"/>
      <c r="L26" s="386">
        <v>1529649.17</v>
      </c>
      <c r="M26" s="266"/>
      <c r="N26" s="273">
        <f>ROUND(L26/L$28,3)</f>
        <v>2.8000000000000001E-2</v>
      </c>
      <c r="O26" s="267"/>
      <c r="P26" s="274">
        <f>+L26-H26</f>
        <v>132094.16999999993</v>
      </c>
      <c r="Q26" s="266"/>
      <c r="R26" s="273">
        <f>+P26/H26</f>
        <v>9.4518047590255783E-2</v>
      </c>
      <c r="S26" s="389"/>
      <c r="U26" s="231"/>
    </row>
    <row r="27" spans="1:21" ht="15" x14ac:dyDescent="0.2">
      <c r="B27" s="266"/>
      <c r="C27" s="266"/>
      <c r="D27" s="271"/>
      <c r="E27" s="266"/>
      <c r="F27" s="266"/>
      <c r="G27" s="266"/>
      <c r="H27" s="271"/>
      <c r="I27" s="266"/>
      <c r="J27" s="266"/>
      <c r="K27" s="266"/>
      <c r="L27" s="271"/>
      <c r="M27" s="266"/>
      <c r="N27" s="266"/>
      <c r="O27" s="267"/>
      <c r="P27" s="271"/>
      <c r="Q27" s="266"/>
      <c r="R27" s="264"/>
    </row>
    <row r="28" spans="1:21" ht="15.75" thickBot="1" x14ac:dyDescent="0.25">
      <c r="B28" s="266" t="s">
        <v>445</v>
      </c>
      <c r="C28" s="266"/>
      <c r="D28" s="271">
        <f ca="1">SUM(D18:D26)</f>
        <v>55516144.193888888</v>
      </c>
      <c r="E28" s="266"/>
      <c r="F28" s="275">
        <f ca="1">SUM(F18:F26)</f>
        <v>1</v>
      </c>
      <c r="G28" s="266"/>
      <c r="H28" s="271">
        <f>SUM(H18:H26)</f>
        <v>50679662.810796209</v>
      </c>
      <c r="I28" s="266"/>
      <c r="J28" s="275">
        <f>SUM(J18:J26)</f>
        <v>1</v>
      </c>
      <c r="K28" s="266"/>
      <c r="L28" s="271">
        <f>SUM(L18:L26)</f>
        <v>55513248.099387504</v>
      </c>
      <c r="M28" s="266"/>
      <c r="N28" s="275">
        <f>SUM(N18:N26)</f>
        <v>1</v>
      </c>
      <c r="O28" s="267"/>
      <c r="P28" s="271">
        <f>SUM(P18:P26)</f>
        <v>4833585.2885912824</v>
      </c>
      <c r="Q28" s="266"/>
      <c r="R28" s="264">
        <f>+P28/H28</f>
        <v>9.5375245621436761E-2</v>
      </c>
      <c r="S28" s="389"/>
    </row>
    <row r="29" spans="1:21" ht="15.75" thickTop="1" x14ac:dyDescent="0.2">
      <c r="B29" s="266"/>
      <c r="C29" s="266"/>
      <c r="D29" s="271"/>
      <c r="E29" s="266"/>
      <c r="F29" s="266"/>
      <c r="G29" s="266"/>
      <c r="H29" s="271"/>
      <c r="I29" s="266"/>
      <c r="J29" s="266"/>
      <c r="K29" s="266"/>
      <c r="L29" s="271"/>
      <c r="M29" s="266"/>
      <c r="N29" s="266"/>
      <c r="O29" s="267"/>
      <c r="P29" s="271"/>
      <c r="Q29" s="266"/>
      <c r="R29" s="264"/>
    </row>
    <row r="30" spans="1:21" ht="15" x14ac:dyDescent="0.2">
      <c r="B30" s="276" t="s">
        <v>446</v>
      </c>
      <c r="C30" s="276"/>
      <c r="D30" s="274">
        <f>+'COS 1'!H206</f>
        <v>3403710.7034444446</v>
      </c>
      <c r="E30" s="276"/>
      <c r="F30" s="276"/>
      <c r="G30" s="276"/>
      <c r="H30" s="579">
        <f>+D30+'COS 1'!A203-'COS 1'!H203</f>
        <v>3344516.5</v>
      </c>
      <c r="I30" s="276"/>
      <c r="J30" s="276"/>
      <c r="K30" s="276"/>
      <c r="L30" s="274">
        <f>+D30</f>
        <v>3403710.7034444446</v>
      </c>
      <c r="M30" s="276"/>
      <c r="N30" s="276"/>
      <c r="O30" s="277"/>
      <c r="P30" s="274">
        <f>+L30-H30</f>
        <v>59194.203444444574</v>
      </c>
      <c r="Q30" s="276"/>
      <c r="R30" s="264">
        <f>+P30/H30</f>
        <v>1.7698882168601823E-2</v>
      </c>
    </row>
    <row r="31" spans="1:21" ht="15" x14ac:dyDescent="0.2">
      <c r="B31" s="266"/>
      <c r="C31" s="266"/>
      <c r="D31" s="266"/>
      <c r="E31" s="266"/>
      <c r="F31" s="266"/>
      <c r="G31" s="266"/>
      <c r="H31" s="266"/>
      <c r="I31" s="266"/>
      <c r="J31" s="266"/>
      <c r="K31" s="266"/>
      <c r="L31" s="266"/>
      <c r="M31" s="266"/>
      <c r="N31" s="266"/>
      <c r="O31" s="267"/>
      <c r="P31" s="266"/>
      <c r="Q31" s="266"/>
      <c r="R31" s="264"/>
    </row>
    <row r="32" spans="1:21" ht="15.75" thickBot="1" x14ac:dyDescent="0.25">
      <c r="B32" s="266" t="s">
        <v>447</v>
      </c>
      <c r="C32" s="266"/>
      <c r="D32" s="278">
        <f ca="1">+D30+D28</f>
        <v>58919854.897333331</v>
      </c>
      <c r="E32" s="266"/>
      <c r="F32" s="266"/>
      <c r="G32" s="266"/>
      <c r="H32" s="580">
        <f>+H30+H28</f>
        <v>54024179.310796209</v>
      </c>
      <c r="I32" s="266"/>
      <c r="J32" s="266"/>
      <c r="K32" s="266"/>
      <c r="L32" s="278">
        <f>+L30+L28</f>
        <v>58916958.802831948</v>
      </c>
      <c r="M32" s="266"/>
      <c r="N32" s="266"/>
      <c r="O32" s="267"/>
      <c r="P32" s="278">
        <f>+L32-H32</f>
        <v>4892779.4920357391</v>
      </c>
      <c r="Q32" s="266"/>
      <c r="R32" s="264">
        <f>+P32/H32</f>
        <v>9.0566475131218974E-2</v>
      </c>
      <c r="S32" s="389"/>
    </row>
    <row r="33" spans="2:18" ht="13.5" thickTop="1" x14ac:dyDescent="0.2"/>
    <row r="35" spans="2:18" ht="15" x14ac:dyDescent="0.2">
      <c r="B35" s="37"/>
      <c r="C35" s="37"/>
      <c r="D35" s="287"/>
      <c r="L35" s="222"/>
      <c r="P35" s="231"/>
      <c r="R35" s="485"/>
    </row>
    <row r="36" spans="2:18" ht="15" x14ac:dyDescent="0.2">
      <c r="B36" s="37"/>
      <c r="C36" s="37"/>
      <c r="D36" s="288"/>
      <c r="H36" s="484"/>
      <c r="J36" s="462"/>
      <c r="R36" s="462"/>
    </row>
    <row r="37" spans="2:18" x14ac:dyDescent="0.2">
      <c r="D37" s="222"/>
      <c r="N37" s="222"/>
    </row>
    <row r="38" spans="2:18" x14ac:dyDescent="0.2">
      <c r="D38" s="151"/>
      <c r="H38" s="490"/>
      <c r="N38" s="490"/>
    </row>
    <row r="44" spans="2:18" x14ac:dyDescent="0.2">
      <c r="P44" s="523"/>
    </row>
  </sheetData>
  <mergeCells count="9">
    <mergeCell ref="H14:J14"/>
    <mergeCell ref="L14:N14"/>
    <mergeCell ref="B6:R6"/>
    <mergeCell ref="B9:R9"/>
    <mergeCell ref="B10:R10"/>
    <mergeCell ref="D13:F13"/>
    <mergeCell ref="P13:R13"/>
    <mergeCell ref="B7:R7"/>
    <mergeCell ref="P12:R12"/>
  </mergeCells>
  <phoneticPr fontId="12" type="noConversion"/>
  <pageMargins left="0.75" right="0.75" top="1" bottom="1" header="0.5" footer="0.5"/>
  <pageSetup scale="74" orientation="landscape"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B1599"/>
  <sheetViews>
    <sheetView workbookViewId="0"/>
  </sheetViews>
  <sheetFormatPr defaultColWidth="9.77734375" defaultRowHeight="15" x14ac:dyDescent="0.2"/>
  <cols>
    <col min="1" max="1" width="9.6640625" style="37" bestFit="1" customWidth="1"/>
    <col min="2" max="3" width="7.77734375" style="37" customWidth="1"/>
    <col min="4" max="4" width="2" style="37" customWidth="1"/>
    <col min="5" max="5" width="8.6640625" style="37" customWidth="1"/>
    <col min="6" max="6" width="1.88671875" style="37" customWidth="1"/>
    <col min="7" max="7" width="8.6640625" style="37" customWidth="1"/>
    <col min="8" max="8" width="2" style="37" customWidth="1"/>
    <col min="9" max="9" width="8.6640625" style="37" customWidth="1"/>
    <col min="10" max="10" width="2" style="37" customWidth="1"/>
    <col min="11" max="11" width="8.6640625" style="37" customWidth="1"/>
    <col min="12" max="12" width="2" style="37" customWidth="1"/>
    <col min="13" max="13" width="8.6640625" style="37" customWidth="1"/>
    <col min="14" max="14" width="4.77734375" style="37" customWidth="1"/>
    <col min="15" max="15" width="9.77734375" style="37" customWidth="1"/>
    <col min="16" max="16" width="8.44140625" style="37" bestFit="1" customWidth="1"/>
    <col min="17" max="17" width="15.109375" style="37" bestFit="1" customWidth="1"/>
    <col min="18" max="19" width="15.109375" style="37" customWidth="1"/>
    <col min="20" max="20" width="13.5546875" style="37" bestFit="1" customWidth="1"/>
    <col min="21" max="21" width="10.77734375" style="37" customWidth="1"/>
    <col min="22" max="22" width="7.77734375" style="37" customWidth="1"/>
    <col min="23" max="23" width="8.77734375" style="37" customWidth="1"/>
    <col min="24" max="24" width="2.77734375" style="37" customWidth="1"/>
    <col min="25" max="25" width="9.77734375" style="37" customWidth="1"/>
    <col min="26" max="26" width="2.77734375" style="37" customWidth="1"/>
    <col min="27" max="27" width="7.77734375" style="37" customWidth="1"/>
    <col min="28" max="16384" width="9.77734375" style="37"/>
  </cols>
  <sheetData>
    <row r="1" spans="1:28" x14ac:dyDescent="0.2">
      <c r="B1" s="36" t="s">
        <v>51</v>
      </c>
      <c r="C1" s="36"/>
      <c r="D1" s="36"/>
      <c r="E1" s="36"/>
      <c r="F1" s="36"/>
      <c r="G1" s="36"/>
      <c r="H1" s="36"/>
      <c r="I1" s="36"/>
      <c r="J1" s="36"/>
      <c r="K1" s="36"/>
      <c r="L1" s="36"/>
      <c r="M1" s="36"/>
    </row>
    <row r="2" spans="1:28" x14ac:dyDescent="0.2">
      <c r="B2" s="36"/>
      <c r="C2" s="36"/>
      <c r="D2" s="36"/>
      <c r="E2" s="36"/>
      <c r="F2" s="36"/>
      <c r="G2" s="36"/>
      <c r="H2" s="36"/>
      <c r="I2" s="36"/>
      <c r="J2" s="36"/>
      <c r="K2" s="36"/>
      <c r="L2" s="36"/>
      <c r="M2" s="36"/>
    </row>
    <row r="3" spans="1:28" ht="13.35" customHeight="1" x14ac:dyDescent="0.2">
      <c r="B3" s="36"/>
      <c r="C3" s="36"/>
      <c r="D3" s="36"/>
      <c r="E3" s="36"/>
      <c r="F3" s="36"/>
      <c r="G3" s="36"/>
      <c r="H3" s="36"/>
      <c r="I3" s="36"/>
      <c r="J3" s="36"/>
      <c r="K3" s="36"/>
      <c r="L3" s="36"/>
      <c r="M3" s="36"/>
    </row>
    <row r="4" spans="1:28" ht="13.35" customHeight="1" x14ac:dyDescent="0.2">
      <c r="B4" s="1" t="s">
        <v>186</v>
      </c>
      <c r="C4" s="1"/>
      <c r="D4" s="1"/>
      <c r="E4" s="1"/>
      <c r="F4" s="1"/>
      <c r="G4" s="1"/>
      <c r="H4" s="1"/>
      <c r="I4" s="1"/>
      <c r="J4" s="1"/>
      <c r="K4" s="1"/>
      <c r="L4" s="1"/>
      <c r="M4" s="1"/>
      <c r="N4" s="2"/>
      <c r="O4" s="2"/>
      <c r="P4" s="2"/>
      <c r="Q4" s="2"/>
      <c r="R4" s="2"/>
      <c r="S4" s="2"/>
      <c r="T4" s="2"/>
      <c r="U4" s="2"/>
      <c r="V4" s="2"/>
      <c r="W4" s="2"/>
      <c r="X4" s="2"/>
      <c r="Y4" s="2"/>
      <c r="Z4" s="2"/>
      <c r="AA4" s="2"/>
      <c r="AB4" s="2"/>
    </row>
    <row r="5" spans="1:28" ht="13.35" customHeight="1" x14ac:dyDescent="0.2">
      <c r="B5" s="2"/>
      <c r="C5" s="2"/>
      <c r="D5" s="2"/>
      <c r="E5" s="2"/>
      <c r="F5" s="2"/>
      <c r="G5" s="2"/>
      <c r="H5" s="2"/>
      <c r="I5" s="2"/>
      <c r="J5" s="2"/>
      <c r="K5" s="2"/>
      <c r="L5" s="2"/>
      <c r="M5" s="2"/>
      <c r="N5" s="2"/>
      <c r="O5" s="2"/>
      <c r="P5" s="2"/>
      <c r="Q5" s="2"/>
      <c r="R5" s="2"/>
      <c r="S5" s="2"/>
      <c r="T5" s="2"/>
      <c r="U5" s="2"/>
      <c r="V5" s="2"/>
      <c r="W5" s="2"/>
      <c r="X5" s="2"/>
      <c r="Y5" s="2"/>
      <c r="Z5" s="2"/>
      <c r="AA5" s="2"/>
      <c r="AB5" s="2"/>
    </row>
    <row r="6" spans="1:28" ht="13.35" customHeight="1" x14ac:dyDescent="0.2">
      <c r="B6" s="2"/>
      <c r="C6" s="2"/>
      <c r="D6" s="2"/>
      <c r="E6" s="2"/>
      <c r="F6" s="2"/>
      <c r="G6" s="2"/>
      <c r="H6" s="2"/>
      <c r="I6" s="2"/>
      <c r="J6" s="2"/>
      <c r="K6" s="2"/>
      <c r="L6" s="2"/>
      <c r="M6" s="2"/>
      <c r="N6" s="2"/>
      <c r="O6" s="2"/>
      <c r="P6" s="2"/>
      <c r="Q6" s="2"/>
      <c r="R6" s="2"/>
      <c r="S6" s="2"/>
      <c r="T6" s="2"/>
      <c r="U6" s="2"/>
      <c r="V6" s="2"/>
      <c r="W6" s="2"/>
      <c r="X6" s="2"/>
      <c r="Y6" s="2"/>
      <c r="Z6" s="2"/>
      <c r="AA6" s="2"/>
      <c r="AB6" s="2"/>
    </row>
    <row r="7" spans="1:28" ht="13.35" customHeight="1" x14ac:dyDescent="0.2">
      <c r="B7" s="2" t="s">
        <v>187</v>
      </c>
      <c r="C7" s="2"/>
      <c r="D7" s="2"/>
      <c r="E7" s="2"/>
      <c r="F7" s="2"/>
      <c r="G7" s="2"/>
      <c r="H7" s="2"/>
      <c r="I7" s="2"/>
      <c r="J7" s="2"/>
      <c r="K7" s="2"/>
      <c r="L7" s="2"/>
      <c r="M7" s="2"/>
      <c r="N7" s="2"/>
      <c r="O7" s="2"/>
      <c r="P7" s="2"/>
      <c r="Q7" s="2"/>
      <c r="R7" s="2"/>
      <c r="S7" s="2"/>
      <c r="T7" s="2"/>
      <c r="U7" s="2"/>
      <c r="V7" s="2"/>
      <c r="W7" s="2"/>
      <c r="X7" s="2"/>
      <c r="Y7" s="2"/>
      <c r="Z7" s="2"/>
      <c r="AA7" s="2"/>
      <c r="AB7" s="2"/>
    </row>
    <row r="8" spans="1:28" ht="13.35" customHeight="1" x14ac:dyDescent="0.2">
      <c r="B8" s="2"/>
      <c r="C8" s="2"/>
      <c r="D8" s="2"/>
      <c r="E8" s="2"/>
      <c r="F8" s="2"/>
      <c r="G8" s="2"/>
      <c r="H8" s="2"/>
      <c r="I8" s="2"/>
      <c r="J8" s="2"/>
      <c r="K8" s="2"/>
      <c r="L8" s="2"/>
      <c r="M8" s="2"/>
      <c r="N8" s="2"/>
      <c r="O8" s="2"/>
      <c r="P8" s="2"/>
      <c r="Q8" s="2"/>
      <c r="R8" s="2"/>
      <c r="S8" s="2"/>
      <c r="T8" s="2"/>
      <c r="U8" s="2"/>
      <c r="V8" s="2"/>
      <c r="W8" s="2"/>
      <c r="X8" s="2"/>
      <c r="Y8" s="2"/>
      <c r="Z8" s="2"/>
      <c r="AA8" s="2"/>
      <c r="AB8" s="2"/>
    </row>
    <row r="9" spans="1:28" ht="25.15" customHeight="1" x14ac:dyDescent="0.2">
      <c r="B9" s="623" t="s">
        <v>188</v>
      </c>
      <c r="C9" s="623"/>
      <c r="D9" s="623"/>
      <c r="E9" s="623"/>
      <c r="F9" s="623"/>
      <c r="G9" s="623"/>
      <c r="H9" s="623"/>
      <c r="I9" s="623"/>
      <c r="J9" s="623"/>
      <c r="K9" s="623"/>
      <c r="L9" s="623"/>
      <c r="M9" s="623"/>
      <c r="N9" s="2"/>
      <c r="O9" s="2"/>
      <c r="P9" s="2"/>
      <c r="Q9" s="2"/>
      <c r="R9" s="2"/>
      <c r="S9" s="2"/>
      <c r="T9" s="2"/>
      <c r="U9" s="2"/>
      <c r="V9" s="2"/>
      <c r="W9" s="2"/>
      <c r="X9" s="2"/>
      <c r="Y9" s="2"/>
      <c r="Z9" s="2"/>
      <c r="AA9" s="2"/>
      <c r="AB9" s="2"/>
    </row>
    <row r="10" spans="1:28" ht="10.7" customHeight="1" x14ac:dyDescent="0.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13.35" customHeight="1" x14ac:dyDescent="0.2">
      <c r="B11" s="2"/>
      <c r="C11" s="2"/>
      <c r="D11" s="2"/>
      <c r="E11" s="2"/>
      <c r="F11" s="1" t="s">
        <v>189</v>
      </c>
      <c r="G11" s="36"/>
      <c r="H11" s="1"/>
      <c r="I11" s="2"/>
      <c r="J11" s="2"/>
      <c r="K11" s="2"/>
      <c r="L11" s="2"/>
      <c r="M11" s="2"/>
      <c r="N11" s="2"/>
      <c r="O11" s="2"/>
      <c r="P11" s="2"/>
      <c r="Q11" s="2"/>
      <c r="R11" s="2"/>
      <c r="S11" s="2"/>
      <c r="T11" s="2"/>
      <c r="U11" s="2"/>
      <c r="V11" s="2"/>
      <c r="W11" s="2"/>
      <c r="X11" s="2"/>
      <c r="Y11" s="2"/>
      <c r="Z11" s="2"/>
      <c r="AA11" s="2"/>
      <c r="AB11" s="2"/>
    </row>
    <row r="12" spans="1:28" ht="13.35" customHeight="1" x14ac:dyDescent="0.2">
      <c r="B12" s="1" t="s">
        <v>190</v>
      </c>
      <c r="C12" s="1"/>
      <c r="D12" s="2"/>
      <c r="E12" s="2"/>
      <c r="F12" s="1" t="s">
        <v>191</v>
      </c>
      <c r="G12" s="36"/>
      <c r="H12" s="1"/>
      <c r="I12" s="2"/>
      <c r="J12" s="1" t="s">
        <v>192</v>
      </c>
      <c r="K12" s="36"/>
      <c r="L12" s="1"/>
      <c r="M12" s="2"/>
      <c r="N12" s="2"/>
      <c r="O12" s="2"/>
      <c r="P12" s="2"/>
      <c r="Q12" s="2"/>
      <c r="R12" s="2"/>
      <c r="S12" s="2"/>
      <c r="T12" s="2"/>
      <c r="U12" s="2"/>
      <c r="V12" s="2"/>
      <c r="W12" s="2"/>
      <c r="X12" s="2"/>
      <c r="Y12" s="2"/>
      <c r="Z12" s="2"/>
      <c r="AA12" s="2"/>
      <c r="AB12" s="2"/>
    </row>
    <row r="13" spans="1:28" ht="13.35" customHeight="1" x14ac:dyDescent="0.2">
      <c r="B13" s="1" t="s">
        <v>193</v>
      </c>
      <c r="C13" s="1"/>
      <c r="D13" s="2"/>
      <c r="E13" s="2"/>
      <c r="F13" s="1" t="s">
        <v>337</v>
      </c>
      <c r="G13" s="36"/>
      <c r="H13" s="1"/>
      <c r="I13" s="2"/>
      <c r="J13" s="1" t="s">
        <v>194</v>
      </c>
      <c r="K13" s="36"/>
      <c r="L13" s="1"/>
      <c r="M13" s="2"/>
      <c r="N13" s="2"/>
      <c r="O13" s="2"/>
      <c r="P13" s="2"/>
      <c r="Q13" s="599"/>
      <c r="R13" s="599"/>
      <c r="S13" s="599"/>
      <c r="T13" s="599"/>
      <c r="U13" s="599"/>
      <c r="V13" s="2"/>
      <c r="W13" s="2"/>
      <c r="X13" s="2"/>
      <c r="Y13" s="2"/>
      <c r="Z13" s="2"/>
      <c r="AA13" s="2"/>
      <c r="AB13" s="2"/>
    </row>
    <row r="14" spans="1:28" ht="13.35" customHeight="1" x14ac:dyDescent="0.2">
      <c r="B14" s="3" t="s">
        <v>195</v>
      </c>
      <c r="C14" s="3"/>
      <c r="D14" s="2"/>
      <c r="E14" s="2"/>
      <c r="F14" s="3" t="s">
        <v>196</v>
      </c>
      <c r="G14" s="124"/>
      <c r="H14" s="3"/>
      <c r="I14" s="2"/>
      <c r="J14" s="3" t="s">
        <v>197</v>
      </c>
      <c r="K14" s="124"/>
      <c r="L14" s="3"/>
      <c r="M14" s="2"/>
      <c r="N14" s="2"/>
      <c r="O14" s="2"/>
      <c r="P14" s="2"/>
      <c r="Q14" s="599"/>
      <c r="R14" s="599"/>
      <c r="S14" s="599"/>
      <c r="T14" s="599"/>
      <c r="U14" s="599"/>
      <c r="V14" s="2"/>
      <c r="W14" s="2"/>
      <c r="X14" s="2"/>
      <c r="Y14" s="2"/>
      <c r="Z14" s="2"/>
      <c r="AA14" s="2"/>
      <c r="AB14" s="2"/>
    </row>
    <row r="15" spans="1:28" ht="8.25" customHeight="1" x14ac:dyDescent="0.2">
      <c r="B15" s="2"/>
      <c r="C15" s="2"/>
      <c r="D15" s="2"/>
      <c r="E15" s="2"/>
      <c r="F15" s="2"/>
      <c r="G15" s="2"/>
      <c r="H15" s="2"/>
      <c r="I15" s="2"/>
      <c r="J15" s="2"/>
      <c r="K15" s="2"/>
      <c r="L15" s="2"/>
      <c r="M15" s="2"/>
      <c r="N15" s="2"/>
      <c r="O15" s="2"/>
      <c r="P15" s="2"/>
      <c r="Q15" s="599"/>
      <c r="R15" s="599"/>
      <c r="S15" s="600"/>
      <c r="T15" s="599"/>
      <c r="U15" s="599"/>
      <c r="V15" s="2"/>
      <c r="W15" s="2"/>
      <c r="X15" s="2"/>
      <c r="Y15" s="2"/>
      <c r="Z15" s="2"/>
      <c r="AA15" s="2"/>
      <c r="AB15" s="2"/>
    </row>
    <row r="16" spans="1:28" ht="13.35" customHeight="1" x14ac:dyDescent="0.2">
      <c r="A16" s="316"/>
      <c r="B16" s="2" t="s">
        <v>198</v>
      </c>
      <c r="C16" s="2"/>
      <c r="D16" s="2"/>
      <c r="E16" s="2"/>
      <c r="F16" s="2"/>
      <c r="G16" s="317">
        <v>14623</v>
      </c>
      <c r="I16" s="2"/>
      <c r="J16" s="2"/>
      <c r="K16" s="4">
        <f>ROUND(G16/G$24,4)</f>
        <v>0.49540000000000001</v>
      </c>
      <c r="L16" s="2"/>
      <c r="M16" s="2"/>
      <c r="N16" s="2"/>
      <c r="O16" s="9"/>
      <c r="P16" s="316"/>
      <c r="Q16" s="599"/>
      <c r="R16" s="601"/>
      <c r="S16" s="600"/>
      <c r="T16" s="601"/>
      <c r="U16" s="599"/>
      <c r="V16" s="2"/>
      <c r="W16" s="2"/>
      <c r="X16" s="2"/>
      <c r="Y16" s="2"/>
      <c r="Z16" s="2"/>
      <c r="AA16" s="2"/>
      <c r="AB16" s="2"/>
    </row>
    <row r="17" spans="1:28" ht="13.35" customHeight="1" x14ac:dyDescent="0.2">
      <c r="A17" s="316"/>
      <c r="B17" s="2" t="s">
        <v>334</v>
      </c>
      <c r="C17" s="2"/>
      <c r="D17" s="2"/>
      <c r="E17" s="2"/>
      <c r="F17" s="2"/>
      <c r="G17" s="317">
        <v>8120</v>
      </c>
      <c r="I17" s="2"/>
      <c r="J17" s="2"/>
      <c r="K17" s="4">
        <f t="shared" ref="K17:K22" si="0">ROUND(G17/G$24,4)</f>
        <v>0.27510000000000001</v>
      </c>
      <c r="L17" s="2"/>
      <c r="M17" s="2"/>
      <c r="N17" s="2"/>
      <c r="O17" s="9"/>
      <c r="P17" s="316"/>
      <c r="Q17" s="599"/>
      <c r="R17" s="601"/>
      <c r="S17" s="600"/>
      <c r="T17" s="601"/>
      <c r="U17" s="599"/>
      <c r="V17" s="2"/>
      <c r="W17" s="2"/>
      <c r="X17" s="2"/>
      <c r="Y17" s="2"/>
      <c r="Z17" s="2"/>
      <c r="AA17" s="2"/>
      <c r="AB17" s="2"/>
    </row>
    <row r="18" spans="1:28" ht="13.35" customHeight="1" x14ac:dyDescent="0.2">
      <c r="A18" s="316"/>
      <c r="B18" s="2" t="s">
        <v>200</v>
      </c>
      <c r="C18" s="2"/>
      <c r="D18" s="2"/>
      <c r="E18" s="2"/>
      <c r="F18" s="2"/>
      <c r="G18" s="317">
        <v>3188</v>
      </c>
      <c r="I18" s="2"/>
      <c r="J18" s="2"/>
      <c r="K18" s="4">
        <f t="shared" si="0"/>
        <v>0.108</v>
      </c>
      <c r="L18" s="2"/>
      <c r="M18" s="2"/>
      <c r="N18" s="2"/>
      <c r="O18" s="9"/>
      <c r="P18" s="316"/>
      <c r="Q18" s="599"/>
      <c r="R18" s="601"/>
      <c r="S18" s="600"/>
      <c r="T18" s="601"/>
      <c r="U18" s="599"/>
      <c r="V18" s="2"/>
      <c r="W18" s="2"/>
      <c r="X18" s="2"/>
      <c r="Y18" s="2"/>
      <c r="Z18" s="2"/>
      <c r="AA18" s="2"/>
      <c r="AB18" s="2"/>
    </row>
    <row r="19" spans="1:28" ht="13.35" customHeight="1" x14ac:dyDescent="0.2">
      <c r="A19" s="316"/>
      <c r="B19" s="2" t="s">
        <v>201</v>
      </c>
      <c r="C19" s="2"/>
      <c r="D19" s="2"/>
      <c r="E19" s="2"/>
      <c r="F19" s="2"/>
      <c r="G19" s="317">
        <v>1848</v>
      </c>
      <c r="I19" s="2"/>
      <c r="J19" s="2"/>
      <c r="K19" s="4">
        <f t="shared" si="0"/>
        <v>6.2600000000000003E-2</v>
      </c>
      <c r="L19" s="2"/>
      <c r="M19" s="2"/>
      <c r="N19" s="2"/>
      <c r="O19" s="9"/>
      <c r="P19" s="316"/>
      <c r="Q19" s="599"/>
      <c r="R19" s="601"/>
      <c r="S19" s="600"/>
      <c r="T19" s="601"/>
      <c r="U19" s="599"/>
      <c r="V19" s="2"/>
      <c r="W19" s="2"/>
      <c r="X19" s="2"/>
      <c r="Y19" s="2"/>
      <c r="Z19" s="2"/>
      <c r="AA19" s="2"/>
      <c r="AB19" s="2"/>
    </row>
    <row r="20" spans="1:28" ht="13.35" customHeight="1" x14ac:dyDescent="0.2">
      <c r="A20" s="316"/>
      <c r="B20" s="2" t="s">
        <v>105</v>
      </c>
      <c r="C20" s="2"/>
      <c r="D20" s="2"/>
      <c r="E20" s="2"/>
      <c r="F20" s="2"/>
      <c r="G20" s="317">
        <v>1562</v>
      </c>
      <c r="I20" s="2"/>
      <c r="J20" s="2"/>
      <c r="K20" s="4">
        <f t="shared" si="0"/>
        <v>5.2900000000000003E-2</v>
      </c>
      <c r="L20" s="2"/>
      <c r="M20" s="2"/>
      <c r="N20" s="2"/>
      <c r="O20" s="9"/>
      <c r="P20" s="316"/>
      <c r="Q20" s="599"/>
      <c r="R20" s="601"/>
      <c r="S20" s="600"/>
      <c r="T20" s="601"/>
      <c r="U20" s="599"/>
      <c r="V20" s="2"/>
      <c r="W20" s="2"/>
      <c r="X20" s="2"/>
      <c r="Y20" s="2"/>
      <c r="Z20" s="2"/>
      <c r="AA20" s="2"/>
      <c r="AB20" s="2"/>
    </row>
    <row r="21" spans="1:28" ht="13.35" hidden="1" customHeight="1" x14ac:dyDescent="0.2">
      <c r="B21" s="2" t="s">
        <v>203</v>
      </c>
      <c r="C21" s="126"/>
      <c r="D21" s="126"/>
      <c r="E21" s="126"/>
      <c r="F21" s="126"/>
      <c r="G21" s="317">
        <v>0</v>
      </c>
      <c r="H21" s="349"/>
      <c r="I21" s="126"/>
      <c r="J21" s="126"/>
      <c r="K21" s="4">
        <f t="shared" si="0"/>
        <v>0</v>
      </c>
      <c r="L21" s="2"/>
      <c r="M21" s="2"/>
      <c r="N21" s="2"/>
      <c r="O21" s="9"/>
      <c r="P21" s="316"/>
      <c r="Q21" s="599"/>
      <c r="R21" s="599"/>
      <c r="S21" s="599"/>
      <c r="T21" s="601"/>
      <c r="U21" s="599"/>
      <c r="V21" s="2"/>
      <c r="W21" s="2"/>
      <c r="X21" s="2"/>
      <c r="Y21" s="2"/>
      <c r="Z21" s="2"/>
      <c r="AA21" s="2"/>
      <c r="AB21" s="2"/>
    </row>
    <row r="22" spans="1:28" ht="13.35" customHeight="1" x14ac:dyDescent="0.2">
      <c r="B22" s="2" t="s">
        <v>238</v>
      </c>
      <c r="C22" s="126"/>
      <c r="D22" s="126"/>
      <c r="E22" s="126"/>
      <c r="F22" s="126"/>
      <c r="G22" s="317">
        <v>176</v>
      </c>
      <c r="H22" s="349"/>
      <c r="I22" s="126"/>
      <c r="J22" s="126"/>
      <c r="K22" s="4">
        <f t="shared" si="0"/>
        <v>6.0000000000000001E-3</v>
      </c>
      <c r="L22" s="2"/>
      <c r="M22" s="2"/>
      <c r="N22" s="2"/>
      <c r="O22" s="2"/>
      <c r="P22" s="316"/>
      <c r="Q22" s="599"/>
      <c r="R22" s="601"/>
      <c r="S22" s="601"/>
      <c r="T22" s="601"/>
      <c r="U22" s="599"/>
      <c r="V22" s="2"/>
      <c r="W22" s="2"/>
      <c r="X22" s="2"/>
      <c r="Y22" s="2"/>
      <c r="Z22" s="2"/>
      <c r="AA22" s="2"/>
      <c r="AB22" s="2"/>
    </row>
    <row r="23" spans="1:28" ht="13.35" customHeight="1" x14ac:dyDescent="0.2">
      <c r="B23" s="2"/>
      <c r="C23" s="2"/>
      <c r="D23" s="2"/>
      <c r="E23" s="2"/>
      <c r="F23" s="2"/>
      <c r="G23" s="532"/>
      <c r="I23" s="2"/>
      <c r="J23" s="2"/>
      <c r="K23" s="6"/>
      <c r="L23" s="2"/>
      <c r="M23" s="2"/>
      <c r="N23" s="2"/>
      <c r="O23" s="2"/>
      <c r="P23" s="316"/>
      <c r="Q23" s="599"/>
      <c r="R23" s="599"/>
      <c r="S23" s="599"/>
      <c r="T23" s="415"/>
      <c r="U23" s="599"/>
      <c r="V23" s="2"/>
      <c r="W23" s="2"/>
      <c r="X23" s="2"/>
      <c r="Y23" s="2"/>
      <c r="Z23" s="2"/>
      <c r="AA23" s="2"/>
      <c r="AB23" s="2"/>
    </row>
    <row r="24" spans="1:28" ht="13.35" customHeight="1" thickBot="1" x14ac:dyDescent="0.25">
      <c r="B24" s="2" t="s">
        <v>205</v>
      </c>
      <c r="C24" s="2"/>
      <c r="D24" s="2"/>
      <c r="E24" s="2"/>
      <c r="F24" s="2"/>
      <c r="G24" s="173">
        <f>SUM(G16:G23)</f>
        <v>29517</v>
      </c>
      <c r="I24" s="2"/>
      <c r="J24" s="2"/>
      <c r="K24" s="4">
        <f>SUM(K16:K23)</f>
        <v>1</v>
      </c>
      <c r="L24" s="2"/>
      <c r="M24" s="2"/>
      <c r="N24" s="2"/>
      <c r="O24" s="2"/>
      <c r="P24" s="316"/>
      <c r="Q24" s="599"/>
      <c r="R24" s="599"/>
      <c r="S24" s="599"/>
      <c r="T24" s="420"/>
      <c r="U24" s="599"/>
      <c r="V24" s="2"/>
      <c r="W24" s="2"/>
      <c r="X24" s="2"/>
      <c r="Y24" s="2"/>
      <c r="Z24" s="2"/>
      <c r="AA24" s="2"/>
      <c r="AB24" s="2"/>
    </row>
    <row r="25" spans="1:28" ht="13.35" customHeight="1" thickTop="1" x14ac:dyDescent="0.2">
      <c r="B25" s="2"/>
      <c r="C25" s="2"/>
      <c r="D25" s="2"/>
      <c r="E25" s="2"/>
      <c r="F25" s="2"/>
      <c r="G25" s="160"/>
      <c r="H25" s="2"/>
      <c r="I25" s="2"/>
      <c r="J25" s="2"/>
      <c r="K25" s="8"/>
      <c r="L25" s="2"/>
      <c r="M25" s="2"/>
      <c r="N25" s="2"/>
      <c r="O25" s="2"/>
      <c r="P25" s="316"/>
      <c r="Q25" s="599"/>
      <c r="R25" s="599"/>
      <c r="S25" s="599"/>
      <c r="T25" s="599"/>
      <c r="U25" s="599"/>
      <c r="V25" s="2"/>
      <c r="W25" s="2"/>
      <c r="X25" s="2"/>
      <c r="Y25" s="2"/>
      <c r="Z25" s="2"/>
      <c r="AA25" s="2"/>
      <c r="AB25" s="2"/>
    </row>
    <row r="26" spans="1:28" ht="13.35" customHeight="1" x14ac:dyDescent="0.2">
      <c r="B26" s="2"/>
      <c r="C26" s="2"/>
      <c r="D26" s="2"/>
      <c r="E26" s="2"/>
      <c r="F26" s="2"/>
      <c r="G26" s="9"/>
      <c r="H26" s="2"/>
      <c r="I26" s="2"/>
      <c r="J26" s="2"/>
      <c r="K26" s="2"/>
      <c r="L26" s="2"/>
      <c r="M26" s="2"/>
      <c r="N26" s="2"/>
      <c r="O26" s="2"/>
      <c r="P26" s="316"/>
      <c r="Q26" s="599"/>
      <c r="R26" s="599"/>
      <c r="S26" s="599"/>
      <c r="T26" s="160"/>
      <c r="U26" s="599"/>
      <c r="V26" s="2"/>
      <c r="W26" s="2"/>
      <c r="X26" s="2"/>
      <c r="Y26" s="2"/>
      <c r="Z26" s="2"/>
      <c r="AA26" s="2"/>
      <c r="AB26" s="2"/>
    </row>
    <row r="27" spans="1:28" ht="13.35" customHeight="1" x14ac:dyDescent="0.2">
      <c r="B27" s="2" t="s">
        <v>206</v>
      </c>
      <c r="C27" s="2"/>
      <c r="D27" s="2"/>
      <c r="E27" s="2"/>
      <c r="F27" s="2"/>
      <c r="G27" s="2"/>
      <c r="H27" s="2"/>
      <c r="I27" s="2"/>
      <c r="J27" s="2"/>
      <c r="K27" s="2"/>
      <c r="L27" s="2"/>
      <c r="M27" s="2"/>
      <c r="N27" s="2"/>
      <c r="O27" s="2"/>
      <c r="P27" s="2"/>
      <c r="Q27" s="599"/>
      <c r="R27" s="599"/>
      <c r="S27" s="599"/>
      <c r="T27" s="160"/>
      <c r="U27" s="599"/>
      <c r="V27" s="2"/>
      <c r="W27" s="2"/>
      <c r="X27" s="2"/>
      <c r="Y27" s="2"/>
      <c r="Z27" s="2"/>
      <c r="AA27" s="2"/>
      <c r="AB27" s="2"/>
    </row>
    <row r="28" spans="1:28" ht="13.35" customHeight="1" x14ac:dyDescent="0.2">
      <c r="B28" s="2" t="s">
        <v>207</v>
      </c>
      <c r="C28" s="2"/>
      <c r="D28" s="2"/>
      <c r="E28" s="2"/>
      <c r="F28" s="2"/>
      <c r="G28" s="2"/>
      <c r="H28" s="2"/>
      <c r="I28" s="2"/>
      <c r="J28" s="2"/>
      <c r="K28" s="2"/>
      <c r="L28" s="2"/>
      <c r="M28" s="2"/>
      <c r="N28" s="2"/>
      <c r="O28" s="2"/>
      <c r="P28" s="2"/>
      <c r="Q28" s="599"/>
      <c r="R28" s="599"/>
      <c r="S28" s="599"/>
      <c r="T28" s="599"/>
      <c r="U28" s="599"/>
      <c r="V28" s="2"/>
      <c r="W28" s="2"/>
      <c r="X28" s="2"/>
      <c r="Y28" s="2"/>
      <c r="Z28" s="2"/>
      <c r="AA28" s="2"/>
      <c r="AB28" s="2"/>
    </row>
    <row r="29" spans="1:28" ht="9.1999999999999993" customHeight="1" x14ac:dyDescent="0.2">
      <c r="B29" s="2"/>
      <c r="C29" s="2"/>
      <c r="D29" s="2"/>
      <c r="E29" s="2"/>
      <c r="F29" s="2"/>
      <c r="G29" s="2"/>
      <c r="H29" s="2"/>
      <c r="I29" s="2"/>
      <c r="J29" s="2"/>
      <c r="K29" s="2"/>
      <c r="L29" s="2"/>
      <c r="M29" s="2"/>
      <c r="N29" s="2"/>
      <c r="O29" s="2"/>
      <c r="P29" s="2"/>
      <c r="Q29" s="599"/>
      <c r="R29" s="599"/>
      <c r="S29" s="599"/>
      <c r="T29" s="599"/>
      <c r="U29" s="599"/>
      <c r="V29" s="2"/>
      <c r="W29" s="2"/>
      <c r="X29" s="2"/>
      <c r="Y29" s="2"/>
      <c r="Z29" s="2"/>
      <c r="AA29" s="2"/>
      <c r="AB29" s="2"/>
    </row>
    <row r="30" spans="1:28" ht="27.6" customHeight="1" x14ac:dyDescent="0.2">
      <c r="B30" s="623" t="s">
        <v>208</v>
      </c>
      <c r="C30" s="623"/>
      <c r="D30" s="623"/>
      <c r="E30" s="623"/>
      <c r="F30" s="623"/>
      <c r="G30" s="623"/>
      <c r="H30" s="623"/>
      <c r="I30" s="623"/>
      <c r="J30" s="623"/>
      <c r="K30" s="623"/>
      <c r="L30" s="623"/>
      <c r="M30" s="623"/>
      <c r="N30" s="2"/>
      <c r="O30" s="2"/>
      <c r="P30" s="2"/>
      <c r="Q30" s="599"/>
      <c r="R30" s="599"/>
      <c r="S30" s="599"/>
      <c r="T30" s="599"/>
      <c r="U30" s="599"/>
      <c r="V30" s="2"/>
      <c r="W30" s="2"/>
      <c r="X30" s="2"/>
      <c r="Y30" s="2"/>
      <c r="Z30" s="2"/>
      <c r="AA30" s="2"/>
      <c r="AB30" s="2"/>
    </row>
    <row r="31" spans="1:28" ht="7.9" customHeight="1" x14ac:dyDescent="0.2">
      <c r="B31" s="2"/>
      <c r="C31" s="2"/>
      <c r="D31" s="2"/>
      <c r="E31" s="2"/>
      <c r="F31" s="2"/>
      <c r="G31" s="2"/>
      <c r="H31" s="2"/>
      <c r="I31" s="2"/>
      <c r="J31" s="2"/>
      <c r="K31" s="2"/>
      <c r="L31" s="2"/>
      <c r="M31" s="2"/>
      <c r="N31" s="2"/>
      <c r="O31" s="2"/>
      <c r="P31" s="2"/>
      <c r="Q31" s="599"/>
      <c r="R31" s="599"/>
      <c r="S31" s="599"/>
      <c r="T31" s="599"/>
      <c r="U31" s="599"/>
      <c r="V31" s="2"/>
      <c r="W31" s="2"/>
      <c r="X31" s="2"/>
      <c r="Y31" s="2"/>
      <c r="Z31" s="2"/>
      <c r="AA31" s="2"/>
      <c r="AB31" s="2"/>
    </row>
    <row r="32" spans="1:28" ht="13.35" customHeight="1" x14ac:dyDescent="0.2">
      <c r="B32" s="2"/>
      <c r="C32" s="2"/>
      <c r="D32" s="2"/>
      <c r="E32" s="1" t="s">
        <v>189</v>
      </c>
      <c r="F32" s="1"/>
      <c r="G32" s="1"/>
      <c r="H32" s="2"/>
      <c r="I32" s="1" t="s">
        <v>209</v>
      </c>
      <c r="J32" s="1"/>
      <c r="K32" s="1"/>
      <c r="L32" s="2"/>
      <c r="M32" s="2"/>
      <c r="N32" s="2"/>
      <c r="O32" s="2"/>
      <c r="P32" s="2"/>
      <c r="Q32" s="599"/>
      <c r="R32" s="599"/>
      <c r="S32" s="599"/>
      <c r="T32" s="599"/>
      <c r="U32" s="599"/>
      <c r="V32" s="2"/>
      <c r="W32" s="2"/>
      <c r="X32" s="2"/>
      <c r="Y32" s="2"/>
      <c r="Z32" s="2"/>
      <c r="AA32" s="2"/>
      <c r="AB32" s="2"/>
    </row>
    <row r="33" spans="2:28" ht="13.35" customHeight="1" x14ac:dyDescent="0.2">
      <c r="B33" s="2"/>
      <c r="C33" s="2"/>
      <c r="D33" s="2"/>
      <c r="E33" s="1" t="s">
        <v>210</v>
      </c>
      <c r="F33" s="1"/>
      <c r="G33" s="1"/>
      <c r="H33" s="2"/>
      <c r="I33" s="1" t="s">
        <v>211</v>
      </c>
      <c r="J33" s="1"/>
      <c r="K33" s="1"/>
      <c r="L33" s="2"/>
      <c r="M33" s="2"/>
      <c r="N33" s="2"/>
      <c r="O33" s="2"/>
      <c r="P33" s="2"/>
      <c r="Q33" s="599"/>
      <c r="R33" s="599"/>
      <c r="S33" s="599"/>
      <c r="T33" s="599"/>
      <c r="U33" s="599"/>
      <c r="V33" s="2"/>
      <c r="W33" s="2"/>
      <c r="X33" s="2"/>
      <c r="Y33" s="2"/>
      <c r="Z33" s="2"/>
      <c r="AA33" s="2"/>
      <c r="AB33" s="2"/>
    </row>
    <row r="34" spans="2:28" ht="13.35" customHeight="1" x14ac:dyDescent="0.2">
      <c r="B34" s="1" t="s">
        <v>190</v>
      </c>
      <c r="C34" s="1"/>
      <c r="D34" s="2"/>
      <c r="E34" s="10" t="s">
        <v>192</v>
      </c>
      <c r="F34" s="10"/>
      <c r="G34" s="10" t="s">
        <v>212</v>
      </c>
      <c r="H34" s="11"/>
      <c r="I34" s="10" t="s">
        <v>192</v>
      </c>
      <c r="J34" s="10"/>
      <c r="K34" s="10" t="s">
        <v>212</v>
      </c>
      <c r="L34" s="11"/>
      <c r="M34" s="11" t="s">
        <v>192</v>
      </c>
      <c r="N34" s="2"/>
      <c r="O34" s="2"/>
      <c r="P34" s="2"/>
      <c r="Q34" s="599"/>
      <c r="R34" s="599"/>
      <c r="S34" s="599"/>
      <c r="T34" s="599"/>
      <c r="U34" s="599"/>
      <c r="V34" s="2"/>
      <c r="W34" s="2"/>
      <c r="X34" s="2"/>
      <c r="Y34" s="2"/>
      <c r="Z34" s="2"/>
      <c r="AA34" s="2"/>
      <c r="AB34" s="2"/>
    </row>
    <row r="35" spans="2:28" ht="13.35" customHeight="1" x14ac:dyDescent="0.2">
      <c r="B35" s="1" t="s">
        <v>193</v>
      </c>
      <c r="C35" s="1"/>
      <c r="D35" s="2"/>
      <c r="E35" s="11" t="s">
        <v>213</v>
      </c>
      <c r="F35" s="11"/>
      <c r="G35" s="11" t="s">
        <v>194</v>
      </c>
      <c r="H35" s="11"/>
      <c r="I35" s="11" t="s">
        <v>194</v>
      </c>
      <c r="J35" s="11"/>
      <c r="K35" s="11" t="s">
        <v>194</v>
      </c>
      <c r="L35" s="11"/>
      <c r="M35" s="11" t="s">
        <v>194</v>
      </c>
      <c r="N35" s="2"/>
      <c r="O35" s="2"/>
      <c r="P35" s="2"/>
      <c r="Q35" s="599"/>
      <c r="R35" s="599"/>
      <c r="S35" s="599"/>
      <c r="T35" s="599"/>
      <c r="U35" s="599"/>
      <c r="V35" s="2"/>
      <c r="W35" s="2"/>
      <c r="X35" s="2"/>
      <c r="Y35" s="2"/>
      <c r="Z35" s="2"/>
      <c r="AA35" s="2"/>
      <c r="AB35" s="2"/>
    </row>
    <row r="36" spans="2:28" ht="13.35" customHeight="1" x14ac:dyDescent="0.2">
      <c r="B36" s="3" t="s">
        <v>195</v>
      </c>
      <c r="C36" s="3"/>
      <c r="D36" s="2"/>
      <c r="E36" s="10" t="s">
        <v>214</v>
      </c>
      <c r="F36" s="2"/>
      <c r="G36" s="12" t="s">
        <v>215</v>
      </c>
      <c r="H36" s="2"/>
      <c r="I36" s="10" t="s">
        <v>216</v>
      </c>
      <c r="J36" s="2"/>
      <c r="K36" s="12" t="s">
        <v>217</v>
      </c>
      <c r="L36" s="2"/>
      <c r="M36" s="10" t="s">
        <v>218</v>
      </c>
      <c r="N36" s="2"/>
      <c r="O36" s="2"/>
      <c r="P36" s="2"/>
      <c r="Q36" s="599"/>
      <c r="R36" s="599"/>
      <c r="S36" s="599"/>
      <c r="T36" s="599"/>
      <c r="U36" s="599"/>
      <c r="V36" s="2"/>
      <c r="W36" s="2"/>
      <c r="X36" s="2"/>
      <c r="Y36" s="2"/>
      <c r="Z36" s="2"/>
      <c r="AA36" s="2"/>
      <c r="AB36" s="2"/>
    </row>
    <row r="37" spans="2:28" ht="13.35" customHeight="1" x14ac:dyDescent="0.2">
      <c r="B37" s="2"/>
      <c r="C37" s="2"/>
      <c r="D37" s="2"/>
      <c r="E37" s="2"/>
      <c r="F37" s="2"/>
      <c r="G37" s="4">
        <f>'F 2 B'!$H$33</f>
        <v>0.625</v>
      </c>
      <c r="H37" s="2"/>
      <c r="I37" s="2"/>
      <c r="J37" s="2"/>
      <c r="K37" s="4">
        <f>'F 2 B'!$H$35</f>
        <v>0.375</v>
      </c>
      <c r="L37" s="2"/>
      <c r="M37" s="2"/>
      <c r="N37" s="2"/>
      <c r="O37" s="2"/>
      <c r="P37" s="2"/>
      <c r="Q37" s="599"/>
      <c r="R37" s="599"/>
      <c r="S37" s="599"/>
      <c r="T37" s="599"/>
      <c r="U37" s="599"/>
      <c r="V37" s="2"/>
      <c r="W37" s="2"/>
      <c r="X37" s="2"/>
      <c r="Y37" s="2"/>
      <c r="Z37" s="2"/>
      <c r="AA37" s="2"/>
      <c r="AB37" s="2"/>
    </row>
    <row r="38" spans="2:28" ht="8.25" customHeight="1" x14ac:dyDescent="0.2">
      <c r="B38" s="2"/>
      <c r="C38" s="2"/>
      <c r="D38" s="2"/>
      <c r="E38" s="2"/>
      <c r="F38" s="2"/>
      <c r="G38" s="2"/>
      <c r="H38" s="2"/>
      <c r="I38" s="2"/>
      <c r="J38" s="2"/>
      <c r="K38" s="2"/>
      <c r="L38" s="2"/>
      <c r="M38" s="2"/>
      <c r="N38" s="2"/>
      <c r="O38" s="2"/>
      <c r="P38" s="2"/>
      <c r="Q38" s="599"/>
      <c r="R38" s="599"/>
      <c r="S38" s="599"/>
      <c r="T38" s="599"/>
      <c r="U38" s="599"/>
      <c r="V38" s="2"/>
      <c r="W38" s="2"/>
      <c r="X38" s="2"/>
      <c r="Y38" s="2"/>
      <c r="Z38" s="2"/>
      <c r="AA38" s="2"/>
      <c r="AB38" s="2"/>
    </row>
    <row r="39" spans="2:28" ht="13.35" customHeight="1" x14ac:dyDescent="0.2">
      <c r="B39" s="2" t="s">
        <v>198</v>
      </c>
      <c r="C39" s="2"/>
      <c r="D39" s="2"/>
      <c r="E39" s="4">
        <f t="shared" ref="E39:E45" si="1">K16</f>
        <v>0.49540000000000001</v>
      </c>
      <c r="F39" s="2"/>
      <c r="G39" s="4">
        <f>ROUND(E39*G$37,4)</f>
        <v>0.30959999999999999</v>
      </c>
      <c r="H39" s="2"/>
      <c r="I39" s="4">
        <f>'F 2 B'!$J$17</f>
        <v>0.55869999999999997</v>
      </c>
      <c r="J39" s="2"/>
      <c r="K39" s="4">
        <f>ROUND(I39*K$37,4)</f>
        <v>0.20949999999999999</v>
      </c>
      <c r="L39" s="2"/>
      <c r="M39" s="4">
        <f t="shared" ref="M39:M45" si="2">G39+K39</f>
        <v>0.51910000000000001</v>
      </c>
      <c r="N39" s="2"/>
      <c r="O39" s="4"/>
      <c r="P39" s="2"/>
      <c r="Q39" s="599"/>
      <c r="R39" s="599"/>
      <c r="S39" s="599"/>
      <c r="T39" s="599"/>
      <c r="U39" s="599"/>
      <c r="V39" s="2"/>
      <c r="W39" s="2"/>
      <c r="X39" s="2"/>
      <c r="Y39" s="2"/>
      <c r="Z39" s="2"/>
      <c r="AA39" s="2"/>
      <c r="AB39" s="2"/>
    </row>
    <row r="40" spans="2:28" ht="13.35" customHeight="1" x14ac:dyDescent="0.2">
      <c r="B40" s="2" t="s">
        <v>334</v>
      </c>
      <c r="C40" s="2"/>
      <c r="D40" s="2"/>
      <c r="E40" s="4">
        <f t="shared" si="1"/>
        <v>0.27510000000000001</v>
      </c>
      <c r="F40" s="2"/>
      <c r="G40" s="4">
        <f t="shared" ref="G40:G44" si="3">ROUND(E40*G$37,4)</f>
        <v>0.1719</v>
      </c>
      <c r="H40" s="2"/>
      <c r="I40" s="4">
        <f>'F 2 B'!$J$18</f>
        <v>0.25209999999999999</v>
      </c>
      <c r="J40" s="2"/>
      <c r="K40" s="4">
        <f>ROUND(I40*K$37,4)</f>
        <v>9.4500000000000001E-2</v>
      </c>
      <c r="L40" s="2"/>
      <c r="M40" s="4">
        <f t="shared" si="2"/>
        <v>0.26639999999999997</v>
      </c>
      <c r="N40" s="2"/>
      <c r="O40" s="4"/>
      <c r="P40" s="2"/>
      <c r="Q40" s="599"/>
      <c r="R40" s="599"/>
      <c r="S40" s="599"/>
      <c r="T40" s="599"/>
      <c r="U40" s="599"/>
      <c r="V40" s="2"/>
      <c r="W40" s="2"/>
      <c r="X40" s="2"/>
      <c r="Y40" s="2"/>
      <c r="Z40" s="2"/>
      <c r="AA40" s="2"/>
      <c r="AB40" s="2"/>
    </row>
    <row r="41" spans="2:28" ht="13.35" customHeight="1" x14ac:dyDescent="0.2">
      <c r="B41" s="2" t="s">
        <v>200</v>
      </c>
      <c r="C41" s="2"/>
      <c r="D41" s="2"/>
      <c r="E41" s="4">
        <f t="shared" si="1"/>
        <v>0.108</v>
      </c>
      <c r="F41" s="2"/>
      <c r="G41" s="4">
        <f t="shared" si="3"/>
        <v>6.7500000000000004E-2</v>
      </c>
      <c r="H41" s="2"/>
      <c r="I41" s="4">
        <f>'F 2 B'!$J$19</f>
        <v>9.1399999999999995E-2</v>
      </c>
      <c r="J41" s="2"/>
      <c r="K41" s="4">
        <f>ROUND(I41*K$37,4)</f>
        <v>3.4299999999999997E-2</v>
      </c>
      <c r="L41" s="2"/>
      <c r="M41" s="4">
        <f t="shared" si="2"/>
        <v>0.1018</v>
      </c>
      <c r="N41" s="2"/>
      <c r="O41" s="4"/>
      <c r="P41" s="2"/>
      <c r="Q41" s="599"/>
      <c r="R41" s="599"/>
      <c r="S41" s="599"/>
      <c r="T41" s="599"/>
      <c r="U41" s="599"/>
      <c r="V41" s="2"/>
      <c r="W41" s="2"/>
      <c r="X41" s="2"/>
      <c r="Y41" s="2"/>
      <c r="Z41" s="2"/>
      <c r="AA41" s="2"/>
      <c r="AB41" s="2"/>
    </row>
    <row r="42" spans="2:28" ht="13.35" customHeight="1" x14ac:dyDescent="0.2">
      <c r="B42" s="2" t="s">
        <v>201</v>
      </c>
      <c r="C42" s="2"/>
      <c r="D42" s="2"/>
      <c r="E42" s="4">
        <f t="shared" si="1"/>
        <v>6.2600000000000003E-2</v>
      </c>
      <c r="F42" s="2"/>
      <c r="G42" s="4">
        <f t="shared" si="3"/>
        <v>3.9100000000000003E-2</v>
      </c>
      <c r="H42" s="2"/>
      <c r="I42" s="4">
        <f>'F 2 B'!$J$20</f>
        <v>5.2999999999999999E-2</v>
      </c>
      <c r="J42" s="2"/>
      <c r="K42" s="4">
        <f>ROUND(I42*K$37,4)</f>
        <v>1.9900000000000001E-2</v>
      </c>
      <c r="L42" s="2"/>
      <c r="M42" s="4">
        <f t="shared" si="2"/>
        <v>5.9000000000000004E-2</v>
      </c>
      <c r="N42" s="2"/>
      <c r="O42" s="4"/>
      <c r="P42" s="2"/>
      <c r="Q42" s="599"/>
      <c r="R42" s="599"/>
      <c r="S42" s="599"/>
      <c r="T42" s="599"/>
      <c r="U42" s="599"/>
      <c r="V42" s="2"/>
      <c r="W42" s="2"/>
      <c r="X42" s="2"/>
      <c r="Y42" s="2"/>
      <c r="Z42" s="2"/>
      <c r="AA42" s="2"/>
      <c r="AB42" s="2"/>
    </row>
    <row r="43" spans="2:28" ht="13.35" customHeight="1" x14ac:dyDescent="0.2">
      <c r="B43" s="2" t="s">
        <v>105</v>
      </c>
      <c r="C43" s="2"/>
      <c r="D43" s="2"/>
      <c r="E43" s="4">
        <f t="shared" si="1"/>
        <v>5.2900000000000003E-2</v>
      </c>
      <c r="F43" s="2"/>
      <c r="G43" s="4">
        <f t="shared" si="3"/>
        <v>3.3099999999999997E-2</v>
      </c>
      <c r="H43" s="2"/>
      <c r="I43" s="4">
        <f>'F 2 B'!$J$21</f>
        <v>4.48E-2</v>
      </c>
      <c r="J43" s="2"/>
      <c r="K43" s="4">
        <f>ROUND(I43*K$37,4)</f>
        <v>1.6799999999999999E-2</v>
      </c>
      <c r="L43" s="2"/>
      <c r="M43" s="4">
        <f t="shared" si="2"/>
        <v>4.99E-2</v>
      </c>
      <c r="N43" s="2"/>
      <c r="O43" s="4"/>
      <c r="P43" s="2"/>
      <c r="Q43" s="599"/>
      <c r="R43" s="599"/>
      <c r="S43" s="599"/>
      <c r="T43" s="599"/>
      <c r="U43" s="599"/>
      <c r="V43" s="2"/>
      <c r="W43" s="2"/>
      <c r="X43" s="2"/>
      <c r="Y43" s="2"/>
      <c r="Z43" s="2"/>
      <c r="AA43" s="2"/>
      <c r="AB43" s="2"/>
    </row>
    <row r="44" spans="2:28" ht="13.35" hidden="1" customHeight="1" x14ac:dyDescent="0.2">
      <c r="B44" s="2" t="s">
        <v>203</v>
      </c>
      <c r="C44" s="2"/>
      <c r="D44" s="2"/>
      <c r="E44" s="4">
        <f t="shared" si="1"/>
        <v>0</v>
      </c>
      <c r="F44" s="2"/>
      <c r="G44" s="4">
        <f t="shared" si="3"/>
        <v>0</v>
      </c>
      <c r="H44" s="2"/>
      <c r="I44" s="2"/>
      <c r="J44" s="2"/>
      <c r="K44" s="2"/>
      <c r="L44" s="2"/>
      <c r="M44" s="4">
        <f t="shared" si="2"/>
        <v>0</v>
      </c>
      <c r="N44" s="2"/>
      <c r="O44" s="4"/>
      <c r="P44" s="2"/>
      <c r="Q44" s="599"/>
      <c r="R44" s="599"/>
      <c r="S44" s="599"/>
      <c r="T44" s="599"/>
      <c r="U44" s="599"/>
      <c r="V44" s="2"/>
      <c r="W44" s="2"/>
      <c r="X44" s="2"/>
      <c r="Y44" s="2"/>
      <c r="Z44" s="2"/>
      <c r="AA44" s="2"/>
      <c r="AB44" s="2"/>
    </row>
    <row r="45" spans="2:28" ht="13.35" customHeight="1" x14ac:dyDescent="0.2">
      <c r="B45" s="2" t="s">
        <v>238</v>
      </c>
      <c r="C45" s="2"/>
      <c r="D45" s="2"/>
      <c r="E45" s="4">
        <f t="shared" si="1"/>
        <v>6.0000000000000001E-3</v>
      </c>
      <c r="F45" s="2"/>
      <c r="G45" s="318">
        <f>ROUND(E45*G$37,4)+0</f>
        <v>3.8E-3</v>
      </c>
      <c r="H45" s="2"/>
      <c r="I45" s="2"/>
      <c r="J45" s="2"/>
      <c r="K45" s="2"/>
      <c r="L45" s="2"/>
      <c r="M45" s="4">
        <f t="shared" si="2"/>
        <v>3.8E-3</v>
      </c>
      <c r="N45" s="2"/>
      <c r="O45" s="4"/>
      <c r="P45" s="2"/>
      <c r="Q45" s="599"/>
      <c r="R45" s="599"/>
      <c r="S45" s="599"/>
      <c r="T45" s="599"/>
      <c r="U45" s="599"/>
      <c r="V45" s="2"/>
      <c r="W45" s="2"/>
      <c r="X45" s="2"/>
      <c r="Y45" s="2"/>
      <c r="Z45" s="2"/>
      <c r="AA45" s="2"/>
      <c r="AB45" s="2"/>
    </row>
    <row r="46" spans="2:28" ht="8.25" customHeight="1" x14ac:dyDescent="0.2">
      <c r="B46" s="2"/>
      <c r="C46" s="2"/>
      <c r="D46" s="2"/>
      <c r="E46" s="6"/>
      <c r="F46" s="2"/>
      <c r="G46" s="6"/>
      <c r="H46" s="2"/>
      <c r="I46" s="6"/>
      <c r="J46" s="2"/>
      <c r="K46" s="6"/>
      <c r="L46" s="2"/>
      <c r="M46" s="6"/>
      <c r="N46" s="2"/>
      <c r="O46" s="13"/>
      <c r="P46" s="2"/>
      <c r="Q46" s="2"/>
      <c r="R46" s="2"/>
      <c r="S46" s="2"/>
      <c r="T46" s="2"/>
      <c r="U46" s="2"/>
      <c r="V46" s="2"/>
      <c r="W46" s="2"/>
      <c r="X46" s="2"/>
      <c r="Y46" s="2"/>
      <c r="Z46" s="2"/>
      <c r="AA46" s="2"/>
      <c r="AB46" s="2"/>
    </row>
    <row r="47" spans="2:28" ht="13.35" customHeight="1" thickBot="1" x14ac:dyDescent="0.25">
      <c r="B47" s="2" t="s">
        <v>205</v>
      </c>
      <c r="C47" s="2"/>
      <c r="D47" s="2"/>
      <c r="E47" s="4">
        <f>SUM(E39:E46)</f>
        <v>1</v>
      </c>
      <c r="F47" s="2"/>
      <c r="G47" s="156">
        <f>SUM(G39:G46)</f>
        <v>0.625</v>
      </c>
      <c r="H47" s="2"/>
      <c r="I47" s="4">
        <f>SUM(I39:I46)</f>
        <v>1</v>
      </c>
      <c r="J47" s="2"/>
      <c r="K47" s="4">
        <f>SUM(K39:K46)</f>
        <v>0.37499999999999994</v>
      </c>
      <c r="L47" s="2"/>
      <c r="M47" s="4">
        <f>SUM(M39:M46)</f>
        <v>1</v>
      </c>
      <c r="N47" s="2"/>
      <c r="O47" s="4"/>
      <c r="P47" s="2"/>
      <c r="Q47" s="2"/>
      <c r="R47" s="2"/>
      <c r="S47" s="2"/>
      <c r="T47" s="2"/>
      <c r="U47" s="2"/>
      <c r="V47" s="2"/>
      <c r="W47" s="2"/>
      <c r="X47" s="2"/>
      <c r="Y47" s="2"/>
      <c r="Z47" s="2"/>
      <c r="AA47" s="2"/>
      <c r="AB47" s="2"/>
    </row>
    <row r="48" spans="2:28" ht="13.35" customHeight="1" thickTop="1" x14ac:dyDescent="0.2">
      <c r="E48" s="319"/>
      <c r="G48" s="320"/>
      <c r="I48" s="319"/>
      <c r="K48" s="319"/>
      <c r="M48" s="319"/>
      <c r="N48" s="2"/>
      <c r="O48" s="2"/>
      <c r="P48" s="2"/>
      <c r="Q48" s="2"/>
      <c r="R48" s="2"/>
      <c r="S48" s="2"/>
      <c r="T48" s="2"/>
      <c r="U48" s="2"/>
      <c r="V48" s="2"/>
      <c r="W48" s="2"/>
      <c r="X48" s="2"/>
      <c r="Y48" s="2"/>
      <c r="Z48" s="2"/>
      <c r="AA48" s="2"/>
      <c r="AB48" s="2"/>
    </row>
    <row r="49" spans="2:28" ht="25.9" customHeight="1" x14ac:dyDescent="0.2">
      <c r="B49" s="624" t="s">
        <v>219</v>
      </c>
      <c r="C49" s="624"/>
      <c r="D49" s="624"/>
      <c r="E49" s="624"/>
      <c r="F49" s="624"/>
      <c r="G49" s="624"/>
      <c r="H49" s="624"/>
      <c r="I49" s="624"/>
      <c r="J49" s="624"/>
      <c r="K49" s="624"/>
      <c r="L49" s="624"/>
      <c r="M49" s="624"/>
      <c r="N49" s="2"/>
      <c r="O49" s="2"/>
      <c r="P49" s="2"/>
      <c r="Q49" s="2"/>
      <c r="R49" s="2"/>
      <c r="S49" s="2"/>
      <c r="T49" s="2"/>
      <c r="U49" s="2"/>
      <c r="V49" s="2"/>
      <c r="W49" s="2"/>
      <c r="X49" s="2"/>
      <c r="Y49" s="2"/>
      <c r="Z49" s="2"/>
      <c r="AA49" s="2"/>
      <c r="AB49" s="2"/>
    </row>
    <row r="50" spans="2:28" ht="13.35" customHeight="1" x14ac:dyDescent="0.2">
      <c r="N50" s="2"/>
      <c r="O50" s="2"/>
      <c r="P50" s="2"/>
      <c r="Q50" s="2"/>
      <c r="R50" s="2"/>
      <c r="S50" s="2"/>
      <c r="T50" s="2"/>
      <c r="U50" s="2"/>
      <c r="V50" s="2"/>
      <c r="W50" s="2"/>
      <c r="X50" s="2"/>
      <c r="Y50" s="2"/>
      <c r="Z50" s="2"/>
      <c r="AA50" s="2"/>
      <c r="AB50" s="2"/>
    </row>
    <row r="51" spans="2:28" ht="13.35" customHeight="1" x14ac:dyDescent="0.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2:28" x14ac:dyDescent="0.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2:28" x14ac:dyDescent="0.2">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2:28" x14ac:dyDescent="0.2">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2:28" x14ac:dyDescent="0.2">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2:28" x14ac:dyDescent="0.2">
      <c r="B56" s="2"/>
      <c r="C56" s="2"/>
      <c r="D56" s="2"/>
      <c r="E56" s="2"/>
      <c r="F56" s="2"/>
      <c r="G56" s="2"/>
      <c r="H56" s="2"/>
      <c r="I56" s="2"/>
      <c r="J56" s="2"/>
      <c r="K56" s="2"/>
      <c r="L56" s="2"/>
      <c r="M56" s="2"/>
      <c r="N56" s="2"/>
      <c r="O56" s="2"/>
      <c r="P56" s="2"/>
      <c r="Q56" s="2"/>
      <c r="R56" s="2"/>
      <c r="S56" s="2"/>
      <c r="T56" s="2"/>
      <c r="U56" s="2"/>
      <c r="V56" s="2"/>
      <c r="W56" s="2"/>
      <c r="X56" s="2"/>
      <c r="Y56" s="2"/>
      <c r="Z56" s="2"/>
      <c r="AA56" s="2"/>
      <c r="AB56" s="2"/>
    </row>
    <row r="57" spans="2:28" x14ac:dyDescent="0.2">
      <c r="B57" s="2"/>
      <c r="C57" s="2"/>
      <c r="D57" s="2"/>
      <c r="E57" s="2"/>
      <c r="F57" s="2"/>
      <c r="G57" s="2"/>
      <c r="H57" s="2"/>
      <c r="I57" s="2"/>
      <c r="J57" s="2"/>
      <c r="K57" s="2"/>
      <c r="L57" s="2"/>
      <c r="M57" s="2"/>
      <c r="N57" s="2"/>
      <c r="O57" s="2"/>
      <c r="P57" s="2"/>
      <c r="Q57" s="2"/>
      <c r="R57" s="2"/>
      <c r="S57" s="2"/>
      <c r="T57" s="2"/>
      <c r="U57" s="2"/>
      <c r="V57" s="2"/>
      <c r="W57" s="2"/>
      <c r="X57" s="2"/>
      <c r="Y57" s="2"/>
      <c r="Z57" s="2"/>
      <c r="AA57" s="2"/>
      <c r="AB57" s="2"/>
    </row>
    <row r="58" spans="2:28" x14ac:dyDescent="0.2">
      <c r="B58" s="2"/>
      <c r="C58" s="2"/>
      <c r="D58" s="2"/>
      <c r="E58" s="2"/>
      <c r="F58" s="2"/>
      <c r="G58" s="2"/>
      <c r="H58" s="2"/>
      <c r="I58" s="2"/>
      <c r="J58" s="2"/>
      <c r="K58" s="2"/>
      <c r="L58" s="2"/>
      <c r="M58" s="2"/>
      <c r="N58" s="2"/>
      <c r="O58" s="2"/>
      <c r="P58" s="2"/>
      <c r="Q58" s="2"/>
      <c r="R58" s="2"/>
      <c r="S58" s="2"/>
      <c r="T58" s="2"/>
      <c r="U58" s="2"/>
      <c r="V58" s="2"/>
      <c r="W58" s="2"/>
      <c r="X58" s="2"/>
      <c r="Y58" s="2"/>
      <c r="Z58" s="2"/>
      <c r="AA58" s="2"/>
      <c r="AB58" s="2"/>
    </row>
    <row r="59" spans="2:28" x14ac:dyDescent="0.2">
      <c r="B59" s="2"/>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2:28" x14ac:dyDescent="0.2">
      <c r="B60" s="2"/>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2:28" x14ac:dyDescent="0.2">
      <c r="B61" s="2"/>
      <c r="C61" s="2"/>
      <c r="D61" s="2"/>
      <c r="E61" s="2"/>
      <c r="F61" s="2"/>
      <c r="G61" s="2"/>
      <c r="H61" s="2"/>
      <c r="I61" s="2"/>
      <c r="J61" s="2"/>
      <c r="K61" s="2"/>
      <c r="L61" s="2"/>
      <c r="M61" s="2"/>
      <c r="N61" s="2"/>
      <c r="O61" s="2"/>
      <c r="P61" s="2"/>
      <c r="Q61" s="2"/>
      <c r="R61" s="2"/>
      <c r="S61" s="2"/>
      <c r="T61" s="2"/>
      <c r="U61" s="2"/>
      <c r="V61" s="2"/>
      <c r="W61" s="2"/>
      <c r="X61" s="2"/>
      <c r="Y61" s="2"/>
      <c r="Z61" s="2"/>
      <c r="AA61" s="2"/>
      <c r="AB61" s="2"/>
    </row>
    <row r="62" spans="2:28" x14ac:dyDescent="0.2">
      <c r="B62" s="2"/>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2:28" x14ac:dyDescent="0.2">
      <c r="B63" s="2"/>
      <c r="C63" s="2"/>
      <c r="D63" s="2"/>
      <c r="E63" s="2"/>
      <c r="F63" s="2"/>
      <c r="G63" s="2"/>
      <c r="H63" s="2"/>
      <c r="I63" s="2"/>
      <c r="J63" s="2"/>
      <c r="K63" s="2"/>
      <c r="L63" s="2"/>
      <c r="M63" s="2"/>
      <c r="N63" s="2"/>
      <c r="O63" s="2"/>
      <c r="P63" s="2"/>
      <c r="Q63" s="2"/>
      <c r="R63" s="2"/>
      <c r="S63" s="2"/>
      <c r="T63" s="2"/>
      <c r="U63" s="2"/>
      <c r="V63" s="2"/>
      <c r="W63" s="2"/>
      <c r="X63" s="2"/>
      <c r="Y63" s="2"/>
      <c r="Z63" s="2"/>
      <c r="AA63" s="2"/>
      <c r="AB63" s="2"/>
    </row>
    <row r="64" spans="2:28" x14ac:dyDescent="0.2">
      <c r="B64" s="2"/>
      <c r="C64" s="2"/>
      <c r="D64" s="2"/>
      <c r="E64" s="2"/>
      <c r="F64" s="2"/>
      <c r="G64" s="2"/>
      <c r="H64" s="2"/>
      <c r="I64" s="2"/>
      <c r="J64" s="2"/>
      <c r="K64" s="2"/>
      <c r="L64" s="2"/>
      <c r="M64" s="2"/>
      <c r="N64" s="2"/>
      <c r="O64" s="2"/>
      <c r="AB64" s="2"/>
    </row>
    <row r="65" spans="2:28" x14ac:dyDescent="0.2">
      <c r="B65" s="2"/>
      <c r="C65" s="2"/>
      <c r="D65" s="2"/>
      <c r="E65" s="2"/>
      <c r="F65" s="2"/>
      <c r="G65" s="2"/>
      <c r="H65" s="2"/>
      <c r="I65" s="2"/>
      <c r="J65" s="2"/>
      <c r="K65" s="2"/>
      <c r="L65" s="2"/>
      <c r="M65" s="2"/>
      <c r="N65" s="2"/>
      <c r="O65" s="2"/>
      <c r="AB65" s="2"/>
    </row>
    <row r="66" spans="2:28" x14ac:dyDescent="0.2">
      <c r="B66" s="2"/>
      <c r="C66" s="2"/>
      <c r="D66" s="2"/>
      <c r="E66" s="2"/>
      <c r="F66" s="2"/>
      <c r="G66" s="2"/>
      <c r="H66" s="2"/>
      <c r="I66" s="2"/>
      <c r="J66" s="2"/>
      <c r="K66" s="2"/>
      <c r="L66" s="2"/>
      <c r="M66" s="2"/>
      <c r="N66" s="2"/>
      <c r="O66" s="2"/>
      <c r="AB66" s="2"/>
    </row>
    <row r="67" spans="2:28" x14ac:dyDescent="0.2">
      <c r="B67" s="2"/>
      <c r="C67" s="2"/>
      <c r="D67" s="2"/>
      <c r="E67" s="2"/>
      <c r="F67" s="2"/>
      <c r="G67" s="2"/>
      <c r="H67" s="2"/>
      <c r="I67" s="2"/>
      <c r="J67" s="2"/>
      <c r="K67" s="2"/>
      <c r="L67" s="2"/>
      <c r="M67" s="2"/>
      <c r="N67" s="2"/>
      <c r="O67" s="2"/>
      <c r="AB67" s="2"/>
    </row>
    <row r="68" spans="2:28" x14ac:dyDescent="0.2">
      <c r="B68" s="2"/>
      <c r="C68" s="2"/>
      <c r="D68" s="2"/>
      <c r="E68" s="2"/>
      <c r="F68" s="2"/>
      <c r="G68" s="2"/>
      <c r="H68" s="2"/>
      <c r="I68" s="2"/>
      <c r="J68" s="2"/>
      <c r="K68" s="2"/>
      <c r="L68" s="2"/>
      <c r="M68" s="2"/>
      <c r="N68" s="2"/>
      <c r="O68" s="2"/>
      <c r="AB68" s="2"/>
    </row>
    <row r="69" spans="2:28" x14ac:dyDescent="0.2">
      <c r="B69" s="2"/>
      <c r="C69" s="2"/>
      <c r="D69" s="2"/>
      <c r="E69" s="2"/>
      <c r="F69" s="2"/>
      <c r="G69" s="2"/>
      <c r="H69" s="2"/>
      <c r="I69" s="2"/>
      <c r="J69" s="2"/>
      <c r="K69" s="2"/>
      <c r="L69" s="2"/>
      <c r="M69" s="2"/>
      <c r="N69" s="2"/>
      <c r="O69" s="2"/>
      <c r="AB69" s="2"/>
    </row>
    <row r="70" spans="2:28" x14ac:dyDescent="0.2">
      <c r="B70" s="2"/>
      <c r="C70" s="2"/>
      <c r="D70" s="2"/>
      <c r="E70" s="2"/>
      <c r="F70" s="2"/>
      <c r="G70" s="2"/>
      <c r="H70" s="2"/>
      <c r="I70" s="2"/>
      <c r="J70" s="2"/>
      <c r="K70" s="2"/>
      <c r="L70" s="2"/>
      <c r="M70" s="2"/>
      <c r="N70" s="2"/>
      <c r="O70" s="2"/>
      <c r="AB70" s="2"/>
    </row>
    <row r="71" spans="2:28" x14ac:dyDescent="0.2">
      <c r="B71" s="2"/>
      <c r="C71" s="2"/>
      <c r="D71" s="2"/>
      <c r="E71" s="2"/>
      <c r="F71" s="2"/>
      <c r="G71" s="2"/>
      <c r="H71" s="2"/>
      <c r="I71" s="2"/>
      <c r="J71" s="2"/>
      <c r="K71" s="2"/>
      <c r="L71" s="2"/>
      <c r="M71" s="2"/>
      <c r="N71" s="2"/>
      <c r="O71" s="2"/>
      <c r="AB71" s="2"/>
    </row>
    <row r="72" spans="2:28" x14ac:dyDescent="0.2">
      <c r="B72" s="2"/>
      <c r="C72" s="2"/>
      <c r="D72" s="2"/>
      <c r="E72" s="2"/>
      <c r="F72" s="2"/>
      <c r="G72" s="2"/>
      <c r="H72" s="2"/>
      <c r="I72" s="2"/>
      <c r="J72" s="2"/>
      <c r="K72" s="2"/>
      <c r="L72" s="2"/>
      <c r="M72" s="2"/>
      <c r="N72" s="2"/>
      <c r="O72" s="2"/>
      <c r="AB72" s="2"/>
    </row>
    <row r="73" spans="2:28" x14ac:dyDescent="0.2">
      <c r="B73" s="2"/>
      <c r="C73" s="2"/>
      <c r="D73" s="2"/>
      <c r="E73" s="2"/>
      <c r="F73" s="2"/>
      <c r="G73" s="2"/>
      <c r="H73" s="2"/>
      <c r="I73" s="2"/>
      <c r="J73" s="2"/>
      <c r="K73" s="2"/>
      <c r="L73" s="2"/>
      <c r="M73" s="2"/>
      <c r="N73" s="2"/>
      <c r="O73" s="2"/>
      <c r="AB73" s="2"/>
    </row>
    <row r="74" spans="2:28" x14ac:dyDescent="0.2">
      <c r="B74" s="2"/>
      <c r="C74" s="2"/>
      <c r="D74" s="2"/>
      <c r="E74" s="2"/>
      <c r="F74" s="2"/>
      <c r="G74" s="2"/>
      <c r="H74" s="2"/>
      <c r="I74" s="2"/>
      <c r="J74" s="2"/>
      <c r="K74" s="2"/>
      <c r="L74" s="2"/>
      <c r="M74" s="2"/>
      <c r="N74" s="2"/>
      <c r="O74" s="2"/>
      <c r="AB74" s="2"/>
    </row>
    <row r="75" spans="2:28" x14ac:dyDescent="0.2">
      <c r="B75" s="2"/>
      <c r="C75" s="2"/>
      <c r="D75" s="2"/>
      <c r="E75" s="2"/>
      <c r="F75" s="2"/>
      <c r="G75" s="2"/>
      <c r="H75" s="2"/>
      <c r="I75" s="2"/>
      <c r="J75" s="2"/>
      <c r="K75" s="2"/>
      <c r="L75" s="2"/>
      <c r="M75" s="2"/>
      <c r="N75" s="2"/>
      <c r="O75" s="2"/>
      <c r="AB75" s="2"/>
    </row>
    <row r="76" spans="2:28" x14ac:dyDescent="0.2">
      <c r="B76" s="2"/>
      <c r="C76" s="2"/>
      <c r="D76" s="2"/>
      <c r="E76" s="2"/>
      <c r="F76" s="2"/>
      <c r="G76" s="2"/>
      <c r="H76" s="2"/>
      <c r="I76" s="2"/>
      <c r="J76" s="2"/>
      <c r="K76" s="2"/>
      <c r="L76" s="2"/>
      <c r="M76" s="2"/>
      <c r="N76" s="2"/>
      <c r="O76" s="2"/>
      <c r="AB76" s="2"/>
    </row>
    <row r="77" spans="2:28" x14ac:dyDescent="0.2">
      <c r="B77" s="2"/>
      <c r="C77" s="2"/>
      <c r="D77" s="2"/>
      <c r="E77" s="2"/>
      <c r="F77" s="2"/>
      <c r="G77" s="2"/>
      <c r="H77" s="2"/>
      <c r="I77" s="2"/>
      <c r="J77" s="2"/>
      <c r="K77" s="2"/>
      <c r="L77" s="2"/>
      <c r="M77" s="2"/>
      <c r="N77" s="2"/>
      <c r="O77" s="2"/>
      <c r="AB77" s="2"/>
    </row>
    <row r="78" spans="2:28" ht="12.75" customHeight="1" x14ac:dyDescent="0.2">
      <c r="B78" s="2"/>
      <c r="C78" s="2"/>
      <c r="D78" s="2"/>
      <c r="E78" s="2"/>
      <c r="F78" s="2"/>
      <c r="G78" s="2"/>
      <c r="H78" s="2"/>
      <c r="I78" s="2"/>
      <c r="J78" s="2"/>
      <c r="K78" s="2"/>
      <c r="L78" s="2"/>
      <c r="M78" s="2"/>
      <c r="N78" s="2"/>
      <c r="O78" s="2"/>
      <c r="AB78" s="2"/>
    </row>
    <row r="79" spans="2:28" x14ac:dyDescent="0.2">
      <c r="B79" s="2"/>
      <c r="C79" s="2"/>
      <c r="D79" s="2"/>
      <c r="E79" s="2"/>
      <c r="F79" s="2"/>
      <c r="G79" s="2"/>
      <c r="H79" s="2"/>
      <c r="I79" s="2"/>
      <c r="J79" s="2"/>
      <c r="K79" s="2"/>
      <c r="L79" s="2"/>
      <c r="M79" s="2"/>
      <c r="N79" s="2"/>
      <c r="O79" s="2"/>
      <c r="AB79" s="2"/>
    </row>
    <row r="80" spans="2:28" x14ac:dyDescent="0.2">
      <c r="B80" s="2"/>
      <c r="C80" s="2"/>
      <c r="D80" s="2"/>
      <c r="E80" s="2"/>
      <c r="F80" s="2"/>
      <c r="G80" s="2"/>
      <c r="H80" s="2"/>
      <c r="I80" s="2"/>
      <c r="J80" s="2"/>
      <c r="K80" s="2"/>
      <c r="L80" s="2"/>
      <c r="M80" s="2"/>
      <c r="N80" s="2"/>
      <c r="O80" s="2"/>
      <c r="AB80" s="2"/>
    </row>
    <row r="81" spans="2:28" x14ac:dyDescent="0.2">
      <c r="B81" s="2"/>
      <c r="C81" s="2"/>
      <c r="D81" s="2"/>
      <c r="E81" s="2"/>
      <c r="F81" s="2"/>
      <c r="G81" s="2"/>
      <c r="H81" s="2"/>
      <c r="I81" s="2"/>
      <c r="J81" s="2"/>
      <c r="K81" s="2"/>
      <c r="L81" s="2"/>
      <c r="M81" s="2"/>
      <c r="N81" s="2"/>
      <c r="O81" s="2"/>
      <c r="AB81" s="2"/>
    </row>
    <row r="82" spans="2:28" x14ac:dyDescent="0.2">
      <c r="B82" s="2"/>
      <c r="C82" s="2"/>
      <c r="D82" s="2"/>
      <c r="E82" s="2"/>
      <c r="F82" s="2"/>
      <c r="G82" s="2"/>
      <c r="H82" s="2"/>
      <c r="I82" s="2"/>
      <c r="J82" s="2"/>
      <c r="K82" s="2"/>
      <c r="L82" s="2"/>
      <c r="M82" s="2"/>
      <c r="N82" s="2"/>
      <c r="O82" s="2"/>
      <c r="AB82" s="2"/>
    </row>
    <row r="83" spans="2:28" x14ac:dyDescent="0.2">
      <c r="B83" s="2"/>
      <c r="C83" s="2"/>
      <c r="D83" s="2"/>
      <c r="E83" s="2"/>
      <c r="F83" s="2"/>
      <c r="G83" s="2"/>
      <c r="H83" s="2"/>
      <c r="I83" s="2"/>
      <c r="J83" s="2"/>
      <c r="K83" s="2"/>
      <c r="L83" s="2"/>
      <c r="M83" s="2"/>
      <c r="N83" s="2"/>
      <c r="O83" s="2"/>
      <c r="AB83" s="2"/>
    </row>
    <row r="84" spans="2:28" x14ac:dyDescent="0.2">
      <c r="B84" s="2"/>
      <c r="C84" s="2"/>
      <c r="D84" s="2"/>
      <c r="E84" s="2"/>
      <c r="F84" s="2"/>
      <c r="G84" s="2"/>
      <c r="H84" s="2"/>
      <c r="I84" s="2"/>
      <c r="J84" s="2"/>
      <c r="K84" s="2"/>
      <c r="L84" s="2"/>
      <c r="M84" s="2"/>
      <c r="N84" s="2"/>
      <c r="O84" s="2"/>
      <c r="AB84" s="2"/>
    </row>
    <row r="85" spans="2:28" x14ac:dyDescent="0.2">
      <c r="B85" s="2"/>
      <c r="C85" s="2"/>
      <c r="D85" s="2"/>
      <c r="E85" s="2"/>
      <c r="F85" s="2"/>
      <c r="G85" s="2"/>
      <c r="H85" s="2"/>
      <c r="I85" s="2"/>
      <c r="J85" s="2"/>
      <c r="K85" s="2"/>
      <c r="L85" s="2"/>
      <c r="M85" s="2"/>
      <c r="N85" s="2"/>
      <c r="O85" s="2"/>
      <c r="AA85" s="321"/>
      <c r="AB85" s="2"/>
    </row>
    <row r="86" spans="2:28" x14ac:dyDescent="0.2">
      <c r="B86" s="2"/>
      <c r="C86" s="2"/>
      <c r="D86" s="2"/>
      <c r="E86" s="2"/>
      <c r="F86" s="2"/>
      <c r="G86" s="2"/>
      <c r="H86" s="2"/>
      <c r="I86" s="2"/>
      <c r="J86" s="2"/>
      <c r="K86" s="2"/>
      <c r="L86" s="2"/>
      <c r="M86" s="2"/>
      <c r="N86" s="2"/>
      <c r="O86" s="2"/>
      <c r="AA86" s="321"/>
      <c r="AB86" s="2"/>
    </row>
    <row r="87" spans="2:28" x14ac:dyDescent="0.2">
      <c r="B87" s="2"/>
      <c r="C87" s="2"/>
      <c r="D87" s="2"/>
      <c r="E87" s="2"/>
      <c r="F87" s="2"/>
      <c r="G87" s="2"/>
      <c r="H87" s="2"/>
      <c r="I87" s="2"/>
      <c r="J87" s="2"/>
      <c r="K87" s="2"/>
      <c r="L87" s="2"/>
      <c r="M87" s="2"/>
      <c r="N87" s="2"/>
      <c r="O87" s="2"/>
      <c r="AB87" s="2"/>
    </row>
    <row r="88" spans="2:28" x14ac:dyDescent="0.2">
      <c r="B88" s="2"/>
      <c r="C88" s="2"/>
      <c r="D88" s="2"/>
      <c r="E88" s="2"/>
      <c r="F88" s="2"/>
      <c r="G88" s="2"/>
      <c r="H88" s="2"/>
      <c r="I88" s="2"/>
      <c r="J88" s="2"/>
      <c r="K88" s="2"/>
      <c r="L88" s="2"/>
      <c r="M88" s="2"/>
      <c r="N88" s="2"/>
      <c r="O88" s="2"/>
      <c r="AB88" s="2"/>
    </row>
    <row r="89" spans="2:28" x14ac:dyDescent="0.2">
      <c r="B89" s="2"/>
      <c r="C89" s="2"/>
      <c r="D89" s="2"/>
      <c r="E89" s="2"/>
      <c r="F89" s="2"/>
      <c r="G89" s="2"/>
      <c r="H89" s="2"/>
      <c r="I89" s="2"/>
      <c r="J89" s="2"/>
      <c r="K89" s="2"/>
      <c r="L89" s="2"/>
      <c r="M89" s="2"/>
      <c r="N89" s="2"/>
      <c r="O89" s="2"/>
      <c r="AB89" s="2"/>
    </row>
    <row r="90" spans="2:28" x14ac:dyDescent="0.2">
      <c r="B90" s="2"/>
      <c r="C90" s="2"/>
      <c r="D90" s="2"/>
      <c r="E90" s="2"/>
      <c r="F90" s="2"/>
      <c r="G90" s="2"/>
      <c r="H90" s="2"/>
      <c r="I90" s="2"/>
      <c r="J90" s="2"/>
      <c r="K90" s="2"/>
      <c r="L90" s="2"/>
      <c r="M90" s="2"/>
      <c r="N90" s="2"/>
      <c r="O90" s="2"/>
      <c r="AB90" s="2"/>
    </row>
    <row r="91" spans="2:28" x14ac:dyDescent="0.2">
      <c r="B91" s="2"/>
      <c r="C91" s="2"/>
      <c r="D91" s="2"/>
      <c r="E91" s="2"/>
      <c r="F91" s="2"/>
      <c r="G91" s="2"/>
      <c r="H91" s="2"/>
      <c r="I91" s="2"/>
      <c r="J91" s="2"/>
      <c r="K91" s="2"/>
      <c r="L91" s="2"/>
      <c r="M91" s="2"/>
      <c r="N91" s="2"/>
      <c r="O91" s="2"/>
      <c r="AB91" s="2"/>
    </row>
    <row r="92" spans="2:28" x14ac:dyDescent="0.2">
      <c r="B92" s="2"/>
      <c r="C92" s="2"/>
      <c r="D92" s="2"/>
      <c r="E92" s="2"/>
      <c r="F92" s="2"/>
      <c r="G92" s="2"/>
      <c r="H92" s="2"/>
      <c r="I92" s="2"/>
      <c r="J92" s="2"/>
      <c r="K92" s="2"/>
      <c r="L92" s="2"/>
      <c r="M92" s="2"/>
      <c r="N92" s="2"/>
      <c r="O92" s="2"/>
      <c r="AB92" s="2"/>
    </row>
    <row r="93" spans="2:28" x14ac:dyDescent="0.2">
      <c r="B93" s="2"/>
      <c r="C93" s="2"/>
      <c r="D93" s="2"/>
      <c r="E93" s="2"/>
      <c r="F93" s="2"/>
      <c r="G93" s="2"/>
      <c r="H93" s="2"/>
      <c r="I93" s="2"/>
      <c r="J93" s="2"/>
      <c r="K93" s="2"/>
      <c r="L93" s="2"/>
      <c r="M93" s="2"/>
      <c r="N93" s="2"/>
      <c r="O93" s="2"/>
      <c r="AB93" s="2"/>
    </row>
    <row r="94" spans="2:28" x14ac:dyDescent="0.2">
      <c r="B94" s="2"/>
      <c r="C94" s="2"/>
      <c r="D94" s="2"/>
      <c r="E94" s="2"/>
      <c r="F94" s="2"/>
      <c r="G94" s="2"/>
      <c r="H94" s="2"/>
      <c r="I94" s="2"/>
      <c r="J94" s="2"/>
      <c r="K94" s="2"/>
      <c r="L94" s="2"/>
      <c r="M94" s="2"/>
      <c r="N94" s="2"/>
      <c r="O94" s="2"/>
      <c r="AB94" s="2"/>
    </row>
    <row r="95" spans="2:28" x14ac:dyDescent="0.2">
      <c r="B95" s="2"/>
      <c r="C95" s="2"/>
      <c r="D95" s="2"/>
      <c r="E95" s="2"/>
      <c r="F95" s="2"/>
      <c r="G95" s="2"/>
      <c r="H95" s="2"/>
      <c r="I95" s="2"/>
      <c r="J95" s="2"/>
      <c r="K95" s="2"/>
      <c r="L95" s="2"/>
      <c r="M95" s="2"/>
      <c r="N95" s="2"/>
      <c r="O95" s="2"/>
      <c r="AB95" s="2"/>
    </row>
    <row r="96" spans="2:28" x14ac:dyDescent="0.2">
      <c r="B96" s="2"/>
      <c r="C96" s="2"/>
      <c r="D96" s="2"/>
      <c r="E96" s="2"/>
      <c r="F96" s="2"/>
      <c r="G96" s="2"/>
      <c r="H96" s="2"/>
      <c r="I96" s="2"/>
      <c r="J96" s="2"/>
      <c r="K96" s="2"/>
      <c r="L96" s="2"/>
      <c r="M96" s="2"/>
      <c r="N96" s="2"/>
      <c r="O96" s="2"/>
      <c r="AB96" s="2"/>
    </row>
    <row r="97" spans="2:28" x14ac:dyDescent="0.2">
      <c r="B97" s="2"/>
      <c r="C97" s="2"/>
      <c r="D97" s="2"/>
      <c r="E97" s="2"/>
      <c r="F97" s="2"/>
      <c r="G97" s="2"/>
      <c r="H97" s="2"/>
      <c r="I97" s="2"/>
      <c r="J97" s="2"/>
      <c r="K97" s="2"/>
      <c r="L97" s="2"/>
      <c r="M97" s="2"/>
      <c r="N97" s="2"/>
      <c r="O97" s="2"/>
      <c r="AB97" s="2"/>
    </row>
    <row r="98" spans="2:28" x14ac:dyDescent="0.2">
      <c r="B98" s="2"/>
      <c r="C98" s="2"/>
      <c r="D98" s="2"/>
      <c r="E98" s="2"/>
      <c r="F98" s="2"/>
      <c r="G98" s="2"/>
      <c r="H98" s="2"/>
      <c r="I98" s="2"/>
      <c r="J98" s="2"/>
      <c r="K98" s="2"/>
      <c r="L98" s="2"/>
      <c r="M98" s="2"/>
      <c r="N98" s="2"/>
      <c r="O98" s="2"/>
      <c r="AB98" s="2"/>
    </row>
    <row r="99" spans="2:28" x14ac:dyDescent="0.2">
      <c r="B99" s="2"/>
      <c r="C99" s="2"/>
      <c r="D99" s="2"/>
      <c r="E99" s="2"/>
      <c r="F99" s="2"/>
      <c r="G99" s="2"/>
      <c r="H99" s="2"/>
      <c r="I99" s="2"/>
      <c r="J99" s="2"/>
      <c r="K99" s="2"/>
      <c r="L99" s="2"/>
      <c r="M99" s="2"/>
      <c r="N99" s="2"/>
      <c r="O99" s="2"/>
      <c r="AB99" s="2"/>
    </row>
    <row r="100" spans="2:28" x14ac:dyDescent="0.2">
      <c r="B100" s="2"/>
      <c r="C100" s="2"/>
      <c r="D100" s="2"/>
      <c r="E100" s="2"/>
      <c r="F100" s="2"/>
      <c r="G100" s="2"/>
      <c r="H100" s="2"/>
      <c r="I100" s="2"/>
      <c r="J100" s="2"/>
      <c r="K100" s="2"/>
      <c r="L100" s="2"/>
      <c r="M100" s="2"/>
      <c r="N100" s="2"/>
      <c r="O100" s="2"/>
      <c r="AB100" s="2"/>
    </row>
    <row r="101" spans="2:28" x14ac:dyDescent="0.2">
      <c r="B101" s="2"/>
      <c r="C101" s="2"/>
      <c r="D101" s="2"/>
      <c r="E101" s="2"/>
      <c r="F101" s="2"/>
      <c r="G101" s="2"/>
      <c r="H101" s="2"/>
      <c r="I101" s="2"/>
      <c r="J101" s="2"/>
      <c r="K101" s="2"/>
      <c r="L101" s="2"/>
      <c r="M101" s="2"/>
      <c r="N101" s="2"/>
      <c r="O101" s="2"/>
      <c r="AB101" s="2"/>
    </row>
    <row r="102" spans="2:28" x14ac:dyDescent="0.2">
      <c r="B102" s="2"/>
      <c r="C102" s="2"/>
      <c r="D102" s="2"/>
      <c r="E102" s="2"/>
      <c r="F102" s="2"/>
      <c r="G102" s="2"/>
      <c r="H102" s="2"/>
      <c r="I102" s="2"/>
      <c r="J102" s="2"/>
      <c r="K102" s="2"/>
      <c r="L102" s="2"/>
      <c r="M102" s="2"/>
      <c r="N102" s="2"/>
      <c r="O102" s="2"/>
      <c r="AB102" s="2"/>
    </row>
    <row r="103" spans="2:28" x14ac:dyDescent="0.2">
      <c r="B103" s="2"/>
      <c r="C103" s="2"/>
      <c r="D103" s="2"/>
      <c r="E103" s="2"/>
      <c r="F103" s="2"/>
      <c r="G103" s="2"/>
      <c r="H103" s="2"/>
      <c r="I103" s="2"/>
      <c r="J103" s="2"/>
      <c r="K103" s="2"/>
      <c r="L103" s="2"/>
      <c r="M103" s="2"/>
      <c r="N103" s="2"/>
      <c r="O103" s="2"/>
      <c r="AB103" s="2"/>
    </row>
    <row r="104" spans="2:28" x14ac:dyDescent="0.2">
      <c r="B104" s="2"/>
      <c r="C104" s="2"/>
      <c r="D104" s="2"/>
      <c r="E104" s="2"/>
      <c r="F104" s="2"/>
      <c r="G104" s="2"/>
      <c r="H104" s="2"/>
      <c r="I104" s="2"/>
      <c r="J104" s="2"/>
      <c r="K104" s="2"/>
      <c r="L104" s="2"/>
      <c r="M104" s="2"/>
      <c r="N104" s="2"/>
      <c r="O104" s="2"/>
      <c r="AB104" s="2"/>
    </row>
    <row r="105" spans="2:28" x14ac:dyDescent="0.2">
      <c r="B105" s="2"/>
      <c r="C105" s="2"/>
      <c r="D105" s="2"/>
      <c r="E105" s="2"/>
      <c r="F105" s="2"/>
      <c r="G105" s="2"/>
      <c r="H105" s="2"/>
      <c r="I105" s="2"/>
      <c r="J105" s="2"/>
      <c r="K105" s="2"/>
      <c r="L105" s="2"/>
      <c r="M105" s="2"/>
      <c r="N105" s="2"/>
      <c r="O105" s="2"/>
      <c r="AB105" s="2"/>
    </row>
    <row r="106" spans="2:28" x14ac:dyDescent="0.2">
      <c r="B106" s="2"/>
      <c r="C106" s="2"/>
      <c r="D106" s="2"/>
      <c r="E106" s="2"/>
      <c r="F106" s="2"/>
      <c r="G106" s="2"/>
      <c r="H106" s="2"/>
      <c r="I106" s="2"/>
      <c r="J106" s="2"/>
      <c r="K106" s="2"/>
      <c r="L106" s="2"/>
      <c r="M106" s="2"/>
      <c r="N106" s="2"/>
      <c r="O106" s="2"/>
      <c r="AB106" s="2"/>
    </row>
    <row r="107" spans="2:28" x14ac:dyDescent="0.2">
      <c r="B107" s="2"/>
      <c r="C107" s="2"/>
      <c r="D107" s="2"/>
      <c r="E107" s="2"/>
      <c r="F107" s="2"/>
      <c r="G107" s="2"/>
      <c r="H107" s="2"/>
      <c r="I107" s="2"/>
      <c r="J107" s="2"/>
      <c r="K107" s="2"/>
      <c r="L107" s="2"/>
      <c r="M107" s="2"/>
      <c r="N107" s="2"/>
      <c r="O107" s="2"/>
      <c r="AB107" s="2"/>
    </row>
    <row r="108" spans="2:28" x14ac:dyDescent="0.2">
      <c r="B108" s="2"/>
      <c r="C108" s="2"/>
      <c r="D108" s="2"/>
      <c r="E108" s="2"/>
      <c r="F108" s="2"/>
      <c r="G108" s="2"/>
      <c r="H108" s="2"/>
      <c r="I108" s="2"/>
      <c r="J108" s="2"/>
      <c r="K108" s="2"/>
      <c r="L108" s="2"/>
      <c r="M108" s="2"/>
      <c r="N108" s="2"/>
      <c r="O108" s="2"/>
      <c r="P108" s="2" t="s">
        <v>220</v>
      </c>
      <c r="Q108" s="2"/>
      <c r="R108" s="2"/>
      <c r="S108" s="2"/>
      <c r="T108" s="2"/>
      <c r="U108" s="2"/>
      <c r="V108" s="2"/>
      <c r="W108" s="2"/>
      <c r="X108" s="2"/>
      <c r="Y108" s="2"/>
      <c r="Z108" s="2"/>
      <c r="AA108" s="2"/>
      <c r="AB108" s="2"/>
    </row>
    <row r="109" spans="2:28" x14ac:dyDescent="0.2">
      <c r="B109" s="2"/>
      <c r="C109" s="2"/>
      <c r="D109" s="2"/>
      <c r="E109" s="2"/>
      <c r="F109" s="2"/>
      <c r="G109" s="2"/>
      <c r="H109" s="2"/>
      <c r="I109" s="2"/>
      <c r="J109" s="2"/>
      <c r="K109" s="2"/>
      <c r="L109" s="2"/>
      <c r="M109" s="2"/>
      <c r="N109" s="2"/>
      <c r="O109" s="2"/>
      <c r="P109" s="2"/>
      <c r="Q109" s="2"/>
      <c r="R109" s="2"/>
      <c r="S109" s="2"/>
      <c r="T109" s="2"/>
      <c r="U109" s="2"/>
      <c r="V109" s="2"/>
      <c r="W109" s="13"/>
      <c r="X109" s="2"/>
      <c r="Y109" s="2"/>
      <c r="Z109" s="2"/>
      <c r="AA109" s="2"/>
      <c r="AB109" s="2"/>
    </row>
    <row r="110" spans="2:28" x14ac:dyDescent="0.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2:28" x14ac:dyDescent="0.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2:28" x14ac:dyDescent="0.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2:28" x14ac:dyDescent="0.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2:28" x14ac:dyDescent="0.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2:28" x14ac:dyDescent="0.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2:28" x14ac:dyDescent="0.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2:28" x14ac:dyDescent="0.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2:28" x14ac:dyDescent="0.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2:28"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2:28" x14ac:dyDescent="0.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2:28" x14ac:dyDescent="0.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2:28" x14ac:dyDescent="0.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2:28" x14ac:dyDescent="0.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2:28" x14ac:dyDescent="0.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2:28" x14ac:dyDescent="0.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2:28" x14ac:dyDescent="0.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2:28" x14ac:dyDescent="0.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2:28" x14ac:dyDescent="0.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2:28" x14ac:dyDescent="0.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2:28" x14ac:dyDescent="0.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2:28" x14ac:dyDescent="0.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2:28" x14ac:dyDescent="0.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2:28" x14ac:dyDescent="0.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2:28" x14ac:dyDescent="0.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2:28"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2:28" x14ac:dyDescent="0.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2:28" x14ac:dyDescent="0.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2:28" x14ac:dyDescent="0.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2:28" x14ac:dyDescent="0.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2:28"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2:28" x14ac:dyDescent="0.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2:28" x14ac:dyDescent="0.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2:28" x14ac:dyDescent="0.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2:28"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2:28" x14ac:dyDescent="0.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2:28" x14ac:dyDescent="0.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2:28" x14ac:dyDescent="0.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2:28" x14ac:dyDescent="0.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2:28" x14ac:dyDescent="0.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2:28" x14ac:dyDescent="0.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2:28" x14ac:dyDescent="0.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2:28" x14ac:dyDescent="0.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2:28" x14ac:dyDescent="0.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2:28" x14ac:dyDescent="0.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2:28" x14ac:dyDescent="0.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2:28" x14ac:dyDescent="0.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2:28" x14ac:dyDescent="0.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2:28" x14ac:dyDescent="0.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2:28" x14ac:dyDescent="0.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2:28" x14ac:dyDescent="0.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2:28" x14ac:dyDescent="0.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2:28" x14ac:dyDescent="0.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2:28" x14ac:dyDescent="0.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2:28" x14ac:dyDescent="0.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2:28" x14ac:dyDescent="0.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2:28" x14ac:dyDescent="0.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2:28" x14ac:dyDescent="0.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2:28" x14ac:dyDescent="0.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2:28" x14ac:dyDescent="0.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2:28" x14ac:dyDescent="0.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2:28" x14ac:dyDescent="0.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2:28" x14ac:dyDescent="0.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2:28" x14ac:dyDescent="0.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2:28" x14ac:dyDescent="0.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2:28" x14ac:dyDescent="0.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2:28" x14ac:dyDescent="0.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2:28" x14ac:dyDescent="0.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2:28" x14ac:dyDescent="0.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2:28" x14ac:dyDescent="0.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2:28" x14ac:dyDescent="0.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2:28" x14ac:dyDescent="0.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2:28" x14ac:dyDescent="0.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2:28" x14ac:dyDescent="0.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2:28" x14ac:dyDescent="0.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2:28" x14ac:dyDescent="0.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2:28" x14ac:dyDescent="0.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2:28" x14ac:dyDescent="0.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2:28" x14ac:dyDescent="0.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2:28" x14ac:dyDescent="0.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2:28" x14ac:dyDescent="0.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2:28" x14ac:dyDescent="0.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2:28" x14ac:dyDescent="0.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2:28" x14ac:dyDescent="0.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2:28" x14ac:dyDescent="0.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2:28" x14ac:dyDescent="0.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2:28" x14ac:dyDescent="0.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2:28" x14ac:dyDescent="0.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2:28" x14ac:dyDescent="0.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2:28" x14ac:dyDescent="0.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2:28" x14ac:dyDescent="0.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2:28" x14ac:dyDescent="0.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2:28" x14ac:dyDescent="0.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2:28" x14ac:dyDescent="0.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2:28" x14ac:dyDescent="0.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2:28" x14ac:dyDescent="0.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2:28" x14ac:dyDescent="0.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2:28" x14ac:dyDescent="0.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2:28" x14ac:dyDescent="0.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2:28" x14ac:dyDescent="0.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2:28" x14ac:dyDescent="0.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2:28" x14ac:dyDescent="0.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2:28" x14ac:dyDescent="0.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2:28"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2:28"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2:28"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2:28"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2:28"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2:28"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2:28"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2:28"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2:28"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2:28"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2:28"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2:28"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2:28"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2:28"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2:28"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2:28"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2:28"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2:28"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2:28"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2:28"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2:28"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2:28"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2:28"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2:28"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2:28"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2:28"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2:28"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2:28"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2:28"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2:28"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2:28"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2:28"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2:28"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2:28"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2:28"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2:28"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2:28"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2:28"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2:28"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2:28"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2:28"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2:28"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2:28"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2:28"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2:28"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2:28"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2:28"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2:28"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2:28"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2:28"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2:28"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2:28"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2:28"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2:28"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2:28"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2:28"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2:28"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2:28" x14ac:dyDescent="0.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2:28" x14ac:dyDescent="0.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2:28" x14ac:dyDescent="0.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2:28" x14ac:dyDescent="0.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2:28" x14ac:dyDescent="0.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2:28" x14ac:dyDescent="0.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2:28" x14ac:dyDescent="0.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2:28" x14ac:dyDescent="0.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2:28" x14ac:dyDescent="0.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2:28" x14ac:dyDescent="0.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2:28" x14ac:dyDescent="0.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2:28" x14ac:dyDescent="0.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2:28" x14ac:dyDescent="0.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2:28" x14ac:dyDescent="0.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2:28" x14ac:dyDescent="0.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2:28" x14ac:dyDescent="0.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2:28" x14ac:dyDescent="0.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2:28" x14ac:dyDescent="0.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2:28" x14ac:dyDescent="0.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2:28" x14ac:dyDescent="0.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2:28" x14ac:dyDescent="0.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2:28" x14ac:dyDescent="0.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2:28" x14ac:dyDescent="0.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2:28" x14ac:dyDescent="0.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2:28" x14ac:dyDescent="0.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2:28" x14ac:dyDescent="0.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2:28" x14ac:dyDescent="0.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2:28" x14ac:dyDescent="0.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2:28" x14ac:dyDescent="0.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2:28" x14ac:dyDescent="0.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2:28" x14ac:dyDescent="0.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2:28" x14ac:dyDescent="0.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2:28" x14ac:dyDescent="0.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2:28" x14ac:dyDescent="0.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2:28" x14ac:dyDescent="0.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2:28" x14ac:dyDescent="0.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2:28" x14ac:dyDescent="0.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2:28" x14ac:dyDescent="0.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2:28" x14ac:dyDescent="0.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2:28" x14ac:dyDescent="0.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2:28" x14ac:dyDescent="0.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2:28" x14ac:dyDescent="0.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2:28" x14ac:dyDescent="0.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2:28" x14ac:dyDescent="0.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2:28" x14ac:dyDescent="0.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2:28" x14ac:dyDescent="0.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2:28" x14ac:dyDescent="0.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2:28" x14ac:dyDescent="0.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2:28" x14ac:dyDescent="0.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2:28" x14ac:dyDescent="0.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2:28" x14ac:dyDescent="0.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2:28" x14ac:dyDescent="0.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2:28" x14ac:dyDescent="0.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2:28" x14ac:dyDescent="0.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2:28" x14ac:dyDescent="0.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2:28" x14ac:dyDescent="0.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2:28" x14ac:dyDescent="0.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2:28" x14ac:dyDescent="0.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2:28" x14ac:dyDescent="0.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2:28" x14ac:dyDescent="0.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2:28" x14ac:dyDescent="0.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2:28" x14ac:dyDescent="0.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2:28" x14ac:dyDescent="0.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2:28" x14ac:dyDescent="0.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2:28" x14ac:dyDescent="0.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2:28" x14ac:dyDescent="0.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2:28" x14ac:dyDescent="0.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2:28" x14ac:dyDescent="0.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2:28" x14ac:dyDescent="0.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2:28" x14ac:dyDescent="0.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2:28" x14ac:dyDescent="0.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2:28" x14ac:dyDescent="0.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2:28" x14ac:dyDescent="0.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2:28" x14ac:dyDescent="0.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2:28" x14ac:dyDescent="0.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2:28" x14ac:dyDescent="0.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2:28" x14ac:dyDescent="0.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2:28" x14ac:dyDescent="0.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2:28" x14ac:dyDescent="0.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2:28" x14ac:dyDescent="0.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2:28" x14ac:dyDescent="0.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2:28" x14ac:dyDescent="0.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2:28" x14ac:dyDescent="0.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2:28" x14ac:dyDescent="0.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2:28" x14ac:dyDescent="0.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2:28" x14ac:dyDescent="0.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2:28" x14ac:dyDescent="0.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2:28" x14ac:dyDescent="0.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2:28" x14ac:dyDescent="0.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2:28" x14ac:dyDescent="0.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2:28" x14ac:dyDescent="0.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2:28" x14ac:dyDescent="0.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2:28" x14ac:dyDescent="0.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2:28" x14ac:dyDescent="0.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2:28" x14ac:dyDescent="0.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2:28" x14ac:dyDescent="0.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2:28" x14ac:dyDescent="0.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2:28" x14ac:dyDescent="0.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2:28" x14ac:dyDescent="0.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2:28" x14ac:dyDescent="0.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2:28" x14ac:dyDescent="0.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2:28" x14ac:dyDescent="0.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2:28" x14ac:dyDescent="0.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2:28" x14ac:dyDescent="0.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2:28" x14ac:dyDescent="0.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2:28" x14ac:dyDescent="0.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2:28" x14ac:dyDescent="0.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2:28" x14ac:dyDescent="0.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2:28" x14ac:dyDescent="0.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2:28" x14ac:dyDescent="0.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2:28" x14ac:dyDescent="0.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2:28" x14ac:dyDescent="0.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2:28" x14ac:dyDescent="0.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2:28" x14ac:dyDescent="0.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2:28" x14ac:dyDescent="0.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2:28" x14ac:dyDescent="0.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2:28" x14ac:dyDescent="0.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2:28" x14ac:dyDescent="0.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2:28" x14ac:dyDescent="0.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2:28" x14ac:dyDescent="0.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2:28" x14ac:dyDescent="0.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2:28" x14ac:dyDescent="0.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2:28" x14ac:dyDescent="0.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2:28" x14ac:dyDescent="0.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2:28" x14ac:dyDescent="0.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2:28" x14ac:dyDescent="0.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2:28" x14ac:dyDescent="0.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2:28" x14ac:dyDescent="0.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2:28" x14ac:dyDescent="0.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2:28" x14ac:dyDescent="0.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2:28" x14ac:dyDescent="0.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2:28" x14ac:dyDescent="0.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2:28" x14ac:dyDescent="0.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2:28" x14ac:dyDescent="0.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2:28" x14ac:dyDescent="0.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2:28" x14ac:dyDescent="0.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2:28" x14ac:dyDescent="0.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2:28" x14ac:dyDescent="0.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2:28" x14ac:dyDescent="0.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2:28" x14ac:dyDescent="0.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2:28" x14ac:dyDescent="0.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2:28" x14ac:dyDescent="0.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2:28" x14ac:dyDescent="0.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2:28" x14ac:dyDescent="0.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2:28" x14ac:dyDescent="0.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2:28" x14ac:dyDescent="0.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2:28" x14ac:dyDescent="0.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2:28" x14ac:dyDescent="0.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2:28" x14ac:dyDescent="0.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2:28" x14ac:dyDescent="0.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2:28" x14ac:dyDescent="0.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2:28" x14ac:dyDescent="0.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2:28" x14ac:dyDescent="0.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2:28" x14ac:dyDescent="0.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2:28" x14ac:dyDescent="0.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2:28" x14ac:dyDescent="0.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2:28" x14ac:dyDescent="0.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2:28" x14ac:dyDescent="0.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2:28" x14ac:dyDescent="0.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2:28" x14ac:dyDescent="0.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2:28" x14ac:dyDescent="0.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2:28" x14ac:dyDescent="0.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2:28" x14ac:dyDescent="0.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2:28" x14ac:dyDescent="0.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2:28" x14ac:dyDescent="0.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2:28" x14ac:dyDescent="0.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2:28" x14ac:dyDescent="0.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2:28" x14ac:dyDescent="0.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2:28" x14ac:dyDescent="0.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2:28" x14ac:dyDescent="0.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2:28" x14ac:dyDescent="0.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2:28" x14ac:dyDescent="0.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2:28" x14ac:dyDescent="0.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2:28" x14ac:dyDescent="0.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2:28" x14ac:dyDescent="0.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2:28" x14ac:dyDescent="0.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2:28" x14ac:dyDescent="0.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2:28" x14ac:dyDescent="0.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2:28" x14ac:dyDescent="0.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2:28" x14ac:dyDescent="0.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2:28" x14ac:dyDescent="0.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2:28" x14ac:dyDescent="0.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2:28" x14ac:dyDescent="0.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2:28" x14ac:dyDescent="0.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2:28" x14ac:dyDescent="0.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2:28" x14ac:dyDescent="0.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2:28" x14ac:dyDescent="0.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2:28" x14ac:dyDescent="0.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2:28" x14ac:dyDescent="0.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2:28" x14ac:dyDescent="0.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2:28" x14ac:dyDescent="0.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2:28" x14ac:dyDescent="0.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2:28" x14ac:dyDescent="0.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2:28" x14ac:dyDescent="0.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2:28" x14ac:dyDescent="0.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2:28" x14ac:dyDescent="0.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2:28" x14ac:dyDescent="0.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2:28" x14ac:dyDescent="0.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2:28" x14ac:dyDescent="0.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2:28" x14ac:dyDescent="0.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2:28" x14ac:dyDescent="0.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2:28" x14ac:dyDescent="0.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2:28" x14ac:dyDescent="0.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2:28" x14ac:dyDescent="0.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2:28" x14ac:dyDescent="0.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2:28" x14ac:dyDescent="0.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2:28" x14ac:dyDescent="0.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2:28" x14ac:dyDescent="0.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2:28" x14ac:dyDescent="0.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2:28" x14ac:dyDescent="0.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2:28" x14ac:dyDescent="0.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2:28" x14ac:dyDescent="0.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2:28" x14ac:dyDescent="0.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2:28" x14ac:dyDescent="0.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2:28" x14ac:dyDescent="0.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2:28" x14ac:dyDescent="0.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2:28" x14ac:dyDescent="0.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2:28" x14ac:dyDescent="0.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2:28" x14ac:dyDescent="0.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2:28" x14ac:dyDescent="0.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2:28" x14ac:dyDescent="0.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2:28" x14ac:dyDescent="0.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2:28" x14ac:dyDescent="0.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2:28" x14ac:dyDescent="0.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2:28" x14ac:dyDescent="0.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2:28" x14ac:dyDescent="0.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2:28" x14ac:dyDescent="0.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2:28" x14ac:dyDescent="0.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2:28" x14ac:dyDescent="0.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2:28" x14ac:dyDescent="0.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2:28" x14ac:dyDescent="0.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2:28" x14ac:dyDescent="0.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2:28" x14ac:dyDescent="0.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2:28" x14ac:dyDescent="0.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2:28" x14ac:dyDescent="0.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2:28" x14ac:dyDescent="0.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2:28" x14ac:dyDescent="0.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2:28" x14ac:dyDescent="0.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2:28" x14ac:dyDescent="0.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2:28" x14ac:dyDescent="0.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2:28" x14ac:dyDescent="0.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2:28" x14ac:dyDescent="0.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2:28" x14ac:dyDescent="0.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2:28" x14ac:dyDescent="0.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2:28" x14ac:dyDescent="0.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2:28" x14ac:dyDescent="0.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2:28" x14ac:dyDescent="0.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2:28" x14ac:dyDescent="0.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2:28" x14ac:dyDescent="0.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2:28" x14ac:dyDescent="0.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2:28" x14ac:dyDescent="0.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2:28" x14ac:dyDescent="0.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2:28" x14ac:dyDescent="0.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2:28" x14ac:dyDescent="0.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2:28" x14ac:dyDescent="0.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2:28" x14ac:dyDescent="0.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2:28" x14ac:dyDescent="0.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2:28" x14ac:dyDescent="0.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2:28" x14ac:dyDescent="0.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2:28" x14ac:dyDescent="0.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2:28" x14ac:dyDescent="0.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2:28" x14ac:dyDescent="0.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2:28" x14ac:dyDescent="0.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2:28" x14ac:dyDescent="0.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2:28" x14ac:dyDescent="0.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2:28" x14ac:dyDescent="0.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2:28" x14ac:dyDescent="0.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2:28" x14ac:dyDescent="0.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2:28" x14ac:dyDescent="0.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2:28" x14ac:dyDescent="0.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2:28" x14ac:dyDescent="0.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2:28" x14ac:dyDescent="0.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2:28" x14ac:dyDescent="0.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2:28" x14ac:dyDescent="0.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2:28" x14ac:dyDescent="0.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2:28" x14ac:dyDescent="0.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2:28" x14ac:dyDescent="0.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2:28" x14ac:dyDescent="0.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2:28" x14ac:dyDescent="0.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2:28" x14ac:dyDescent="0.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2:28" x14ac:dyDescent="0.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2:28" x14ac:dyDescent="0.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2:28" x14ac:dyDescent="0.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2:28" x14ac:dyDescent="0.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2:28" x14ac:dyDescent="0.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2:28" x14ac:dyDescent="0.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2:28" x14ac:dyDescent="0.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2:28" x14ac:dyDescent="0.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2:28" x14ac:dyDescent="0.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2:28" x14ac:dyDescent="0.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2:28" x14ac:dyDescent="0.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2:28" x14ac:dyDescent="0.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2:28" x14ac:dyDescent="0.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2:28" x14ac:dyDescent="0.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2:28" x14ac:dyDescent="0.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2:28" x14ac:dyDescent="0.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2:28" x14ac:dyDescent="0.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2:28" x14ac:dyDescent="0.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2:28" x14ac:dyDescent="0.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2:28" x14ac:dyDescent="0.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2:28" x14ac:dyDescent="0.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2:28" x14ac:dyDescent="0.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2:28" x14ac:dyDescent="0.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2:28" x14ac:dyDescent="0.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2:28" x14ac:dyDescent="0.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2:28" x14ac:dyDescent="0.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2:28" x14ac:dyDescent="0.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2:28" x14ac:dyDescent="0.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2:28" x14ac:dyDescent="0.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2:28" x14ac:dyDescent="0.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2:28" x14ac:dyDescent="0.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2:28" x14ac:dyDescent="0.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2:28" x14ac:dyDescent="0.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2:28" x14ac:dyDescent="0.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2:28" x14ac:dyDescent="0.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2:28" x14ac:dyDescent="0.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2:28" x14ac:dyDescent="0.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2:28" x14ac:dyDescent="0.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2:28" x14ac:dyDescent="0.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2:28" x14ac:dyDescent="0.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2:28" x14ac:dyDescent="0.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2:28" x14ac:dyDescent="0.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2:28" x14ac:dyDescent="0.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2:28" x14ac:dyDescent="0.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2:28" x14ac:dyDescent="0.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2:28" x14ac:dyDescent="0.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2:28" x14ac:dyDescent="0.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2:28" x14ac:dyDescent="0.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2:28" x14ac:dyDescent="0.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2:28" x14ac:dyDescent="0.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2:28" x14ac:dyDescent="0.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2:28" x14ac:dyDescent="0.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2:28" x14ac:dyDescent="0.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2:28" x14ac:dyDescent="0.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2:28" x14ac:dyDescent="0.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2:28" x14ac:dyDescent="0.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2:28" x14ac:dyDescent="0.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2:28" x14ac:dyDescent="0.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2:28" x14ac:dyDescent="0.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2:28" x14ac:dyDescent="0.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2:28" x14ac:dyDescent="0.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2:28" x14ac:dyDescent="0.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2:28" x14ac:dyDescent="0.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2:28" x14ac:dyDescent="0.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2:28" x14ac:dyDescent="0.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2:28" x14ac:dyDescent="0.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2:28" x14ac:dyDescent="0.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2:28" x14ac:dyDescent="0.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2:28" x14ac:dyDescent="0.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2:28" x14ac:dyDescent="0.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2:28" x14ac:dyDescent="0.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2:28" x14ac:dyDescent="0.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2:28" x14ac:dyDescent="0.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2:28" x14ac:dyDescent="0.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2:28" x14ac:dyDescent="0.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2:28" x14ac:dyDescent="0.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2:28" x14ac:dyDescent="0.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2:28" x14ac:dyDescent="0.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2:28" x14ac:dyDescent="0.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2:28" x14ac:dyDescent="0.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2:28" x14ac:dyDescent="0.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2:28" x14ac:dyDescent="0.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2:28" x14ac:dyDescent="0.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2:28" x14ac:dyDescent="0.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2:28" x14ac:dyDescent="0.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2:28" x14ac:dyDescent="0.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2:28" x14ac:dyDescent="0.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2:28" x14ac:dyDescent="0.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2:28" x14ac:dyDescent="0.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2:28" x14ac:dyDescent="0.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2:28" x14ac:dyDescent="0.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2:28" x14ac:dyDescent="0.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2:28" x14ac:dyDescent="0.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2:28" x14ac:dyDescent="0.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2:28" x14ac:dyDescent="0.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2:28" x14ac:dyDescent="0.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2:28" x14ac:dyDescent="0.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2:28" x14ac:dyDescent="0.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2:28" x14ac:dyDescent="0.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2:28" x14ac:dyDescent="0.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2:28" x14ac:dyDescent="0.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2:28" x14ac:dyDescent="0.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2:28" x14ac:dyDescent="0.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2:28" x14ac:dyDescent="0.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2:28" x14ac:dyDescent="0.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2:28" x14ac:dyDescent="0.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2:28" x14ac:dyDescent="0.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2:28" x14ac:dyDescent="0.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2:28" x14ac:dyDescent="0.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2:28" x14ac:dyDescent="0.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2:28" x14ac:dyDescent="0.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2:28" x14ac:dyDescent="0.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2:28" x14ac:dyDescent="0.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2:28" x14ac:dyDescent="0.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2:28" x14ac:dyDescent="0.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2:28" x14ac:dyDescent="0.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2:28" x14ac:dyDescent="0.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2:28" x14ac:dyDescent="0.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2:28" x14ac:dyDescent="0.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2:28" x14ac:dyDescent="0.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2:28" x14ac:dyDescent="0.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2:28" x14ac:dyDescent="0.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2:28" x14ac:dyDescent="0.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2:28" x14ac:dyDescent="0.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2:28" x14ac:dyDescent="0.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2:28" x14ac:dyDescent="0.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2:28" x14ac:dyDescent="0.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2:28" x14ac:dyDescent="0.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2:28" x14ac:dyDescent="0.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2:28" x14ac:dyDescent="0.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2:28" x14ac:dyDescent="0.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2:28" x14ac:dyDescent="0.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2:28" x14ac:dyDescent="0.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2:28" x14ac:dyDescent="0.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2:28" x14ac:dyDescent="0.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2:28" x14ac:dyDescent="0.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2:28" x14ac:dyDescent="0.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2:28" x14ac:dyDescent="0.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2:28" x14ac:dyDescent="0.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2:28" x14ac:dyDescent="0.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2:28" x14ac:dyDescent="0.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2:28" x14ac:dyDescent="0.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2:28" x14ac:dyDescent="0.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2:28" x14ac:dyDescent="0.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2:28" x14ac:dyDescent="0.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2:28" x14ac:dyDescent="0.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2:28" x14ac:dyDescent="0.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2:28" x14ac:dyDescent="0.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2:28" x14ac:dyDescent="0.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2:28" x14ac:dyDescent="0.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2:28" x14ac:dyDescent="0.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2:28" x14ac:dyDescent="0.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2:28" x14ac:dyDescent="0.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2:28" x14ac:dyDescent="0.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2:28" x14ac:dyDescent="0.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2:28" x14ac:dyDescent="0.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2:28" x14ac:dyDescent="0.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2:28" x14ac:dyDescent="0.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2:28" x14ac:dyDescent="0.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2:28" x14ac:dyDescent="0.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2:28" x14ac:dyDescent="0.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2:28" x14ac:dyDescent="0.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2:28" x14ac:dyDescent="0.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2:28" x14ac:dyDescent="0.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2:28" x14ac:dyDescent="0.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2:28" x14ac:dyDescent="0.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2:28" x14ac:dyDescent="0.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2:28" x14ac:dyDescent="0.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2:28" x14ac:dyDescent="0.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2:28" x14ac:dyDescent="0.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2:28" x14ac:dyDescent="0.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2:28" x14ac:dyDescent="0.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2:28" x14ac:dyDescent="0.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2:28" x14ac:dyDescent="0.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2:28" x14ac:dyDescent="0.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2:28" x14ac:dyDescent="0.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2:28" x14ac:dyDescent="0.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2:28" x14ac:dyDescent="0.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2:28" x14ac:dyDescent="0.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2:28" x14ac:dyDescent="0.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2:28" x14ac:dyDescent="0.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2:28" x14ac:dyDescent="0.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2:28" x14ac:dyDescent="0.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2:28" x14ac:dyDescent="0.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2:28" x14ac:dyDescent="0.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2:28" x14ac:dyDescent="0.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2:28" x14ac:dyDescent="0.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2:28" x14ac:dyDescent="0.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2:28" x14ac:dyDescent="0.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2:28" x14ac:dyDescent="0.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2:28" x14ac:dyDescent="0.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2:28" x14ac:dyDescent="0.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2:28" x14ac:dyDescent="0.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2:28" x14ac:dyDescent="0.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2:28" x14ac:dyDescent="0.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2:28" x14ac:dyDescent="0.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2:28" x14ac:dyDescent="0.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2:28" x14ac:dyDescent="0.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2:28" x14ac:dyDescent="0.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2:28" x14ac:dyDescent="0.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2:28" x14ac:dyDescent="0.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2:28" x14ac:dyDescent="0.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2:28" x14ac:dyDescent="0.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2:28" x14ac:dyDescent="0.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2:28" x14ac:dyDescent="0.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2:28" x14ac:dyDescent="0.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2:28" x14ac:dyDescent="0.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2:28" x14ac:dyDescent="0.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2:28" x14ac:dyDescent="0.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2:28" x14ac:dyDescent="0.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2:28" x14ac:dyDescent="0.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2:28" x14ac:dyDescent="0.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2:28" x14ac:dyDescent="0.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2:28" x14ac:dyDescent="0.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2:28" x14ac:dyDescent="0.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2:28" x14ac:dyDescent="0.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2:28" x14ac:dyDescent="0.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2:28" x14ac:dyDescent="0.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2:28" x14ac:dyDescent="0.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2:28" x14ac:dyDescent="0.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2:28" x14ac:dyDescent="0.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2:28" x14ac:dyDescent="0.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2:28" x14ac:dyDescent="0.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2:28" x14ac:dyDescent="0.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2:28" x14ac:dyDescent="0.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2:28" x14ac:dyDescent="0.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2:28" x14ac:dyDescent="0.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2:28" x14ac:dyDescent="0.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2:28" x14ac:dyDescent="0.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2:28" x14ac:dyDescent="0.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2:28" x14ac:dyDescent="0.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2:28" x14ac:dyDescent="0.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2:28" x14ac:dyDescent="0.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2:28" x14ac:dyDescent="0.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2:28" x14ac:dyDescent="0.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2:28" x14ac:dyDescent="0.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2:28" x14ac:dyDescent="0.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2:28" x14ac:dyDescent="0.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2:28" x14ac:dyDescent="0.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2:28" x14ac:dyDescent="0.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2:28" x14ac:dyDescent="0.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2:28" x14ac:dyDescent="0.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2:28" x14ac:dyDescent="0.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2:28" x14ac:dyDescent="0.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2:28" x14ac:dyDescent="0.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2:28" x14ac:dyDescent="0.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2:28" x14ac:dyDescent="0.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2:28" x14ac:dyDescent="0.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2:28" x14ac:dyDescent="0.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2:28" x14ac:dyDescent="0.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2:28" x14ac:dyDescent="0.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2:28" x14ac:dyDescent="0.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2:28" x14ac:dyDescent="0.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2:28" x14ac:dyDescent="0.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2:28" x14ac:dyDescent="0.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2:28" x14ac:dyDescent="0.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2:28" x14ac:dyDescent="0.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2:28" x14ac:dyDescent="0.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2:28" x14ac:dyDescent="0.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2:28" x14ac:dyDescent="0.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2:28" x14ac:dyDescent="0.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2:28" x14ac:dyDescent="0.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2:28" x14ac:dyDescent="0.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2:28" x14ac:dyDescent="0.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2:28" x14ac:dyDescent="0.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2:28" x14ac:dyDescent="0.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2:28" x14ac:dyDescent="0.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2:28" x14ac:dyDescent="0.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2:28" x14ac:dyDescent="0.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2:28" x14ac:dyDescent="0.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2:28" x14ac:dyDescent="0.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2:28" x14ac:dyDescent="0.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2:28" x14ac:dyDescent="0.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2:28" x14ac:dyDescent="0.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2:28" x14ac:dyDescent="0.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2:28" x14ac:dyDescent="0.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2:28" x14ac:dyDescent="0.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2:28" x14ac:dyDescent="0.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2:28" x14ac:dyDescent="0.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2:28" x14ac:dyDescent="0.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2:28" x14ac:dyDescent="0.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2:28" x14ac:dyDescent="0.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2:28" x14ac:dyDescent="0.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2:28" x14ac:dyDescent="0.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2:28" x14ac:dyDescent="0.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2:28" x14ac:dyDescent="0.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2:28" x14ac:dyDescent="0.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2:28" x14ac:dyDescent="0.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2:28" x14ac:dyDescent="0.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2:28" x14ac:dyDescent="0.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2:28" x14ac:dyDescent="0.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2:28" x14ac:dyDescent="0.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2:28" x14ac:dyDescent="0.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2:28" x14ac:dyDescent="0.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2:28" x14ac:dyDescent="0.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2:28" x14ac:dyDescent="0.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2:28" x14ac:dyDescent="0.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2:28" x14ac:dyDescent="0.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2:28" x14ac:dyDescent="0.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2:28" x14ac:dyDescent="0.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2:28" x14ac:dyDescent="0.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2:28" x14ac:dyDescent="0.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2:28" x14ac:dyDescent="0.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2:28" x14ac:dyDescent="0.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2:28" x14ac:dyDescent="0.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2:28" x14ac:dyDescent="0.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2:28" x14ac:dyDescent="0.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2:28" x14ac:dyDescent="0.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2:28" x14ac:dyDescent="0.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2:28" x14ac:dyDescent="0.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2:28" x14ac:dyDescent="0.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2:28" x14ac:dyDescent="0.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2:28" x14ac:dyDescent="0.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2:28" x14ac:dyDescent="0.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2:28" x14ac:dyDescent="0.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2:28" x14ac:dyDescent="0.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2:28" x14ac:dyDescent="0.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2:28" x14ac:dyDescent="0.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2:28" x14ac:dyDescent="0.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2:28" x14ac:dyDescent="0.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2:28" x14ac:dyDescent="0.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2:28" x14ac:dyDescent="0.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2:28" x14ac:dyDescent="0.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2:28" x14ac:dyDescent="0.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2:28" x14ac:dyDescent="0.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2:28" x14ac:dyDescent="0.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2:28" x14ac:dyDescent="0.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2:28" x14ac:dyDescent="0.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2:28" x14ac:dyDescent="0.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2:28" x14ac:dyDescent="0.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2:28" x14ac:dyDescent="0.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2:28" x14ac:dyDescent="0.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2:28" x14ac:dyDescent="0.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2:28" x14ac:dyDescent="0.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2:28" x14ac:dyDescent="0.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2:28" x14ac:dyDescent="0.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2:28" x14ac:dyDescent="0.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2:28" x14ac:dyDescent="0.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2:28" x14ac:dyDescent="0.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2:28" x14ac:dyDescent="0.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2:28" x14ac:dyDescent="0.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2:28" x14ac:dyDescent="0.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2:28" x14ac:dyDescent="0.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2:28" x14ac:dyDescent="0.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2:28" x14ac:dyDescent="0.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2:28" x14ac:dyDescent="0.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2:28" x14ac:dyDescent="0.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2:28" x14ac:dyDescent="0.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2:28" x14ac:dyDescent="0.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2:28" x14ac:dyDescent="0.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2:28" x14ac:dyDescent="0.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2:28" x14ac:dyDescent="0.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2:28" x14ac:dyDescent="0.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2:28" x14ac:dyDescent="0.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2:28" x14ac:dyDescent="0.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2:28" x14ac:dyDescent="0.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2:28" x14ac:dyDescent="0.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2:28" x14ac:dyDescent="0.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2:28" x14ac:dyDescent="0.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2:28" x14ac:dyDescent="0.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2:28" x14ac:dyDescent="0.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2:28" x14ac:dyDescent="0.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2:28" x14ac:dyDescent="0.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2:28" x14ac:dyDescent="0.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2:28" x14ac:dyDescent="0.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2:28" x14ac:dyDescent="0.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2:28" x14ac:dyDescent="0.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2:28" x14ac:dyDescent="0.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2:28" x14ac:dyDescent="0.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2:28" x14ac:dyDescent="0.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2:28" x14ac:dyDescent="0.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2:28" x14ac:dyDescent="0.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2:28" x14ac:dyDescent="0.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2:28" x14ac:dyDescent="0.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2:28" x14ac:dyDescent="0.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2:28" x14ac:dyDescent="0.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2:28" x14ac:dyDescent="0.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2:28" x14ac:dyDescent="0.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2:28" x14ac:dyDescent="0.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2:28" x14ac:dyDescent="0.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2:28" x14ac:dyDescent="0.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2:28" x14ac:dyDescent="0.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2:28" x14ac:dyDescent="0.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2:28" x14ac:dyDescent="0.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2:28" x14ac:dyDescent="0.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2:28" x14ac:dyDescent="0.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2:28" x14ac:dyDescent="0.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2:28" x14ac:dyDescent="0.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2:28" x14ac:dyDescent="0.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2:28" x14ac:dyDescent="0.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2:28" x14ac:dyDescent="0.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2:28" x14ac:dyDescent="0.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2:28" x14ac:dyDescent="0.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2:28" x14ac:dyDescent="0.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2:28" x14ac:dyDescent="0.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2:28" x14ac:dyDescent="0.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2:28" x14ac:dyDescent="0.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2:28" x14ac:dyDescent="0.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2:28" x14ac:dyDescent="0.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2:28" x14ac:dyDescent="0.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2:28" x14ac:dyDescent="0.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2:28" x14ac:dyDescent="0.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2:28" x14ac:dyDescent="0.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2:28" x14ac:dyDescent="0.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2:28" x14ac:dyDescent="0.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2:28" x14ac:dyDescent="0.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2:28" x14ac:dyDescent="0.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2:28" x14ac:dyDescent="0.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2:28" x14ac:dyDescent="0.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2:28" x14ac:dyDescent="0.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2:28" x14ac:dyDescent="0.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2:28" x14ac:dyDescent="0.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2:28" x14ac:dyDescent="0.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2:28" x14ac:dyDescent="0.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2:28" x14ac:dyDescent="0.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2:28" x14ac:dyDescent="0.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2:28" x14ac:dyDescent="0.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2:28" x14ac:dyDescent="0.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2:28" x14ac:dyDescent="0.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2:28" x14ac:dyDescent="0.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2:28" x14ac:dyDescent="0.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2:28" x14ac:dyDescent="0.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2:28" x14ac:dyDescent="0.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2:28" x14ac:dyDescent="0.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2:28" x14ac:dyDescent="0.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2:28" x14ac:dyDescent="0.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2:28" x14ac:dyDescent="0.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2:28" x14ac:dyDescent="0.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2:28" x14ac:dyDescent="0.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spans="2:28" x14ac:dyDescent="0.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spans="2:28" x14ac:dyDescent="0.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spans="2:28" x14ac:dyDescent="0.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spans="2:28" x14ac:dyDescent="0.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spans="2:28" x14ac:dyDescent="0.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spans="2:28" x14ac:dyDescent="0.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spans="2:28" x14ac:dyDescent="0.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spans="2:28" x14ac:dyDescent="0.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spans="2:28" x14ac:dyDescent="0.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spans="2:28" x14ac:dyDescent="0.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spans="2:28" x14ac:dyDescent="0.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spans="2:28" x14ac:dyDescent="0.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spans="2:28" x14ac:dyDescent="0.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spans="2:28" x14ac:dyDescent="0.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row>
    <row r="993" spans="2:28" x14ac:dyDescent="0.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row>
    <row r="994" spans="2:28" x14ac:dyDescent="0.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row>
    <row r="995" spans="2:28" x14ac:dyDescent="0.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row>
    <row r="996" spans="2:28" x14ac:dyDescent="0.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row>
    <row r="997" spans="2:28" x14ac:dyDescent="0.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row>
    <row r="998" spans="2:28" x14ac:dyDescent="0.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row>
    <row r="999" spans="2:28" x14ac:dyDescent="0.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row>
    <row r="1000" spans="2:28" x14ac:dyDescent="0.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row>
    <row r="1001" spans="2:28" x14ac:dyDescent="0.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row>
    <row r="1002" spans="2:28" x14ac:dyDescent="0.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row>
    <row r="1003" spans="2:28" x14ac:dyDescent="0.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row>
    <row r="1004" spans="2:28" x14ac:dyDescent="0.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row>
    <row r="1005" spans="2:28" x14ac:dyDescent="0.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row>
    <row r="1006" spans="2:28" x14ac:dyDescent="0.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row>
    <row r="1007" spans="2:28" x14ac:dyDescent="0.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row>
    <row r="1008" spans="2:28" x14ac:dyDescent="0.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row>
    <row r="1009" spans="2:28" x14ac:dyDescent="0.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row>
    <row r="1010" spans="2:28" x14ac:dyDescent="0.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row>
    <row r="1011" spans="2:28" x14ac:dyDescent="0.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row>
    <row r="1012" spans="2:28" x14ac:dyDescent="0.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row>
    <row r="1013" spans="2:28" x14ac:dyDescent="0.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row>
    <row r="1014" spans="2:28" x14ac:dyDescent="0.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row>
    <row r="1015" spans="2:28" x14ac:dyDescent="0.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row>
    <row r="1016" spans="2:28" x14ac:dyDescent="0.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row>
    <row r="1017" spans="2:28" x14ac:dyDescent="0.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row>
    <row r="1018" spans="2:28" x14ac:dyDescent="0.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row>
    <row r="1019" spans="2:28" x14ac:dyDescent="0.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row>
    <row r="1020" spans="2:28" x14ac:dyDescent="0.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row>
    <row r="1021" spans="2:28" x14ac:dyDescent="0.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row>
    <row r="1022" spans="2:28" x14ac:dyDescent="0.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row>
    <row r="1023" spans="2:28" x14ac:dyDescent="0.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row>
    <row r="1024" spans="2:28" x14ac:dyDescent="0.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row>
    <row r="1025" spans="2:28" x14ac:dyDescent="0.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row>
    <row r="1026" spans="2:28" x14ac:dyDescent="0.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row>
    <row r="1027" spans="2:28" x14ac:dyDescent="0.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row>
    <row r="1028" spans="2:28" x14ac:dyDescent="0.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row>
    <row r="1029" spans="2:28" x14ac:dyDescent="0.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row>
    <row r="1030" spans="2:28" x14ac:dyDescent="0.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row>
    <row r="1031" spans="2:28" x14ac:dyDescent="0.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row>
    <row r="1032" spans="2:28" x14ac:dyDescent="0.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row>
    <row r="1033" spans="2:28" x14ac:dyDescent="0.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row>
    <row r="1034" spans="2:28" x14ac:dyDescent="0.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row>
    <row r="1035" spans="2:28" x14ac:dyDescent="0.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row>
    <row r="1036" spans="2:28" x14ac:dyDescent="0.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row>
    <row r="1037" spans="2:28" x14ac:dyDescent="0.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row>
    <row r="1038" spans="2:28" x14ac:dyDescent="0.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2:28" x14ac:dyDescent="0.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row>
    <row r="1040" spans="2:28" x14ac:dyDescent="0.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row>
    <row r="1041" spans="2:28" x14ac:dyDescent="0.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row>
    <row r="1042" spans="2:28" x14ac:dyDescent="0.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row>
    <row r="1043" spans="2:28" x14ac:dyDescent="0.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row>
    <row r="1044" spans="2:28" x14ac:dyDescent="0.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row>
    <row r="1045" spans="2:28" x14ac:dyDescent="0.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row>
    <row r="1046" spans="2:28" x14ac:dyDescent="0.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row>
    <row r="1047" spans="2:28" x14ac:dyDescent="0.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row>
    <row r="1048" spans="2:28" x14ac:dyDescent="0.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row>
    <row r="1049" spans="2:28" x14ac:dyDescent="0.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row>
    <row r="1050" spans="2:28" x14ac:dyDescent="0.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row>
    <row r="1051" spans="2:28" x14ac:dyDescent="0.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row>
    <row r="1052" spans="2:28" x14ac:dyDescent="0.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row>
    <row r="1053" spans="2:28" x14ac:dyDescent="0.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row>
    <row r="1054" spans="2:28" x14ac:dyDescent="0.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row>
    <row r="1055" spans="2:28" x14ac:dyDescent="0.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row>
    <row r="1056" spans="2:28" x14ac:dyDescent="0.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row>
    <row r="1057" spans="2:28" x14ac:dyDescent="0.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row>
    <row r="1058" spans="2:28" x14ac:dyDescent="0.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row>
    <row r="1059" spans="2:28" x14ac:dyDescent="0.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row>
    <row r="1060" spans="2:28" x14ac:dyDescent="0.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row>
    <row r="1061" spans="2:28" x14ac:dyDescent="0.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row>
    <row r="1062" spans="2:28" x14ac:dyDescent="0.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row>
    <row r="1063" spans="2:28" x14ac:dyDescent="0.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row>
    <row r="1064" spans="2:28" x14ac:dyDescent="0.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row>
    <row r="1065" spans="2:28" x14ac:dyDescent="0.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row>
    <row r="1066" spans="2:28" x14ac:dyDescent="0.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row>
    <row r="1067" spans="2:28" x14ac:dyDescent="0.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row>
    <row r="1068" spans="2:28" x14ac:dyDescent="0.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row>
    <row r="1069" spans="2:28" x14ac:dyDescent="0.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row>
    <row r="1070" spans="2:28" x14ac:dyDescent="0.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row>
    <row r="1071" spans="2:28" x14ac:dyDescent="0.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row>
    <row r="1072" spans="2:28" x14ac:dyDescent="0.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row>
    <row r="1073" spans="2:28" x14ac:dyDescent="0.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row>
    <row r="1074" spans="2:28" x14ac:dyDescent="0.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row>
    <row r="1075" spans="2:28" x14ac:dyDescent="0.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row>
    <row r="1076" spans="2:28" x14ac:dyDescent="0.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row>
    <row r="1077" spans="2:28" x14ac:dyDescent="0.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row>
    <row r="1078" spans="2:28" x14ac:dyDescent="0.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row>
    <row r="1079" spans="2:28" x14ac:dyDescent="0.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row>
    <row r="1080" spans="2:28" x14ac:dyDescent="0.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row>
    <row r="1081" spans="2:28" x14ac:dyDescent="0.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row>
    <row r="1082" spans="2:28" x14ac:dyDescent="0.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row>
    <row r="1083" spans="2:28" x14ac:dyDescent="0.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row>
    <row r="1084" spans="2:28" x14ac:dyDescent="0.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row>
    <row r="1085" spans="2:28" x14ac:dyDescent="0.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row>
    <row r="1086" spans="2:28" x14ac:dyDescent="0.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row>
    <row r="1087" spans="2:28" x14ac:dyDescent="0.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row>
    <row r="1088" spans="2:28" x14ac:dyDescent="0.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row>
    <row r="1089" spans="2:28" x14ac:dyDescent="0.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row>
    <row r="1090" spans="2:28" x14ac:dyDescent="0.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row>
    <row r="1091" spans="2:28" x14ac:dyDescent="0.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row>
    <row r="1092" spans="2:28" x14ac:dyDescent="0.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row>
    <row r="1093" spans="2:28" x14ac:dyDescent="0.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row>
    <row r="1094" spans="2:28" x14ac:dyDescent="0.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row>
    <row r="1095" spans="2:28" x14ac:dyDescent="0.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row>
    <row r="1096" spans="2:28" x14ac:dyDescent="0.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row>
    <row r="1097" spans="2:28" x14ac:dyDescent="0.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row>
    <row r="1098" spans="2:28" x14ac:dyDescent="0.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row>
    <row r="1099" spans="2:28" x14ac:dyDescent="0.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row>
    <row r="1100" spans="2:28" x14ac:dyDescent="0.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row>
    <row r="1101" spans="2:28" x14ac:dyDescent="0.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row>
    <row r="1102" spans="2:28" x14ac:dyDescent="0.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row>
    <row r="1103" spans="2:28" x14ac:dyDescent="0.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row>
    <row r="1104" spans="2:28" x14ac:dyDescent="0.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row>
    <row r="1105" spans="2:28" x14ac:dyDescent="0.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row>
    <row r="1106" spans="2:28" x14ac:dyDescent="0.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row>
    <row r="1107" spans="2:28" x14ac:dyDescent="0.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row>
    <row r="1108" spans="2:28" x14ac:dyDescent="0.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row>
    <row r="1109" spans="2:28" x14ac:dyDescent="0.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row>
    <row r="1110" spans="2:28" x14ac:dyDescent="0.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row>
    <row r="1111" spans="2:28" x14ac:dyDescent="0.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row>
    <row r="1112" spans="2:28" x14ac:dyDescent="0.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row>
    <row r="1113" spans="2:28" x14ac:dyDescent="0.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row>
    <row r="1114" spans="2:28" x14ac:dyDescent="0.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row>
    <row r="1115" spans="2:28" x14ac:dyDescent="0.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row>
    <row r="1116" spans="2:28" x14ac:dyDescent="0.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row>
    <row r="1117" spans="2:28" x14ac:dyDescent="0.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row>
    <row r="1118" spans="2:28" x14ac:dyDescent="0.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row>
    <row r="1119" spans="2:28" x14ac:dyDescent="0.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row>
    <row r="1120" spans="2:28" x14ac:dyDescent="0.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row>
    <row r="1121" spans="2:28" x14ac:dyDescent="0.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row>
    <row r="1122" spans="2:28" x14ac:dyDescent="0.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row>
    <row r="1123" spans="2:28" x14ac:dyDescent="0.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row>
    <row r="1124" spans="2:28" x14ac:dyDescent="0.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row>
    <row r="1125" spans="2:28" x14ac:dyDescent="0.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row>
    <row r="1126" spans="2:28" x14ac:dyDescent="0.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row>
    <row r="1127" spans="2:28" x14ac:dyDescent="0.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row>
    <row r="1128" spans="2:28" x14ac:dyDescent="0.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row>
    <row r="1129" spans="2:28" x14ac:dyDescent="0.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row>
    <row r="1130" spans="2:28" x14ac:dyDescent="0.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row>
    <row r="1131" spans="2:28" x14ac:dyDescent="0.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row>
    <row r="1132" spans="2:28" x14ac:dyDescent="0.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row>
    <row r="1133" spans="2:28" x14ac:dyDescent="0.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row>
    <row r="1134" spans="2:28" x14ac:dyDescent="0.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row>
    <row r="1135" spans="2:28" x14ac:dyDescent="0.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row>
    <row r="1136" spans="2:28" x14ac:dyDescent="0.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row>
    <row r="1137" spans="2:28" x14ac:dyDescent="0.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row>
    <row r="1138" spans="2:28" x14ac:dyDescent="0.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row>
    <row r="1139" spans="2:28" x14ac:dyDescent="0.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row>
    <row r="1140" spans="2:28" x14ac:dyDescent="0.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row>
    <row r="1141" spans="2:28" x14ac:dyDescent="0.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row>
    <row r="1142" spans="2:28" x14ac:dyDescent="0.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row>
    <row r="1143" spans="2:28" x14ac:dyDescent="0.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row>
    <row r="1144" spans="2:28" x14ac:dyDescent="0.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row>
    <row r="1145" spans="2:28" x14ac:dyDescent="0.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row>
    <row r="1146" spans="2:28" x14ac:dyDescent="0.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row>
    <row r="1147" spans="2:28" x14ac:dyDescent="0.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row>
    <row r="1148" spans="2:28" x14ac:dyDescent="0.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row>
    <row r="1149" spans="2:28" x14ac:dyDescent="0.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row>
    <row r="1150" spans="2:28" x14ac:dyDescent="0.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row>
    <row r="1151" spans="2:28" x14ac:dyDescent="0.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row>
    <row r="1152" spans="2:28" x14ac:dyDescent="0.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row>
    <row r="1153" spans="2:28" x14ac:dyDescent="0.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row>
    <row r="1154" spans="2:28" x14ac:dyDescent="0.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row>
    <row r="1155" spans="2:28" x14ac:dyDescent="0.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row>
    <row r="1156" spans="2:28" x14ac:dyDescent="0.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row>
    <row r="1157" spans="2:28" x14ac:dyDescent="0.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row>
    <row r="1158" spans="2:28" x14ac:dyDescent="0.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row>
    <row r="1159" spans="2:28" x14ac:dyDescent="0.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row>
    <row r="1160" spans="2:28" x14ac:dyDescent="0.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row>
    <row r="1161" spans="2:28" x14ac:dyDescent="0.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row>
    <row r="1162" spans="2:28" x14ac:dyDescent="0.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row>
    <row r="1163" spans="2:28" x14ac:dyDescent="0.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row>
    <row r="1164" spans="2:28" x14ac:dyDescent="0.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row>
    <row r="1165" spans="2:28" x14ac:dyDescent="0.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row>
    <row r="1166" spans="2:28" x14ac:dyDescent="0.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row>
    <row r="1167" spans="2:28" x14ac:dyDescent="0.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row>
    <row r="1168" spans="2:28" x14ac:dyDescent="0.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row>
    <row r="1169" spans="2:28" x14ac:dyDescent="0.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row>
    <row r="1170" spans="2:28" x14ac:dyDescent="0.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row>
    <row r="1171" spans="2:28" x14ac:dyDescent="0.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row>
    <row r="1172" spans="2:28" x14ac:dyDescent="0.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row>
    <row r="1173" spans="2:28" x14ac:dyDescent="0.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row>
    <row r="1174" spans="2:28" x14ac:dyDescent="0.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row>
    <row r="1175" spans="2:28" x14ac:dyDescent="0.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row>
    <row r="1176" spans="2:28" x14ac:dyDescent="0.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row>
    <row r="1177" spans="2:28" x14ac:dyDescent="0.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row>
    <row r="1178" spans="2:28" x14ac:dyDescent="0.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row>
    <row r="1179" spans="2:28" x14ac:dyDescent="0.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row>
    <row r="1180" spans="2:28" x14ac:dyDescent="0.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row>
    <row r="1181" spans="2:28" x14ac:dyDescent="0.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row>
    <row r="1182" spans="2:28" x14ac:dyDescent="0.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row>
    <row r="1183" spans="2:28" x14ac:dyDescent="0.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row>
    <row r="1184" spans="2:28" x14ac:dyDescent="0.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row>
    <row r="1185" spans="2:28" x14ac:dyDescent="0.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row>
    <row r="1186" spans="2:28" x14ac:dyDescent="0.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row>
    <row r="1187" spans="2:28" x14ac:dyDescent="0.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row>
    <row r="1188" spans="2:28" x14ac:dyDescent="0.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row>
    <row r="1189" spans="2:28" x14ac:dyDescent="0.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row>
    <row r="1190" spans="2:28" x14ac:dyDescent="0.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row>
    <row r="1191" spans="2:28" x14ac:dyDescent="0.2">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row>
    <row r="1192" spans="2:28" x14ac:dyDescent="0.2">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row>
    <row r="1193" spans="2:28" x14ac:dyDescent="0.2">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row>
    <row r="1194" spans="2:28" x14ac:dyDescent="0.2">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row>
    <row r="1195" spans="2:28" x14ac:dyDescent="0.2">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row>
    <row r="1196" spans="2:28" x14ac:dyDescent="0.2">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row>
    <row r="1197" spans="2:28" x14ac:dyDescent="0.2">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row>
    <row r="1198" spans="2:28" x14ac:dyDescent="0.2">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row>
    <row r="1199" spans="2:28" x14ac:dyDescent="0.2">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row>
    <row r="1200" spans="2:28" x14ac:dyDescent="0.2">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row>
    <row r="1201" spans="2:28" x14ac:dyDescent="0.2">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row>
    <row r="1202" spans="2:28" x14ac:dyDescent="0.2">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row>
    <row r="1203" spans="2:28" x14ac:dyDescent="0.2">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row>
    <row r="1204" spans="2:28" x14ac:dyDescent="0.2">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row>
    <row r="1205" spans="2:28" x14ac:dyDescent="0.2">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row>
    <row r="1206" spans="2:28" x14ac:dyDescent="0.2">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row>
    <row r="1207" spans="2:28" x14ac:dyDescent="0.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row>
    <row r="1208" spans="2:28" x14ac:dyDescent="0.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row>
    <row r="1209" spans="2:28" x14ac:dyDescent="0.2">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row>
    <row r="1210" spans="2:28" x14ac:dyDescent="0.2">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row>
    <row r="1211" spans="2:28" x14ac:dyDescent="0.2">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row>
    <row r="1212" spans="2:28" x14ac:dyDescent="0.2">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row>
    <row r="1213" spans="2:28" x14ac:dyDescent="0.2">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row>
    <row r="1214" spans="2:28" x14ac:dyDescent="0.2">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row>
    <row r="1215" spans="2:28" x14ac:dyDescent="0.2">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row>
    <row r="1216" spans="2:28" x14ac:dyDescent="0.2">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row>
    <row r="1217" spans="2:28" x14ac:dyDescent="0.2">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row>
    <row r="1218" spans="2:28" x14ac:dyDescent="0.2">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row>
    <row r="1219" spans="2:28" x14ac:dyDescent="0.2">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row>
    <row r="1220" spans="2:28" x14ac:dyDescent="0.2">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row>
    <row r="1221" spans="2:28" x14ac:dyDescent="0.2">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row>
    <row r="1222" spans="2:28" x14ac:dyDescent="0.2">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row>
    <row r="1223" spans="2:28" x14ac:dyDescent="0.2">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row>
    <row r="1224" spans="2:28" x14ac:dyDescent="0.2">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row>
    <row r="1225" spans="2:28" x14ac:dyDescent="0.2">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row>
    <row r="1226" spans="2:28" x14ac:dyDescent="0.2">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row>
    <row r="1227" spans="2:28" x14ac:dyDescent="0.2">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row>
    <row r="1228" spans="2:28" x14ac:dyDescent="0.2">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row>
    <row r="1229" spans="2:28" x14ac:dyDescent="0.2">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row>
    <row r="1230" spans="2:28" x14ac:dyDescent="0.2">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row>
    <row r="1231" spans="2:28" x14ac:dyDescent="0.2">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row>
    <row r="1232" spans="2:28" x14ac:dyDescent="0.2">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row>
    <row r="1233" spans="2:28" x14ac:dyDescent="0.2">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row>
    <row r="1234" spans="2:28" x14ac:dyDescent="0.2">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row>
    <row r="1235" spans="2:28" x14ac:dyDescent="0.2">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row>
    <row r="1236" spans="2:28" x14ac:dyDescent="0.2">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row>
    <row r="1237" spans="2:28" x14ac:dyDescent="0.2">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row>
    <row r="1238" spans="2:28" x14ac:dyDescent="0.2">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row>
    <row r="1239" spans="2:28" x14ac:dyDescent="0.2">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row>
    <row r="1240" spans="2:28" x14ac:dyDescent="0.2">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row>
    <row r="1241" spans="2:28" x14ac:dyDescent="0.2">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row>
    <row r="1242" spans="2:28" x14ac:dyDescent="0.2">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row>
    <row r="1243" spans="2:28" x14ac:dyDescent="0.2">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row>
    <row r="1244" spans="2:28" x14ac:dyDescent="0.2">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row>
    <row r="1245" spans="2:28" x14ac:dyDescent="0.2">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row>
    <row r="1246" spans="2:28" x14ac:dyDescent="0.2">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row>
    <row r="1247" spans="2:28" x14ac:dyDescent="0.2">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row>
    <row r="1248" spans="2:28" x14ac:dyDescent="0.2">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row>
    <row r="1249" spans="2:28" x14ac:dyDescent="0.2">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row>
    <row r="1250" spans="2:28" x14ac:dyDescent="0.2">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row>
    <row r="1251" spans="2:28" x14ac:dyDescent="0.2">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row>
    <row r="1252" spans="2:28" x14ac:dyDescent="0.2">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row>
    <row r="1253" spans="2:28" x14ac:dyDescent="0.2">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row>
    <row r="1254" spans="2:28" x14ac:dyDescent="0.2">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row>
    <row r="1255" spans="2:28" x14ac:dyDescent="0.2">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row>
    <row r="1256" spans="2:28" x14ac:dyDescent="0.2">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row>
    <row r="1257" spans="2:28" x14ac:dyDescent="0.2">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row>
    <row r="1258" spans="2:28" x14ac:dyDescent="0.2">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row>
    <row r="1259" spans="2:28" x14ac:dyDescent="0.2">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row>
    <row r="1260" spans="2:28" x14ac:dyDescent="0.2">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row>
    <row r="1261" spans="2:28" x14ac:dyDescent="0.2">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row>
    <row r="1262" spans="2:28" x14ac:dyDescent="0.2">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row>
    <row r="1263" spans="2:28" x14ac:dyDescent="0.2">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row>
    <row r="1264" spans="2:28" x14ac:dyDescent="0.2">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row>
    <row r="1265" spans="2:28" x14ac:dyDescent="0.2">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row>
    <row r="1266" spans="2:28" x14ac:dyDescent="0.2">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row>
    <row r="1267" spans="2:28" x14ac:dyDescent="0.2">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row>
    <row r="1268" spans="2:28" x14ac:dyDescent="0.2">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row>
    <row r="1269" spans="2:28" x14ac:dyDescent="0.2">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row>
    <row r="1270" spans="2:28" x14ac:dyDescent="0.2">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row>
    <row r="1271" spans="2:28" x14ac:dyDescent="0.2">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row>
    <row r="1272" spans="2:28" x14ac:dyDescent="0.2">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row>
    <row r="1273" spans="2:28" x14ac:dyDescent="0.2">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row>
    <row r="1274" spans="2:28" x14ac:dyDescent="0.2">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row>
    <row r="1275" spans="2:28" x14ac:dyDescent="0.2">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row>
    <row r="1276" spans="2:28" x14ac:dyDescent="0.2">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row>
    <row r="1277" spans="2:28" x14ac:dyDescent="0.2">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row>
    <row r="1278" spans="2:28" x14ac:dyDescent="0.2">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row>
    <row r="1279" spans="2:28" x14ac:dyDescent="0.2">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row>
    <row r="1280" spans="2:28" x14ac:dyDescent="0.2">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row>
    <row r="1281" spans="2:28" x14ac:dyDescent="0.2">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row>
    <row r="1282" spans="2:28" x14ac:dyDescent="0.2">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row>
    <row r="1283" spans="2:28" x14ac:dyDescent="0.2">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row>
    <row r="1284" spans="2:28" x14ac:dyDescent="0.2">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row>
    <row r="1285" spans="2:28" x14ac:dyDescent="0.2">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row>
    <row r="1286" spans="2:28" x14ac:dyDescent="0.2">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row>
    <row r="1287" spans="2:28" x14ac:dyDescent="0.2">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row>
    <row r="1288" spans="2:28" x14ac:dyDescent="0.2">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row>
    <row r="1289" spans="2:28" x14ac:dyDescent="0.2">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row>
    <row r="1290" spans="2:28" x14ac:dyDescent="0.2">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row>
    <row r="1291" spans="2:28" x14ac:dyDescent="0.2">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row>
    <row r="1292" spans="2:28" x14ac:dyDescent="0.2">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row>
    <row r="1293" spans="2:28" x14ac:dyDescent="0.2">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row>
    <row r="1294" spans="2:28" x14ac:dyDescent="0.2">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row>
    <row r="1295" spans="2:28" x14ac:dyDescent="0.2">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row>
    <row r="1296" spans="2:28" x14ac:dyDescent="0.2">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row>
    <row r="1297" spans="2:28" x14ac:dyDescent="0.2">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row>
    <row r="1298" spans="2:28" x14ac:dyDescent="0.2">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row>
    <row r="1299" spans="2:28" x14ac:dyDescent="0.2">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row>
    <row r="1300" spans="2:28" x14ac:dyDescent="0.2">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row>
    <row r="1301" spans="2:28" x14ac:dyDescent="0.2">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row>
    <row r="1302" spans="2:28" x14ac:dyDescent="0.2">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row>
    <row r="1303" spans="2:28" x14ac:dyDescent="0.2">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row>
    <row r="1304" spans="2:28" x14ac:dyDescent="0.2">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row>
    <row r="1305" spans="2:28" x14ac:dyDescent="0.2">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row>
    <row r="1306" spans="2:28" x14ac:dyDescent="0.2">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row>
    <row r="1307" spans="2:28" x14ac:dyDescent="0.2">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row>
    <row r="1308" spans="2:28" x14ac:dyDescent="0.2">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row>
    <row r="1309" spans="2:28" x14ac:dyDescent="0.2">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row>
    <row r="1310" spans="2:28" x14ac:dyDescent="0.2">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row>
    <row r="1311" spans="2:28" x14ac:dyDescent="0.2">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row>
    <row r="1312" spans="2:28" x14ac:dyDescent="0.2">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row>
    <row r="1313" spans="2:28" x14ac:dyDescent="0.2">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row>
    <row r="1314" spans="2:28" x14ac:dyDescent="0.2">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row>
    <row r="1315" spans="2:28" x14ac:dyDescent="0.2">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row>
    <row r="1316" spans="2:28" x14ac:dyDescent="0.2">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row>
    <row r="1317" spans="2:28" x14ac:dyDescent="0.2">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row>
    <row r="1318" spans="2:28" x14ac:dyDescent="0.2">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row>
    <row r="1319" spans="2:28" x14ac:dyDescent="0.2">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row>
    <row r="1320" spans="2:28" x14ac:dyDescent="0.2">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row>
    <row r="1321" spans="2:28" x14ac:dyDescent="0.2">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row>
    <row r="1322" spans="2:28" x14ac:dyDescent="0.2">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row>
    <row r="1323" spans="2:28" x14ac:dyDescent="0.2">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row>
    <row r="1324" spans="2:28" x14ac:dyDescent="0.2">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row>
    <row r="1325" spans="2:28" x14ac:dyDescent="0.2">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row>
    <row r="1326" spans="2:28" x14ac:dyDescent="0.2">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row>
    <row r="1327" spans="2:28" x14ac:dyDescent="0.2">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row>
    <row r="1328" spans="2:28" x14ac:dyDescent="0.2">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row>
    <row r="1329" spans="2:28" x14ac:dyDescent="0.2">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row>
    <row r="1330" spans="2:28" x14ac:dyDescent="0.2">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row>
    <row r="1331" spans="2:28" x14ac:dyDescent="0.2">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row>
    <row r="1332" spans="2:28" x14ac:dyDescent="0.2">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row>
    <row r="1333" spans="2:28" x14ac:dyDescent="0.2">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row>
    <row r="1334" spans="2:28" x14ac:dyDescent="0.2">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row>
    <row r="1335" spans="2:28" x14ac:dyDescent="0.2">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row>
    <row r="1336" spans="2:28" x14ac:dyDescent="0.2">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row>
    <row r="1337" spans="2:28" x14ac:dyDescent="0.2">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row>
    <row r="1338" spans="2:28" x14ac:dyDescent="0.2">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row>
    <row r="1339" spans="2:28" x14ac:dyDescent="0.2">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row>
    <row r="1340" spans="2:28" x14ac:dyDescent="0.2">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row>
    <row r="1341" spans="2:28" x14ac:dyDescent="0.2">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row>
    <row r="1342" spans="2:28" x14ac:dyDescent="0.2">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row>
    <row r="1343" spans="2:28" x14ac:dyDescent="0.2">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row>
    <row r="1344" spans="2:28" x14ac:dyDescent="0.2">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row>
    <row r="1345" spans="2:28" x14ac:dyDescent="0.2">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row>
    <row r="1346" spans="2:28" x14ac:dyDescent="0.2">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row>
    <row r="1347" spans="2:28" x14ac:dyDescent="0.2">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row>
    <row r="1348" spans="2:28" x14ac:dyDescent="0.2">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row>
    <row r="1349" spans="2:28" x14ac:dyDescent="0.2">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row>
    <row r="1350" spans="2:28" x14ac:dyDescent="0.2">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row>
    <row r="1351" spans="2:28" x14ac:dyDescent="0.2">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row>
    <row r="1352" spans="2:28" x14ac:dyDescent="0.2">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row>
    <row r="1353" spans="2:28" x14ac:dyDescent="0.2">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row>
    <row r="1354" spans="2:28" x14ac:dyDescent="0.2">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row>
    <row r="1355" spans="2:28" x14ac:dyDescent="0.2">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row>
    <row r="1356" spans="2:28" x14ac:dyDescent="0.2">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row>
    <row r="1357" spans="2:28" x14ac:dyDescent="0.2">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row>
    <row r="1358" spans="2:28" x14ac:dyDescent="0.2">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row>
    <row r="1359" spans="2:28" x14ac:dyDescent="0.2">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row>
    <row r="1360" spans="2:28" x14ac:dyDescent="0.2">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row>
    <row r="1361" spans="2:28" x14ac:dyDescent="0.2">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row>
    <row r="1362" spans="2:28" x14ac:dyDescent="0.2">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row>
    <row r="1363" spans="2:28" x14ac:dyDescent="0.2">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row>
    <row r="1364" spans="2:28" x14ac:dyDescent="0.2">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row>
    <row r="1365" spans="2:28" x14ac:dyDescent="0.2">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row>
    <row r="1366" spans="2:28" x14ac:dyDescent="0.2">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row>
    <row r="1367" spans="2:28" x14ac:dyDescent="0.2">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row>
    <row r="1368" spans="2:28" x14ac:dyDescent="0.2">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row>
    <row r="1369" spans="2:28" x14ac:dyDescent="0.2">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row>
    <row r="1370" spans="2:28" x14ac:dyDescent="0.2">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row>
    <row r="1371" spans="2:28" x14ac:dyDescent="0.2">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row>
    <row r="1372" spans="2:28" x14ac:dyDescent="0.2">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row>
    <row r="1373" spans="2:28" x14ac:dyDescent="0.2">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row>
    <row r="1374" spans="2:28" x14ac:dyDescent="0.2">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row>
    <row r="1375" spans="2:28" x14ac:dyDescent="0.2">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row>
    <row r="1376" spans="2:28" x14ac:dyDescent="0.2">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row>
    <row r="1377" spans="2:28" x14ac:dyDescent="0.2">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row>
    <row r="1378" spans="2:28" x14ac:dyDescent="0.2">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row>
    <row r="1379" spans="2:28" x14ac:dyDescent="0.2">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row>
    <row r="1380" spans="2:28" x14ac:dyDescent="0.2">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row>
    <row r="1381" spans="2:28" x14ac:dyDescent="0.2">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row>
    <row r="1382" spans="2:28" x14ac:dyDescent="0.2">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row>
    <row r="1383" spans="2:28" x14ac:dyDescent="0.2">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row>
    <row r="1384" spans="2:28" x14ac:dyDescent="0.2">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row>
    <row r="1385" spans="2:28" x14ac:dyDescent="0.2">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row>
    <row r="1386" spans="2:28" x14ac:dyDescent="0.2">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row>
    <row r="1387" spans="2:28" x14ac:dyDescent="0.2">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row>
    <row r="1388" spans="2:28" x14ac:dyDescent="0.2">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row>
    <row r="1389" spans="2:28" x14ac:dyDescent="0.2">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row>
    <row r="1390" spans="2:28" x14ac:dyDescent="0.2">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row>
    <row r="1391" spans="2:28" x14ac:dyDescent="0.2">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row>
    <row r="1392" spans="2:28" x14ac:dyDescent="0.2">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row>
    <row r="1393" spans="2:28" x14ac:dyDescent="0.2">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row>
    <row r="1394" spans="2:28" x14ac:dyDescent="0.2">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row>
    <row r="1395" spans="2:28" x14ac:dyDescent="0.2">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row>
    <row r="1396" spans="2:28" x14ac:dyDescent="0.2">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row>
    <row r="1397" spans="2:28" x14ac:dyDescent="0.2">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row>
    <row r="1398" spans="2:28" x14ac:dyDescent="0.2">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row>
    <row r="1399" spans="2:28" x14ac:dyDescent="0.2">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row>
    <row r="1400" spans="2:28" x14ac:dyDescent="0.2">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row>
    <row r="1401" spans="2:28" x14ac:dyDescent="0.2">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row>
    <row r="1402" spans="2:28" x14ac:dyDescent="0.2">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row>
    <row r="1403" spans="2:28" x14ac:dyDescent="0.2">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row>
    <row r="1404" spans="2:28" x14ac:dyDescent="0.2">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row>
    <row r="1405" spans="2:28" x14ac:dyDescent="0.2">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row>
    <row r="1406" spans="2:28" x14ac:dyDescent="0.2">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row>
    <row r="1407" spans="2:28" x14ac:dyDescent="0.2">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row>
    <row r="1408" spans="2:28" x14ac:dyDescent="0.2">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row>
    <row r="1409" spans="2:28" x14ac:dyDescent="0.2">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row>
    <row r="1410" spans="2:28" x14ac:dyDescent="0.2">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row>
    <row r="1411" spans="2:28" x14ac:dyDescent="0.2">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row>
    <row r="1412" spans="2:28" x14ac:dyDescent="0.2">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row>
    <row r="1413" spans="2:28" x14ac:dyDescent="0.2">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row>
    <row r="1414" spans="2:28" x14ac:dyDescent="0.2">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row>
    <row r="1415" spans="2:28" x14ac:dyDescent="0.2">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row>
    <row r="1416" spans="2:28" x14ac:dyDescent="0.2">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row>
    <row r="1417" spans="2:28" x14ac:dyDescent="0.2">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row>
    <row r="1418" spans="2:28" x14ac:dyDescent="0.2">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row>
    <row r="1419" spans="2:28" x14ac:dyDescent="0.2">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row>
    <row r="1420" spans="2:28" x14ac:dyDescent="0.2">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row>
    <row r="1421" spans="2:28" x14ac:dyDescent="0.2">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row>
    <row r="1422" spans="2:28" x14ac:dyDescent="0.2">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row>
    <row r="1423" spans="2:28" x14ac:dyDescent="0.2">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row>
    <row r="1424" spans="2:28" x14ac:dyDescent="0.2">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row>
    <row r="1425" spans="2:28" x14ac:dyDescent="0.2">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row>
    <row r="1426" spans="2:28" x14ac:dyDescent="0.2">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row>
    <row r="1427" spans="2:28" x14ac:dyDescent="0.2">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row>
    <row r="1428" spans="2:28" x14ac:dyDescent="0.2">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row>
    <row r="1429" spans="2:28" x14ac:dyDescent="0.2">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row>
    <row r="1430" spans="2:28" x14ac:dyDescent="0.2">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row>
    <row r="1431" spans="2:28" x14ac:dyDescent="0.2">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row>
    <row r="1432" spans="2:28" x14ac:dyDescent="0.2">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row>
    <row r="1433" spans="2:28" x14ac:dyDescent="0.2">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row>
    <row r="1434" spans="2:28" x14ac:dyDescent="0.2">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row>
    <row r="1435" spans="2:28" x14ac:dyDescent="0.2">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row>
    <row r="1436" spans="2:28" x14ac:dyDescent="0.2">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row>
    <row r="1437" spans="2:28" x14ac:dyDescent="0.2">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row>
    <row r="1438" spans="2:28" x14ac:dyDescent="0.2">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row>
    <row r="1439" spans="2:28" x14ac:dyDescent="0.2">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row>
    <row r="1440" spans="2:28" x14ac:dyDescent="0.2">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row>
    <row r="1441" spans="2:28" x14ac:dyDescent="0.2">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row>
    <row r="1442" spans="2:28" x14ac:dyDescent="0.2">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row>
    <row r="1443" spans="2:28" x14ac:dyDescent="0.2">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row>
    <row r="1444" spans="2:28" x14ac:dyDescent="0.2">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row>
    <row r="1445" spans="2:28" x14ac:dyDescent="0.2">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row>
    <row r="1446" spans="2:28" x14ac:dyDescent="0.2">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row>
    <row r="1447" spans="2:28" x14ac:dyDescent="0.2">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row>
    <row r="1448" spans="2:28" x14ac:dyDescent="0.2">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row>
    <row r="1449" spans="2:28" x14ac:dyDescent="0.2">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row>
    <row r="1450" spans="2:28" x14ac:dyDescent="0.2">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row>
    <row r="1451" spans="2:28" x14ac:dyDescent="0.2">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row>
    <row r="1452" spans="2:28" x14ac:dyDescent="0.2">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row>
    <row r="1453" spans="2:28" x14ac:dyDescent="0.2">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row>
    <row r="1454" spans="2:28" x14ac:dyDescent="0.2">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row>
    <row r="1455" spans="2:28" x14ac:dyDescent="0.2">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row>
    <row r="1456" spans="2:28" x14ac:dyDescent="0.2">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row>
    <row r="1457" spans="2:28" x14ac:dyDescent="0.2">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row>
    <row r="1458" spans="2:28" x14ac:dyDescent="0.2">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row>
    <row r="1459" spans="2:28" x14ac:dyDescent="0.2">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row>
    <row r="1460" spans="2:28" x14ac:dyDescent="0.2">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row>
    <row r="1461" spans="2:28" x14ac:dyDescent="0.2">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row>
    <row r="1462" spans="2:28" x14ac:dyDescent="0.2">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row>
    <row r="1463" spans="2:28" x14ac:dyDescent="0.2">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row>
    <row r="1464" spans="2:28" x14ac:dyDescent="0.2">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row>
    <row r="1465" spans="2:28" x14ac:dyDescent="0.2">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row>
    <row r="1466" spans="2:28" x14ac:dyDescent="0.2">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row>
    <row r="1467" spans="2:28" x14ac:dyDescent="0.2">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row>
    <row r="1468" spans="2:28" x14ac:dyDescent="0.2">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row>
    <row r="1469" spans="2:28" x14ac:dyDescent="0.2">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row>
    <row r="1470" spans="2:28" x14ac:dyDescent="0.2">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row>
    <row r="1471" spans="2:28" x14ac:dyDescent="0.2">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row>
    <row r="1472" spans="2:28" x14ac:dyDescent="0.2">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row>
    <row r="1473" spans="2:28" x14ac:dyDescent="0.2">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row>
    <row r="1474" spans="2:28" x14ac:dyDescent="0.2">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row>
    <row r="1475" spans="2:28" x14ac:dyDescent="0.2">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row>
    <row r="1476" spans="2:28" x14ac:dyDescent="0.2">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row>
    <row r="1477" spans="2:28" x14ac:dyDescent="0.2">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row>
    <row r="1478" spans="2:28" x14ac:dyDescent="0.2">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row>
    <row r="1479" spans="2:28" x14ac:dyDescent="0.2">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row>
    <row r="1480" spans="2:28" x14ac:dyDescent="0.2">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row>
    <row r="1481" spans="2:28" x14ac:dyDescent="0.2">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row>
    <row r="1482" spans="2:28" x14ac:dyDescent="0.2">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row>
    <row r="1483" spans="2:28" x14ac:dyDescent="0.2">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row>
    <row r="1484" spans="2:28" x14ac:dyDescent="0.2">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row>
    <row r="1485" spans="2:28" x14ac:dyDescent="0.2">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row>
    <row r="1486" spans="2:28" x14ac:dyDescent="0.2">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row>
    <row r="1487" spans="2:28" x14ac:dyDescent="0.2">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row>
    <row r="1488" spans="2:28" x14ac:dyDescent="0.2">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row>
    <row r="1489" spans="2:28" x14ac:dyDescent="0.2">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row>
    <row r="1490" spans="2:28" x14ac:dyDescent="0.2">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row>
    <row r="1491" spans="2:28" x14ac:dyDescent="0.2">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row>
    <row r="1492" spans="2:28" x14ac:dyDescent="0.2">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row>
    <row r="1493" spans="2:28" x14ac:dyDescent="0.2">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row>
    <row r="1494" spans="2:28" x14ac:dyDescent="0.2">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row>
    <row r="1495" spans="2:28" x14ac:dyDescent="0.2">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row>
    <row r="1496" spans="2:28" x14ac:dyDescent="0.2">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row>
    <row r="1497" spans="2:28" x14ac:dyDescent="0.2">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row>
    <row r="1498" spans="2:28" x14ac:dyDescent="0.2">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row>
    <row r="1499" spans="2:28" x14ac:dyDescent="0.2">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row>
    <row r="1500" spans="2:28" x14ac:dyDescent="0.2">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row>
    <row r="1501" spans="2:28" x14ac:dyDescent="0.2">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row>
    <row r="1502" spans="2:28" x14ac:dyDescent="0.2">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row>
    <row r="1503" spans="2:28" x14ac:dyDescent="0.2">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row>
    <row r="1504" spans="2:28" x14ac:dyDescent="0.2">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row>
    <row r="1505" spans="2:28" x14ac:dyDescent="0.2">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row>
    <row r="1506" spans="2:28" x14ac:dyDescent="0.2">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row>
    <row r="1507" spans="2:28" x14ac:dyDescent="0.2">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row>
    <row r="1508" spans="2:28" x14ac:dyDescent="0.2">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row>
    <row r="1509" spans="2:28" x14ac:dyDescent="0.2">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row>
    <row r="1510" spans="2:28" x14ac:dyDescent="0.2">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row>
    <row r="1511" spans="2:28" x14ac:dyDescent="0.2">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row>
    <row r="1512" spans="2:28" x14ac:dyDescent="0.2">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row>
    <row r="1513" spans="2:28" x14ac:dyDescent="0.2">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row>
    <row r="1514" spans="2:28" x14ac:dyDescent="0.2">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row>
    <row r="1515" spans="2:28" x14ac:dyDescent="0.2">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row>
    <row r="1516" spans="2:28" x14ac:dyDescent="0.2">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2"/>
      <c r="AA1516" s="2"/>
      <c r="AB1516" s="2"/>
    </row>
    <row r="1517" spans="2:28" x14ac:dyDescent="0.2">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2"/>
      <c r="AA1517" s="2"/>
      <c r="AB1517" s="2"/>
    </row>
    <row r="1518" spans="2:28" x14ac:dyDescent="0.2">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2"/>
      <c r="AA1518" s="2"/>
      <c r="AB1518" s="2"/>
    </row>
    <row r="1519" spans="2:28" x14ac:dyDescent="0.2">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2"/>
      <c r="AA1519" s="2"/>
      <c r="AB1519" s="2"/>
    </row>
    <row r="1520" spans="2:28" x14ac:dyDescent="0.2">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2"/>
      <c r="AA1520" s="2"/>
      <c r="AB1520" s="2"/>
    </row>
    <row r="1521" spans="2:28" x14ac:dyDescent="0.2">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2"/>
      <c r="AA1521" s="2"/>
      <c r="AB1521" s="2"/>
    </row>
    <row r="1522" spans="2:28" x14ac:dyDescent="0.2">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2"/>
      <c r="AA1522" s="2"/>
      <c r="AB1522" s="2"/>
    </row>
    <row r="1523" spans="2:28" x14ac:dyDescent="0.2">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2"/>
      <c r="AA1523" s="2"/>
      <c r="AB1523" s="2"/>
    </row>
    <row r="1524" spans="2:28" x14ac:dyDescent="0.2">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2"/>
      <c r="AA1524" s="2"/>
      <c r="AB1524" s="2"/>
    </row>
    <row r="1525" spans="2:28" x14ac:dyDescent="0.2">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2"/>
      <c r="AA1525" s="2"/>
      <c r="AB1525" s="2"/>
    </row>
    <row r="1526" spans="2:28" x14ac:dyDescent="0.2">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2"/>
      <c r="AA1526" s="2"/>
      <c r="AB1526" s="2"/>
    </row>
    <row r="1527" spans="2:28" x14ac:dyDescent="0.2">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2"/>
      <c r="AA1527" s="2"/>
      <c r="AB1527" s="2"/>
    </row>
    <row r="1528" spans="2:28" x14ac:dyDescent="0.2">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2"/>
      <c r="AA1528" s="2"/>
      <c r="AB1528" s="2"/>
    </row>
    <row r="1529" spans="2:28" x14ac:dyDescent="0.2">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2"/>
      <c r="AA1529" s="2"/>
      <c r="AB1529" s="2"/>
    </row>
    <row r="1530" spans="2:28" x14ac:dyDescent="0.2">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2"/>
      <c r="AA1530" s="2"/>
      <c r="AB1530" s="2"/>
    </row>
    <row r="1531" spans="2:28" x14ac:dyDescent="0.2">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2"/>
      <c r="AA1531" s="2"/>
      <c r="AB1531" s="2"/>
    </row>
    <row r="1532" spans="2:28" x14ac:dyDescent="0.2">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2"/>
      <c r="AA1532" s="2"/>
      <c r="AB1532" s="2"/>
    </row>
    <row r="1533" spans="2:28" x14ac:dyDescent="0.2">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2"/>
      <c r="AA1533" s="2"/>
      <c r="AB1533" s="2"/>
    </row>
    <row r="1534" spans="2:28" x14ac:dyDescent="0.2">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2"/>
      <c r="AA1534" s="2"/>
      <c r="AB1534" s="2"/>
    </row>
    <row r="1535" spans="2:28" x14ac:dyDescent="0.2">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2"/>
      <c r="AA1535" s="2"/>
      <c r="AB1535" s="2"/>
    </row>
    <row r="1536" spans="2:28" x14ac:dyDescent="0.2">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2"/>
      <c r="AA1536" s="2"/>
      <c r="AB1536" s="2"/>
    </row>
    <row r="1537" spans="2:28" x14ac:dyDescent="0.2">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2"/>
      <c r="AA1537" s="2"/>
      <c r="AB1537" s="2"/>
    </row>
    <row r="1538" spans="2:28" x14ac:dyDescent="0.2">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2"/>
      <c r="AA1538" s="2"/>
      <c r="AB1538" s="2"/>
    </row>
    <row r="1539" spans="2:28" x14ac:dyDescent="0.2">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c r="AA1539" s="2"/>
      <c r="AB1539" s="2"/>
    </row>
    <row r="1540" spans="2:28" x14ac:dyDescent="0.2">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c r="AA1540" s="2"/>
      <c r="AB1540" s="2"/>
    </row>
    <row r="1541" spans="2:28" x14ac:dyDescent="0.2">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c r="AA1541" s="2"/>
      <c r="AB1541" s="2"/>
    </row>
    <row r="1542" spans="2:28" x14ac:dyDescent="0.2">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c r="AA1542" s="2"/>
      <c r="AB1542" s="2"/>
    </row>
    <row r="1543" spans="2:28" x14ac:dyDescent="0.2">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c r="AA1543" s="2"/>
      <c r="AB1543" s="2"/>
    </row>
    <row r="1544" spans="2:28" x14ac:dyDescent="0.2">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c r="AA1544" s="2"/>
      <c r="AB1544" s="2"/>
    </row>
    <row r="1545" spans="2:28" x14ac:dyDescent="0.2">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c r="AA1545" s="2"/>
      <c r="AB1545" s="2"/>
    </row>
    <row r="1546" spans="2:28" x14ac:dyDescent="0.2">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c r="AA1546" s="2"/>
      <c r="AB1546" s="2"/>
    </row>
    <row r="1547" spans="2:28" x14ac:dyDescent="0.2">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c r="AA1547" s="2"/>
      <c r="AB1547" s="2"/>
    </row>
    <row r="1548" spans="2:28" x14ac:dyDescent="0.2">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c r="AA1548" s="2"/>
      <c r="AB1548" s="2"/>
    </row>
    <row r="1549" spans="2:28" x14ac:dyDescent="0.2">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c r="AA1549" s="2"/>
      <c r="AB1549" s="2"/>
    </row>
    <row r="1550" spans="2:28" x14ac:dyDescent="0.2">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c r="AA1550" s="2"/>
      <c r="AB1550" s="2"/>
    </row>
    <row r="1551" spans="2:28" x14ac:dyDescent="0.2">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c r="AA1551" s="2"/>
      <c r="AB1551" s="2"/>
    </row>
    <row r="1552" spans="2:28" x14ac:dyDescent="0.2">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row>
    <row r="1553" spans="2:28" x14ac:dyDescent="0.2">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row>
    <row r="1554" spans="2:28" x14ac:dyDescent="0.2">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row>
    <row r="1555" spans="2:28" x14ac:dyDescent="0.2">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row>
    <row r="1556" spans="2:28" x14ac:dyDescent="0.2">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row>
    <row r="1557" spans="2:28" x14ac:dyDescent="0.2">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row>
    <row r="1558" spans="2:28" x14ac:dyDescent="0.2">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row>
    <row r="1559" spans="2:28" x14ac:dyDescent="0.2">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row>
    <row r="1560" spans="2:28" x14ac:dyDescent="0.2">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row>
    <row r="1561" spans="2:28" x14ac:dyDescent="0.2">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row>
    <row r="1562" spans="2:28" x14ac:dyDescent="0.2">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row>
    <row r="1563" spans="2:28" x14ac:dyDescent="0.2">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row>
    <row r="1564" spans="2:28" x14ac:dyDescent="0.2">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row>
    <row r="1565" spans="2:28" x14ac:dyDescent="0.2">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row>
    <row r="1566" spans="2:28" x14ac:dyDescent="0.2">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row>
    <row r="1567" spans="2:28" x14ac:dyDescent="0.2">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row>
    <row r="1568" spans="2:28" x14ac:dyDescent="0.2">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row>
    <row r="1569" spans="2:28" x14ac:dyDescent="0.2">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row>
    <row r="1570" spans="2:28" x14ac:dyDescent="0.2">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row>
    <row r="1571" spans="2:28" x14ac:dyDescent="0.2">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row>
    <row r="1572" spans="2:28" x14ac:dyDescent="0.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row>
    <row r="1573" spans="2:28" x14ac:dyDescent="0.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row>
    <row r="1574" spans="2:28" x14ac:dyDescent="0.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row>
    <row r="1575" spans="2:28" x14ac:dyDescent="0.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row>
    <row r="1576" spans="2:28" x14ac:dyDescent="0.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row>
    <row r="1577" spans="2:28" x14ac:dyDescent="0.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row>
    <row r="1578" spans="2:28" x14ac:dyDescent="0.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row>
    <row r="1579" spans="2:28" x14ac:dyDescent="0.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row>
    <row r="1580" spans="2:28" x14ac:dyDescent="0.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row>
    <row r="1581" spans="2:28" x14ac:dyDescent="0.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row>
    <row r="1582" spans="2:28" x14ac:dyDescent="0.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row>
    <row r="1583" spans="2:28" x14ac:dyDescent="0.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row>
    <row r="1584" spans="2:28" x14ac:dyDescent="0.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row>
    <row r="1585" spans="2:28" x14ac:dyDescent="0.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row>
    <row r="1586" spans="2:28" x14ac:dyDescent="0.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row>
    <row r="1587" spans="2:28" x14ac:dyDescent="0.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row>
    <row r="1588" spans="2:28" x14ac:dyDescent="0.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row>
    <row r="1589" spans="2:28" x14ac:dyDescent="0.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row>
    <row r="1590" spans="2:28" x14ac:dyDescent="0.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row>
    <row r="1591" spans="2:28" x14ac:dyDescent="0.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row>
    <row r="1592" spans="2:28" x14ac:dyDescent="0.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row>
    <row r="1593" spans="2:28" x14ac:dyDescent="0.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row>
    <row r="1594" spans="2:28" x14ac:dyDescent="0.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row>
    <row r="1595" spans="2:28" x14ac:dyDescent="0.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row>
    <row r="1596" spans="2:28" x14ac:dyDescent="0.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row>
    <row r="1597" spans="2:28" x14ac:dyDescent="0.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row>
    <row r="1598" spans="2:28" x14ac:dyDescent="0.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row>
    <row r="1599" spans="2:28" x14ac:dyDescent="0.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row>
  </sheetData>
  <mergeCells count="3">
    <mergeCell ref="B9:M9"/>
    <mergeCell ref="B30:M30"/>
    <mergeCell ref="B49:M49"/>
  </mergeCells>
  <phoneticPr fontId="12" type="noConversion"/>
  <printOptions horizontalCentered="1"/>
  <pageMargins left="1" right="1" top="1" bottom="0.5" header="0.5" footer="0.5"/>
  <pageSetup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1"/>
  <sheetViews>
    <sheetView workbookViewId="0"/>
  </sheetViews>
  <sheetFormatPr defaultColWidth="9.77734375" defaultRowHeight="15" x14ac:dyDescent="0.2"/>
  <cols>
    <col min="1" max="1" width="5.77734375" style="18" customWidth="1"/>
    <col min="2" max="2" width="10.21875" style="18" customWidth="1"/>
    <col min="3" max="3" width="3.5546875" style="18" customWidth="1"/>
    <col min="4" max="4" width="9.77734375" style="18" customWidth="1"/>
    <col min="5" max="5" width="3.5546875" style="18" customWidth="1"/>
    <col min="6" max="6" width="9.77734375" style="18" customWidth="1"/>
    <col min="7" max="7" width="3.5546875" style="18" customWidth="1"/>
    <col min="8" max="8" width="9.77734375" style="18" customWidth="1"/>
    <col min="9" max="9" width="3.5546875" style="18" customWidth="1"/>
    <col min="10" max="16384" width="9.77734375" style="18"/>
  </cols>
  <sheetData>
    <row r="1" spans="1:10" x14ac:dyDescent="0.2">
      <c r="A1" s="16" t="s">
        <v>51</v>
      </c>
      <c r="B1" s="17"/>
      <c r="C1" s="17"/>
      <c r="D1" s="17"/>
      <c r="E1" s="17"/>
      <c r="F1" s="17"/>
      <c r="G1" s="17"/>
      <c r="H1" s="17"/>
      <c r="I1" s="17"/>
      <c r="J1" s="17"/>
    </row>
    <row r="2" spans="1:10" x14ac:dyDescent="0.2">
      <c r="A2" s="186"/>
      <c r="B2" s="17"/>
      <c r="C2" s="17"/>
      <c r="D2" s="17"/>
      <c r="E2" s="17"/>
      <c r="F2" s="17"/>
      <c r="G2" s="17"/>
      <c r="H2" s="17"/>
      <c r="I2" s="17"/>
      <c r="J2" s="17"/>
    </row>
    <row r="3" spans="1:10" x14ac:dyDescent="0.2">
      <c r="A3" s="17"/>
      <c r="B3" s="17"/>
      <c r="C3" s="17"/>
      <c r="D3" s="17"/>
      <c r="E3" s="17"/>
      <c r="F3" s="17"/>
      <c r="G3" s="17"/>
      <c r="H3" s="17"/>
      <c r="I3" s="17"/>
      <c r="J3" s="17"/>
    </row>
    <row r="4" spans="1:10" x14ac:dyDescent="0.2">
      <c r="A4" s="17" t="s">
        <v>221</v>
      </c>
      <c r="B4" s="17"/>
      <c r="C4" s="17"/>
      <c r="D4" s="17"/>
      <c r="E4" s="17"/>
      <c r="F4" s="17"/>
      <c r="G4" s="17"/>
      <c r="H4" s="17"/>
      <c r="I4" s="17"/>
      <c r="J4" s="17"/>
    </row>
    <row r="5" spans="1:10" x14ac:dyDescent="0.2">
      <c r="A5" s="19"/>
      <c r="B5" s="19"/>
      <c r="C5" s="19"/>
      <c r="D5" s="19"/>
      <c r="E5" s="19"/>
      <c r="F5" s="19"/>
      <c r="G5" s="19"/>
      <c r="H5" s="19"/>
      <c r="I5" s="19"/>
      <c r="J5" s="19"/>
    </row>
    <row r="6" spans="1:10" x14ac:dyDescent="0.2">
      <c r="A6" s="19"/>
      <c r="B6" s="19"/>
      <c r="C6" s="19"/>
      <c r="D6" s="19"/>
      <c r="E6" s="19"/>
      <c r="F6" s="19"/>
      <c r="G6" s="19"/>
      <c r="H6" s="19"/>
      <c r="I6" s="19"/>
      <c r="J6" s="19"/>
    </row>
    <row r="7" spans="1:10" x14ac:dyDescent="0.2">
      <c r="A7" s="19" t="s">
        <v>206</v>
      </c>
      <c r="B7" s="19"/>
      <c r="C7" s="19"/>
      <c r="D7" s="19"/>
      <c r="E7" s="19"/>
      <c r="F7" s="19"/>
      <c r="G7" s="19"/>
      <c r="H7" s="19"/>
      <c r="I7" s="19"/>
      <c r="J7" s="19"/>
    </row>
    <row r="8" spans="1:10" x14ac:dyDescent="0.2">
      <c r="A8" s="19" t="s">
        <v>222</v>
      </c>
      <c r="B8" s="19"/>
      <c r="C8" s="19"/>
      <c r="D8" s="19"/>
      <c r="E8" s="19"/>
      <c r="F8" s="19"/>
      <c r="G8" s="19"/>
      <c r="H8" s="19"/>
      <c r="I8" s="19"/>
      <c r="J8" s="19"/>
    </row>
    <row r="9" spans="1:10" x14ac:dyDescent="0.2">
      <c r="A9" s="19"/>
      <c r="B9" s="19"/>
      <c r="C9" s="19"/>
      <c r="D9" s="19"/>
      <c r="E9" s="19"/>
      <c r="F9" s="19"/>
      <c r="G9" s="19"/>
      <c r="H9" s="19"/>
      <c r="I9" s="19"/>
      <c r="J9" s="19"/>
    </row>
    <row r="10" spans="1:10" x14ac:dyDescent="0.2">
      <c r="A10" s="19"/>
      <c r="B10" s="19"/>
      <c r="C10" s="19"/>
      <c r="D10" s="19"/>
      <c r="E10" s="19"/>
      <c r="F10" s="19"/>
      <c r="G10" s="19"/>
      <c r="H10" s="19"/>
      <c r="I10" s="19"/>
      <c r="J10" s="19"/>
    </row>
    <row r="11" spans="1:10" x14ac:dyDescent="0.2">
      <c r="A11" s="19"/>
      <c r="B11" s="19"/>
      <c r="C11" s="19"/>
      <c r="D11" s="19"/>
      <c r="E11" s="19"/>
      <c r="F11" s="17" t="s">
        <v>223</v>
      </c>
      <c r="G11" s="17"/>
      <c r="H11" s="16"/>
      <c r="I11" s="17"/>
      <c r="J11" s="17"/>
    </row>
    <row r="12" spans="1:10" x14ac:dyDescent="0.2">
      <c r="A12" s="19"/>
      <c r="B12" s="19"/>
      <c r="C12" s="19"/>
      <c r="D12" s="20" t="s">
        <v>189</v>
      </c>
      <c r="E12" s="20"/>
      <c r="F12" s="21"/>
      <c r="G12" s="21"/>
      <c r="H12" s="21" t="s">
        <v>224</v>
      </c>
      <c r="I12" s="21"/>
      <c r="J12" s="22"/>
    </row>
    <row r="13" spans="1:10" x14ac:dyDescent="0.2">
      <c r="A13" s="17" t="s">
        <v>190</v>
      </c>
      <c r="B13" s="17"/>
      <c r="C13" s="19"/>
      <c r="D13" s="20" t="s">
        <v>191</v>
      </c>
      <c r="E13" s="20"/>
      <c r="F13" s="23"/>
      <c r="G13" s="20"/>
      <c r="H13" s="20" t="s">
        <v>337</v>
      </c>
      <c r="I13" s="20"/>
      <c r="J13" s="20" t="s">
        <v>192</v>
      </c>
    </row>
    <row r="14" spans="1:10" x14ac:dyDescent="0.2">
      <c r="A14" s="17" t="s">
        <v>193</v>
      </c>
      <c r="B14" s="17"/>
      <c r="C14" s="19"/>
      <c r="D14" s="20" t="s">
        <v>337</v>
      </c>
      <c r="E14" s="20"/>
      <c r="F14" s="20" t="s">
        <v>225</v>
      </c>
      <c r="G14" s="20"/>
      <c r="H14" s="20" t="s">
        <v>226</v>
      </c>
      <c r="I14" s="20"/>
      <c r="J14" s="20" t="s">
        <v>194</v>
      </c>
    </row>
    <row r="15" spans="1:10" x14ac:dyDescent="0.2">
      <c r="A15" s="24" t="s">
        <v>195</v>
      </c>
      <c r="B15" s="24"/>
      <c r="C15" s="19"/>
      <c r="D15" s="21" t="s">
        <v>214</v>
      </c>
      <c r="E15" s="19"/>
      <c r="F15" s="21" t="s">
        <v>197</v>
      </c>
      <c r="G15" s="19"/>
      <c r="H15" s="21" t="s">
        <v>227</v>
      </c>
      <c r="I15" s="19"/>
      <c r="J15" s="21" t="s">
        <v>228</v>
      </c>
    </row>
    <row r="16" spans="1:10" x14ac:dyDescent="0.2">
      <c r="A16" s="19"/>
      <c r="B16" s="19"/>
      <c r="C16" s="19"/>
      <c r="D16" s="19"/>
      <c r="E16" s="19"/>
      <c r="F16" s="19"/>
      <c r="G16" s="19"/>
      <c r="H16" s="19"/>
      <c r="I16" s="19"/>
      <c r="J16" s="19"/>
    </row>
    <row r="17" spans="1:13" x14ac:dyDescent="0.2">
      <c r="A17" s="2" t="s">
        <v>198</v>
      </c>
      <c r="B17" s="19"/>
      <c r="C17" s="19"/>
      <c r="D17" s="164">
        <f>'F 1-2'!$G$16</f>
        <v>14623</v>
      </c>
      <c r="E17" s="19"/>
      <c r="F17" s="25">
        <v>0.8</v>
      </c>
      <c r="G17" s="19"/>
      <c r="H17" s="164">
        <f>ROUND(+D17*F17,0)</f>
        <v>11698</v>
      </c>
      <c r="I17" s="19"/>
      <c r="J17" s="26">
        <f>ROUND(H17/H$23,4)-0.0001</f>
        <v>0.55869999999999997</v>
      </c>
    </row>
    <row r="18" spans="1:13" x14ac:dyDescent="0.2">
      <c r="A18" s="2" t="s">
        <v>334</v>
      </c>
      <c r="B18" s="19"/>
      <c r="C18" s="19"/>
      <c r="D18" s="164">
        <f>'F 1-2'!$G$17</f>
        <v>8120</v>
      </c>
      <c r="E18" s="19"/>
      <c r="F18" s="25">
        <v>0.65</v>
      </c>
      <c r="G18" s="19"/>
      <c r="H18" s="164">
        <f>ROUND(+D18*F18,0)</f>
        <v>5278</v>
      </c>
      <c r="I18" s="19"/>
      <c r="J18" s="27">
        <f>ROUND(H18/H$23,4)</f>
        <v>0.25209999999999999</v>
      </c>
    </row>
    <row r="19" spans="1:13" x14ac:dyDescent="0.2">
      <c r="A19" s="2" t="s">
        <v>200</v>
      </c>
      <c r="B19" s="19"/>
      <c r="C19" s="19"/>
      <c r="D19" s="164">
        <f>'F 1-2'!$G$18</f>
        <v>3188</v>
      </c>
      <c r="E19" s="19"/>
      <c r="F19" s="25">
        <v>0.6</v>
      </c>
      <c r="G19" s="19"/>
      <c r="H19" s="164">
        <f>ROUND(+D19*F19,0)</f>
        <v>1913</v>
      </c>
      <c r="I19" s="19"/>
      <c r="J19" s="27">
        <f>ROUND(H19/H$23,4)</f>
        <v>9.1399999999999995E-2</v>
      </c>
    </row>
    <row r="20" spans="1:13" x14ac:dyDescent="0.2">
      <c r="A20" s="2" t="s">
        <v>201</v>
      </c>
      <c r="B20" s="19"/>
      <c r="C20" s="19"/>
      <c r="D20" s="164">
        <f>'F 1-2'!$G$19</f>
        <v>1848</v>
      </c>
      <c r="E20" s="19"/>
      <c r="F20" s="25">
        <v>0.6</v>
      </c>
      <c r="G20" s="19"/>
      <c r="H20" s="164">
        <f>ROUND(+D20*F20,0)</f>
        <v>1109</v>
      </c>
      <c r="I20" s="19"/>
      <c r="J20" s="27">
        <f>ROUND(H20/H$23,4)</f>
        <v>5.2999999999999999E-2</v>
      </c>
    </row>
    <row r="21" spans="1:13" x14ac:dyDescent="0.2">
      <c r="A21" s="2" t="s">
        <v>105</v>
      </c>
      <c r="B21" s="19"/>
      <c r="C21" s="19"/>
      <c r="D21" s="164">
        <f>'F 1-2'!$G$20</f>
        <v>1562</v>
      </c>
      <c r="E21" s="19"/>
      <c r="F21" s="25">
        <v>0.6</v>
      </c>
      <c r="G21" s="19"/>
      <c r="H21" s="164">
        <f>ROUND(+D21*F21,0)</f>
        <v>937</v>
      </c>
      <c r="I21" s="19"/>
      <c r="J21" s="27">
        <f>ROUND(H21/H$23,4)</f>
        <v>4.48E-2</v>
      </c>
    </row>
    <row r="22" spans="1:13" x14ac:dyDescent="0.2">
      <c r="A22" s="19"/>
      <c r="B22" s="19"/>
      <c r="C22" s="19"/>
      <c r="D22" s="165"/>
      <c r="E22" s="19"/>
      <c r="F22" s="28"/>
      <c r="G22" s="19"/>
      <c r="H22" s="165"/>
      <c r="I22" s="19"/>
      <c r="J22" s="29"/>
    </row>
    <row r="23" spans="1:13" ht="15.75" thickBot="1" x14ac:dyDescent="0.25">
      <c r="A23" s="19" t="s">
        <v>205</v>
      </c>
      <c r="B23" s="19"/>
      <c r="C23" s="19"/>
      <c r="D23" s="164">
        <f>SUM(D17:D21)</f>
        <v>29341</v>
      </c>
      <c r="E23" s="19"/>
      <c r="F23" s="28"/>
      <c r="G23" s="19"/>
      <c r="H23" s="203">
        <f>SUM(H17:H21)</f>
        <v>20935</v>
      </c>
      <c r="I23" s="19"/>
      <c r="J23" s="27">
        <f>SUM(J17:J22)</f>
        <v>1</v>
      </c>
      <c r="L23" s="290"/>
      <c r="M23" s="291"/>
    </row>
    <row r="24" spans="1:13" ht="15.75" thickTop="1" x14ac:dyDescent="0.2">
      <c r="A24" s="19"/>
      <c r="B24" s="19"/>
      <c r="C24" s="19"/>
      <c r="D24" s="30"/>
      <c r="E24" s="19"/>
      <c r="F24" s="28"/>
      <c r="G24" s="19"/>
      <c r="H24" s="202"/>
      <c r="I24" s="19"/>
      <c r="J24" s="31"/>
      <c r="M24" s="292"/>
    </row>
    <row r="25" spans="1:13" x14ac:dyDescent="0.2">
      <c r="A25" s="19"/>
      <c r="B25" s="19"/>
      <c r="C25" s="19"/>
      <c r="D25" s="32"/>
      <c r="E25" s="19"/>
      <c r="F25" s="19"/>
      <c r="G25" s="19"/>
      <c r="H25" s="28"/>
      <c r="I25" s="19"/>
      <c r="J25" s="19"/>
    </row>
    <row r="26" spans="1:13" ht="30.6" customHeight="1" x14ac:dyDescent="0.2">
      <c r="A26" s="625" t="s">
        <v>496</v>
      </c>
      <c r="B26" s="625"/>
      <c r="C26" s="625"/>
      <c r="D26" s="625"/>
      <c r="E26" s="625"/>
      <c r="F26" s="625"/>
      <c r="G26" s="625"/>
      <c r="H26" s="625"/>
      <c r="I26" s="625"/>
      <c r="J26" s="625"/>
    </row>
    <row r="27" spans="1:13" x14ac:dyDescent="0.2">
      <c r="A27" s="19"/>
      <c r="B27" s="19"/>
      <c r="C27" s="19"/>
      <c r="D27" s="19"/>
      <c r="E27" s="19"/>
      <c r="F27" s="19"/>
      <c r="G27" s="19"/>
      <c r="H27" s="19"/>
      <c r="I27" s="19"/>
      <c r="J27" s="19"/>
    </row>
    <row r="28" spans="1:13" x14ac:dyDescent="0.2">
      <c r="A28" s="19"/>
      <c r="B28" s="19"/>
      <c r="C28" s="19"/>
      <c r="D28" s="19"/>
      <c r="E28" s="19"/>
      <c r="F28" s="19"/>
      <c r="G28" s="19"/>
      <c r="H28" s="19"/>
      <c r="I28" s="19"/>
      <c r="J28" s="19"/>
    </row>
    <row r="29" spans="1:13" x14ac:dyDescent="0.2">
      <c r="A29" s="19"/>
      <c r="D29" s="19"/>
      <c r="E29" s="19"/>
      <c r="F29" s="20" t="s">
        <v>229</v>
      </c>
      <c r="G29" s="20"/>
      <c r="H29" s="20"/>
      <c r="I29" s="19"/>
      <c r="J29" s="19"/>
    </row>
    <row r="30" spans="1:13" x14ac:dyDescent="0.2">
      <c r="A30" s="19"/>
      <c r="D30" s="19"/>
      <c r="E30" s="19"/>
      <c r="F30" s="20" t="s">
        <v>230</v>
      </c>
      <c r="G30" s="20"/>
      <c r="H30" s="20"/>
      <c r="I30" s="19"/>
      <c r="J30" s="19"/>
    </row>
    <row r="31" spans="1:13" x14ac:dyDescent="0.2">
      <c r="A31" s="19"/>
      <c r="D31" s="19"/>
      <c r="E31" s="19"/>
      <c r="F31" s="20" t="s">
        <v>231</v>
      </c>
      <c r="G31" s="20"/>
      <c r="H31" s="20" t="s">
        <v>232</v>
      </c>
      <c r="I31" s="19"/>
      <c r="J31" s="19"/>
    </row>
    <row r="32" spans="1:13" x14ac:dyDescent="0.2">
      <c r="A32" s="19"/>
      <c r="D32" s="19"/>
      <c r="E32" s="19"/>
      <c r="F32" s="33"/>
      <c r="G32" s="19"/>
      <c r="H32" s="33"/>
      <c r="I32" s="19"/>
      <c r="J32" s="19"/>
    </row>
    <row r="33" spans="1:10" x14ac:dyDescent="0.2">
      <c r="A33" s="19"/>
      <c r="D33" s="19" t="s">
        <v>233</v>
      </c>
      <c r="F33" s="25">
        <v>1</v>
      </c>
      <c r="G33" s="19"/>
      <c r="H33" s="27">
        <f>ROUND(F33/F37,4)</f>
        <v>0.625</v>
      </c>
      <c r="I33" s="19"/>
      <c r="J33" s="19"/>
    </row>
    <row r="34" spans="1:10" x14ac:dyDescent="0.2">
      <c r="A34" s="19"/>
      <c r="D34" s="19" t="s">
        <v>209</v>
      </c>
      <c r="F34" s="25"/>
      <c r="G34" s="19"/>
      <c r="H34" s="19"/>
      <c r="I34" s="19"/>
      <c r="J34" s="19"/>
    </row>
    <row r="35" spans="1:10" x14ac:dyDescent="0.2">
      <c r="A35" s="19"/>
      <c r="D35" s="19" t="s">
        <v>151</v>
      </c>
      <c r="F35" s="25">
        <v>0.6</v>
      </c>
      <c r="G35" s="19"/>
      <c r="H35" s="27">
        <f>ROUND(F35/F37,4)</f>
        <v>0.375</v>
      </c>
      <c r="I35" s="19"/>
      <c r="J35" s="19"/>
    </row>
    <row r="36" spans="1:10" x14ac:dyDescent="0.2">
      <c r="A36" s="19"/>
      <c r="D36" s="19"/>
      <c r="F36" s="34"/>
      <c r="G36" s="19"/>
      <c r="H36" s="33"/>
      <c r="I36" s="19"/>
      <c r="J36" s="19"/>
    </row>
    <row r="37" spans="1:10" ht="15.75" thickBot="1" x14ac:dyDescent="0.25">
      <c r="A37" s="19"/>
      <c r="D37" s="19" t="s">
        <v>235</v>
      </c>
      <c r="F37" s="208">
        <f>SUM(F33:F36)</f>
        <v>1.6</v>
      </c>
      <c r="G37" s="19"/>
      <c r="H37" s="27">
        <f>SUM(H33:H36)</f>
        <v>1</v>
      </c>
      <c r="I37" s="19"/>
      <c r="J37" s="19"/>
    </row>
    <row r="38" spans="1:10" ht="15.75" thickTop="1" x14ac:dyDescent="0.2">
      <c r="A38" s="19"/>
      <c r="D38" s="19"/>
      <c r="E38" s="19"/>
      <c r="F38" s="207"/>
      <c r="G38" s="19"/>
      <c r="H38" s="35"/>
      <c r="I38" s="19"/>
      <c r="J38" s="19"/>
    </row>
    <row r="39" spans="1:10" x14ac:dyDescent="0.2">
      <c r="A39" s="19"/>
      <c r="B39" s="19"/>
      <c r="C39" s="19"/>
      <c r="D39" s="19"/>
      <c r="E39" s="25"/>
      <c r="F39" s="19"/>
      <c r="G39" s="19"/>
      <c r="H39" s="19"/>
      <c r="I39" s="19"/>
      <c r="J39" s="19"/>
    </row>
    <row r="40" spans="1:10" x14ac:dyDescent="0.2">
      <c r="A40" s="19"/>
      <c r="B40" s="19"/>
      <c r="C40" s="19"/>
      <c r="D40" s="19"/>
      <c r="E40" s="19"/>
      <c r="F40" s="19"/>
      <c r="G40" s="19"/>
      <c r="H40" s="19"/>
      <c r="I40" s="19"/>
      <c r="J40" s="19"/>
    </row>
    <row r="41" spans="1:10" x14ac:dyDescent="0.2">
      <c r="A41" s="33" t="s">
        <v>236</v>
      </c>
      <c r="B41" s="33"/>
      <c r="C41" s="19"/>
      <c r="D41" s="19"/>
      <c r="E41" s="19"/>
      <c r="F41" s="19"/>
      <c r="G41" s="19"/>
      <c r="H41" s="19"/>
      <c r="I41" s="19"/>
      <c r="J41" s="19"/>
    </row>
  </sheetData>
  <mergeCells count="1">
    <mergeCell ref="A26:J26"/>
  </mergeCells>
  <phoneticPr fontId="12" type="noConversion"/>
  <printOptions horizontalCentered="1"/>
  <pageMargins left="1" right="1" top="1"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O186"/>
  <sheetViews>
    <sheetView workbookViewId="0"/>
  </sheetViews>
  <sheetFormatPr defaultColWidth="9.77734375" defaultRowHeight="15" x14ac:dyDescent="0.2"/>
  <cols>
    <col min="1" max="1" width="7.77734375" style="37" customWidth="1"/>
    <col min="2" max="2" width="7.88671875" style="37" customWidth="1"/>
    <col min="3" max="3" width="2.109375" style="37" customWidth="1"/>
    <col min="4" max="4" width="7.77734375" style="37" customWidth="1"/>
    <col min="5" max="5" width="2.109375" style="37" customWidth="1"/>
    <col min="6" max="6" width="7.77734375" style="37" customWidth="1"/>
    <col min="7" max="7" width="2.109375" style="37" customWidth="1"/>
    <col min="8" max="8" width="7.77734375" style="37" customWidth="1"/>
    <col min="9" max="9" width="2.109375" style="37" customWidth="1"/>
    <col min="10" max="10" width="7.77734375" style="37" customWidth="1"/>
    <col min="11" max="11" width="2.109375" style="37" customWidth="1"/>
    <col min="12" max="12" width="7.77734375" style="37" customWidth="1"/>
    <col min="13" max="13" width="2.109375" style="37" customWidth="1"/>
    <col min="14" max="14" width="7.77734375" style="37" customWidth="1"/>
    <col min="15" max="15" width="2.109375" style="37" customWidth="1"/>
    <col min="16" max="16" width="10.77734375" style="37" customWidth="1"/>
    <col min="17" max="17" width="2.109375" style="37" customWidth="1"/>
    <col min="18" max="18" width="11" style="37" customWidth="1"/>
    <col min="19" max="19" width="7.77734375" style="37" customWidth="1"/>
    <col min="20" max="20" width="3.77734375" style="37" customWidth="1"/>
    <col min="21" max="21" width="7.77734375" style="37" customWidth="1"/>
    <col min="22" max="22" width="2.77734375" style="37" customWidth="1"/>
    <col min="23" max="23" width="7.77734375" style="37" customWidth="1"/>
    <col min="24" max="24" width="2.77734375" style="37" customWidth="1"/>
    <col min="25" max="25" width="12.5546875" style="37" customWidth="1"/>
    <col min="26" max="26" width="2.77734375" style="37" customWidth="1"/>
    <col min="27" max="27" width="10.44140625" style="37" customWidth="1"/>
    <col min="28" max="28" width="2.77734375" style="37" customWidth="1"/>
    <col min="29" max="29" width="10" style="37" bestFit="1" customWidth="1"/>
    <col min="30" max="30" width="2.77734375" style="37" customWidth="1"/>
    <col min="31" max="31" width="13.5546875" style="37" bestFit="1" customWidth="1"/>
    <col min="32" max="32" width="2.77734375" style="37" customWidth="1"/>
    <col min="33" max="33" width="12.44140625" style="37" bestFit="1" customWidth="1"/>
    <col min="34" max="34" width="2.77734375" style="37" customWidth="1"/>
    <col min="35" max="35" width="12" style="37" bestFit="1" customWidth="1"/>
    <col min="36" max="38" width="9.77734375" style="37" customWidth="1"/>
    <col min="39" max="39" width="12.44140625" style="37" bestFit="1" customWidth="1"/>
    <col min="40" max="40" width="6.77734375" style="37" customWidth="1"/>
    <col min="41" max="41" width="4.77734375" style="37" customWidth="1"/>
    <col min="42" max="42" width="6.77734375" style="37" customWidth="1"/>
    <col min="43" max="43" width="9.77734375" style="37" customWidth="1"/>
    <col min="44" max="44" width="3.77734375" style="37" customWidth="1"/>
    <col min="45" max="45" width="6.77734375" style="37" customWidth="1"/>
    <col min="46" max="46" width="3.77734375" style="37" customWidth="1"/>
    <col min="47" max="47" width="8.77734375" style="37" customWidth="1"/>
    <col min="48" max="48" width="3.77734375" style="37" customWidth="1"/>
    <col min="49" max="49" width="7.77734375" style="37" customWidth="1"/>
    <col min="50" max="50" width="3.77734375" style="37" customWidth="1"/>
    <col min="51" max="51" width="9.77734375" style="37" customWidth="1"/>
    <col min="52" max="52" width="6.77734375" style="37" customWidth="1"/>
    <col min="53" max="53" width="2.77734375" style="37" customWidth="1"/>
    <col min="54" max="54" width="4.77734375" style="37" customWidth="1"/>
    <col min="55" max="55" width="2.77734375" style="37" customWidth="1"/>
    <col min="56" max="56" width="11.77734375" style="37" customWidth="1"/>
    <col min="57" max="57" width="3.77734375" style="37" customWidth="1"/>
    <col min="58" max="58" width="7.77734375" style="37" customWidth="1"/>
    <col min="59" max="59" width="3.77734375" style="37" customWidth="1"/>
    <col min="60" max="60" width="7.77734375" style="37" customWidth="1"/>
    <col min="61" max="61" width="3.77734375" style="37" customWidth="1"/>
    <col min="62" max="62" width="7.77734375" style="37" customWidth="1"/>
    <col min="63" max="63" width="3.77734375" style="37" customWidth="1"/>
    <col min="64" max="64" width="7.77734375" style="37" customWidth="1"/>
    <col min="65" max="16384" width="9.77734375" style="37"/>
  </cols>
  <sheetData>
    <row r="1" spans="1:18" x14ac:dyDescent="0.2">
      <c r="A1" s="36" t="s">
        <v>51</v>
      </c>
      <c r="B1" s="36"/>
      <c r="C1" s="36"/>
      <c r="D1" s="36"/>
      <c r="E1" s="36"/>
      <c r="F1" s="36"/>
      <c r="G1" s="36"/>
      <c r="H1" s="36"/>
      <c r="I1" s="36"/>
      <c r="J1" s="36"/>
      <c r="K1" s="36"/>
      <c r="L1" s="36"/>
      <c r="M1" s="36"/>
      <c r="N1" s="36"/>
      <c r="O1" s="36"/>
      <c r="P1" s="36"/>
    </row>
    <row r="2" spans="1:18" x14ac:dyDescent="0.2">
      <c r="A2" s="36"/>
      <c r="B2" s="36"/>
      <c r="C2" s="36"/>
      <c r="D2" s="36"/>
      <c r="E2" s="36"/>
      <c r="F2" s="36"/>
      <c r="G2" s="36"/>
      <c r="H2" s="36"/>
      <c r="I2" s="36"/>
      <c r="J2" s="36"/>
      <c r="K2" s="36"/>
      <c r="L2" s="36"/>
      <c r="M2" s="36"/>
      <c r="N2" s="36"/>
      <c r="O2" s="36"/>
      <c r="P2" s="36"/>
    </row>
    <row r="3" spans="1:18" x14ac:dyDescent="0.2">
      <c r="A3" s="36"/>
      <c r="B3" s="36"/>
      <c r="C3" s="36"/>
      <c r="D3" s="36"/>
      <c r="E3" s="36"/>
      <c r="F3" s="36"/>
      <c r="G3" s="36"/>
      <c r="H3" s="36"/>
      <c r="I3" s="36"/>
      <c r="J3" s="36"/>
      <c r="K3" s="36"/>
      <c r="L3" s="36"/>
      <c r="M3" s="36"/>
      <c r="N3" s="36"/>
      <c r="O3" s="36"/>
      <c r="P3" s="36"/>
    </row>
    <row r="4" spans="1:18" x14ac:dyDescent="0.2">
      <c r="A4" s="1" t="s">
        <v>221</v>
      </c>
      <c r="B4" s="36"/>
      <c r="C4" s="36"/>
      <c r="D4" s="36"/>
      <c r="E4" s="36"/>
      <c r="F4" s="36"/>
      <c r="G4" s="36"/>
      <c r="H4" s="36"/>
      <c r="I4" s="36"/>
      <c r="J4" s="36"/>
      <c r="K4" s="36"/>
      <c r="L4" s="36"/>
      <c r="M4" s="36"/>
      <c r="N4" s="36"/>
      <c r="O4" s="36"/>
      <c r="P4" s="36"/>
    </row>
    <row r="6" spans="1:18" x14ac:dyDescent="0.2">
      <c r="A6" s="2"/>
      <c r="B6" s="2"/>
      <c r="C6" s="2"/>
      <c r="D6" s="2"/>
      <c r="E6" s="2"/>
      <c r="F6" s="2"/>
      <c r="G6" s="2"/>
      <c r="H6" s="2"/>
      <c r="I6" s="2"/>
      <c r="J6" s="2"/>
      <c r="K6" s="2"/>
      <c r="L6" s="2"/>
      <c r="M6" s="2"/>
      <c r="N6" s="2"/>
      <c r="O6" s="2"/>
      <c r="P6" s="2"/>
      <c r="Q6" s="2"/>
      <c r="R6" s="2"/>
    </row>
    <row r="7" spans="1:18" x14ac:dyDescent="0.2">
      <c r="A7" s="2" t="s">
        <v>154</v>
      </c>
      <c r="B7" s="2"/>
      <c r="C7" s="2"/>
      <c r="D7" s="2"/>
      <c r="E7" s="2"/>
      <c r="F7" s="2"/>
      <c r="G7" s="2"/>
      <c r="H7" s="2"/>
      <c r="I7" s="2"/>
      <c r="J7" s="2"/>
      <c r="K7" s="2"/>
      <c r="L7" s="2"/>
      <c r="M7" s="2"/>
      <c r="N7" s="2"/>
      <c r="O7" s="2"/>
      <c r="P7" s="2"/>
      <c r="Q7" s="2"/>
      <c r="R7" s="2"/>
    </row>
    <row r="8" spans="1:18" x14ac:dyDescent="0.2">
      <c r="A8" s="2" t="s">
        <v>153</v>
      </c>
      <c r="B8" s="2"/>
      <c r="C8" s="2"/>
      <c r="D8" s="2"/>
      <c r="E8" s="2"/>
      <c r="F8" s="2"/>
      <c r="G8" s="2"/>
      <c r="H8" s="2"/>
      <c r="I8" s="2"/>
      <c r="J8" s="2"/>
      <c r="K8" s="2"/>
      <c r="L8" s="2"/>
      <c r="M8" s="2"/>
      <c r="N8" s="2"/>
      <c r="O8" s="2"/>
      <c r="P8" s="2"/>
      <c r="Q8" s="2"/>
      <c r="R8" s="2"/>
    </row>
    <row r="9" spans="1:18" x14ac:dyDescent="0.2">
      <c r="A9" s="2"/>
      <c r="B9" s="2"/>
      <c r="C9" s="2"/>
      <c r="D9" s="2"/>
      <c r="E9" s="2"/>
      <c r="F9" s="2"/>
      <c r="G9" s="2"/>
      <c r="H9" s="2"/>
      <c r="I9" s="2"/>
      <c r="J9" s="2"/>
      <c r="K9" s="2"/>
      <c r="L9" s="2"/>
      <c r="M9" s="2"/>
      <c r="N9" s="2"/>
      <c r="O9" s="2"/>
      <c r="P9" s="2"/>
      <c r="Q9" s="2"/>
      <c r="R9" s="2"/>
    </row>
    <row r="10" spans="1:18" ht="29.85" customHeight="1" x14ac:dyDescent="0.2">
      <c r="A10" s="623" t="s">
        <v>237</v>
      </c>
      <c r="B10" s="623"/>
      <c r="C10" s="623"/>
      <c r="D10" s="623"/>
      <c r="E10" s="623"/>
      <c r="F10" s="623"/>
      <c r="G10" s="623"/>
      <c r="H10" s="623"/>
      <c r="I10" s="623"/>
      <c r="J10" s="623"/>
      <c r="K10" s="623"/>
      <c r="L10" s="623"/>
      <c r="M10" s="623"/>
      <c r="N10" s="623"/>
      <c r="O10" s="623"/>
      <c r="P10" s="623"/>
      <c r="Q10" s="2"/>
      <c r="R10" s="2"/>
    </row>
    <row r="11" spans="1:18" x14ac:dyDescent="0.2">
      <c r="A11" s="2"/>
      <c r="B11" s="2"/>
      <c r="C11" s="2"/>
      <c r="D11" s="2"/>
      <c r="E11" s="2"/>
      <c r="F11" s="2"/>
      <c r="G11" s="2"/>
      <c r="H11" s="2"/>
      <c r="I11" s="2"/>
      <c r="J11" s="2"/>
      <c r="K11" s="2"/>
      <c r="L11" s="2"/>
      <c r="M11" s="2"/>
      <c r="N11" s="2"/>
      <c r="O11" s="2"/>
      <c r="P11" s="2"/>
      <c r="Q11" s="2"/>
      <c r="R11" s="2"/>
    </row>
    <row r="12" spans="1:18" x14ac:dyDescent="0.2">
      <c r="A12" s="2"/>
      <c r="B12" s="2"/>
      <c r="C12" s="2"/>
      <c r="D12" s="1" t="s">
        <v>189</v>
      </c>
      <c r="E12" s="1"/>
      <c r="F12" s="1"/>
      <c r="G12" s="2"/>
      <c r="H12" s="1" t="s">
        <v>209</v>
      </c>
      <c r="I12" s="1"/>
      <c r="J12" s="1"/>
      <c r="K12" s="2"/>
      <c r="L12" s="2"/>
      <c r="M12" s="2"/>
      <c r="N12" s="2"/>
      <c r="O12" s="2"/>
      <c r="P12" s="2"/>
      <c r="Q12" s="2"/>
      <c r="R12" s="2"/>
    </row>
    <row r="13" spans="1:18" x14ac:dyDescent="0.2">
      <c r="A13" s="2"/>
      <c r="B13" s="2"/>
      <c r="C13" s="2"/>
      <c r="D13" s="1" t="s">
        <v>210</v>
      </c>
      <c r="E13" s="1"/>
      <c r="F13" s="1"/>
      <c r="G13" s="2"/>
      <c r="H13" s="1" t="s">
        <v>211</v>
      </c>
      <c r="I13" s="1"/>
      <c r="J13" s="1"/>
      <c r="K13" s="2"/>
      <c r="L13" s="1" t="s">
        <v>238</v>
      </c>
      <c r="M13" s="1"/>
      <c r="N13" s="1"/>
      <c r="O13" s="2"/>
      <c r="P13" s="2"/>
      <c r="Q13" s="2"/>
      <c r="R13" s="2"/>
    </row>
    <row r="14" spans="1:18" x14ac:dyDescent="0.2">
      <c r="A14" s="1" t="s">
        <v>239</v>
      </c>
      <c r="B14" s="1"/>
      <c r="C14" s="2"/>
      <c r="D14" s="10" t="s">
        <v>192</v>
      </c>
      <c r="E14" s="10"/>
      <c r="F14" s="10" t="s">
        <v>212</v>
      </c>
      <c r="G14" s="11"/>
      <c r="H14" s="10" t="s">
        <v>192</v>
      </c>
      <c r="I14" s="10"/>
      <c r="J14" s="10" t="s">
        <v>212</v>
      </c>
      <c r="K14" s="11"/>
      <c r="L14" s="10" t="s">
        <v>192</v>
      </c>
      <c r="M14" s="10"/>
      <c r="N14" s="10" t="s">
        <v>212</v>
      </c>
      <c r="O14" s="11"/>
      <c r="P14" s="11" t="s">
        <v>192</v>
      </c>
      <c r="Q14" s="11"/>
    </row>
    <row r="15" spans="1:18" x14ac:dyDescent="0.2">
      <c r="A15" s="1" t="s">
        <v>193</v>
      </c>
      <c r="B15" s="1"/>
      <c r="C15" s="2"/>
      <c r="D15" s="11" t="s">
        <v>194</v>
      </c>
      <c r="E15" s="11"/>
      <c r="F15" s="11" t="s">
        <v>194</v>
      </c>
      <c r="G15" s="11"/>
      <c r="H15" s="11" t="s">
        <v>194</v>
      </c>
      <c r="I15" s="11"/>
      <c r="J15" s="11" t="s">
        <v>194</v>
      </c>
      <c r="K15" s="11"/>
      <c r="L15" s="11" t="s">
        <v>194</v>
      </c>
      <c r="M15" s="11"/>
      <c r="N15" s="11" t="s">
        <v>194</v>
      </c>
      <c r="O15" s="11"/>
      <c r="P15" s="11" t="s">
        <v>194</v>
      </c>
      <c r="Q15" s="11"/>
    </row>
    <row r="16" spans="1:18" x14ac:dyDescent="0.2">
      <c r="A16" s="3" t="s">
        <v>195</v>
      </c>
      <c r="B16" s="3"/>
      <c r="C16" s="2"/>
      <c r="D16" s="10" t="s">
        <v>214</v>
      </c>
      <c r="E16" s="2"/>
      <c r="F16" s="12" t="s">
        <v>240</v>
      </c>
      <c r="G16" s="2"/>
      <c r="H16" s="10" t="s">
        <v>216</v>
      </c>
      <c r="I16" s="2"/>
      <c r="J16" s="12" t="s">
        <v>241</v>
      </c>
      <c r="K16" s="2"/>
      <c r="L16" s="10" t="s">
        <v>242</v>
      </c>
      <c r="M16" s="2"/>
      <c r="N16" s="12" t="s">
        <v>243</v>
      </c>
      <c r="O16" s="2"/>
      <c r="P16" s="10" t="s">
        <v>244</v>
      </c>
      <c r="Q16" s="2"/>
    </row>
    <row r="17" spans="1:67" x14ac:dyDescent="0.2">
      <c r="D17" s="38"/>
      <c r="E17" s="38"/>
      <c r="F17" s="38">
        <f>'F 3B 4B'!$I$15</f>
        <v>0.53410000000000002</v>
      </c>
      <c r="G17" s="38"/>
      <c r="H17" s="38"/>
      <c r="I17" s="38"/>
      <c r="J17" s="38">
        <f>'F 3B 4B'!$I$17</f>
        <v>0.32030000000000003</v>
      </c>
      <c r="K17" s="38"/>
      <c r="L17" s="38"/>
      <c r="M17" s="38"/>
      <c r="N17" s="38">
        <f>'F 3B 4B'!$I$21</f>
        <v>0.14560000000000001</v>
      </c>
      <c r="O17" s="38"/>
      <c r="P17" s="38"/>
    </row>
    <row r="18" spans="1:67" x14ac:dyDescent="0.2">
      <c r="D18" s="38"/>
      <c r="E18" s="38"/>
      <c r="F18" s="38"/>
      <c r="G18" s="38"/>
      <c r="H18" s="38"/>
      <c r="I18" s="38"/>
      <c r="J18" s="38"/>
      <c r="K18" s="38"/>
      <c r="L18" s="38"/>
      <c r="M18" s="38"/>
      <c r="N18" s="38"/>
      <c r="O18" s="38"/>
      <c r="P18" s="38"/>
    </row>
    <row r="19" spans="1:67" x14ac:dyDescent="0.2">
      <c r="A19" s="2" t="s">
        <v>198</v>
      </c>
      <c r="D19" s="38">
        <f>'F 1-2'!$K$16</f>
        <v>0.49540000000000001</v>
      </c>
      <c r="E19" s="38"/>
      <c r="F19" s="38">
        <f>ROUND($F$17*D19,4)</f>
        <v>0.2646</v>
      </c>
      <c r="G19" s="38"/>
      <c r="H19" s="38">
        <f>'F 2 B'!$J$17</f>
        <v>0.55869999999999997</v>
      </c>
      <c r="I19" s="38"/>
      <c r="J19" s="38">
        <f>ROUND($J$17*H19,4)</f>
        <v>0.17899999999999999</v>
      </c>
      <c r="K19" s="38"/>
      <c r="L19" s="38"/>
      <c r="M19" s="38"/>
      <c r="N19" s="38"/>
      <c r="O19" s="38"/>
      <c r="P19" s="38">
        <f t="shared" ref="P19:P25" si="0">N19+J19+F19</f>
        <v>0.44359999999999999</v>
      </c>
    </row>
    <row r="20" spans="1:67" x14ac:dyDescent="0.2">
      <c r="A20" s="2" t="s">
        <v>199</v>
      </c>
      <c r="D20" s="38">
        <f>'F 1-2'!$K$17</f>
        <v>0.27510000000000001</v>
      </c>
      <c r="E20" s="38"/>
      <c r="F20" s="38">
        <f t="shared" ref="F20:F25" si="1">ROUND($F$17*D20,4)</f>
        <v>0.1469</v>
      </c>
      <c r="G20" s="38"/>
      <c r="H20" s="38">
        <f>'F 2 B'!$J$18</f>
        <v>0.25209999999999999</v>
      </c>
      <c r="I20" s="38"/>
      <c r="J20" s="38">
        <f>ROUND($J$17*H20,4)</f>
        <v>8.0699999999999994E-2</v>
      </c>
      <c r="K20" s="38"/>
      <c r="L20" s="38"/>
      <c r="M20" s="38"/>
      <c r="N20" s="38"/>
      <c r="O20" s="38"/>
      <c r="P20" s="38">
        <f t="shared" si="0"/>
        <v>0.2276</v>
      </c>
    </row>
    <row r="21" spans="1:67" x14ac:dyDescent="0.2">
      <c r="A21" s="2" t="s">
        <v>200</v>
      </c>
      <c r="D21" s="38">
        <f>'F 1-2'!$K$18</f>
        <v>0.108</v>
      </c>
      <c r="E21" s="38"/>
      <c r="F21" s="38">
        <f>ROUND($F$17*D21,4)</f>
        <v>5.7700000000000001E-2</v>
      </c>
      <c r="G21" s="38"/>
      <c r="H21" s="38">
        <f>'F 2 B'!$J$19</f>
        <v>9.1399999999999995E-2</v>
      </c>
      <c r="I21" s="38"/>
      <c r="J21" s="38">
        <f>ROUND($J$17*H21,4)</f>
        <v>2.93E-2</v>
      </c>
      <c r="K21" s="38"/>
      <c r="L21" s="38"/>
      <c r="M21" s="38"/>
      <c r="N21" s="38"/>
      <c r="O21" s="38"/>
      <c r="P21" s="38">
        <f t="shared" si="0"/>
        <v>8.6999999999999994E-2</v>
      </c>
    </row>
    <row r="22" spans="1:67" x14ac:dyDescent="0.2">
      <c r="A22" s="2" t="s">
        <v>201</v>
      </c>
      <c r="D22" s="38">
        <f>'F 1-2'!$K$19</f>
        <v>6.2600000000000003E-2</v>
      </c>
      <c r="E22" s="38"/>
      <c r="F22" s="344">
        <f t="shared" si="1"/>
        <v>3.3399999999999999E-2</v>
      </c>
      <c r="G22" s="38"/>
      <c r="H22" s="38">
        <f>'F 2 B'!$J$20</f>
        <v>5.2999999999999999E-2</v>
      </c>
      <c r="I22" s="38"/>
      <c r="J22" s="38">
        <f>ROUND($J$17*H22,4)</f>
        <v>1.7000000000000001E-2</v>
      </c>
      <c r="K22" s="38"/>
      <c r="L22" s="38"/>
      <c r="M22" s="38"/>
      <c r="N22" s="38"/>
      <c r="O22" s="38"/>
      <c r="P22" s="38">
        <f t="shared" si="0"/>
        <v>5.04E-2</v>
      </c>
    </row>
    <row r="23" spans="1:67" x14ac:dyDescent="0.2">
      <c r="A23" s="2" t="s">
        <v>321</v>
      </c>
      <c r="D23" s="38">
        <f>'F 1-2'!$K$20</f>
        <v>5.2900000000000003E-2</v>
      </c>
      <c r="E23" s="38"/>
      <c r="F23" s="38">
        <f>ROUND($F$17*D23,4)</f>
        <v>2.8299999999999999E-2</v>
      </c>
      <c r="G23" s="38"/>
      <c r="H23" s="38">
        <f>'F 2 B'!$J$21</f>
        <v>4.48E-2</v>
      </c>
      <c r="I23" s="38"/>
      <c r="J23" s="38">
        <f>ROUND($J$17*H23,4)</f>
        <v>1.43E-2</v>
      </c>
      <c r="K23" s="38"/>
      <c r="L23" s="38"/>
      <c r="M23" s="38"/>
      <c r="N23" s="38"/>
      <c r="O23" s="38"/>
      <c r="P23" s="38">
        <f t="shared" si="0"/>
        <v>4.2599999999999999E-2</v>
      </c>
    </row>
    <row r="24" spans="1:67" hidden="1" x14ac:dyDescent="0.2">
      <c r="A24" s="2" t="s">
        <v>203</v>
      </c>
      <c r="D24" s="38">
        <f>'F 1-2'!$K$21</f>
        <v>0</v>
      </c>
      <c r="E24" s="38"/>
      <c r="F24" s="38">
        <f t="shared" si="1"/>
        <v>0</v>
      </c>
      <c r="G24" s="38"/>
      <c r="H24" s="38"/>
      <c r="I24" s="38"/>
      <c r="J24" s="38"/>
      <c r="K24" s="38"/>
      <c r="L24" s="38">
        <f>Fire!$O$24</f>
        <v>0</v>
      </c>
      <c r="M24" s="38"/>
      <c r="N24" s="38">
        <f>ROUND($N$17*L24,4)</f>
        <v>0</v>
      </c>
      <c r="O24" s="38"/>
      <c r="P24" s="38">
        <f t="shared" si="0"/>
        <v>0</v>
      </c>
    </row>
    <row r="25" spans="1:67" x14ac:dyDescent="0.2">
      <c r="A25" s="2" t="s">
        <v>238</v>
      </c>
      <c r="D25" s="38">
        <f>'F 1-2'!$K$22</f>
        <v>6.0000000000000001E-3</v>
      </c>
      <c r="E25" s="38"/>
      <c r="F25" s="38">
        <f t="shared" si="1"/>
        <v>3.2000000000000002E-3</v>
      </c>
      <c r="G25" s="38"/>
      <c r="H25" s="38"/>
      <c r="I25" s="38"/>
      <c r="J25" s="38"/>
      <c r="K25" s="38"/>
      <c r="L25" s="38">
        <f>Fire!$O$32</f>
        <v>1</v>
      </c>
      <c r="M25" s="38"/>
      <c r="N25" s="38">
        <f>ROUND($N$17*L25,4)</f>
        <v>0.14560000000000001</v>
      </c>
      <c r="O25" s="38"/>
      <c r="P25" s="38">
        <f t="shared" si="0"/>
        <v>0.14880000000000002</v>
      </c>
    </row>
    <row r="26" spans="1:67" x14ac:dyDescent="0.2">
      <c r="A26" s="2"/>
      <c r="D26" s="39"/>
      <c r="E26" s="38"/>
      <c r="F26" s="39"/>
      <c r="G26" s="38"/>
      <c r="H26" s="39"/>
      <c r="I26" s="38"/>
      <c r="J26" s="39"/>
      <c r="K26" s="38"/>
      <c r="L26" s="39"/>
      <c r="M26" s="38"/>
      <c r="N26" s="39"/>
      <c r="O26" s="38"/>
      <c r="P26" s="39"/>
    </row>
    <row r="27" spans="1:67" x14ac:dyDescent="0.2">
      <c r="A27" s="2" t="s">
        <v>205</v>
      </c>
      <c r="D27" s="38">
        <f>SUM(D19:D25)</f>
        <v>1</v>
      </c>
      <c r="E27" s="38"/>
      <c r="F27" s="38">
        <f>SUM(F19:F25)</f>
        <v>0.53409999999999991</v>
      </c>
      <c r="G27" s="38"/>
      <c r="H27" s="38">
        <f>SUM(H19:H25)</f>
        <v>1</v>
      </c>
      <c r="I27" s="38"/>
      <c r="J27" s="38">
        <f>SUM(J19:J25)</f>
        <v>0.32029999999999997</v>
      </c>
      <c r="K27" s="38"/>
      <c r="L27" s="38">
        <f>SUM(L19:L25)</f>
        <v>1</v>
      </c>
      <c r="M27" s="38"/>
      <c r="N27" s="38">
        <f>SUM(N19:N25)</f>
        <v>0.14560000000000001</v>
      </c>
      <c r="O27" s="38"/>
      <c r="P27" s="38">
        <f>SUM(P19:P25)</f>
        <v>1</v>
      </c>
    </row>
    <row r="28" spans="1:67" x14ac:dyDescent="0.2">
      <c r="D28" s="40"/>
      <c r="E28" s="38"/>
      <c r="F28" s="40"/>
      <c r="G28" s="38"/>
      <c r="H28" s="40"/>
      <c r="I28" s="38"/>
      <c r="J28" s="40"/>
      <c r="K28" s="38"/>
      <c r="L28" s="40"/>
      <c r="M28" s="38"/>
      <c r="N28" s="40"/>
      <c r="O28" s="38"/>
      <c r="P28" s="40"/>
    </row>
    <row r="31" spans="1:67" x14ac:dyDescent="0.2">
      <c r="A31" s="36" t="s">
        <v>51</v>
      </c>
      <c r="B31" s="1"/>
      <c r="C31" s="1"/>
      <c r="D31" s="1"/>
      <c r="E31" s="1"/>
      <c r="F31" s="1"/>
      <c r="G31" s="36"/>
      <c r="H31" s="1"/>
      <c r="I31" s="1"/>
      <c r="J31" s="1"/>
      <c r="K31" s="1"/>
      <c r="L31" s="1"/>
      <c r="M31" s="1"/>
      <c r="N31" s="1"/>
      <c r="O31" s="1"/>
      <c r="P31" s="1"/>
      <c r="Q31" s="1"/>
      <c r="R31" s="1"/>
      <c r="S31" s="2"/>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row>
    <row r="32" spans="1:67" x14ac:dyDescent="0.2">
      <c r="A32" s="36"/>
      <c r="B32" s="1"/>
      <c r="C32" s="1"/>
      <c r="D32" s="1"/>
      <c r="E32" s="1"/>
      <c r="F32" s="1"/>
      <c r="G32" s="36"/>
      <c r="H32" s="1"/>
      <c r="I32" s="1"/>
      <c r="J32" s="1"/>
      <c r="K32" s="1"/>
      <c r="L32" s="1"/>
      <c r="M32" s="1"/>
      <c r="N32" s="1"/>
      <c r="O32" s="1"/>
      <c r="P32" s="1"/>
      <c r="Q32" s="1"/>
      <c r="R32" s="1"/>
      <c r="S32" s="2"/>
    </row>
    <row r="33" spans="1:37" x14ac:dyDescent="0.2">
      <c r="A33" s="1"/>
      <c r="B33" s="1"/>
      <c r="C33" s="1"/>
      <c r="D33" s="1"/>
      <c r="E33" s="1"/>
      <c r="F33" s="1"/>
      <c r="G33" s="1"/>
      <c r="H33" s="1"/>
      <c r="I33" s="1"/>
      <c r="J33" s="1"/>
      <c r="K33" s="1"/>
      <c r="L33" s="1"/>
      <c r="M33" s="1"/>
      <c r="N33" s="1"/>
      <c r="O33" s="1"/>
      <c r="P33" s="1"/>
      <c r="Q33" s="1"/>
      <c r="R33" s="1"/>
      <c r="S33" s="2"/>
    </row>
    <row r="34" spans="1:37" x14ac:dyDescent="0.2">
      <c r="A34" s="1" t="s">
        <v>221</v>
      </c>
      <c r="B34" s="1"/>
      <c r="C34" s="1"/>
      <c r="D34" s="36"/>
      <c r="E34" s="1"/>
      <c r="F34" s="1"/>
      <c r="G34" s="1"/>
      <c r="H34" s="1"/>
      <c r="I34" s="1"/>
      <c r="J34" s="1"/>
      <c r="K34" s="1"/>
      <c r="L34" s="1"/>
      <c r="M34" s="1"/>
      <c r="N34" s="1"/>
      <c r="O34" s="1"/>
      <c r="P34" s="1"/>
      <c r="Q34" s="1"/>
      <c r="R34" s="1"/>
      <c r="S34" s="2"/>
    </row>
    <row r="35" spans="1:37" x14ac:dyDescent="0.2">
      <c r="A35" s="2"/>
      <c r="B35" s="2"/>
      <c r="C35" s="2"/>
      <c r="D35" s="2"/>
      <c r="E35" s="2"/>
      <c r="F35" s="2"/>
      <c r="G35" s="2"/>
      <c r="H35" s="2"/>
      <c r="I35" s="2"/>
      <c r="J35" s="2"/>
      <c r="K35" s="2"/>
      <c r="L35" s="2"/>
      <c r="M35" s="2"/>
      <c r="N35" s="2"/>
      <c r="O35" s="2"/>
      <c r="P35" s="2"/>
      <c r="Q35" s="2"/>
      <c r="R35" s="2"/>
      <c r="S35" s="2"/>
    </row>
    <row r="36" spans="1:37" x14ac:dyDescent="0.2">
      <c r="A36" s="2"/>
      <c r="B36" s="2"/>
      <c r="C36" s="2"/>
      <c r="D36" s="2"/>
      <c r="E36" s="2"/>
      <c r="F36" s="2"/>
      <c r="G36" s="2"/>
      <c r="H36" s="2"/>
      <c r="I36" s="2"/>
      <c r="J36" s="2"/>
      <c r="K36" s="2"/>
      <c r="L36" s="2"/>
      <c r="M36" s="2"/>
      <c r="N36" s="2"/>
      <c r="O36" s="2"/>
      <c r="P36" s="2"/>
      <c r="Q36" s="2"/>
      <c r="R36" s="2"/>
      <c r="S36" s="2"/>
    </row>
    <row r="37" spans="1:37" x14ac:dyDescent="0.2">
      <c r="A37" s="2" t="s">
        <v>135</v>
      </c>
      <c r="B37" s="2"/>
      <c r="C37" s="2"/>
      <c r="D37" s="2"/>
      <c r="E37" s="2"/>
      <c r="F37" s="2"/>
      <c r="G37" s="2"/>
      <c r="H37" s="2"/>
      <c r="I37" s="2"/>
      <c r="J37" s="2"/>
      <c r="K37" s="2"/>
      <c r="L37" s="2"/>
      <c r="M37" s="2"/>
      <c r="N37" s="2"/>
      <c r="O37" s="2"/>
      <c r="P37" s="2"/>
      <c r="Q37" s="2"/>
      <c r="R37" s="2"/>
      <c r="S37" s="2"/>
    </row>
    <row r="38" spans="1:37"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7" x14ac:dyDescent="0.2">
      <c r="A39" s="2"/>
      <c r="B39" s="2"/>
      <c r="C39" s="2"/>
      <c r="D39" s="2"/>
      <c r="E39" s="2"/>
      <c r="F39" s="2"/>
      <c r="G39" s="2"/>
      <c r="H39" s="2"/>
      <c r="I39" s="2"/>
      <c r="J39" s="2"/>
      <c r="K39" s="2"/>
      <c r="L39" s="2"/>
      <c r="M39" s="2"/>
      <c r="N39" s="2"/>
      <c r="O39" s="2"/>
      <c r="P39" s="2"/>
      <c r="Q39" s="2"/>
      <c r="R39" s="2"/>
      <c r="S39" s="2"/>
    </row>
    <row r="40" spans="1:37" ht="28.15" customHeight="1" x14ac:dyDescent="0.2">
      <c r="A40" s="623" t="s">
        <v>237</v>
      </c>
      <c r="B40" s="623"/>
      <c r="C40" s="623"/>
      <c r="D40" s="623"/>
      <c r="E40" s="623"/>
      <c r="F40" s="623"/>
      <c r="G40" s="623"/>
      <c r="H40" s="623"/>
      <c r="I40" s="623"/>
      <c r="J40" s="623"/>
      <c r="K40" s="623"/>
      <c r="L40" s="623"/>
      <c r="M40" s="623"/>
      <c r="N40" s="623"/>
      <c r="O40" s="623"/>
      <c r="P40" s="623"/>
      <c r="Q40" s="623"/>
      <c r="R40" s="623"/>
      <c r="S40" s="2"/>
    </row>
    <row r="41" spans="1:37" x14ac:dyDescent="0.2">
      <c r="A41" s="2"/>
      <c r="B41" s="2"/>
      <c r="C41" s="2"/>
      <c r="D41" s="2"/>
      <c r="E41" s="2"/>
      <c r="F41" s="2"/>
      <c r="G41" s="2"/>
      <c r="H41" s="2"/>
      <c r="I41" s="2"/>
      <c r="J41" s="2"/>
      <c r="K41" s="2"/>
      <c r="L41" s="2"/>
      <c r="M41" s="2"/>
      <c r="N41" s="2"/>
      <c r="O41" s="2"/>
      <c r="P41" s="2"/>
      <c r="Q41" s="2"/>
      <c r="R41" s="2"/>
      <c r="S41" s="2"/>
    </row>
    <row r="42" spans="1:37" x14ac:dyDescent="0.2">
      <c r="A42" s="2"/>
      <c r="B42" s="2"/>
      <c r="C42" s="2"/>
      <c r="D42" s="2"/>
      <c r="E42" s="2"/>
      <c r="F42" s="2"/>
      <c r="G42" s="2"/>
      <c r="H42" s="2"/>
      <c r="I42" s="2"/>
      <c r="J42" s="1" t="s">
        <v>245</v>
      </c>
      <c r="K42" s="1"/>
      <c r="L42" s="1"/>
      <c r="M42" s="2"/>
      <c r="N42" s="2"/>
      <c r="O42" s="2"/>
      <c r="P42" s="2"/>
      <c r="Q42" s="2"/>
      <c r="R42" s="2"/>
      <c r="S42" s="2"/>
    </row>
    <row r="43" spans="1:37" x14ac:dyDescent="0.2">
      <c r="A43" s="2"/>
      <c r="B43" s="2"/>
      <c r="C43" s="2"/>
      <c r="D43" s="1" t="s">
        <v>246</v>
      </c>
      <c r="E43" s="1"/>
      <c r="F43" s="1"/>
      <c r="G43" s="1"/>
      <c r="H43" s="1"/>
      <c r="I43" s="2"/>
      <c r="J43" s="1" t="s">
        <v>211</v>
      </c>
      <c r="K43" s="1"/>
      <c r="L43" s="1"/>
      <c r="M43" s="2"/>
      <c r="N43" s="1" t="s">
        <v>238</v>
      </c>
      <c r="O43" s="1"/>
      <c r="P43" s="1"/>
      <c r="Q43" s="2"/>
      <c r="R43" s="2"/>
      <c r="S43" s="2"/>
    </row>
    <row r="44" spans="1:37" x14ac:dyDescent="0.2">
      <c r="A44" s="1" t="s">
        <v>239</v>
      </c>
      <c r="B44" s="1"/>
      <c r="C44" s="2"/>
      <c r="D44" s="10"/>
      <c r="E44" s="10"/>
      <c r="F44" s="10" t="s">
        <v>192</v>
      </c>
      <c r="G44" s="10"/>
      <c r="H44" s="10" t="s">
        <v>212</v>
      </c>
      <c r="I44" s="11"/>
      <c r="J44" s="10" t="s">
        <v>192</v>
      </c>
      <c r="K44" s="10"/>
      <c r="L44" s="10" t="s">
        <v>212</v>
      </c>
      <c r="M44" s="11"/>
      <c r="N44" s="10" t="s">
        <v>192</v>
      </c>
      <c r="O44" s="10"/>
      <c r="P44" s="10" t="s">
        <v>212</v>
      </c>
      <c r="Q44" s="11"/>
      <c r="R44" s="11" t="s">
        <v>192</v>
      </c>
      <c r="S44" s="2"/>
    </row>
    <row r="45" spans="1:37" x14ac:dyDescent="0.2">
      <c r="A45" s="1" t="s">
        <v>193</v>
      </c>
      <c r="B45" s="1"/>
      <c r="C45" s="2"/>
      <c r="D45" s="11" t="s">
        <v>337</v>
      </c>
      <c r="E45" s="11"/>
      <c r="F45" s="11" t="s">
        <v>194</v>
      </c>
      <c r="G45" s="11"/>
      <c r="H45" s="11" t="s">
        <v>194</v>
      </c>
      <c r="I45" s="11"/>
      <c r="J45" s="11" t="s">
        <v>194</v>
      </c>
      <c r="K45" s="11"/>
      <c r="L45" s="11" t="s">
        <v>194</v>
      </c>
      <c r="M45" s="11"/>
      <c r="N45" s="11" t="s">
        <v>194</v>
      </c>
      <c r="O45" s="11"/>
      <c r="P45" s="11" t="s">
        <v>194</v>
      </c>
      <c r="Q45" s="11"/>
      <c r="R45" s="11" t="s">
        <v>194</v>
      </c>
      <c r="S45" s="2"/>
    </row>
    <row r="46" spans="1:37" x14ac:dyDescent="0.2">
      <c r="A46" s="3" t="s">
        <v>195</v>
      </c>
      <c r="B46" s="3"/>
      <c r="C46" s="2"/>
      <c r="D46" s="10" t="s">
        <v>214</v>
      </c>
      <c r="E46" s="2"/>
      <c r="F46" s="10" t="s">
        <v>197</v>
      </c>
      <c r="G46" s="2"/>
      <c r="H46" s="12" t="s">
        <v>247</v>
      </c>
      <c r="I46" s="2"/>
      <c r="J46" s="10" t="s">
        <v>228</v>
      </c>
      <c r="K46" s="2"/>
      <c r="L46" s="12" t="s">
        <v>248</v>
      </c>
      <c r="M46" s="2"/>
      <c r="N46" s="10" t="s">
        <v>249</v>
      </c>
      <c r="O46" s="2"/>
      <c r="P46" s="12" t="s">
        <v>250</v>
      </c>
      <c r="Q46" s="2"/>
      <c r="R46" s="10" t="s">
        <v>251</v>
      </c>
      <c r="S46" s="2"/>
    </row>
    <row r="47" spans="1:37" x14ac:dyDescent="0.2">
      <c r="A47" s="2"/>
      <c r="B47" s="2"/>
      <c r="C47" s="2"/>
      <c r="D47" s="2"/>
      <c r="E47" s="2"/>
      <c r="F47" s="2"/>
      <c r="G47" s="2"/>
      <c r="H47" s="4">
        <f>'F 3B 4B'!$I$44</f>
        <v>0.32740000000000002</v>
      </c>
      <c r="I47" s="4"/>
      <c r="J47" s="4"/>
      <c r="K47" s="4"/>
      <c r="L47" s="4">
        <f>'F 3B 4B'!$I$46</f>
        <v>0.45829999999999999</v>
      </c>
      <c r="M47" s="4"/>
      <c r="N47" s="4"/>
      <c r="O47" s="4"/>
      <c r="P47" s="4">
        <f>'F 3B 4B'!$I$50</f>
        <v>0.21429999999999999</v>
      </c>
      <c r="Q47" s="2"/>
      <c r="R47" s="41"/>
      <c r="S47" s="2"/>
      <c r="X47" s="415"/>
      <c r="Y47" s="415"/>
      <c r="Z47" s="415"/>
      <c r="AA47" s="415"/>
      <c r="AB47" s="415"/>
      <c r="AC47" s="415"/>
      <c r="AD47" s="415"/>
      <c r="AE47" s="415"/>
      <c r="AF47" s="415"/>
      <c r="AG47" s="415"/>
      <c r="AH47" s="415"/>
      <c r="AI47" s="415"/>
      <c r="AJ47" s="415"/>
      <c r="AK47" s="415"/>
    </row>
    <row r="48" spans="1:37" x14ac:dyDescent="0.2">
      <c r="A48" s="2"/>
      <c r="B48" s="2"/>
      <c r="C48" s="2"/>
      <c r="D48" s="2"/>
      <c r="E48" s="2"/>
      <c r="F48" s="2"/>
      <c r="G48" s="2"/>
      <c r="H48" s="2"/>
      <c r="I48" s="2"/>
      <c r="J48" s="2"/>
      <c r="K48" s="2"/>
      <c r="L48" s="2"/>
      <c r="M48" s="2"/>
      <c r="N48" s="2"/>
      <c r="O48" s="2"/>
      <c r="P48" s="2"/>
      <c r="Q48" s="2"/>
      <c r="R48" s="2"/>
      <c r="S48" s="2"/>
      <c r="X48" s="415"/>
      <c r="Y48" s="415"/>
      <c r="Z48" s="415"/>
      <c r="AA48" s="415"/>
      <c r="AB48" s="415"/>
      <c r="AC48" s="415"/>
      <c r="AD48" s="415"/>
      <c r="AE48" s="415"/>
      <c r="AF48" s="415"/>
      <c r="AG48" s="415"/>
      <c r="AH48" s="415"/>
      <c r="AI48" s="415"/>
      <c r="AJ48" s="415"/>
      <c r="AK48" s="415"/>
    </row>
    <row r="49" spans="1:39" x14ac:dyDescent="0.2">
      <c r="A49" s="2" t="s">
        <v>198</v>
      </c>
      <c r="B49" s="2"/>
      <c r="C49" s="2"/>
      <c r="D49" s="181">
        <f>ROUND(('F 1-2'!$G$16/24),1)</f>
        <v>609.29999999999995</v>
      </c>
      <c r="E49" s="2"/>
      <c r="F49" s="4">
        <f>ROUND(+D49/$D$57,4)</f>
        <v>0.52310000000000001</v>
      </c>
      <c r="G49" s="2"/>
      <c r="H49" s="4">
        <f>ROUND(F49*$H$47,4)</f>
        <v>0.17130000000000001</v>
      </c>
      <c r="I49" s="2"/>
      <c r="J49" s="4">
        <f>'F 3B 4B'!$K$62</f>
        <v>0.62939999999999996</v>
      </c>
      <c r="K49" s="2"/>
      <c r="L49" s="4">
        <f>ROUND(J49*$L$47,4)</f>
        <v>0.28849999999999998</v>
      </c>
      <c r="M49" s="2"/>
      <c r="N49" s="4"/>
      <c r="O49" s="2"/>
      <c r="P49" s="4"/>
      <c r="Q49" s="2"/>
      <c r="R49" s="4">
        <f t="shared" ref="R49:R55" si="2">H49+L49+P49</f>
        <v>0.45979999999999999</v>
      </c>
      <c r="S49" s="2"/>
      <c r="X49" s="415"/>
      <c r="Y49" s="415"/>
      <c r="Z49" s="415"/>
      <c r="AA49" s="415"/>
      <c r="AB49" s="415"/>
      <c r="AC49" s="415"/>
      <c r="AD49" s="415"/>
      <c r="AE49" s="415"/>
      <c r="AF49" s="415"/>
      <c r="AG49" s="371"/>
      <c r="AH49" s="415"/>
      <c r="AI49" s="415"/>
      <c r="AJ49" s="415"/>
      <c r="AK49" s="415"/>
    </row>
    <row r="50" spans="1:39" x14ac:dyDescent="0.2">
      <c r="A50" s="2" t="s">
        <v>334</v>
      </c>
      <c r="B50" s="2"/>
      <c r="C50" s="2"/>
      <c r="D50" s="181">
        <f>ROUND(('F 1-2'!$G$17/24),1)</f>
        <v>338.3</v>
      </c>
      <c r="E50" s="2"/>
      <c r="F50" s="4">
        <f t="shared" ref="F50:F55" si="3">ROUND(+D50/$D$57,4)</f>
        <v>0.29049999999999998</v>
      </c>
      <c r="G50" s="2"/>
      <c r="H50" s="4">
        <f t="shared" ref="H50:H55" si="4">ROUND(F50*$H$47,4)</f>
        <v>9.5100000000000004E-2</v>
      </c>
      <c r="I50" s="2"/>
      <c r="J50" s="4">
        <f>'F 3B 4B'!$K$63</f>
        <v>0.26219999999999999</v>
      </c>
      <c r="K50" s="2"/>
      <c r="L50" s="4">
        <f>ROUND(J50*$L$47,4)</f>
        <v>0.1202</v>
      </c>
      <c r="M50" s="2"/>
      <c r="N50" s="2"/>
      <c r="O50" s="2"/>
      <c r="P50" s="2"/>
      <c r="Q50" s="2"/>
      <c r="R50" s="4">
        <f t="shared" si="2"/>
        <v>0.21529999999999999</v>
      </c>
      <c r="S50" s="2"/>
      <c r="U50" s="349"/>
      <c r="V50" s="349"/>
      <c r="W50" s="349"/>
      <c r="X50" s="417"/>
      <c r="Y50" s="453"/>
      <c r="Z50" s="453"/>
      <c r="AA50" s="453"/>
      <c r="AB50" s="415"/>
      <c r="AC50" s="416"/>
      <c r="AD50" s="417"/>
      <c r="AE50" s="416"/>
      <c r="AF50" s="415"/>
      <c r="AG50" s="371"/>
      <c r="AH50" s="415"/>
      <c r="AI50" s="371"/>
      <c r="AJ50" s="415"/>
      <c r="AK50" s="415"/>
      <c r="AL50" s="372"/>
      <c r="AM50" s="287"/>
    </row>
    <row r="51" spans="1:39" s="346" customFormat="1" ht="15.75" x14ac:dyDescent="0.25">
      <c r="A51" s="2" t="s">
        <v>200</v>
      </c>
      <c r="B51" s="2"/>
      <c r="C51" s="2"/>
      <c r="D51" s="181">
        <f>ROUND(('F 1-2'!$G$18)/24,1)</f>
        <v>132.80000000000001</v>
      </c>
      <c r="E51" s="2"/>
      <c r="F51" s="4">
        <f t="shared" si="3"/>
        <v>0.114</v>
      </c>
      <c r="G51" s="2"/>
      <c r="H51" s="4">
        <f t="shared" si="4"/>
        <v>3.73E-2</v>
      </c>
      <c r="I51" s="2"/>
      <c r="J51" s="4">
        <f>'F 3B 4B'!$K$64</f>
        <v>6.8599999999999994E-2</v>
      </c>
      <c r="K51" s="2"/>
      <c r="L51" s="4">
        <f>ROUND(J51*$L$47,4)</f>
        <v>3.1399999999999997E-2</v>
      </c>
      <c r="M51" s="2"/>
      <c r="N51" s="2"/>
      <c r="O51" s="2"/>
      <c r="P51" s="2"/>
      <c r="Q51" s="2"/>
      <c r="R51" s="4">
        <f t="shared" si="2"/>
        <v>6.8699999999999997E-2</v>
      </c>
      <c r="S51" s="126"/>
      <c r="T51" s="357"/>
      <c r="U51" s="349"/>
      <c r="V51" s="349"/>
      <c r="W51" s="349"/>
      <c r="X51" s="417"/>
      <c r="Y51" s="417"/>
      <c r="Z51" s="417"/>
      <c r="AA51" s="417"/>
      <c r="AB51" s="418"/>
      <c r="AC51" s="416"/>
      <c r="AD51" s="417"/>
      <c r="AE51" s="416"/>
      <c r="AF51" s="418"/>
      <c r="AG51" s="371"/>
      <c r="AH51" s="415"/>
      <c r="AI51" s="371"/>
      <c r="AJ51" s="415"/>
      <c r="AK51" s="418"/>
      <c r="AL51" s="373"/>
      <c r="AM51" s="373"/>
    </row>
    <row r="52" spans="1:39" x14ac:dyDescent="0.2">
      <c r="A52" s="2" t="s">
        <v>201</v>
      </c>
      <c r="B52" s="2"/>
      <c r="C52" s="2"/>
      <c r="D52" s="181">
        <f>ROUND(('F 1-2'!$G$19/24),1)</f>
        <v>77</v>
      </c>
      <c r="E52" s="2"/>
      <c r="F52" s="4">
        <f t="shared" si="3"/>
        <v>6.6100000000000006E-2</v>
      </c>
      <c r="G52" s="2"/>
      <c r="H52" s="4">
        <f t="shared" si="4"/>
        <v>2.1600000000000001E-2</v>
      </c>
      <c r="I52" s="2"/>
      <c r="J52" s="4">
        <f>'F 3B 4B'!$K$65</f>
        <v>3.9800000000000002E-2</v>
      </c>
      <c r="K52" s="2"/>
      <c r="L52" s="318">
        <f>ROUND(J52*$L$47,4)</f>
        <v>1.8200000000000001E-2</v>
      </c>
      <c r="M52" s="2"/>
      <c r="N52" s="2"/>
      <c r="O52" s="2"/>
      <c r="P52" s="2"/>
      <c r="Q52" s="2"/>
      <c r="R52" s="4">
        <f t="shared" si="2"/>
        <v>3.9800000000000002E-2</v>
      </c>
      <c r="S52" s="2"/>
      <c r="U52" s="349"/>
      <c r="V52" s="349"/>
      <c r="W52" s="349"/>
      <c r="X52" s="417"/>
      <c r="Y52" s="417"/>
      <c r="Z52" s="417"/>
      <c r="AA52" s="417"/>
      <c r="AB52" s="420"/>
      <c r="AC52" s="421"/>
      <c r="AD52" s="417"/>
      <c r="AE52" s="421"/>
      <c r="AF52" s="415"/>
      <c r="AG52" s="420"/>
      <c r="AH52" s="415"/>
      <c r="AI52" s="420"/>
      <c r="AJ52" s="415"/>
      <c r="AK52" s="415"/>
      <c r="AL52" s="372"/>
      <c r="AM52" s="372"/>
    </row>
    <row r="53" spans="1:39" x14ac:dyDescent="0.2">
      <c r="A53" s="2" t="s">
        <v>105</v>
      </c>
      <c r="B53" s="2"/>
      <c r="C53" s="2"/>
      <c r="D53" s="181">
        <f>ROUND(('F 1-2'!$G$20/24),1)*0</f>
        <v>0</v>
      </c>
      <c r="E53" s="2"/>
      <c r="F53" s="4">
        <f>ROUND(+D53/$D$57,4)</f>
        <v>0</v>
      </c>
      <c r="G53" s="2"/>
      <c r="H53" s="4">
        <f t="shared" si="4"/>
        <v>0</v>
      </c>
      <c r="I53" s="2"/>
      <c r="J53" s="4">
        <f>'F 3B 4B'!$K$66</f>
        <v>0</v>
      </c>
      <c r="K53" s="2"/>
      <c r="L53" s="4">
        <f>ROUND(J53*$L$47,4)</f>
        <v>0</v>
      </c>
      <c r="M53" s="2"/>
      <c r="N53" s="4"/>
      <c r="O53" s="2"/>
      <c r="P53" s="4"/>
      <c r="Q53" s="2"/>
      <c r="R53" s="4">
        <f t="shared" si="2"/>
        <v>0</v>
      </c>
      <c r="S53" s="510"/>
      <c r="U53" s="349"/>
      <c r="V53" s="349"/>
      <c r="W53" s="349"/>
      <c r="X53" s="417"/>
      <c r="Y53" s="419"/>
      <c r="Z53" s="417"/>
      <c r="AA53" s="417"/>
      <c r="AB53" s="420"/>
      <c r="AC53" s="421"/>
      <c r="AD53" s="417"/>
      <c r="AE53" s="421"/>
      <c r="AF53" s="415"/>
      <c r="AG53" s="420"/>
      <c r="AH53" s="415"/>
      <c r="AI53" s="420"/>
      <c r="AJ53" s="415"/>
      <c r="AK53" s="415"/>
      <c r="AL53" s="372"/>
      <c r="AM53" s="287"/>
    </row>
    <row r="54" spans="1:39" hidden="1" x14ac:dyDescent="0.2">
      <c r="A54" s="2" t="s">
        <v>203</v>
      </c>
      <c r="B54" s="2"/>
      <c r="C54" s="2"/>
      <c r="D54" s="181">
        <f>ROUND(('F 1-2'!$G$21/24),1)</f>
        <v>0</v>
      </c>
      <c r="E54" s="2"/>
      <c r="F54" s="4">
        <f t="shared" si="3"/>
        <v>0</v>
      </c>
      <c r="G54" s="2"/>
      <c r="H54" s="4">
        <f t="shared" si="4"/>
        <v>0</v>
      </c>
      <c r="I54" s="2"/>
      <c r="J54" s="4"/>
      <c r="K54" s="2"/>
      <c r="L54" s="4"/>
      <c r="M54" s="2"/>
      <c r="N54" s="4">
        <f>Fire!$O$24</f>
        <v>0</v>
      </c>
      <c r="O54" s="2"/>
      <c r="P54" s="318">
        <f>ROUND(N54*$P$47,4)</f>
        <v>0</v>
      </c>
      <c r="Q54" s="2"/>
      <c r="R54" s="4">
        <f t="shared" si="2"/>
        <v>0</v>
      </c>
      <c r="S54" s="2"/>
      <c r="U54" s="349"/>
      <c r="V54" s="349"/>
      <c r="W54" s="349"/>
      <c r="X54" s="417"/>
      <c r="Y54" s="419"/>
      <c r="Z54" s="417"/>
      <c r="AA54" s="417"/>
      <c r="AB54" s="420"/>
      <c r="AC54" s="421"/>
      <c r="AD54" s="417"/>
      <c r="AE54" s="421"/>
      <c r="AF54" s="415"/>
      <c r="AG54" s="420"/>
      <c r="AH54" s="415"/>
      <c r="AI54" s="420"/>
      <c r="AJ54" s="415"/>
      <c r="AK54" s="415"/>
      <c r="AL54" s="372"/>
      <c r="AM54" s="287"/>
    </row>
    <row r="55" spans="1:39" x14ac:dyDescent="0.2">
      <c r="A55" s="2" t="s">
        <v>238</v>
      </c>
      <c r="B55" s="2"/>
      <c r="C55" s="2"/>
      <c r="D55" s="181">
        <f>ROUND(('F 1-2'!$G$22/24),1)</f>
        <v>7.3</v>
      </c>
      <c r="E55" s="2"/>
      <c r="F55" s="4">
        <f t="shared" si="3"/>
        <v>6.3E-3</v>
      </c>
      <c r="G55" s="2"/>
      <c r="H55" s="4">
        <f t="shared" si="4"/>
        <v>2.0999999999999999E-3</v>
      </c>
      <c r="I55" s="2"/>
      <c r="J55" s="4"/>
      <c r="K55" s="2"/>
      <c r="L55" s="4"/>
      <c r="M55" s="2"/>
      <c r="N55" s="4">
        <f>Fire!$O$32</f>
        <v>1</v>
      </c>
      <c r="O55" s="2"/>
      <c r="P55" s="4">
        <f>ROUND(N55*$P$47,4)</f>
        <v>0.21429999999999999</v>
      </c>
      <c r="Q55" s="2"/>
      <c r="R55" s="4">
        <f t="shared" si="2"/>
        <v>0.21639999999999998</v>
      </c>
      <c r="S55" s="2"/>
      <c r="U55" s="349"/>
      <c r="V55" s="349"/>
      <c r="W55" s="349"/>
      <c r="X55" s="417"/>
      <c r="Y55" s="419"/>
      <c r="Z55" s="417"/>
      <c r="AA55" s="417"/>
      <c r="AB55" s="420"/>
      <c r="AC55" s="421"/>
      <c r="AD55" s="417"/>
      <c r="AE55" s="421"/>
      <c r="AF55" s="415"/>
      <c r="AG55" s="420"/>
      <c r="AH55" s="415"/>
      <c r="AI55" s="420"/>
      <c r="AJ55" s="415"/>
      <c r="AK55" s="415"/>
    </row>
    <row r="56" spans="1:39" x14ac:dyDescent="0.2">
      <c r="A56" s="2"/>
      <c r="B56" s="2"/>
      <c r="C56" s="2"/>
      <c r="D56" s="163"/>
      <c r="E56" s="2"/>
      <c r="F56" s="42"/>
      <c r="G56" s="2"/>
      <c r="H56" s="42"/>
      <c r="I56" s="2"/>
      <c r="J56" s="42"/>
      <c r="K56" s="2"/>
      <c r="L56" s="42"/>
      <c r="M56" s="2"/>
      <c r="N56" s="42"/>
      <c r="O56" s="2"/>
      <c r="P56" s="42"/>
      <c r="Q56" s="2"/>
      <c r="R56" s="42"/>
      <c r="S56" s="2"/>
      <c r="U56" s="349"/>
      <c r="V56" s="349"/>
      <c r="W56" s="349"/>
      <c r="X56" s="417"/>
      <c r="Y56" s="419"/>
      <c r="Z56" s="417"/>
      <c r="AA56" s="417"/>
      <c r="AB56" s="420"/>
      <c r="AC56" s="421"/>
      <c r="AD56" s="417"/>
      <c r="AE56" s="421"/>
      <c r="AF56" s="415"/>
      <c r="AG56" s="420"/>
      <c r="AH56" s="415"/>
      <c r="AI56" s="420"/>
      <c r="AJ56" s="415"/>
      <c r="AK56" s="166"/>
    </row>
    <row r="57" spans="1:39" ht="15.75" thickBot="1" x14ac:dyDescent="0.25">
      <c r="A57" s="2" t="s">
        <v>205</v>
      </c>
      <c r="B57" s="2"/>
      <c r="C57" s="2"/>
      <c r="D57" s="181">
        <f>SUM(D49:D56)</f>
        <v>1164.6999999999998</v>
      </c>
      <c r="E57" s="2"/>
      <c r="F57" s="4">
        <f>SUM(F49:F56)</f>
        <v>1</v>
      </c>
      <c r="G57" s="2"/>
      <c r="H57" s="4">
        <f>SUM(H49:H56)</f>
        <v>0.32740000000000002</v>
      </c>
      <c r="I57" s="2"/>
      <c r="J57" s="4">
        <f>SUM(J49:J56)</f>
        <v>1</v>
      </c>
      <c r="K57" s="2"/>
      <c r="L57" s="4">
        <f>SUM(L49:L56)</f>
        <v>0.45829999999999993</v>
      </c>
      <c r="M57" s="2"/>
      <c r="N57" s="156">
        <f>SUM(N49:N56)</f>
        <v>1</v>
      </c>
      <c r="O57" s="2"/>
      <c r="P57" s="4">
        <f>SUM(P49:P56)</f>
        <v>0.21429999999999999</v>
      </c>
      <c r="Q57" s="2"/>
      <c r="R57" s="4">
        <f>SUM(R49:R56)</f>
        <v>1</v>
      </c>
      <c r="S57" s="2"/>
      <c r="U57" s="349"/>
      <c r="V57" s="349"/>
      <c r="W57" s="349"/>
      <c r="X57" s="349"/>
      <c r="Y57" s="350"/>
      <c r="Z57" s="349"/>
      <c r="AA57" s="349"/>
      <c r="AB57" s="287"/>
      <c r="AC57" s="354"/>
      <c r="AE57" s="354"/>
      <c r="AG57" s="287"/>
      <c r="AI57" s="287"/>
      <c r="AK57" s="4"/>
    </row>
    <row r="58" spans="1:39" ht="15.75" thickTop="1" x14ac:dyDescent="0.2">
      <c r="A58" s="2"/>
      <c r="B58" s="2"/>
      <c r="C58" s="2"/>
      <c r="D58" s="7"/>
      <c r="E58" s="2"/>
      <c r="F58" s="43"/>
      <c r="G58" s="2"/>
      <c r="H58" s="43"/>
      <c r="I58" s="2"/>
      <c r="J58" s="43"/>
      <c r="K58" s="2"/>
      <c r="L58" s="43"/>
      <c r="M58" s="2"/>
      <c r="N58" s="166"/>
      <c r="O58" s="2"/>
      <c r="P58" s="43"/>
      <c r="Q58" s="2"/>
      <c r="R58" s="43"/>
      <c r="S58" s="2"/>
      <c r="U58" s="349"/>
      <c r="V58" s="349"/>
      <c r="W58" s="349"/>
      <c r="X58" s="349"/>
      <c r="Y58" s="349"/>
      <c r="Z58" s="349"/>
      <c r="AA58" s="349"/>
      <c r="AB58" s="287"/>
      <c r="AC58" s="287"/>
      <c r="AG58" s="287"/>
      <c r="AK58" s="4"/>
    </row>
    <row r="59" spans="1:39" x14ac:dyDescent="0.2">
      <c r="A59" s="627" t="s">
        <v>470</v>
      </c>
      <c r="B59" s="627"/>
      <c r="C59" s="627"/>
      <c r="D59" s="627"/>
      <c r="E59" s="627"/>
      <c r="F59" s="627"/>
      <c r="G59" s="627"/>
      <c r="H59" s="627"/>
      <c r="I59" s="627"/>
      <c r="J59" s="627"/>
      <c r="K59" s="627"/>
      <c r="L59" s="627"/>
      <c r="M59" s="627"/>
      <c r="N59" s="627"/>
      <c r="O59" s="627"/>
      <c r="P59" s="627"/>
      <c r="Q59" s="627"/>
      <c r="R59" s="627"/>
      <c r="S59" s="2"/>
      <c r="U59" s="349"/>
      <c r="V59" s="349"/>
      <c r="W59" s="349"/>
      <c r="X59" s="349"/>
      <c r="Y59" s="350"/>
      <c r="Z59" s="349"/>
      <c r="AA59" s="350"/>
      <c r="AB59" s="287"/>
      <c r="AC59" s="287"/>
      <c r="AE59" s="354"/>
      <c r="AF59" s="287"/>
      <c r="AG59" s="287"/>
      <c r="AI59" s="287"/>
      <c r="AK59" s="4"/>
    </row>
    <row r="60" spans="1:39" x14ac:dyDescent="0.2">
      <c r="U60" s="349"/>
      <c r="V60" s="349"/>
      <c r="W60" s="349"/>
      <c r="X60" s="349"/>
      <c r="Y60" s="354"/>
      <c r="Z60" s="354"/>
      <c r="AA60" s="354"/>
      <c r="AB60" s="287"/>
      <c r="AC60" s="287"/>
      <c r="AD60" s="287"/>
      <c r="AE60" s="287"/>
      <c r="AF60" s="287"/>
      <c r="AG60" s="287"/>
      <c r="AH60" s="287"/>
      <c r="AI60" s="287"/>
      <c r="AK60" s="4"/>
    </row>
    <row r="61" spans="1:39" x14ac:dyDescent="0.2">
      <c r="U61" s="349"/>
      <c r="V61" s="349"/>
      <c r="W61" s="349"/>
      <c r="X61" s="349"/>
      <c r="Y61" s="354"/>
      <c r="Z61" s="354"/>
      <c r="AA61" s="354"/>
      <c r="AB61" s="287"/>
      <c r="AC61" s="287"/>
      <c r="AD61" s="287"/>
      <c r="AE61" s="354"/>
      <c r="AF61" s="287"/>
      <c r="AG61" s="354"/>
      <c r="AH61" s="287"/>
      <c r="AI61" s="354"/>
      <c r="AK61" s="4"/>
    </row>
    <row r="62" spans="1:39" x14ac:dyDescent="0.2">
      <c r="A62" s="36"/>
      <c r="B62" s="1"/>
      <c r="C62" s="1"/>
      <c r="D62" s="1"/>
      <c r="E62" s="1"/>
      <c r="F62" s="1"/>
      <c r="G62" s="36"/>
      <c r="H62" s="1"/>
      <c r="I62" s="1"/>
      <c r="J62" s="1"/>
      <c r="K62" s="1"/>
      <c r="L62" s="1"/>
      <c r="M62" s="1"/>
      <c r="N62" s="1"/>
      <c r="O62" s="1"/>
      <c r="P62" s="1"/>
      <c r="Q62" s="1"/>
      <c r="R62" s="1"/>
      <c r="Y62" s="355"/>
      <c r="AK62" s="4"/>
    </row>
    <row r="63" spans="1:39" x14ac:dyDescent="0.2">
      <c r="A63" s="36"/>
      <c r="B63" s="1"/>
      <c r="C63" s="1"/>
      <c r="E63" s="1"/>
      <c r="F63" s="1"/>
      <c r="G63" s="36"/>
      <c r="H63" s="1"/>
      <c r="I63" s="1"/>
      <c r="J63" s="1"/>
      <c r="K63" s="1"/>
      <c r="L63" s="1"/>
      <c r="M63" s="1"/>
      <c r="N63" s="1"/>
      <c r="O63" s="1"/>
      <c r="P63" s="1"/>
      <c r="Q63" s="1"/>
      <c r="R63" s="1"/>
    </row>
    <row r="64" spans="1:39" x14ac:dyDescent="0.2">
      <c r="A64" s="1"/>
      <c r="B64" s="1"/>
      <c r="C64" s="1"/>
      <c r="D64" s="383"/>
      <c r="E64" s="1"/>
      <c r="F64" s="1"/>
      <c r="G64" s="1"/>
      <c r="H64" s="1"/>
      <c r="I64" s="1"/>
      <c r="J64" s="1"/>
      <c r="K64" s="1"/>
      <c r="L64" s="1"/>
      <c r="M64" s="1"/>
      <c r="N64" s="1"/>
      <c r="O64" s="1"/>
      <c r="P64" s="1"/>
      <c r="Q64" s="1"/>
      <c r="R64" s="1"/>
    </row>
    <row r="65" spans="1:25" x14ac:dyDescent="0.2">
      <c r="A65" s="1"/>
      <c r="B65" s="1"/>
      <c r="C65" s="1"/>
      <c r="D65" s="123"/>
      <c r="E65" s="1"/>
      <c r="F65" s="1"/>
      <c r="G65" s="1"/>
      <c r="H65" s="1"/>
      <c r="I65" s="1"/>
      <c r="J65" s="1"/>
      <c r="K65" s="1"/>
      <c r="L65" s="1"/>
      <c r="M65" s="1"/>
      <c r="N65" s="1"/>
      <c r="O65" s="1"/>
      <c r="P65" s="1"/>
      <c r="Q65" s="1"/>
      <c r="R65" s="1"/>
    </row>
    <row r="66" spans="1:25" x14ac:dyDescent="0.2">
      <c r="A66" s="2"/>
      <c r="B66" s="2"/>
      <c r="C66" s="2"/>
      <c r="D66" s="2"/>
      <c r="E66" s="2"/>
      <c r="F66" s="2"/>
      <c r="G66" s="2"/>
      <c r="H66" s="2"/>
      <c r="I66" s="2"/>
      <c r="J66" s="2"/>
      <c r="K66" s="2"/>
      <c r="L66" s="2"/>
      <c r="M66" s="2"/>
      <c r="N66" s="2"/>
      <c r="O66" s="2"/>
      <c r="P66" s="2"/>
      <c r="Q66" s="2"/>
      <c r="R66" s="2"/>
    </row>
    <row r="67" spans="1:25" x14ac:dyDescent="0.2">
      <c r="A67" s="2"/>
      <c r="B67" s="2"/>
      <c r="C67" s="2"/>
      <c r="D67" s="2"/>
      <c r="E67" s="2"/>
      <c r="F67" s="2"/>
      <c r="G67" s="2"/>
      <c r="H67" s="2"/>
      <c r="I67" s="2"/>
      <c r="J67" s="2"/>
      <c r="K67" s="2"/>
      <c r="L67" s="2"/>
      <c r="M67" s="2"/>
      <c r="N67" s="2"/>
      <c r="O67" s="2"/>
      <c r="P67" s="2"/>
      <c r="Q67" s="2"/>
      <c r="R67" s="2"/>
    </row>
    <row r="68" spans="1:25" ht="15" customHeight="1" x14ac:dyDescent="0.2">
      <c r="A68" s="626"/>
      <c r="B68" s="626"/>
      <c r="C68" s="626"/>
      <c r="D68" s="626"/>
      <c r="E68" s="626"/>
      <c r="F68" s="626"/>
      <c r="G68" s="626"/>
      <c r="H68" s="626"/>
      <c r="I68" s="626"/>
      <c r="J68" s="626"/>
      <c r="K68" s="626"/>
      <c r="L68" s="626"/>
      <c r="M68" s="626"/>
      <c r="N68" s="626"/>
      <c r="O68" s="626"/>
      <c r="P68" s="626"/>
      <c r="Q68" s="626"/>
      <c r="R68" s="626"/>
      <c r="Y68" s="2"/>
    </row>
    <row r="81" spans="47:47" ht="13.35" customHeight="1" x14ac:dyDescent="0.2"/>
    <row r="82" spans="47:47" ht="13.35" customHeight="1" x14ac:dyDescent="0.2"/>
    <row r="83" spans="47:47" ht="13.35" customHeight="1" x14ac:dyDescent="0.2"/>
    <row r="84" spans="47:47" ht="13.35" customHeight="1" x14ac:dyDescent="0.2"/>
    <row r="85" spans="47:47" ht="13.35" customHeight="1" x14ac:dyDescent="0.2"/>
    <row r="86" spans="47:47" ht="13.35" customHeight="1" x14ac:dyDescent="0.2"/>
    <row r="87" spans="47:47" ht="13.35" customHeight="1" x14ac:dyDescent="0.2"/>
    <row r="88" spans="47:47" ht="13.35" customHeight="1" x14ac:dyDescent="0.2"/>
    <row r="89" spans="47:47" ht="13.35" customHeight="1" x14ac:dyDescent="0.2"/>
    <row r="90" spans="47:47" ht="13.35" customHeight="1" x14ac:dyDescent="0.2"/>
    <row r="91" spans="47:47" ht="13.35" customHeight="1" x14ac:dyDescent="0.2"/>
    <row r="92" spans="47:47" ht="12.75" customHeight="1" x14ac:dyDescent="0.2"/>
    <row r="93" spans="47:47" ht="13.35" customHeight="1" x14ac:dyDescent="0.2"/>
    <row r="94" spans="47:47" ht="13.35" customHeight="1" x14ac:dyDescent="0.2"/>
    <row r="95" spans="47:47" ht="13.35" customHeight="1" x14ac:dyDescent="0.2">
      <c r="AU95" s="321"/>
    </row>
    <row r="96" spans="47:47" ht="13.35" customHeight="1" x14ac:dyDescent="0.2"/>
    <row r="97" ht="13.35" customHeight="1" x14ac:dyDescent="0.2"/>
    <row r="98" ht="13.35" customHeight="1" x14ac:dyDescent="0.2"/>
    <row r="99" ht="13.35" customHeight="1" x14ac:dyDescent="0.2"/>
    <row r="100" ht="13.35" customHeight="1" x14ac:dyDescent="0.2"/>
    <row r="101" ht="13.35" customHeight="1" x14ac:dyDescent="0.2"/>
    <row r="102" ht="13.35" customHeight="1" x14ac:dyDescent="0.2"/>
    <row r="103" ht="13.35" customHeight="1" x14ac:dyDescent="0.2"/>
    <row r="104" ht="13.35" customHeight="1" x14ac:dyDescent="0.2"/>
    <row r="105" ht="13.35" customHeight="1" x14ac:dyDescent="0.2"/>
    <row r="106" ht="13.35" customHeight="1" x14ac:dyDescent="0.2"/>
    <row r="107" ht="13.35" customHeight="1" x14ac:dyDescent="0.2"/>
    <row r="108" ht="13.35" customHeight="1" x14ac:dyDescent="0.2"/>
    <row r="109" ht="13.35" customHeight="1" x14ac:dyDescent="0.2"/>
    <row r="110" ht="13.35" customHeight="1" x14ac:dyDescent="0.2"/>
    <row r="111" ht="12.75" customHeight="1" x14ac:dyDescent="0.2"/>
    <row r="112" ht="13.35" customHeight="1" x14ac:dyDescent="0.2"/>
    <row r="113" ht="13.35" customHeight="1" x14ac:dyDescent="0.2"/>
    <row r="114" ht="13.35" customHeight="1" x14ac:dyDescent="0.2"/>
    <row r="115" ht="13.35" customHeight="1" x14ac:dyDescent="0.2"/>
    <row r="116" ht="13.35" customHeight="1" x14ac:dyDescent="0.2"/>
    <row r="117" ht="13.35" customHeight="1" x14ac:dyDescent="0.2"/>
    <row r="118" ht="13.35" customHeight="1" x14ac:dyDescent="0.2"/>
    <row r="119" ht="13.35" customHeight="1" x14ac:dyDescent="0.2"/>
    <row r="120" ht="12.75" customHeight="1" x14ac:dyDescent="0.2"/>
    <row r="121" ht="13.35" customHeight="1" x14ac:dyDescent="0.2"/>
    <row r="122" ht="13.35" customHeight="1" x14ac:dyDescent="0.2"/>
    <row r="123" ht="13.35" customHeight="1" x14ac:dyDescent="0.2"/>
    <row r="124" ht="13.35" customHeight="1" x14ac:dyDescent="0.2"/>
    <row r="125" ht="13.35" customHeight="1" x14ac:dyDescent="0.2"/>
    <row r="126" ht="13.35" customHeight="1" x14ac:dyDescent="0.2"/>
    <row r="127" ht="13.35" customHeight="1" x14ac:dyDescent="0.2"/>
    <row r="143" spans="66:67" x14ac:dyDescent="0.2">
      <c r="BN143" s="1"/>
      <c r="BO143" s="1"/>
    </row>
    <row r="144" spans="66:67" x14ac:dyDescent="0.2">
      <c r="BN144" s="1"/>
      <c r="BO144" s="1"/>
    </row>
    <row r="145" spans="66:67" ht="12.75" customHeight="1" x14ac:dyDescent="0.2"/>
    <row r="146" spans="66:67" x14ac:dyDescent="0.2">
      <c r="BN146" s="11"/>
      <c r="BO146" s="11"/>
    </row>
    <row r="147" spans="66:67" ht="12.75" customHeight="1" x14ac:dyDescent="0.2">
      <c r="BN147" s="2"/>
      <c r="BO147" s="2"/>
    </row>
    <row r="148" spans="66:67" ht="13.35" customHeight="1" x14ac:dyDescent="0.2">
      <c r="BN148" s="9"/>
      <c r="BO148" s="9"/>
    </row>
    <row r="149" spans="66:67" ht="13.35" customHeight="1" x14ac:dyDescent="0.2">
      <c r="BN149" s="9"/>
      <c r="BO149" s="9"/>
    </row>
    <row r="150" spans="66:67" ht="13.35" customHeight="1" x14ac:dyDescent="0.2">
      <c r="BN150" s="9"/>
      <c r="BO150" s="9"/>
    </row>
    <row r="151" spans="66:67" ht="13.35" customHeight="1" x14ac:dyDescent="0.2">
      <c r="BN151" s="9"/>
      <c r="BO151" s="9"/>
    </row>
    <row r="152" spans="66:67" ht="12.75" customHeight="1" x14ac:dyDescent="0.2">
      <c r="BN152" s="2"/>
      <c r="BO152" s="2"/>
    </row>
    <row r="153" spans="66:67" x14ac:dyDescent="0.2">
      <c r="BN153" s="347"/>
      <c r="BO153" s="347"/>
    </row>
    <row r="155" spans="66:67" ht="12.75" customHeight="1" x14ac:dyDescent="0.2"/>
    <row r="157" spans="66:67" ht="13.35" customHeight="1" x14ac:dyDescent="0.2"/>
    <row r="158" spans="66:67" ht="13.35" customHeight="1" x14ac:dyDescent="0.2"/>
    <row r="159" spans="66:67" ht="13.35" customHeight="1" x14ac:dyDescent="0.2"/>
    <row r="160" spans="66:67" ht="13.35" customHeight="1" x14ac:dyDescent="0.2"/>
    <row r="170" ht="12.75" customHeight="1" x14ac:dyDescent="0.2"/>
    <row r="172" ht="12.75" customHeight="1" x14ac:dyDescent="0.2"/>
    <row r="176" ht="12.75" customHeight="1" x14ac:dyDescent="0.2"/>
    <row r="178" ht="13.35" customHeight="1" x14ac:dyDescent="0.2"/>
    <row r="179" ht="13.35" customHeight="1" x14ac:dyDescent="0.2"/>
    <row r="180" ht="13.35" customHeight="1" x14ac:dyDescent="0.2"/>
    <row r="181" ht="13.35" customHeight="1" x14ac:dyDescent="0.2"/>
    <row r="182" ht="13.35" customHeight="1" x14ac:dyDescent="0.2"/>
    <row r="183" ht="13.35" customHeight="1" x14ac:dyDescent="0.2"/>
    <row r="184" ht="12.75" customHeight="1" x14ac:dyDescent="0.2"/>
    <row r="186" ht="12.75" customHeight="1" x14ac:dyDescent="0.2"/>
  </sheetData>
  <mergeCells count="4">
    <mergeCell ref="A10:P10"/>
    <mergeCell ref="A68:R68"/>
    <mergeCell ref="A40:R40"/>
    <mergeCell ref="A59:R59"/>
  </mergeCells>
  <phoneticPr fontId="12" type="noConversion"/>
  <printOptions horizontalCentered="1"/>
  <pageMargins left="0.5" right="0.5" top="1" bottom="0.5" header="0.5" footer="0.5"/>
  <pageSetup orientation="landscape" r:id="rId1"/>
  <headerFooter alignWithMargins="0"/>
  <rowBreaks count="2" manualBreakCount="2">
    <brk id="30" max="65535" man="1"/>
    <brk id="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73"/>
  <sheetViews>
    <sheetView workbookViewId="0"/>
  </sheetViews>
  <sheetFormatPr defaultColWidth="9.77734375" defaultRowHeight="15" x14ac:dyDescent="0.2"/>
  <cols>
    <col min="1" max="1" width="6.77734375" style="235" customWidth="1"/>
    <col min="2" max="2" width="4.77734375" style="235" customWidth="1"/>
    <col min="3" max="3" width="6.5546875" style="235" customWidth="1"/>
    <col min="4" max="4" width="2.77734375" style="235" customWidth="1"/>
    <col min="5" max="5" width="9.77734375" style="235" customWidth="1"/>
    <col min="6" max="6" width="2.77734375" style="235" customWidth="1"/>
    <col min="7" max="7" width="10.109375" style="235" customWidth="1"/>
    <col min="8" max="8" width="2.77734375" style="235" customWidth="1"/>
    <col min="9" max="9" width="9.77734375" style="235" customWidth="1"/>
    <col min="10" max="10" width="2.77734375" style="235" customWidth="1"/>
    <col min="11" max="13" width="9.77734375" style="235" customWidth="1"/>
    <col min="14" max="14" width="1.77734375" style="235" customWidth="1"/>
    <col min="15" max="15" width="7.77734375" style="235" customWidth="1"/>
    <col min="16" max="16" width="16" style="235" bestFit="1" customWidth="1"/>
    <col min="17" max="17" width="11" style="235" bestFit="1" customWidth="1"/>
    <col min="18" max="16384" width="9.77734375" style="235"/>
  </cols>
  <sheetData>
    <row r="1" spans="1:17" x14ac:dyDescent="0.2">
      <c r="A1" s="36" t="s">
        <v>51</v>
      </c>
      <c r="B1" s="44"/>
      <c r="C1" s="44"/>
      <c r="D1" s="44"/>
      <c r="E1" s="44"/>
      <c r="F1" s="44"/>
      <c r="G1" s="44"/>
      <c r="H1" s="44"/>
      <c r="I1" s="44"/>
      <c r="J1" s="44"/>
      <c r="K1" s="44"/>
    </row>
    <row r="2" spans="1:17" x14ac:dyDescent="0.2">
      <c r="A2" s="36"/>
      <c r="B2" s="44"/>
      <c r="C2" s="44"/>
      <c r="D2" s="44"/>
      <c r="E2" s="44"/>
      <c r="F2" s="44"/>
      <c r="G2" s="44"/>
      <c r="H2" s="44"/>
      <c r="I2" s="44"/>
      <c r="J2" s="44"/>
      <c r="K2" s="44"/>
    </row>
    <row r="4" spans="1:17" x14ac:dyDescent="0.2">
      <c r="A4" s="45" t="s">
        <v>221</v>
      </c>
      <c r="B4" s="45"/>
      <c r="C4" s="45"/>
      <c r="D4" s="45"/>
      <c r="E4" s="45"/>
      <c r="F4" s="45"/>
      <c r="G4" s="45"/>
      <c r="H4" s="45"/>
      <c r="I4" s="45"/>
      <c r="J4" s="45"/>
      <c r="K4" s="45"/>
      <c r="L4" s="46"/>
    </row>
    <row r="5" spans="1:17" x14ac:dyDescent="0.2">
      <c r="A5" s="46"/>
      <c r="B5" s="46"/>
      <c r="C5" s="46"/>
      <c r="D5" s="46"/>
      <c r="E5" s="46"/>
      <c r="F5" s="46"/>
      <c r="G5" s="46"/>
      <c r="H5" s="46"/>
      <c r="I5" s="46"/>
      <c r="J5" s="46"/>
      <c r="K5" s="46"/>
      <c r="L5" s="46"/>
    </row>
    <row r="6" spans="1:17" x14ac:dyDescent="0.2">
      <c r="A6" s="47"/>
      <c r="B6" s="47"/>
      <c r="C6" s="47"/>
      <c r="D6" s="47"/>
      <c r="E6" s="47"/>
      <c r="F6" s="47"/>
      <c r="G6" s="47"/>
      <c r="H6" s="47"/>
      <c r="I6" s="47"/>
      <c r="J6" s="47"/>
      <c r="K6" s="47"/>
      <c r="L6" s="47"/>
    </row>
    <row r="7" spans="1:17" x14ac:dyDescent="0.2">
      <c r="A7" s="47" t="s">
        <v>252</v>
      </c>
      <c r="B7" s="47"/>
      <c r="C7" s="47"/>
      <c r="D7" s="47"/>
      <c r="E7" s="47"/>
      <c r="F7" s="47"/>
      <c r="G7" s="47"/>
      <c r="H7" s="47"/>
      <c r="I7" s="47"/>
      <c r="J7" s="47"/>
      <c r="K7" s="47"/>
      <c r="L7" s="47"/>
    </row>
    <row r="8" spans="1:17" x14ac:dyDescent="0.2">
      <c r="A8" s="47" t="s">
        <v>253</v>
      </c>
      <c r="B8" s="47"/>
      <c r="C8" s="47"/>
      <c r="D8" s="47"/>
      <c r="E8" s="47"/>
      <c r="F8" s="47"/>
      <c r="G8" s="47"/>
      <c r="H8" s="47"/>
      <c r="I8" s="47"/>
      <c r="J8" s="47"/>
      <c r="K8" s="47"/>
      <c r="L8" s="47"/>
    </row>
    <row r="9" spans="1:17" x14ac:dyDescent="0.2">
      <c r="A9" s="47"/>
      <c r="B9" s="47"/>
      <c r="C9" s="47"/>
      <c r="D9" s="47"/>
      <c r="E9" s="47"/>
      <c r="F9" s="47"/>
      <c r="G9" s="47"/>
      <c r="H9" s="47"/>
      <c r="I9" s="47"/>
      <c r="J9" s="47"/>
      <c r="K9" s="47"/>
      <c r="L9" s="47"/>
    </row>
    <row r="10" spans="1:17" ht="54.95" customHeight="1" x14ac:dyDescent="0.2">
      <c r="A10" s="628" t="s">
        <v>494</v>
      </c>
      <c r="B10" s="628"/>
      <c r="C10" s="628"/>
      <c r="D10" s="628"/>
      <c r="E10" s="628"/>
      <c r="F10" s="628"/>
      <c r="G10" s="628"/>
      <c r="H10" s="628"/>
      <c r="I10" s="628"/>
      <c r="J10" s="628"/>
      <c r="K10" s="628"/>
      <c r="L10" s="47"/>
    </row>
    <row r="11" spans="1:17" x14ac:dyDescent="0.2">
      <c r="A11" s="47"/>
      <c r="B11" s="47"/>
      <c r="C11" s="47"/>
      <c r="D11" s="47"/>
      <c r="E11" s="47"/>
      <c r="F11" s="47"/>
      <c r="G11" s="47"/>
      <c r="H11" s="47"/>
      <c r="I11" s="47"/>
      <c r="J11" s="47"/>
      <c r="K11" s="47"/>
      <c r="L11" s="47"/>
    </row>
    <row r="12" spans="1:17" x14ac:dyDescent="0.2">
      <c r="A12" s="47"/>
      <c r="B12" s="47"/>
      <c r="C12" s="47"/>
      <c r="D12" s="47"/>
      <c r="F12" s="47"/>
      <c r="G12" s="48" t="s">
        <v>224</v>
      </c>
      <c r="H12" s="47"/>
      <c r="J12" s="47"/>
      <c r="K12" s="47"/>
      <c r="L12" s="47"/>
    </row>
    <row r="13" spans="1:17" x14ac:dyDescent="0.2">
      <c r="A13" s="47"/>
      <c r="B13" s="47"/>
      <c r="D13" s="47"/>
      <c r="E13" s="48" t="s">
        <v>231</v>
      </c>
      <c r="F13" s="47"/>
      <c r="G13" s="558" t="s">
        <v>254</v>
      </c>
      <c r="H13" s="47"/>
      <c r="I13" s="48" t="s">
        <v>232</v>
      </c>
      <c r="J13" s="47"/>
      <c r="L13" s="47"/>
    </row>
    <row r="14" spans="1:17" x14ac:dyDescent="0.2">
      <c r="A14" s="47"/>
      <c r="B14" s="47"/>
      <c r="D14" s="47"/>
      <c r="E14" s="49"/>
      <c r="F14" s="47"/>
      <c r="G14" s="49"/>
      <c r="H14" s="47"/>
      <c r="I14" s="49"/>
      <c r="J14" s="47"/>
      <c r="L14" s="47"/>
      <c r="P14" s="369"/>
      <c r="Q14" s="369"/>
    </row>
    <row r="15" spans="1:17" x14ac:dyDescent="0.2">
      <c r="B15" s="47" t="s">
        <v>233</v>
      </c>
      <c r="D15" s="47"/>
      <c r="E15" s="50">
        <v>1</v>
      </c>
      <c r="F15" s="47"/>
      <c r="G15" s="51">
        <v>26400000</v>
      </c>
      <c r="H15" s="47"/>
      <c r="I15" s="52">
        <f>ROUND(+G15/G$23,4)+0.0001</f>
        <v>0.53410000000000002</v>
      </c>
      <c r="J15" s="47"/>
      <c r="L15" s="47"/>
    </row>
    <row r="16" spans="1:17" x14ac:dyDescent="0.2">
      <c r="B16" s="47" t="s">
        <v>209</v>
      </c>
      <c r="D16" s="47"/>
      <c r="E16" s="50"/>
      <c r="F16" s="47"/>
      <c r="G16" s="51"/>
      <c r="H16" s="47"/>
      <c r="I16" s="52"/>
      <c r="J16" s="47"/>
      <c r="L16" s="47"/>
      <c r="P16" s="369"/>
    </row>
    <row r="17" spans="1:16" x14ac:dyDescent="0.2">
      <c r="B17" s="47" t="s">
        <v>234</v>
      </c>
      <c r="D17" s="47"/>
      <c r="E17" s="50">
        <f>+'F 2 B'!F35</f>
        <v>0.6</v>
      </c>
      <c r="F17" s="51"/>
      <c r="G17" s="51">
        <f>ROUND(+G15*E17,0)</f>
        <v>15840000</v>
      </c>
      <c r="H17" s="52"/>
      <c r="I17" s="52">
        <f>ROUND(+G17/G$23,4)-0.0001</f>
        <v>0.32030000000000003</v>
      </c>
      <c r="J17" s="47"/>
      <c r="L17" s="47"/>
    </row>
    <row r="18" spans="1:16" x14ac:dyDescent="0.2">
      <c r="B18" s="47"/>
      <c r="D18" s="47"/>
      <c r="E18" s="53"/>
      <c r="F18" s="51"/>
      <c r="G18" s="54"/>
      <c r="H18" s="52"/>
      <c r="I18" s="55"/>
      <c r="J18" s="47"/>
      <c r="L18" s="47"/>
      <c r="P18" s="369"/>
    </row>
    <row r="19" spans="1:16" ht="15.75" thickBot="1" x14ac:dyDescent="0.25">
      <c r="B19" s="47" t="s">
        <v>256</v>
      </c>
      <c r="D19" s="47"/>
      <c r="E19" s="206">
        <f>SUM(E15:E18)</f>
        <v>1.6</v>
      </c>
      <c r="F19" s="51"/>
      <c r="G19" s="51">
        <f>SUM(G15:G18)</f>
        <v>42240000</v>
      </c>
      <c r="H19" s="52"/>
      <c r="I19" s="52">
        <f>SUM(I15:I18)</f>
        <v>0.85440000000000005</v>
      </c>
      <c r="J19" s="47"/>
      <c r="L19" s="47"/>
    </row>
    <row r="20" spans="1:16" ht="15.75" thickTop="1" x14ac:dyDescent="0.2">
      <c r="B20" s="47"/>
      <c r="D20" s="47"/>
      <c r="E20" s="169"/>
      <c r="F20" s="51"/>
      <c r="G20" s="51"/>
      <c r="H20" s="57"/>
      <c r="I20" s="52"/>
      <c r="J20" s="47"/>
      <c r="L20" s="47"/>
    </row>
    <row r="21" spans="1:16" x14ac:dyDescent="0.2">
      <c r="B21" s="47" t="s">
        <v>238</v>
      </c>
      <c r="C21" s="47"/>
      <c r="D21" s="47"/>
      <c r="F21" s="47"/>
      <c r="G21" s="51">
        <f>G50*60*10</f>
        <v>7200000</v>
      </c>
      <c r="H21" s="47"/>
      <c r="I21" s="52">
        <f>ROUND(+G21/G$23,4)</f>
        <v>0.14560000000000001</v>
      </c>
      <c r="J21" s="47"/>
      <c r="L21" s="47"/>
    </row>
    <row r="22" spans="1:16" x14ac:dyDescent="0.2">
      <c r="B22" s="47"/>
      <c r="C22" s="47"/>
      <c r="D22" s="47"/>
      <c r="F22" s="47"/>
      <c r="G22" s="49"/>
      <c r="H22" s="47"/>
      <c r="I22" s="55"/>
      <c r="J22" s="47"/>
      <c r="L22" s="47"/>
    </row>
    <row r="23" spans="1:16" ht="15.75" thickBot="1" x14ac:dyDescent="0.25">
      <c r="B23" s="47" t="s">
        <v>235</v>
      </c>
      <c r="C23" s="47"/>
      <c r="D23" s="47"/>
      <c r="F23" s="47"/>
      <c r="G23" s="185">
        <f>SUM(G19:G21)</f>
        <v>49440000</v>
      </c>
      <c r="H23" s="47"/>
      <c r="I23" s="52">
        <f>SUM(I19:I21)</f>
        <v>1</v>
      </c>
      <c r="J23" s="47"/>
      <c r="L23" s="47"/>
    </row>
    <row r="24" spans="1:16" ht="15.75" thickTop="1" x14ac:dyDescent="0.2">
      <c r="B24" s="47"/>
      <c r="C24" s="47"/>
      <c r="D24" s="47"/>
      <c r="E24" s="47"/>
      <c r="F24" s="47"/>
      <c r="G24" s="169"/>
      <c r="H24" s="47"/>
      <c r="I24" s="56"/>
      <c r="J24" s="47"/>
      <c r="L24" s="47"/>
    </row>
    <row r="25" spans="1:16" x14ac:dyDescent="0.2">
      <c r="A25" s="47"/>
      <c r="B25" s="47"/>
      <c r="C25" s="47"/>
      <c r="D25" s="47"/>
      <c r="E25" s="47"/>
      <c r="F25" s="47"/>
      <c r="G25" s="47"/>
      <c r="H25" s="47"/>
      <c r="I25" s="47"/>
      <c r="J25" s="47"/>
      <c r="K25" s="47"/>
      <c r="L25" s="47"/>
    </row>
    <row r="26" spans="1:16" ht="30.6" customHeight="1" x14ac:dyDescent="0.2">
      <c r="A26" s="628"/>
      <c r="B26" s="628"/>
      <c r="C26" s="628"/>
      <c r="D26" s="628"/>
      <c r="E26" s="628"/>
      <c r="F26" s="628"/>
      <c r="G26" s="628"/>
      <c r="H26" s="628"/>
      <c r="I26" s="628"/>
      <c r="J26" s="628"/>
      <c r="K26" s="628"/>
      <c r="L26" s="47"/>
    </row>
    <row r="27" spans="1:16" x14ac:dyDescent="0.2">
      <c r="A27" s="47"/>
      <c r="B27" s="47"/>
      <c r="C27" s="47"/>
      <c r="D27" s="47"/>
      <c r="E27" s="47"/>
      <c r="F27" s="47"/>
      <c r="G27" s="47"/>
      <c r="H27" s="47"/>
      <c r="I27" s="47"/>
      <c r="J27" s="47"/>
      <c r="K27" s="47"/>
      <c r="L27" s="47"/>
    </row>
    <row r="28" spans="1:16" x14ac:dyDescent="0.2">
      <c r="A28" s="47"/>
      <c r="B28" s="47"/>
      <c r="C28" s="47"/>
      <c r="D28" s="47"/>
      <c r="E28" s="47"/>
      <c r="F28" s="47"/>
      <c r="G28" s="47"/>
      <c r="H28" s="47"/>
      <c r="I28" s="47"/>
      <c r="J28" s="47"/>
      <c r="K28" s="47"/>
      <c r="L28" s="47"/>
    </row>
    <row r="29" spans="1:16" x14ac:dyDescent="0.2">
      <c r="A29" s="47"/>
      <c r="B29" s="47"/>
      <c r="C29" s="47"/>
      <c r="D29" s="47"/>
      <c r="E29" s="47"/>
      <c r="F29" s="47"/>
      <c r="G29" s="47"/>
      <c r="H29" s="47"/>
      <c r="I29" s="47"/>
      <c r="J29" s="47"/>
      <c r="K29" s="47"/>
      <c r="L29" s="47"/>
    </row>
    <row r="30" spans="1:16" x14ac:dyDescent="0.2">
      <c r="A30" s="36" t="s">
        <v>51</v>
      </c>
      <c r="B30" s="44"/>
      <c r="C30" s="44"/>
      <c r="D30" s="44"/>
      <c r="E30" s="44"/>
      <c r="F30" s="44"/>
      <c r="G30" s="44"/>
      <c r="H30" s="44"/>
      <c r="I30" s="44"/>
      <c r="J30" s="44"/>
      <c r="K30" s="44"/>
    </row>
    <row r="31" spans="1:16" x14ac:dyDescent="0.2">
      <c r="A31" s="36"/>
      <c r="B31" s="44"/>
      <c r="C31" s="44"/>
      <c r="D31" s="44"/>
      <c r="E31" s="44"/>
      <c r="F31" s="44"/>
      <c r="G31" s="44"/>
      <c r="H31" s="44"/>
      <c r="I31" s="44"/>
      <c r="J31" s="44"/>
      <c r="K31" s="44"/>
    </row>
    <row r="33" spans="1:13" x14ac:dyDescent="0.2">
      <c r="A33" s="45" t="s">
        <v>221</v>
      </c>
      <c r="B33" s="44"/>
      <c r="C33" s="44"/>
      <c r="D33" s="44"/>
      <c r="E33" s="44"/>
      <c r="F33" s="44"/>
      <c r="G33" s="44"/>
      <c r="H33" s="44"/>
      <c r="I33" s="44"/>
      <c r="J33" s="44"/>
      <c r="K33" s="44"/>
    </row>
    <row r="36" spans="1:13" x14ac:dyDescent="0.2">
      <c r="A36" s="47" t="s">
        <v>257</v>
      </c>
      <c r="B36" s="47"/>
      <c r="C36" s="47"/>
      <c r="D36" s="47"/>
      <c r="E36" s="47"/>
      <c r="F36" s="47"/>
      <c r="G36" s="47"/>
      <c r="H36" s="47"/>
      <c r="I36" s="47"/>
      <c r="J36" s="47"/>
      <c r="K36" s="47"/>
      <c r="L36" s="47"/>
    </row>
    <row r="37" spans="1:13" x14ac:dyDescent="0.2">
      <c r="A37" s="47" t="s">
        <v>258</v>
      </c>
      <c r="B37" s="47"/>
      <c r="C37" s="47"/>
      <c r="D37" s="47"/>
      <c r="E37" s="47"/>
      <c r="F37" s="47"/>
      <c r="G37" s="47"/>
      <c r="H37" s="47"/>
      <c r="I37" s="47"/>
      <c r="J37" s="47"/>
      <c r="K37" s="47"/>
      <c r="L37" s="47"/>
    </row>
    <row r="38" spans="1:13" ht="11.25" customHeight="1" x14ac:dyDescent="0.2">
      <c r="A38" s="47"/>
      <c r="B38" s="47"/>
      <c r="C38" s="47"/>
      <c r="D38" s="47"/>
      <c r="E38" s="47"/>
      <c r="F38" s="47"/>
      <c r="G38" s="47"/>
      <c r="H38" s="47"/>
      <c r="I38" s="47"/>
      <c r="J38" s="47"/>
      <c r="K38" s="47"/>
      <c r="L38" s="47"/>
    </row>
    <row r="39" spans="1:13" ht="52.9" customHeight="1" x14ac:dyDescent="0.2">
      <c r="A39" s="628" t="s">
        <v>495</v>
      </c>
      <c r="B39" s="628"/>
      <c r="C39" s="628"/>
      <c r="D39" s="628"/>
      <c r="E39" s="628"/>
      <c r="F39" s="628"/>
      <c r="G39" s="628"/>
      <c r="H39" s="628"/>
      <c r="I39" s="628"/>
      <c r="J39" s="628"/>
      <c r="K39" s="628"/>
      <c r="L39" s="47"/>
    </row>
    <row r="40" spans="1:13" ht="8.25" customHeight="1" x14ac:dyDescent="0.2">
      <c r="A40" s="47"/>
      <c r="B40" s="47"/>
      <c r="C40" s="47"/>
      <c r="D40" s="47"/>
      <c r="E40" s="47"/>
      <c r="F40" s="47"/>
      <c r="G40" s="47"/>
      <c r="H40" s="47"/>
      <c r="I40" s="47"/>
      <c r="J40" s="47"/>
      <c r="K40" s="47"/>
      <c r="L40" s="47"/>
    </row>
    <row r="41" spans="1:13" x14ac:dyDescent="0.2">
      <c r="A41" s="47"/>
      <c r="B41" s="47"/>
      <c r="C41" s="47"/>
      <c r="D41" s="47"/>
      <c r="F41" s="47"/>
      <c r="G41" s="48" t="s">
        <v>224</v>
      </c>
      <c r="H41" s="47"/>
      <c r="I41" s="47"/>
      <c r="J41" s="47"/>
      <c r="K41" s="47"/>
      <c r="L41" s="47"/>
    </row>
    <row r="42" spans="1:13" x14ac:dyDescent="0.2">
      <c r="A42" s="47"/>
      <c r="B42" s="47"/>
      <c r="D42" s="47"/>
      <c r="E42" s="48" t="s">
        <v>231</v>
      </c>
      <c r="F42" s="47"/>
      <c r="G42" s="48" t="s">
        <v>259</v>
      </c>
      <c r="H42" s="47"/>
      <c r="I42" s="48" t="s">
        <v>232</v>
      </c>
      <c r="J42" s="47"/>
      <c r="K42" s="47"/>
      <c r="L42" s="47"/>
    </row>
    <row r="43" spans="1:13" ht="9.75" customHeight="1" x14ac:dyDescent="0.2">
      <c r="A43" s="47"/>
      <c r="B43" s="47"/>
      <c r="D43" s="47"/>
      <c r="E43" s="49"/>
      <c r="F43" s="47"/>
      <c r="G43" s="49"/>
      <c r="H43" s="47"/>
      <c r="I43" s="49"/>
      <c r="J43" s="47"/>
      <c r="K43" s="47"/>
      <c r="L43" s="47"/>
    </row>
    <row r="44" spans="1:13" x14ac:dyDescent="0.2">
      <c r="B44" s="47" t="s">
        <v>255</v>
      </c>
      <c r="D44" s="47"/>
      <c r="E44" s="50">
        <v>1</v>
      </c>
      <c r="F44" s="47"/>
      <c r="G44" s="51">
        <f>ROUND(G15/24/60,0)</f>
        <v>18333</v>
      </c>
      <c r="H44" s="47"/>
      <c r="I44" s="52">
        <f>ROUND(+G44/G$52,4)</f>
        <v>0.32740000000000002</v>
      </c>
      <c r="J44" s="47"/>
      <c r="K44" s="47"/>
      <c r="L44" s="47"/>
      <c r="M44" s="52"/>
    </row>
    <row r="45" spans="1:13" x14ac:dyDescent="0.2">
      <c r="B45" s="47" t="s">
        <v>245</v>
      </c>
      <c r="D45" s="47"/>
      <c r="E45" s="50"/>
      <c r="F45" s="47"/>
      <c r="G45" s="51"/>
      <c r="H45" s="47"/>
      <c r="I45" s="52"/>
      <c r="J45" s="47"/>
      <c r="K45" s="47"/>
      <c r="L45" s="47"/>
      <c r="M45" s="52"/>
    </row>
    <row r="46" spans="1:13" x14ac:dyDescent="0.2">
      <c r="B46" s="47" t="s">
        <v>234</v>
      </c>
      <c r="D46" s="47"/>
      <c r="E46" s="50">
        <v>1.4</v>
      </c>
      <c r="F46" s="51"/>
      <c r="G46" s="51">
        <f>ROUND(+G44*E46,0)</f>
        <v>25666</v>
      </c>
      <c r="H46" s="52"/>
      <c r="I46" s="322">
        <f>ROUND(+G46/G$52,4)</f>
        <v>0.45829999999999999</v>
      </c>
      <c r="J46" s="47"/>
      <c r="K46" s="47"/>
      <c r="L46" s="47"/>
      <c r="M46" s="52"/>
    </row>
    <row r="47" spans="1:13" x14ac:dyDescent="0.2">
      <c r="B47" s="47"/>
      <c r="D47" s="47"/>
      <c r="E47" s="53"/>
      <c r="F47" s="51"/>
      <c r="G47" s="54"/>
      <c r="H47" s="52"/>
      <c r="I47" s="55"/>
      <c r="J47" s="47"/>
      <c r="K47" s="47"/>
      <c r="L47" s="47"/>
      <c r="M47" s="52"/>
    </row>
    <row r="48" spans="1:13" ht="15.75" thickBot="1" x14ac:dyDescent="0.25">
      <c r="B48" s="47" t="s">
        <v>256</v>
      </c>
      <c r="D48" s="47"/>
      <c r="E48" s="206">
        <f>SUM(E44:E47)</f>
        <v>2.4</v>
      </c>
      <c r="F48" s="51"/>
      <c r="G48" s="51">
        <f>SUM(G44:G47)</f>
        <v>43999</v>
      </c>
      <c r="H48" s="52"/>
      <c r="I48" s="52">
        <f>SUM(I44:I47)</f>
        <v>0.78570000000000007</v>
      </c>
      <c r="J48" s="47"/>
      <c r="K48" s="47"/>
      <c r="L48" s="47"/>
      <c r="M48" s="52"/>
    </row>
    <row r="49" spans="1:17" ht="9.75" customHeight="1" thickTop="1" x14ac:dyDescent="0.2">
      <c r="B49" s="47"/>
      <c r="D49" s="47"/>
      <c r="E49" s="169"/>
      <c r="F49" s="51"/>
      <c r="G49" s="51"/>
      <c r="H49" s="57"/>
      <c r="I49" s="52"/>
      <c r="J49" s="47"/>
      <c r="K49" s="47"/>
      <c r="L49" s="47"/>
      <c r="M49" s="52"/>
    </row>
    <row r="50" spans="1:17" x14ac:dyDescent="0.2">
      <c r="B50" s="47" t="s">
        <v>238</v>
      </c>
      <c r="C50" s="47"/>
      <c r="D50" s="47"/>
      <c r="F50" s="47"/>
      <c r="G50" s="51">
        <v>12000</v>
      </c>
      <c r="H50" s="47"/>
      <c r="I50" s="52">
        <f>ROUND(+G50/G$52,4)</f>
        <v>0.21429999999999999</v>
      </c>
      <c r="J50" s="47"/>
      <c r="K50" s="47"/>
      <c r="L50" s="47"/>
      <c r="O50" s="234"/>
    </row>
    <row r="51" spans="1:17" x14ac:dyDescent="0.2">
      <c r="B51" s="47"/>
      <c r="C51" s="47"/>
      <c r="D51" s="47"/>
      <c r="F51" s="47"/>
      <c r="G51" s="49"/>
      <c r="H51" s="47"/>
      <c r="I51" s="55"/>
      <c r="J51" s="47"/>
      <c r="K51" s="47"/>
      <c r="L51" s="47"/>
      <c r="O51" s="234"/>
    </row>
    <row r="52" spans="1:17" ht="15.75" thickBot="1" x14ac:dyDescent="0.25">
      <c r="B52" s="47" t="s">
        <v>235</v>
      </c>
      <c r="C52" s="47"/>
      <c r="D52" s="47"/>
      <c r="F52" s="47"/>
      <c r="G52" s="185">
        <f>SUM(G48:G50)</f>
        <v>55999</v>
      </c>
      <c r="H52" s="47"/>
      <c r="I52" s="52">
        <f>SUM(I48:I50)</f>
        <v>1</v>
      </c>
      <c r="J52" s="47"/>
      <c r="K52" s="47"/>
      <c r="L52" s="47"/>
      <c r="M52" s="52"/>
    </row>
    <row r="53" spans="1:17" ht="12.6" customHeight="1" thickTop="1" x14ac:dyDescent="0.2">
      <c r="A53" s="47"/>
      <c r="B53" s="47"/>
      <c r="C53" s="47"/>
      <c r="D53" s="47"/>
      <c r="E53" s="51"/>
      <c r="F53" s="47"/>
      <c r="G53" s="169"/>
      <c r="H53" s="47"/>
      <c r="I53" s="58"/>
      <c r="J53" s="47"/>
      <c r="K53" s="47"/>
      <c r="L53" s="47"/>
    </row>
    <row r="54" spans="1:17" ht="25.9" customHeight="1" x14ac:dyDescent="0.2">
      <c r="A54" s="628" t="s">
        <v>260</v>
      </c>
      <c r="B54" s="628"/>
      <c r="C54" s="628"/>
      <c r="D54" s="628"/>
      <c r="E54" s="628"/>
      <c r="F54" s="628"/>
      <c r="G54" s="628"/>
      <c r="H54" s="628"/>
      <c r="I54" s="628"/>
      <c r="J54" s="628"/>
      <c r="K54" s="628"/>
      <c r="L54" s="47"/>
    </row>
    <row r="55" spans="1:17" ht="10.15" customHeight="1" x14ac:dyDescent="0.2">
      <c r="A55" s="47"/>
      <c r="B55" s="47"/>
      <c r="C55" s="47"/>
      <c r="D55" s="47"/>
      <c r="E55" s="47"/>
      <c r="F55" s="47"/>
      <c r="G55" s="47"/>
      <c r="H55" s="47"/>
      <c r="I55" s="47"/>
      <c r="J55" s="47"/>
      <c r="K55" s="47"/>
      <c r="L55" s="47"/>
    </row>
    <row r="56" spans="1:17" x14ac:dyDescent="0.2">
      <c r="A56" s="47"/>
      <c r="B56" s="47"/>
      <c r="C56" s="47"/>
      <c r="D56" s="47"/>
      <c r="E56" s="48" t="s">
        <v>261</v>
      </c>
      <c r="F56" s="47"/>
      <c r="H56" s="47"/>
      <c r="I56" s="47"/>
      <c r="J56" s="47"/>
      <c r="K56" s="47"/>
      <c r="L56" s="47"/>
    </row>
    <row r="57" spans="1:17" x14ac:dyDescent="0.2">
      <c r="A57" s="47"/>
      <c r="B57" s="47"/>
      <c r="C57" s="47"/>
      <c r="D57" s="47"/>
      <c r="E57" s="48" t="s">
        <v>262</v>
      </c>
      <c r="F57" s="47"/>
      <c r="G57" s="45" t="s">
        <v>263</v>
      </c>
      <c r="H57" s="45"/>
      <c r="I57" s="45"/>
      <c r="J57" s="45"/>
      <c r="K57" s="45"/>
      <c r="L57" s="47"/>
    </row>
    <row r="58" spans="1:17" x14ac:dyDescent="0.2">
      <c r="A58" s="45" t="s">
        <v>239</v>
      </c>
      <c r="B58" s="45"/>
      <c r="C58" s="45"/>
      <c r="D58" s="47"/>
      <c r="E58" s="48" t="s">
        <v>210</v>
      </c>
      <c r="F58" s="47"/>
      <c r="G58" s="59"/>
      <c r="H58" s="59"/>
      <c r="I58" s="59" t="s">
        <v>337</v>
      </c>
      <c r="J58" s="59"/>
      <c r="K58" s="59" t="s">
        <v>192</v>
      </c>
      <c r="L58" s="47"/>
    </row>
    <row r="59" spans="1:17" x14ac:dyDescent="0.2">
      <c r="A59" s="45" t="s">
        <v>193</v>
      </c>
      <c r="B59" s="45"/>
      <c r="C59" s="45"/>
      <c r="D59" s="47"/>
      <c r="E59" s="48" t="s">
        <v>337</v>
      </c>
      <c r="F59" s="47"/>
      <c r="G59" s="48" t="s">
        <v>225</v>
      </c>
      <c r="H59" s="48"/>
      <c r="I59" s="48" t="s">
        <v>264</v>
      </c>
      <c r="J59" s="48"/>
      <c r="K59" s="48" t="s">
        <v>194</v>
      </c>
      <c r="L59" s="47"/>
    </row>
    <row r="60" spans="1:17" x14ac:dyDescent="0.2">
      <c r="A60" s="60" t="s">
        <v>195</v>
      </c>
      <c r="B60" s="60"/>
      <c r="C60" s="60"/>
      <c r="D60" s="47"/>
      <c r="E60" s="59" t="s">
        <v>214</v>
      </c>
      <c r="F60" s="47"/>
      <c r="G60" s="59" t="s">
        <v>197</v>
      </c>
      <c r="H60" s="48"/>
      <c r="I60" s="59" t="s">
        <v>227</v>
      </c>
      <c r="J60" s="48"/>
      <c r="K60" s="59" t="s">
        <v>228</v>
      </c>
      <c r="L60" s="47"/>
      <c r="O60" s="602"/>
      <c r="P60" s="602"/>
      <c r="Q60" s="602"/>
    </row>
    <row r="61" spans="1:17" ht="10.7" customHeight="1" x14ac:dyDescent="0.2">
      <c r="C61" s="47"/>
      <c r="D61" s="47"/>
      <c r="E61" s="47"/>
      <c r="F61" s="47"/>
      <c r="G61" s="47"/>
      <c r="H61" s="47"/>
      <c r="I61" s="47"/>
      <c r="J61" s="47"/>
      <c r="K61" s="47"/>
      <c r="L61" s="47"/>
      <c r="O61" s="602"/>
      <c r="P61" s="602"/>
      <c r="Q61" s="602"/>
    </row>
    <row r="62" spans="1:17" x14ac:dyDescent="0.2">
      <c r="A62" s="2" t="s">
        <v>198</v>
      </c>
      <c r="B62" s="47"/>
      <c r="C62" s="47"/>
      <c r="D62" s="47"/>
      <c r="E62" s="182">
        <f>'F 3-4'!$D$49</f>
        <v>609.29999999999995</v>
      </c>
      <c r="F62" s="47"/>
      <c r="G62" s="171">
        <v>2</v>
      </c>
      <c r="H62" s="47"/>
      <c r="I62" s="57">
        <f>ROUND(E62*G62,1)</f>
        <v>1218.5999999999999</v>
      </c>
      <c r="J62" s="47"/>
      <c r="K62" s="52">
        <f>ROUND(+I62/I$68,4)-0.0001</f>
        <v>0.62939999999999996</v>
      </c>
      <c r="L62" s="47"/>
      <c r="O62" s="603"/>
      <c r="P62" s="602"/>
      <c r="Q62" s="604"/>
    </row>
    <row r="63" spans="1:17" x14ac:dyDescent="0.2">
      <c r="A63" s="2" t="s">
        <v>334</v>
      </c>
      <c r="B63" s="47"/>
      <c r="C63" s="47"/>
      <c r="D63" s="47"/>
      <c r="E63" s="182">
        <f>'F 3-4'!$D$50</f>
        <v>338.3</v>
      </c>
      <c r="F63" s="47"/>
      <c r="G63" s="171">
        <v>1.5</v>
      </c>
      <c r="H63" s="47"/>
      <c r="I63" s="57">
        <f>ROUND(E63*G63,1)</f>
        <v>507.5</v>
      </c>
      <c r="J63" s="47"/>
      <c r="K63" s="52">
        <f>ROUND(+I63/I$68,4)</f>
        <v>0.26219999999999999</v>
      </c>
      <c r="L63" s="47"/>
      <c r="O63" s="603"/>
      <c r="P63" s="602"/>
      <c r="Q63" s="604"/>
    </row>
    <row r="64" spans="1:17" x14ac:dyDescent="0.2">
      <c r="A64" s="2" t="s">
        <v>200</v>
      </c>
      <c r="B64" s="47"/>
      <c r="C64" s="47"/>
      <c r="D64" s="47"/>
      <c r="E64" s="182">
        <f>'F 3-4'!$D$51</f>
        <v>132.80000000000001</v>
      </c>
      <c r="F64" s="47"/>
      <c r="G64" s="171">
        <v>1</v>
      </c>
      <c r="H64" s="47"/>
      <c r="I64" s="57">
        <f>ROUND(E64*G64,1)</f>
        <v>132.80000000000001</v>
      </c>
      <c r="J64" s="47"/>
      <c r="K64" s="52">
        <f>ROUND(+I64/I$68,4)</f>
        <v>6.8599999999999994E-2</v>
      </c>
      <c r="L64" s="47"/>
      <c r="O64" s="602"/>
      <c r="P64" s="602"/>
      <c r="Q64" s="604"/>
    </row>
    <row r="65" spans="1:17" x14ac:dyDescent="0.2">
      <c r="A65" s="2" t="s">
        <v>201</v>
      </c>
      <c r="B65" s="47"/>
      <c r="C65" s="47"/>
      <c r="D65" s="47"/>
      <c r="E65" s="182">
        <f>'F 3-4'!$D$52</f>
        <v>77</v>
      </c>
      <c r="F65" s="47"/>
      <c r="G65" s="171">
        <v>1</v>
      </c>
      <c r="H65" s="47"/>
      <c r="I65" s="57">
        <f>ROUND(E65*G65,1)</f>
        <v>77</v>
      </c>
      <c r="J65" s="47"/>
      <c r="K65" s="52">
        <f>ROUND(+I65/I$68,4)</f>
        <v>3.9800000000000002E-2</v>
      </c>
      <c r="L65" s="47"/>
      <c r="O65" s="603"/>
      <c r="P65" s="602"/>
      <c r="Q65" s="604"/>
    </row>
    <row r="66" spans="1:17" x14ac:dyDescent="0.2">
      <c r="A66" s="2" t="s">
        <v>105</v>
      </c>
      <c r="B66" s="47"/>
      <c r="C66" s="47"/>
      <c r="D66" s="47"/>
      <c r="E66" s="182">
        <f>'F 3-4'!$D$53</f>
        <v>0</v>
      </c>
      <c r="F66" s="47"/>
      <c r="G66" s="171">
        <v>1</v>
      </c>
      <c r="H66" s="47"/>
      <c r="I66" s="57">
        <f>ROUND(E66*G66,1)</f>
        <v>0</v>
      </c>
      <c r="J66" s="47"/>
      <c r="K66" s="52">
        <f>ROUND(+I66/I$68,4)</f>
        <v>0</v>
      </c>
      <c r="L66" s="47"/>
      <c r="O66" s="602"/>
      <c r="P66" s="602"/>
      <c r="Q66" s="604"/>
    </row>
    <row r="67" spans="1:17" ht="9.1999999999999993" customHeight="1" x14ac:dyDescent="0.2">
      <c r="A67" s="47"/>
      <c r="B67" s="47"/>
      <c r="C67" s="47"/>
      <c r="D67" s="47"/>
      <c r="E67" s="168"/>
      <c r="F67" s="47"/>
      <c r="G67" s="47"/>
      <c r="H67" s="47"/>
      <c r="I67" s="61"/>
      <c r="J67" s="47"/>
      <c r="K67" s="49"/>
      <c r="L67" s="47"/>
      <c r="O67" s="602"/>
      <c r="P67" s="602"/>
      <c r="Q67" s="169"/>
    </row>
    <row r="68" spans="1:17" ht="15.75" thickBot="1" x14ac:dyDescent="0.25">
      <c r="A68" s="47" t="s">
        <v>265</v>
      </c>
      <c r="B68" s="47"/>
      <c r="C68" s="47"/>
      <c r="D68" s="47"/>
      <c r="E68" s="182">
        <f>SUM(E62:E67)</f>
        <v>1157.3999999999999</v>
      </c>
      <c r="F68" s="57"/>
      <c r="G68" s="57"/>
      <c r="H68" s="57"/>
      <c r="I68" s="182">
        <f>SUM(I62:I67)</f>
        <v>1935.8999999999999</v>
      </c>
      <c r="J68" s="47"/>
      <c r="K68" s="170">
        <f>SUM(K62:K67)</f>
        <v>1</v>
      </c>
      <c r="L68" s="289"/>
      <c r="O68" s="605"/>
      <c r="P68" s="602"/>
      <c r="Q68" s="604"/>
    </row>
    <row r="69" spans="1:17" ht="15.75" thickTop="1" x14ac:dyDescent="0.2">
      <c r="A69" s="184"/>
      <c r="B69" s="184"/>
      <c r="C69" s="184"/>
      <c r="D69" s="47"/>
      <c r="E69" s="62"/>
      <c r="F69" s="47"/>
      <c r="G69" s="47"/>
      <c r="H69" s="47"/>
      <c r="I69" s="56"/>
      <c r="J69" s="47"/>
      <c r="K69" s="169"/>
      <c r="L69" s="47"/>
      <c r="O69" s="602"/>
      <c r="P69" s="602"/>
      <c r="Q69" s="602"/>
    </row>
    <row r="70" spans="1:17" x14ac:dyDescent="0.2">
      <c r="A70" s="47" t="s">
        <v>266</v>
      </c>
      <c r="B70" s="47"/>
      <c r="C70" s="47"/>
      <c r="D70" s="47"/>
      <c r="E70" s="47"/>
      <c r="F70" s="47"/>
      <c r="G70" s="47"/>
      <c r="H70" s="47"/>
      <c r="I70" s="47"/>
      <c r="J70" s="47"/>
      <c r="K70" s="47"/>
      <c r="L70" s="47"/>
      <c r="O70" s="602"/>
      <c r="P70" s="606"/>
      <c r="Q70" s="602"/>
    </row>
    <row r="71" spans="1:17" ht="11.25" customHeight="1" x14ac:dyDescent="0.2">
      <c r="A71" s="47"/>
      <c r="B71" s="47"/>
      <c r="C71" s="47"/>
      <c r="D71" s="47"/>
      <c r="E71" s="47"/>
      <c r="F71" s="47"/>
      <c r="G71" s="47"/>
      <c r="H71" s="47"/>
      <c r="I71" s="47"/>
      <c r="J71" s="47"/>
      <c r="K71" s="47"/>
      <c r="L71" s="47"/>
      <c r="O71" s="602"/>
      <c r="P71" s="603"/>
      <c r="Q71" s="602"/>
    </row>
    <row r="72" spans="1:17" ht="29.25" customHeight="1" x14ac:dyDescent="0.2">
      <c r="A72" s="628"/>
      <c r="B72" s="628"/>
      <c r="C72" s="628"/>
      <c r="D72" s="628"/>
      <c r="E72" s="628"/>
      <c r="F72" s="628"/>
      <c r="G72" s="628"/>
      <c r="H72" s="628"/>
      <c r="I72" s="628"/>
      <c r="J72" s="628"/>
      <c r="K72" s="628"/>
      <c r="L72" s="47"/>
      <c r="O72" s="602"/>
      <c r="P72" s="602"/>
      <c r="Q72" s="602"/>
    </row>
    <row r="73" spans="1:17" x14ac:dyDescent="0.2">
      <c r="A73" s="47"/>
      <c r="B73" s="47"/>
      <c r="C73" s="47"/>
      <c r="D73" s="47"/>
      <c r="E73" s="47"/>
      <c r="F73" s="47"/>
      <c r="G73" s="47"/>
      <c r="H73" s="47"/>
      <c r="I73" s="47"/>
      <c r="J73" s="47"/>
      <c r="K73" s="47"/>
      <c r="L73" s="47"/>
    </row>
  </sheetData>
  <mergeCells count="5">
    <mergeCell ref="A72:K72"/>
    <mergeCell ref="A10:K10"/>
    <mergeCell ref="A26:K26"/>
    <mergeCell ref="A39:K39"/>
    <mergeCell ref="A54:K54"/>
  </mergeCells>
  <phoneticPr fontId="12" type="noConversion"/>
  <printOptions horizontalCentered="1"/>
  <pageMargins left="1" right="1" top="1" bottom="0.5" header="0.5" footer="0.5"/>
  <pageSetup orientation="portrait" r:id="rId1"/>
  <headerFooter alignWithMargins="0"/>
  <rowBreaks count="1" manualBreakCount="1">
    <brk id="2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67"/>
  <sheetViews>
    <sheetView workbookViewId="0">
      <selection activeCell="N24" sqref="N24"/>
    </sheetView>
  </sheetViews>
  <sheetFormatPr defaultColWidth="9.77734375" defaultRowHeight="15" x14ac:dyDescent="0.2"/>
  <cols>
    <col min="1" max="2" width="7.77734375" style="66" customWidth="1"/>
    <col min="3" max="3" width="2.21875" style="66" customWidth="1"/>
    <col min="4" max="4" width="7.77734375" style="66" customWidth="1"/>
    <col min="5" max="5" width="2.21875" style="66" customWidth="1"/>
    <col min="6" max="6" width="7.77734375" style="66" customWidth="1"/>
    <col min="7" max="7" width="2.109375" style="66" customWidth="1"/>
    <col min="8" max="8" width="7.77734375" style="66" customWidth="1"/>
    <col min="9" max="9" width="2.109375" style="66" customWidth="1"/>
    <col min="10" max="10" width="7.77734375" style="66" customWidth="1"/>
    <col min="11" max="11" width="2.109375" style="66" customWidth="1"/>
    <col min="12" max="12" width="7.77734375" style="66" customWidth="1"/>
    <col min="13" max="13" width="2.109375" style="66" customWidth="1"/>
    <col min="14" max="14" width="7.77734375" style="66" customWidth="1"/>
    <col min="15" max="15" width="2.109375" style="66" customWidth="1"/>
    <col min="16" max="16" width="7.77734375" style="66" customWidth="1"/>
    <col min="17" max="17" width="2.109375" style="66" customWidth="1"/>
    <col min="18" max="18" width="11.21875" style="66" customWidth="1"/>
    <col min="19" max="22" width="9.77734375" style="66" customWidth="1"/>
    <col min="23" max="23" width="10.77734375" style="66" customWidth="1"/>
    <col min="24" max="25" width="6.77734375" style="66" customWidth="1"/>
    <col min="26" max="28" width="7.77734375" style="66" customWidth="1"/>
    <col min="29" max="29" width="4.77734375" style="66" customWidth="1"/>
    <col min="30" max="16384" width="9.77734375" style="66"/>
  </cols>
  <sheetData>
    <row r="1" spans="1:31" x14ac:dyDescent="0.2">
      <c r="A1" s="36" t="s">
        <v>51</v>
      </c>
      <c r="B1" s="64"/>
      <c r="C1" s="64"/>
      <c r="D1" s="64"/>
      <c r="E1" s="64"/>
      <c r="F1" s="64"/>
      <c r="G1" s="63"/>
      <c r="H1" s="64"/>
      <c r="I1" s="64"/>
      <c r="J1" s="64"/>
      <c r="K1" s="64"/>
      <c r="L1" s="64"/>
      <c r="M1" s="64"/>
      <c r="N1" s="64"/>
      <c r="O1" s="64"/>
      <c r="P1" s="64"/>
      <c r="Q1" s="64"/>
      <c r="R1" s="64"/>
      <c r="S1" s="65"/>
      <c r="T1" s="65"/>
      <c r="U1" s="65"/>
      <c r="V1" s="65"/>
      <c r="W1" s="65"/>
      <c r="X1" s="65"/>
      <c r="Y1" s="65"/>
      <c r="Z1" s="65"/>
      <c r="AA1" s="65"/>
      <c r="AB1" s="65"/>
      <c r="AC1" s="65"/>
      <c r="AD1" s="65"/>
      <c r="AE1" s="65"/>
    </row>
    <row r="2" spans="1:31" x14ac:dyDescent="0.2">
      <c r="A2" s="36"/>
      <c r="B2" s="64"/>
      <c r="C2" s="64"/>
      <c r="D2" s="64"/>
      <c r="E2" s="64"/>
      <c r="F2" s="64"/>
      <c r="G2" s="63"/>
      <c r="H2" s="64"/>
      <c r="I2" s="64"/>
      <c r="J2" s="64"/>
      <c r="K2" s="64"/>
      <c r="L2" s="64"/>
      <c r="M2" s="64"/>
      <c r="N2" s="64"/>
      <c r="O2" s="64"/>
      <c r="P2" s="64"/>
      <c r="Q2" s="64"/>
      <c r="R2" s="64"/>
      <c r="S2" s="65"/>
      <c r="T2" s="65"/>
      <c r="U2" s="65"/>
      <c r="V2" s="65"/>
      <c r="W2" s="65"/>
      <c r="X2" s="65"/>
      <c r="Y2" s="65"/>
      <c r="Z2" s="65"/>
      <c r="AA2" s="65"/>
      <c r="AB2" s="65"/>
      <c r="AC2" s="65"/>
      <c r="AD2" s="65"/>
      <c r="AE2" s="65"/>
    </row>
    <row r="3" spans="1:31" x14ac:dyDescent="0.2">
      <c r="A3" s="64"/>
      <c r="B3" s="64"/>
      <c r="C3" s="64"/>
      <c r="D3" s="64"/>
      <c r="E3" s="64"/>
      <c r="F3" s="64"/>
      <c r="G3" s="64"/>
      <c r="H3" s="64"/>
      <c r="I3" s="64"/>
      <c r="J3" s="64"/>
      <c r="K3" s="64"/>
      <c r="L3" s="64"/>
      <c r="M3" s="64"/>
      <c r="N3" s="64"/>
      <c r="O3" s="64"/>
      <c r="P3" s="64"/>
      <c r="Q3" s="64"/>
      <c r="R3" s="64"/>
      <c r="S3" s="65"/>
      <c r="T3" s="65"/>
      <c r="U3" s="65"/>
      <c r="V3" s="65"/>
      <c r="W3" s="65"/>
      <c r="X3" s="65"/>
      <c r="Y3" s="65"/>
      <c r="Z3" s="65"/>
      <c r="AA3" s="65"/>
      <c r="AB3" s="65"/>
      <c r="AC3" s="65"/>
      <c r="AD3" s="65"/>
      <c r="AE3" s="65"/>
    </row>
    <row r="4" spans="1:31" x14ac:dyDescent="0.2">
      <c r="A4" s="64" t="s">
        <v>221</v>
      </c>
      <c r="B4" s="64"/>
      <c r="C4" s="64"/>
      <c r="D4" s="63"/>
      <c r="E4" s="64"/>
      <c r="F4" s="64"/>
      <c r="G4" s="64"/>
      <c r="H4" s="64"/>
      <c r="I4" s="64"/>
      <c r="J4" s="64"/>
      <c r="K4" s="64"/>
      <c r="L4" s="64"/>
      <c r="M4" s="64"/>
      <c r="N4" s="64"/>
      <c r="O4" s="64"/>
      <c r="P4" s="64"/>
      <c r="Q4" s="64"/>
      <c r="R4" s="64"/>
      <c r="S4" s="65"/>
      <c r="T4" s="65"/>
      <c r="U4" s="65"/>
      <c r="V4" s="65"/>
      <c r="W4" s="65"/>
      <c r="X4" s="65"/>
      <c r="Y4" s="65"/>
      <c r="Z4" s="65"/>
      <c r="AA4" s="65"/>
      <c r="AB4" s="65"/>
      <c r="AC4" s="65"/>
      <c r="AD4" s="65"/>
      <c r="AE4" s="65"/>
    </row>
    <row r="5" spans="1:31" x14ac:dyDescent="0.2">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row>
    <row r="6" spans="1:31" x14ac:dyDescent="0.2">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row>
    <row r="7" spans="1:31" x14ac:dyDescent="0.2">
      <c r="A7" s="65" t="s">
        <v>267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row>
    <row r="8" spans="1:31" x14ac:dyDescent="0.2">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row>
    <row r="9" spans="1:31" ht="27.6" customHeight="1" x14ac:dyDescent="0.2">
      <c r="A9" s="629" t="s">
        <v>268</v>
      </c>
      <c r="B9" s="629"/>
      <c r="C9" s="629"/>
      <c r="D9" s="629"/>
      <c r="E9" s="629"/>
      <c r="F9" s="629"/>
      <c r="G9" s="629"/>
      <c r="H9" s="629"/>
      <c r="I9" s="629"/>
      <c r="J9" s="629"/>
      <c r="K9" s="629"/>
      <c r="L9" s="629"/>
      <c r="M9" s="629"/>
      <c r="N9" s="629"/>
      <c r="O9" s="629"/>
      <c r="P9" s="629"/>
      <c r="Q9" s="629"/>
      <c r="R9" s="629"/>
      <c r="S9" s="65"/>
      <c r="T9" s="65"/>
      <c r="U9" s="65"/>
      <c r="V9" s="65"/>
      <c r="W9" s="65"/>
      <c r="X9" s="65"/>
      <c r="Y9" s="65"/>
      <c r="Z9" s="65"/>
      <c r="AA9" s="65"/>
      <c r="AB9" s="65"/>
      <c r="AC9" s="65"/>
      <c r="AD9" s="65"/>
      <c r="AE9" s="65"/>
    </row>
    <row r="10" spans="1:31" x14ac:dyDescent="0.2">
      <c r="A10" s="65"/>
      <c r="B10" s="65"/>
      <c r="C10" s="65"/>
      <c r="D10" s="65"/>
      <c r="E10" s="65"/>
      <c r="F10" s="65"/>
      <c r="G10" s="65"/>
      <c r="H10" s="65"/>
      <c r="I10" s="65"/>
      <c r="K10" s="65"/>
      <c r="L10" s="65"/>
      <c r="M10" s="65"/>
      <c r="N10" s="65"/>
      <c r="O10" s="65"/>
      <c r="P10" s="65"/>
      <c r="Q10" s="65"/>
      <c r="R10" s="65"/>
      <c r="S10" s="65"/>
      <c r="T10" s="65"/>
      <c r="U10" s="65"/>
      <c r="V10" s="65"/>
      <c r="W10" s="65"/>
      <c r="X10" s="65"/>
      <c r="Y10" s="65"/>
      <c r="Z10" s="65"/>
      <c r="AA10" s="65"/>
      <c r="AB10" s="65"/>
      <c r="AC10" s="65"/>
      <c r="AD10" s="65"/>
      <c r="AE10" s="65"/>
    </row>
    <row r="11" spans="1:31" x14ac:dyDescent="0.2">
      <c r="A11" s="65"/>
      <c r="B11" s="65"/>
      <c r="C11" s="65"/>
      <c r="E11" s="65"/>
      <c r="F11" s="65"/>
      <c r="G11" s="65"/>
      <c r="H11" s="65"/>
      <c r="I11" s="65"/>
      <c r="J11" s="64" t="s">
        <v>245</v>
      </c>
      <c r="K11" s="64"/>
      <c r="L11" s="64"/>
      <c r="M11" s="65"/>
      <c r="O11" s="65"/>
      <c r="P11" s="65"/>
      <c r="Q11" s="65"/>
      <c r="R11" s="65"/>
      <c r="S11" s="65"/>
      <c r="T11" s="65"/>
      <c r="U11" s="65"/>
      <c r="V11" s="65"/>
      <c r="W11" s="65"/>
      <c r="X11" s="65"/>
      <c r="Y11" s="65"/>
      <c r="Z11" s="65"/>
      <c r="AA11" s="65"/>
      <c r="AB11" s="65"/>
      <c r="AC11" s="65"/>
      <c r="AD11" s="65"/>
      <c r="AE11" s="65"/>
    </row>
    <row r="12" spans="1:31" x14ac:dyDescent="0.2">
      <c r="A12" s="65"/>
      <c r="B12" s="65"/>
      <c r="C12" s="65"/>
      <c r="D12" s="64" t="s">
        <v>246</v>
      </c>
      <c r="E12" s="64"/>
      <c r="F12" s="64"/>
      <c r="G12" s="64"/>
      <c r="H12" s="64"/>
      <c r="I12" s="65"/>
      <c r="J12" s="64" t="s">
        <v>211</v>
      </c>
      <c r="K12" s="64"/>
      <c r="L12" s="64"/>
      <c r="M12" s="65"/>
      <c r="N12" s="64" t="s">
        <v>238</v>
      </c>
      <c r="O12" s="64"/>
      <c r="P12" s="64"/>
      <c r="Q12" s="65"/>
      <c r="R12" s="65"/>
      <c r="S12" s="65"/>
      <c r="T12" s="65"/>
      <c r="U12" s="65"/>
      <c r="V12" s="65"/>
      <c r="W12" s="65"/>
      <c r="X12" s="65"/>
      <c r="Y12" s="65"/>
      <c r="Z12" s="65"/>
      <c r="AA12" s="65"/>
      <c r="AB12" s="65"/>
      <c r="AC12" s="65"/>
      <c r="AD12" s="65"/>
      <c r="AE12" s="65"/>
    </row>
    <row r="13" spans="1:31" x14ac:dyDescent="0.2">
      <c r="A13" s="64" t="s">
        <v>239</v>
      </c>
      <c r="B13" s="64"/>
      <c r="C13" s="65"/>
      <c r="D13" s="67"/>
      <c r="E13" s="67"/>
      <c r="F13" s="67" t="s">
        <v>192</v>
      </c>
      <c r="G13" s="67"/>
      <c r="H13" s="67" t="s">
        <v>212</v>
      </c>
      <c r="I13" s="68"/>
      <c r="J13" s="67" t="s">
        <v>192</v>
      </c>
      <c r="K13" s="67"/>
      <c r="L13" s="67" t="s">
        <v>212</v>
      </c>
      <c r="M13" s="68"/>
      <c r="N13" s="67" t="s">
        <v>192</v>
      </c>
      <c r="O13" s="67"/>
      <c r="P13" s="67" t="s">
        <v>212</v>
      </c>
      <c r="Q13" s="68"/>
      <c r="R13" s="68" t="s">
        <v>192</v>
      </c>
      <c r="S13" s="65"/>
      <c r="T13" s="65"/>
      <c r="U13" s="65"/>
      <c r="V13" s="65"/>
      <c r="W13" s="65"/>
      <c r="X13" s="65"/>
      <c r="Y13" s="65"/>
      <c r="Z13" s="65"/>
      <c r="AA13" s="65"/>
      <c r="AB13" s="65"/>
      <c r="AC13" s="65"/>
      <c r="AD13" s="65"/>
      <c r="AE13" s="65"/>
    </row>
    <row r="14" spans="1:31" x14ac:dyDescent="0.2">
      <c r="A14" s="64" t="s">
        <v>193</v>
      </c>
      <c r="B14" s="64"/>
      <c r="C14" s="65"/>
      <c r="D14" s="68" t="s">
        <v>337</v>
      </c>
      <c r="E14" s="68"/>
      <c r="F14" s="68" t="s">
        <v>194</v>
      </c>
      <c r="G14" s="68"/>
      <c r="H14" s="68" t="s">
        <v>194</v>
      </c>
      <c r="I14" s="68"/>
      <c r="J14" s="68" t="s">
        <v>194</v>
      </c>
      <c r="K14" s="68"/>
      <c r="L14" s="68" t="s">
        <v>194</v>
      </c>
      <c r="M14" s="68"/>
      <c r="N14" s="68" t="s">
        <v>194</v>
      </c>
      <c r="O14" s="68"/>
      <c r="P14" s="68" t="s">
        <v>194</v>
      </c>
      <c r="Q14" s="68"/>
      <c r="R14" s="68" t="s">
        <v>194</v>
      </c>
      <c r="S14" s="65"/>
      <c r="T14" s="65"/>
      <c r="U14" s="65"/>
      <c r="V14" s="65"/>
      <c r="W14" s="65"/>
      <c r="X14" s="65"/>
      <c r="Y14" s="65"/>
      <c r="Z14" s="65"/>
      <c r="AA14" s="65"/>
      <c r="AB14" s="65"/>
      <c r="AC14" s="65"/>
      <c r="AD14" s="65"/>
      <c r="AE14" s="65"/>
    </row>
    <row r="15" spans="1:31" x14ac:dyDescent="0.2">
      <c r="A15" s="69" t="s">
        <v>195</v>
      </c>
      <c r="B15" s="69"/>
      <c r="C15" s="65"/>
      <c r="D15" s="67" t="s">
        <v>214</v>
      </c>
      <c r="E15" s="65"/>
      <c r="F15" s="67" t="s">
        <v>197</v>
      </c>
      <c r="G15" s="65"/>
      <c r="H15" s="70" t="s">
        <v>247</v>
      </c>
      <c r="I15" s="65"/>
      <c r="J15" s="67" t="s">
        <v>228</v>
      </c>
      <c r="K15" s="65"/>
      <c r="L15" s="70" t="s">
        <v>248</v>
      </c>
      <c r="M15" s="65"/>
      <c r="N15" s="67" t="s">
        <v>249</v>
      </c>
      <c r="O15" s="65"/>
      <c r="P15" s="70" t="s">
        <v>250</v>
      </c>
      <c r="Q15" s="65"/>
      <c r="R15" s="67" t="s">
        <v>251</v>
      </c>
      <c r="S15" s="65"/>
      <c r="T15" s="65"/>
      <c r="U15" s="65"/>
      <c r="V15" s="65"/>
      <c r="W15" s="65"/>
      <c r="X15" s="65"/>
      <c r="Y15" s="65"/>
      <c r="Z15" s="65"/>
      <c r="AA15" s="65"/>
      <c r="AB15" s="65"/>
      <c r="AC15" s="65"/>
      <c r="AD15" s="65"/>
      <c r="AE15" s="65"/>
    </row>
    <row r="16" spans="1:31" x14ac:dyDescent="0.2">
      <c r="A16" s="65"/>
      <c r="B16" s="65"/>
      <c r="C16" s="65"/>
      <c r="D16" s="65"/>
      <c r="E16" s="65"/>
      <c r="F16" s="65"/>
      <c r="G16" s="65"/>
      <c r="H16" s="71">
        <f>'F 5B'!$H$24</f>
        <v>0.30149999999999999</v>
      </c>
      <c r="I16" s="71"/>
      <c r="J16" s="71"/>
      <c r="K16" s="71"/>
      <c r="L16" s="71">
        <f>'F 5B'!$H$27</f>
        <v>0.42220000000000002</v>
      </c>
      <c r="M16" s="71"/>
      <c r="N16" s="71"/>
      <c r="O16" s="71"/>
      <c r="P16" s="71">
        <f>'F 5B'!$H$12</f>
        <v>0.27629999999999999</v>
      </c>
      <c r="Q16" s="71"/>
      <c r="R16" s="65"/>
      <c r="S16" s="65"/>
      <c r="T16" s="65"/>
      <c r="U16" s="65"/>
      <c r="V16" s="65"/>
      <c r="W16" s="65"/>
      <c r="X16" s="65"/>
      <c r="Y16" s="65"/>
      <c r="Z16" s="65"/>
      <c r="AA16" s="65"/>
      <c r="AB16" s="65"/>
      <c r="AC16" s="65"/>
      <c r="AD16" s="65"/>
      <c r="AE16" s="65"/>
    </row>
    <row r="17" spans="1:31" x14ac:dyDescent="0.2">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row>
    <row r="18" spans="1:31" x14ac:dyDescent="0.2">
      <c r="A18" s="2" t="s">
        <v>198</v>
      </c>
      <c r="B18" s="65"/>
      <c r="C18" s="65"/>
      <c r="D18" s="218">
        <f>ROUND(('F 1-2'!$G$16/24),1)</f>
        <v>609.29999999999995</v>
      </c>
      <c r="E18" s="65"/>
      <c r="F18" s="71">
        <f>ROUND(+D18/$D$26,4)+0.0001</f>
        <v>0.4955</v>
      </c>
      <c r="G18" s="65"/>
      <c r="H18" s="72">
        <f>ROUND(F18*$H$16,4)</f>
        <v>0.14940000000000001</v>
      </c>
      <c r="I18" s="65"/>
      <c r="J18" s="71">
        <f>+'F 5B'!J38</f>
        <v>0.60899999999999999</v>
      </c>
      <c r="K18" s="65"/>
      <c r="L18" s="73">
        <f>ROUND(J18*$L$16,4)</f>
        <v>0.2571</v>
      </c>
      <c r="M18" s="65"/>
      <c r="N18" s="71"/>
      <c r="O18" s="65"/>
      <c r="P18" s="71"/>
      <c r="Q18" s="65"/>
      <c r="R18" s="71">
        <f t="shared" ref="R18:R24" si="0">H18+L18+P18</f>
        <v>0.40649999999999997</v>
      </c>
      <c r="S18" s="65"/>
      <c r="T18" s="71"/>
      <c r="U18" s="65"/>
      <c r="V18" s="65"/>
      <c r="W18" s="65"/>
      <c r="X18" s="65"/>
      <c r="Y18" s="65"/>
      <c r="Z18" s="65"/>
      <c r="AA18" s="65"/>
      <c r="AB18" s="65"/>
      <c r="AC18" s="65"/>
      <c r="AD18" s="65"/>
      <c r="AE18" s="65"/>
    </row>
    <row r="19" spans="1:31" x14ac:dyDescent="0.2">
      <c r="A19" s="2" t="s">
        <v>334</v>
      </c>
      <c r="B19" s="65"/>
      <c r="C19" s="65"/>
      <c r="D19" s="218">
        <f>ROUND(('F 1-2'!$G$17/24),1)</f>
        <v>338.3</v>
      </c>
      <c r="E19" s="65"/>
      <c r="F19" s="71">
        <f t="shared" ref="F19:F24" si="1">ROUND(+D19/$D$26,4)</f>
        <v>0.27510000000000001</v>
      </c>
      <c r="G19" s="65"/>
      <c r="H19" s="71">
        <f t="shared" ref="H19:H24" si="2">ROUND(F19*$H$16,4)</f>
        <v>8.2900000000000001E-2</v>
      </c>
      <c r="I19" s="65"/>
      <c r="J19" s="71">
        <f>+'F 5B'!J39</f>
        <v>0.25359999999999999</v>
      </c>
      <c r="K19" s="65"/>
      <c r="L19" s="71">
        <f>ROUND(J19*$L$16,4)</f>
        <v>0.1071</v>
      </c>
      <c r="M19" s="65"/>
      <c r="N19" s="65"/>
      <c r="O19" s="65"/>
      <c r="P19" s="65"/>
      <c r="Q19" s="65"/>
      <c r="R19" s="71">
        <f t="shared" si="0"/>
        <v>0.19</v>
      </c>
      <c r="S19" s="65"/>
      <c r="T19" s="71"/>
      <c r="U19" s="65"/>
      <c r="V19" s="65"/>
      <c r="W19" s="65"/>
      <c r="X19" s="65"/>
      <c r="Y19" s="65"/>
      <c r="Z19" s="65"/>
      <c r="AA19" s="65"/>
      <c r="AB19" s="65"/>
      <c r="AC19" s="65"/>
      <c r="AD19" s="65"/>
      <c r="AE19" s="65"/>
    </row>
    <row r="20" spans="1:31" x14ac:dyDescent="0.2">
      <c r="A20" s="2" t="s">
        <v>200</v>
      </c>
      <c r="B20" s="65"/>
      <c r="C20" s="65"/>
      <c r="D20" s="218">
        <f>ROUND(('F 1-2'!$G$18/24),1)</f>
        <v>132.80000000000001</v>
      </c>
      <c r="E20" s="65"/>
      <c r="F20" s="71">
        <f t="shared" si="1"/>
        <v>0.108</v>
      </c>
      <c r="G20" s="65"/>
      <c r="H20" s="71">
        <f t="shared" si="2"/>
        <v>3.2599999999999997E-2</v>
      </c>
      <c r="I20" s="65"/>
      <c r="J20" s="71">
        <f>+'F 5B'!J40</f>
        <v>6.6400000000000001E-2</v>
      </c>
      <c r="K20" s="65"/>
      <c r="L20" s="71">
        <f>ROUND(J20*$L$16,4)</f>
        <v>2.8000000000000001E-2</v>
      </c>
      <c r="M20" s="65"/>
      <c r="N20" s="65"/>
      <c r="O20" s="65"/>
      <c r="P20" s="65"/>
      <c r="Q20" s="65"/>
      <c r="R20" s="71">
        <f t="shared" si="0"/>
        <v>6.0600000000000001E-2</v>
      </c>
      <c r="S20" s="65"/>
      <c r="T20" s="71"/>
      <c r="U20" s="65"/>
      <c r="V20" s="65"/>
      <c r="W20" s="65"/>
      <c r="X20" s="65"/>
      <c r="Y20" s="65"/>
      <c r="Z20" s="65"/>
      <c r="AA20" s="65"/>
      <c r="AB20" s="65"/>
      <c r="AC20" s="65"/>
      <c r="AD20" s="65"/>
      <c r="AE20" s="65"/>
    </row>
    <row r="21" spans="1:31" x14ac:dyDescent="0.2">
      <c r="A21" s="2" t="s">
        <v>201</v>
      </c>
      <c r="B21" s="65"/>
      <c r="C21" s="65"/>
      <c r="D21" s="218">
        <f>ROUND(('F 1-2'!$G$19/24),1)</f>
        <v>77</v>
      </c>
      <c r="E21" s="65"/>
      <c r="F21" s="71">
        <f t="shared" si="1"/>
        <v>6.2600000000000003E-2</v>
      </c>
      <c r="G21" s="65"/>
      <c r="H21" s="71">
        <f t="shared" si="2"/>
        <v>1.89E-2</v>
      </c>
      <c r="I21" s="65"/>
      <c r="J21" s="71">
        <f>+'F 5B'!J41</f>
        <v>3.85E-2</v>
      </c>
      <c r="K21" s="65"/>
      <c r="L21" s="71">
        <f>ROUND(J21*$L$16,4)</f>
        <v>1.6299999999999999E-2</v>
      </c>
      <c r="M21" s="65"/>
      <c r="N21" s="65"/>
      <c r="O21" s="65"/>
      <c r="P21" s="65"/>
      <c r="Q21" s="65"/>
      <c r="R21" s="71">
        <f t="shared" si="0"/>
        <v>3.5199999999999995E-2</v>
      </c>
      <c r="S21" s="65"/>
      <c r="T21" s="71"/>
      <c r="U21" s="65"/>
      <c r="V21" s="65"/>
      <c r="W21" s="65"/>
      <c r="X21" s="65"/>
      <c r="Y21" s="65"/>
      <c r="Z21" s="65"/>
      <c r="AA21" s="65"/>
      <c r="AB21" s="65"/>
      <c r="AC21" s="65"/>
      <c r="AD21" s="65"/>
      <c r="AE21" s="65"/>
    </row>
    <row r="22" spans="1:31" x14ac:dyDescent="0.2">
      <c r="A22" s="2" t="s">
        <v>105</v>
      </c>
      <c r="B22" s="65"/>
      <c r="C22" s="65"/>
      <c r="D22" s="218">
        <f>ROUND(('F 1-2'!$G$20/24),1)</f>
        <v>65.099999999999994</v>
      </c>
      <c r="E22" s="65"/>
      <c r="F22" s="71">
        <f t="shared" si="1"/>
        <v>5.2900000000000003E-2</v>
      </c>
      <c r="G22" s="65"/>
      <c r="H22" s="71">
        <f t="shared" si="2"/>
        <v>1.5900000000000001E-2</v>
      </c>
      <c r="I22" s="65"/>
      <c r="J22" s="71">
        <f>+'F 5B'!J42</f>
        <v>3.2500000000000001E-2</v>
      </c>
      <c r="K22" s="65"/>
      <c r="L22" s="71">
        <f>ROUND(J22*$L$16,4)</f>
        <v>1.37E-2</v>
      </c>
      <c r="M22" s="65"/>
      <c r="N22" s="65"/>
      <c r="O22" s="65"/>
      <c r="P22" s="65"/>
      <c r="Q22" s="65"/>
      <c r="R22" s="71">
        <f t="shared" si="0"/>
        <v>2.9600000000000001E-2</v>
      </c>
      <c r="S22" s="65"/>
      <c r="T22" s="71"/>
      <c r="U22" s="65"/>
      <c r="V22" s="65"/>
      <c r="W22" s="65"/>
      <c r="X22" s="65"/>
      <c r="Y22" s="65"/>
      <c r="Z22" s="65"/>
      <c r="AA22" s="65"/>
      <c r="AB22" s="65"/>
      <c r="AC22" s="65"/>
      <c r="AD22" s="65"/>
      <c r="AE22" s="65"/>
    </row>
    <row r="23" spans="1:31" hidden="1" x14ac:dyDescent="0.2">
      <c r="A23" s="65" t="s">
        <v>203</v>
      </c>
      <c r="B23" s="65"/>
      <c r="C23" s="65"/>
      <c r="D23" s="218">
        <f>ROUND(('F 1-2'!$G$21/24),1)</f>
        <v>0</v>
      </c>
      <c r="E23" s="65"/>
      <c r="F23" s="71">
        <f t="shared" si="1"/>
        <v>0</v>
      </c>
      <c r="G23" s="65"/>
      <c r="H23" s="73">
        <f t="shared" si="2"/>
        <v>0</v>
      </c>
      <c r="I23" s="65"/>
      <c r="J23" s="65"/>
      <c r="K23" s="65"/>
      <c r="L23" s="65"/>
      <c r="M23" s="65"/>
      <c r="N23" s="71">
        <f>Fire!$O$24</f>
        <v>0</v>
      </c>
      <c r="O23" s="65"/>
      <c r="P23" s="71">
        <f>ROUND(N23*$P$16,4)</f>
        <v>0</v>
      </c>
      <c r="Q23" s="65"/>
      <c r="R23" s="71">
        <f t="shared" si="0"/>
        <v>0</v>
      </c>
      <c r="S23" s="65"/>
      <c r="T23" s="71"/>
      <c r="U23" s="65"/>
      <c r="V23" s="65"/>
      <c r="W23" s="65"/>
      <c r="X23" s="65"/>
      <c r="Y23" s="65"/>
      <c r="Z23" s="65"/>
      <c r="AA23" s="65"/>
      <c r="AB23" s="65"/>
      <c r="AC23" s="65"/>
      <c r="AD23" s="65"/>
      <c r="AE23" s="65"/>
    </row>
    <row r="24" spans="1:31" x14ac:dyDescent="0.2">
      <c r="A24" s="65" t="s">
        <v>238</v>
      </c>
      <c r="B24" s="65"/>
      <c r="C24" s="65"/>
      <c r="D24" s="218">
        <f>ROUND(('F 1-2'!$G$22/24),1)</f>
        <v>7.3</v>
      </c>
      <c r="E24" s="65"/>
      <c r="F24" s="71">
        <f t="shared" si="1"/>
        <v>5.8999999999999999E-3</v>
      </c>
      <c r="G24" s="65"/>
      <c r="H24" s="71">
        <f t="shared" si="2"/>
        <v>1.8E-3</v>
      </c>
      <c r="I24" s="65"/>
      <c r="J24" s="65"/>
      <c r="K24" s="65"/>
      <c r="L24" s="65"/>
      <c r="M24" s="65"/>
      <c r="N24" s="71">
        <f>Fire!$O$32</f>
        <v>1</v>
      </c>
      <c r="O24" s="65"/>
      <c r="P24" s="71">
        <f>ROUND(N24*$P$16,4)</f>
        <v>0.27629999999999999</v>
      </c>
      <c r="Q24" s="65"/>
      <c r="R24" s="71">
        <f t="shared" si="0"/>
        <v>0.27810000000000001</v>
      </c>
      <c r="S24" s="65"/>
      <c r="T24" s="71"/>
      <c r="U24" s="65"/>
      <c r="V24" s="65"/>
      <c r="W24" s="65"/>
      <c r="X24" s="65"/>
      <c r="Y24" s="65"/>
      <c r="Z24" s="65"/>
      <c r="AA24" s="65"/>
      <c r="AB24" s="65"/>
      <c r="AC24" s="65"/>
      <c r="AD24" s="65"/>
      <c r="AE24" s="65"/>
    </row>
    <row r="25" spans="1:31" x14ac:dyDescent="0.2">
      <c r="A25" s="65"/>
      <c r="B25" s="65"/>
      <c r="C25" s="65"/>
      <c r="D25" s="219"/>
      <c r="E25" s="65"/>
      <c r="F25" s="74"/>
      <c r="G25" s="65"/>
      <c r="H25" s="74"/>
      <c r="I25" s="65"/>
      <c r="J25" s="74"/>
      <c r="K25" s="65"/>
      <c r="L25" s="74"/>
      <c r="M25" s="65"/>
      <c r="N25" s="74"/>
      <c r="O25" s="65"/>
      <c r="P25" s="74"/>
      <c r="Q25" s="65"/>
      <c r="R25" s="74"/>
      <c r="S25" s="65"/>
      <c r="T25" s="65"/>
      <c r="U25" s="65"/>
      <c r="V25" s="65"/>
      <c r="W25" s="65"/>
      <c r="X25" s="65"/>
      <c r="Y25" s="65"/>
      <c r="Z25" s="65"/>
      <c r="AA25" s="65"/>
      <c r="AB25" s="65"/>
      <c r="AC25" s="65"/>
      <c r="AD25" s="65"/>
      <c r="AE25" s="65"/>
    </row>
    <row r="26" spans="1:31" ht="15.75" thickBot="1" x14ac:dyDescent="0.25">
      <c r="A26" s="65" t="s">
        <v>205</v>
      </c>
      <c r="B26" s="65"/>
      <c r="C26" s="65"/>
      <c r="D26" s="221">
        <f>SUM(D18:D25)</f>
        <v>1229.7999999999997</v>
      </c>
      <c r="E26" s="65"/>
      <c r="F26" s="71">
        <f>SUM(F18:F25)</f>
        <v>1</v>
      </c>
      <c r="G26" s="65"/>
      <c r="H26" s="71">
        <f>SUM(H18:H25)</f>
        <v>0.3015000000000001</v>
      </c>
      <c r="I26" s="65"/>
      <c r="J26" s="71">
        <f>SUM(J18:J25)</f>
        <v>1</v>
      </c>
      <c r="K26" s="65"/>
      <c r="L26" s="71">
        <f>SUM(L18:L25)</f>
        <v>0.42219999999999996</v>
      </c>
      <c r="M26" s="65"/>
      <c r="N26" s="71">
        <f>SUM(N18:N25)</f>
        <v>1</v>
      </c>
      <c r="O26" s="65"/>
      <c r="P26" s="71">
        <f>SUM(P18:P25)</f>
        <v>0.27629999999999999</v>
      </c>
      <c r="Q26" s="65"/>
      <c r="R26" s="71">
        <f>SUM(R18:R25)</f>
        <v>1</v>
      </c>
      <c r="S26" s="65"/>
      <c r="T26" s="65"/>
      <c r="U26" s="65"/>
      <c r="V26" s="65"/>
      <c r="W26" s="65"/>
      <c r="X26" s="65"/>
      <c r="Y26" s="65"/>
      <c r="Z26" s="65"/>
      <c r="AA26" s="65"/>
      <c r="AB26" s="65"/>
      <c r="AC26" s="65"/>
      <c r="AD26" s="65"/>
      <c r="AE26" s="65"/>
    </row>
    <row r="27" spans="1:31" ht="15.75" thickTop="1" x14ac:dyDescent="0.2">
      <c r="A27" s="65"/>
      <c r="B27" s="65"/>
      <c r="C27" s="65"/>
      <c r="D27" s="220"/>
      <c r="E27" s="65"/>
      <c r="F27" s="75"/>
      <c r="G27" s="65"/>
      <c r="H27" s="75"/>
      <c r="I27" s="65"/>
      <c r="J27" s="75"/>
      <c r="K27" s="65"/>
      <c r="L27" s="75"/>
      <c r="M27" s="65"/>
      <c r="N27" s="75"/>
      <c r="O27" s="65"/>
      <c r="P27" s="75"/>
      <c r="Q27" s="65"/>
      <c r="R27" s="75"/>
      <c r="S27" s="65"/>
      <c r="T27" s="65"/>
      <c r="U27" s="65"/>
      <c r="V27" s="65"/>
      <c r="W27" s="65"/>
      <c r="X27" s="65"/>
      <c r="Y27" s="65"/>
      <c r="Z27" s="65"/>
      <c r="AA27" s="65"/>
      <c r="AB27" s="65"/>
      <c r="AC27" s="65"/>
      <c r="AD27" s="65"/>
      <c r="AE27" s="65"/>
    </row>
    <row r="28" spans="1:31" x14ac:dyDescent="0.2">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row>
    <row r="29" spans="1:31" ht="27.2" customHeight="1" x14ac:dyDescent="0.2">
      <c r="A29" s="629" t="s">
        <v>454</v>
      </c>
      <c r="B29" s="629"/>
      <c r="C29" s="629"/>
      <c r="D29" s="629"/>
      <c r="E29" s="629"/>
      <c r="F29" s="629"/>
      <c r="G29" s="629"/>
      <c r="H29" s="629"/>
      <c r="I29" s="629"/>
      <c r="J29" s="629"/>
      <c r="K29" s="629"/>
      <c r="L29" s="629"/>
      <c r="M29" s="629"/>
      <c r="N29" s="629"/>
      <c r="O29" s="629"/>
      <c r="P29" s="629"/>
      <c r="Q29" s="629"/>
      <c r="R29" s="629"/>
      <c r="S29" s="65"/>
      <c r="T29" s="65"/>
      <c r="U29" s="65"/>
      <c r="V29" s="65"/>
      <c r="W29" s="65"/>
      <c r="X29" s="65"/>
      <c r="Y29" s="65"/>
      <c r="Z29" s="65"/>
      <c r="AA29" s="65"/>
      <c r="AB29" s="65"/>
      <c r="AC29" s="65"/>
      <c r="AD29" s="65"/>
      <c r="AE29" s="65"/>
    </row>
    <row r="30" spans="1:31" x14ac:dyDescent="0.2">
      <c r="A30" s="65"/>
      <c r="B30" s="65"/>
      <c r="C30" s="65"/>
      <c r="D30" s="65"/>
      <c r="E30" s="65"/>
      <c r="F30" s="65"/>
      <c r="G30" s="65"/>
      <c r="H30" s="65"/>
      <c r="I30" s="65"/>
      <c r="J30" s="65"/>
      <c r="K30" s="65"/>
      <c r="L30" s="65"/>
      <c r="M30" s="65"/>
      <c r="N30" s="65"/>
      <c r="O30" s="65"/>
      <c r="P30" s="65"/>
      <c r="Q30" s="65"/>
      <c r="R30" s="65"/>
      <c r="S30" s="65"/>
      <c r="T30" s="65"/>
      <c r="U30" s="76"/>
      <c r="V30" s="65"/>
      <c r="W30" s="65"/>
      <c r="X30" s="65"/>
      <c r="Y30" s="65"/>
      <c r="Z30" s="65"/>
      <c r="AA30" s="65"/>
      <c r="AB30" s="65"/>
      <c r="AC30" s="65"/>
      <c r="AD30" s="65"/>
      <c r="AE30" s="65"/>
    </row>
    <row r="31" spans="1:31" x14ac:dyDescent="0.2">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row>
    <row r="32" spans="1:31" x14ac:dyDescent="0.2">
      <c r="A32" s="65"/>
      <c r="B32" s="65"/>
      <c r="C32" s="65"/>
      <c r="D32" s="65"/>
      <c r="E32" s="65"/>
      <c r="F32" s="65"/>
      <c r="G32" s="65"/>
      <c r="H32" s="65"/>
      <c r="I32" s="65"/>
      <c r="J32" s="65"/>
      <c r="K32" s="65"/>
      <c r="L32" s="65"/>
      <c r="M32" s="65"/>
      <c r="N32" s="65"/>
      <c r="O32" s="65"/>
      <c r="P32" s="65"/>
      <c r="Q32" s="65"/>
      <c r="R32" s="65"/>
      <c r="S32" s="65"/>
      <c r="T32" s="65"/>
      <c r="AE32" s="65"/>
    </row>
    <row r="33" spans="1:31" x14ac:dyDescent="0.2">
      <c r="A33" s="65"/>
      <c r="B33" s="65"/>
      <c r="C33" s="65"/>
      <c r="D33" s="65"/>
      <c r="E33" s="65"/>
      <c r="F33" s="65"/>
      <c r="G33" s="65"/>
      <c r="H33" s="65"/>
      <c r="I33" s="65"/>
      <c r="J33" s="65"/>
      <c r="K33" s="65"/>
      <c r="L33" s="65"/>
      <c r="M33" s="65"/>
      <c r="N33" s="65"/>
      <c r="O33" s="65"/>
      <c r="P33" s="65"/>
      <c r="Q33" s="65"/>
      <c r="R33" s="65"/>
      <c r="S33" s="65"/>
      <c r="T33" s="65"/>
      <c r="AE33" s="65"/>
    </row>
    <row r="34" spans="1:31" x14ac:dyDescent="0.2">
      <c r="A34" s="65"/>
      <c r="B34" s="65"/>
      <c r="C34" s="65"/>
      <c r="D34" s="65"/>
      <c r="E34" s="65"/>
      <c r="F34" s="65"/>
      <c r="G34" s="65"/>
      <c r="H34" s="65"/>
      <c r="I34" s="65"/>
      <c r="J34" s="65"/>
      <c r="K34" s="65"/>
      <c r="L34" s="65"/>
      <c r="M34" s="65"/>
      <c r="N34" s="65"/>
      <c r="O34" s="65"/>
      <c r="P34" s="65"/>
      <c r="Q34" s="65"/>
      <c r="R34" s="65"/>
      <c r="S34" s="65"/>
      <c r="T34" s="65"/>
      <c r="AE34" s="65"/>
    </row>
    <row r="35" spans="1:31" x14ac:dyDescent="0.2">
      <c r="A35" s="65"/>
      <c r="B35" s="65"/>
      <c r="C35" s="65"/>
      <c r="D35" s="65"/>
      <c r="E35" s="65"/>
      <c r="F35" s="65"/>
      <c r="G35" s="65"/>
      <c r="H35" s="65"/>
      <c r="I35" s="65"/>
      <c r="J35" s="65"/>
      <c r="K35" s="65"/>
      <c r="L35" s="65"/>
      <c r="M35" s="65"/>
      <c r="N35" s="65"/>
      <c r="O35" s="65"/>
      <c r="P35" s="65"/>
      <c r="Q35" s="65"/>
      <c r="R35" s="65"/>
      <c r="S35" s="65"/>
      <c r="T35" s="65"/>
      <c r="AE35" s="65"/>
    </row>
    <row r="36" spans="1:31" x14ac:dyDescent="0.2">
      <c r="A36" s="65"/>
      <c r="B36" s="65"/>
      <c r="C36" s="65"/>
      <c r="D36" s="65"/>
      <c r="E36" s="65"/>
      <c r="F36" s="65"/>
      <c r="G36" s="65"/>
      <c r="H36" s="65"/>
      <c r="I36" s="65"/>
      <c r="J36" s="65"/>
      <c r="K36" s="65"/>
      <c r="L36" s="65"/>
      <c r="M36" s="65"/>
      <c r="N36" s="65"/>
      <c r="O36" s="65"/>
      <c r="P36" s="65"/>
      <c r="Q36" s="65"/>
      <c r="R36" s="65"/>
      <c r="S36" s="65"/>
      <c r="T36" s="65"/>
      <c r="AE36" s="65"/>
    </row>
    <row r="37" spans="1:31" x14ac:dyDescent="0.2">
      <c r="A37" s="65"/>
      <c r="B37" s="65"/>
      <c r="C37" s="65"/>
      <c r="D37" s="65"/>
      <c r="E37" s="65"/>
      <c r="F37" s="65"/>
      <c r="G37" s="65"/>
      <c r="H37" s="65"/>
      <c r="I37" s="65"/>
      <c r="J37" s="65"/>
      <c r="K37" s="65"/>
      <c r="L37" s="65"/>
      <c r="M37" s="65"/>
      <c r="N37" s="65"/>
      <c r="O37" s="65"/>
      <c r="P37" s="65"/>
      <c r="Q37" s="65"/>
      <c r="R37" s="65"/>
      <c r="S37" s="65"/>
      <c r="T37" s="65"/>
      <c r="AE37" s="65"/>
    </row>
    <row r="38" spans="1:31" x14ac:dyDescent="0.2">
      <c r="A38" s="65"/>
      <c r="B38" s="65"/>
      <c r="C38" s="65"/>
      <c r="D38" s="65"/>
      <c r="E38" s="65"/>
      <c r="F38" s="65"/>
      <c r="G38" s="65"/>
      <c r="H38" s="65"/>
      <c r="I38" s="65"/>
      <c r="J38" s="65"/>
      <c r="K38" s="65"/>
      <c r="L38" s="65"/>
      <c r="M38" s="65"/>
      <c r="N38" s="65"/>
      <c r="O38" s="65"/>
      <c r="P38" s="65"/>
      <c r="Q38" s="65"/>
      <c r="R38" s="65"/>
      <c r="S38" s="65"/>
      <c r="T38" s="65"/>
      <c r="AE38" s="65"/>
    </row>
    <row r="39" spans="1:31" x14ac:dyDescent="0.2">
      <c r="A39" s="65"/>
      <c r="B39" s="65"/>
      <c r="C39" s="65"/>
      <c r="D39" s="65"/>
      <c r="E39" s="65"/>
      <c r="F39" s="65"/>
      <c r="G39" s="65"/>
      <c r="H39" s="65"/>
      <c r="I39" s="65"/>
      <c r="J39" s="65"/>
      <c r="K39" s="65"/>
      <c r="L39" s="65"/>
      <c r="M39" s="65"/>
      <c r="N39" s="65"/>
      <c r="O39" s="65"/>
      <c r="P39" s="65"/>
      <c r="Q39" s="65"/>
      <c r="R39" s="65"/>
      <c r="S39" s="65"/>
      <c r="T39" s="65"/>
      <c r="AE39" s="65"/>
    </row>
    <row r="40" spans="1:31" x14ac:dyDescent="0.2">
      <c r="A40" s="65"/>
      <c r="B40" s="65"/>
      <c r="C40" s="65"/>
      <c r="D40" s="65"/>
      <c r="E40" s="65"/>
      <c r="F40" s="65"/>
      <c r="G40" s="65"/>
      <c r="H40" s="65"/>
      <c r="I40" s="65"/>
      <c r="J40" s="65"/>
      <c r="K40" s="65"/>
      <c r="L40" s="65"/>
      <c r="M40" s="65"/>
      <c r="N40" s="65"/>
      <c r="O40" s="65"/>
      <c r="P40" s="65"/>
      <c r="Q40" s="65"/>
      <c r="R40" s="65"/>
      <c r="S40" s="65"/>
      <c r="T40" s="65"/>
      <c r="AE40" s="65"/>
    </row>
    <row r="41" spans="1:31" x14ac:dyDescent="0.2">
      <c r="A41" s="65"/>
      <c r="B41" s="65"/>
      <c r="C41" s="65"/>
      <c r="D41" s="65"/>
      <c r="E41" s="65"/>
      <c r="F41" s="65"/>
      <c r="G41" s="65"/>
      <c r="H41" s="65"/>
      <c r="I41" s="65"/>
      <c r="J41" s="65"/>
      <c r="K41" s="65"/>
      <c r="L41" s="65"/>
      <c r="M41" s="65"/>
      <c r="N41" s="65"/>
      <c r="O41" s="65"/>
      <c r="P41" s="65"/>
      <c r="Q41" s="65"/>
      <c r="R41" s="65"/>
      <c r="S41" s="65"/>
      <c r="T41" s="65"/>
      <c r="AE41" s="65"/>
    </row>
    <row r="42" spans="1:31" x14ac:dyDescent="0.2">
      <c r="A42" s="65"/>
      <c r="B42" s="65"/>
      <c r="C42" s="65"/>
      <c r="D42" s="65"/>
      <c r="E42" s="65"/>
      <c r="F42" s="65"/>
      <c r="G42" s="65"/>
      <c r="H42" s="65"/>
      <c r="I42" s="65"/>
      <c r="J42" s="65"/>
      <c r="K42" s="65"/>
      <c r="L42" s="65"/>
      <c r="M42" s="65"/>
      <c r="N42" s="65"/>
      <c r="O42" s="65"/>
      <c r="P42" s="65"/>
      <c r="Q42" s="65"/>
      <c r="R42" s="65"/>
      <c r="S42" s="65"/>
      <c r="T42" s="65"/>
      <c r="AE42" s="65"/>
    </row>
    <row r="43" spans="1:31" x14ac:dyDescent="0.2">
      <c r="A43" s="65"/>
      <c r="B43" s="65"/>
      <c r="C43" s="65"/>
      <c r="D43" s="65"/>
      <c r="E43" s="65"/>
      <c r="F43" s="65"/>
      <c r="G43" s="65"/>
      <c r="H43" s="65"/>
      <c r="I43" s="65"/>
      <c r="J43" s="65"/>
      <c r="K43" s="65"/>
      <c r="L43" s="65"/>
      <c r="M43" s="65"/>
      <c r="N43" s="65"/>
      <c r="O43" s="65"/>
      <c r="P43" s="65"/>
      <c r="Q43" s="65"/>
      <c r="R43" s="65"/>
      <c r="S43" s="65"/>
      <c r="T43" s="65"/>
      <c r="AE43" s="65"/>
    </row>
    <row r="44" spans="1:31" x14ac:dyDescent="0.2">
      <c r="A44" s="65"/>
      <c r="B44" s="65"/>
      <c r="C44" s="65"/>
      <c r="D44" s="65"/>
      <c r="E44" s="65"/>
      <c r="F44" s="65"/>
      <c r="G44" s="65"/>
      <c r="H44" s="65"/>
      <c r="I44" s="65"/>
      <c r="J44" s="65"/>
      <c r="K44" s="65"/>
      <c r="L44" s="65"/>
      <c r="M44" s="65"/>
      <c r="N44" s="65"/>
      <c r="O44" s="65"/>
      <c r="P44" s="65"/>
      <c r="Q44" s="65"/>
      <c r="R44" s="65"/>
      <c r="S44" s="65"/>
      <c r="T44" s="65"/>
      <c r="AE44" s="65"/>
    </row>
    <row r="45" spans="1:31" x14ac:dyDescent="0.2">
      <c r="A45" s="65"/>
      <c r="B45" s="65"/>
      <c r="C45" s="65"/>
      <c r="D45" s="65"/>
      <c r="E45" s="65"/>
      <c r="F45" s="65"/>
      <c r="G45" s="65"/>
      <c r="H45" s="65"/>
      <c r="I45" s="65"/>
      <c r="J45" s="65"/>
      <c r="K45" s="65"/>
      <c r="L45" s="65"/>
      <c r="M45" s="65"/>
      <c r="N45" s="65"/>
      <c r="O45" s="65"/>
      <c r="P45" s="65"/>
      <c r="Q45" s="65"/>
      <c r="R45" s="65"/>
      <c r="S45" s="65"/>
      <c r="T45" s="65"/>
      <c r="AE45" s="65"/>
    </row>
    <row r="46" spans="1:31" x14ac:dyDescent="0.2">
      <c r="A46" s="65"/>
      <c r="B46" s="65"/>
      <c r="C46" s="65"/>
      <c r="D46" s="65"/>
      <c r="E46" s="65"/>
      <c r="F46" s="65"/>
      <c r="G46" s="65"/>
      <c r="H46" s="65"/>
      <c r="I46" s="65"/>
      <c r="J46" s="65"/>
      <c r="K46" s="65"/>
      <c r="L46" s="65"/>
      <c r="M46" s="65"/>
      <c r="N46" s="65"/>
      <c r="O46" s="65"/>
      <c r="P46" s="65"/>
      <c r="Q46" s="65"/>
      <c r="R46" s="65"/>
      <c r="S46" s="65"/>
      <c r="T46" s="65"/>
      <c r="AE46" s="65"/>
    </row>
    <row r="47" spans="1:31" x14ac:dyDescent="0.2">
      <c r="A47" s="65"/>
      <c r="B47" s="65"/>
      <c r="C47" s="65"/>
      <c r="D47" s="65"/>
      <c r="E47" s="65"/>
      <c r="F47" s="65"/>
      <c r="G47" s="65"/>
      <c r="H47" s="65"/>
      <c r="I47" s="65"/>
      <c r="J47" s="65"/>
      <c r="K47" s="65"/>
      <c r="L47" s="65"/>
      <c r="M47" s="65"/>
      <c r="N47" s="65"/>
      <c r="O47" s="65"/>
      <c r="P47" s="65"/>
      <c r="Q47" s="65"/>
      <c r="R47" s="65"/>
      <c r="S47" s="65"/>
      <c r="T47" s="65"/>
      <c r="AE47" s="65"/>
    </row>
    <row r="48" spans="1:31" x14ac:dyDescent="0.2">
      <c r="A48" s="65"/>
      <c r="B48" s="65"/>
      <c r="C48" s="65"/>
      <c r="D48" s="65"/>
      <c r="E48" s="65"/>
      <c r="F48" s="65"/>
      <c r="G48" s="65"/>
      <c r="H48" s="65"/>
      <c r="I48" s="65"/>
      <c r="J48" s="65"/>
      <c r="K48" s="65"/>
      <c r="L48" s="65"/>
      <c r="M48" s="65"/>
      <c r="N48" s="65"/>
      <c r="O48" s="65"/>
      <c r="P48" s="65"/>
      <c r="Q48" s="65"/>
      <c r="R48" s="65"/>
      <c r="S48" s="65"/>
      <c r="T48" s="65"/>
      <c r="AE48" s="65"/>
    </row>
    <row r="49" spans="1:31" x14ac:dyDescent="0.2">
      <c r="A49" s="65"/>
      <c r="B49" s="65"/>
      <c r="C49" s="65"/>
      <c r="D49" s="65"/>
      <c r="E49" s="65"/>
      <c r="F49" s="65"/>
      <c r="G49" s="65"/>
      <c r="H49" s="65"/>
      <c r="I49" s="65"/>
      <c r="J49" s="65"/>
      <c r="K49" s="65"/>
      <c r="L49" s="65"/>
      <c r="M49" s="65"/>
      <c r="N49" s="65"/>
      <c r="O49" s="65"/>
      <c r="P49" s="65"/>
      <c r="Q49" s="65"/>
      <c r="R49" s="65"/>
      <c r="S49" s="65"/>
      <c r="T49" s="65"/>
      <c r="AE49" s="65"/>
    </row>
    <row r="50" spans="1:31" x14ac:dyDescent="0.2">
      <c r="A50" s="65"/>
      <c r="B50" s="65"/>
      <c r="C50" s="65"/>
      <c r="D50" s="65"/>
      <c r="E50" s="65"/>
      <c r="F50" s="65"/>
      <c r="G50" s="65"/>
      <c r="H50" s="65"/>
      <c r="I50" s="65"/>
      <c r="J50" s="65"/>
      <c r="K50" s="65"/>
      <c r="L50" s="65"/>
      <c r="M50" s="65"/>
      <c r="N50" s="65"/>
      <c r="O50" s="65"/>
      <c r="P50" s="65"/>
      <c r="Q50" s="65"/>
      <c r="R50" s="65"/>
      <c r="S50" s="65"/>
      <c r="T50" s="65"/>
      <c r="AE50" s="65"/>
    </row>
    <row r="51" spans="1:31" x14ac:dyDescent="0.2">
      <c r="A51" s="65"/>
      <c r="B51" s="65"/>
      <c r="C51" s="65"/>
      <c r="D51" s="65"/>
      <c r="E51" s="65"/>
      <c r="F51" s="65"/>
      <c r="G51" s="65"/>
      <c r="H51" s="65"/>
      <c r="I51" s="65"/>
      <c r="J51" s="65"/>
      <c r="K51" s="65"/>
      <c r="L51" s="65"/>
      <c r="M51" s="65"/>
      <c r="N51" s="65"/>
      <c r="O51" s="65"/>
      <c r="P51" s="65"/>
      <c r="Q51" s="65"/>
      <c r="R51" s="65"/>
      <c r="S51" s="65"/>
      <c r="T51" s="65"/>
      <c r="AE51" s="65"/>
    </row>
    <row r="52" spans="1:31" x14ac:dyDescent="0.2">
      <c r="A52" s="65"/>
      <c r="B52" s="65"/>
      <c r="C52" s="65"/>
      <c r="D52" s="65"/>
      <c r="E52" s="65"/>
      <c r="F52" s="65"/>
      <c r="G52" s="65"/>
      <c r="H52" s="65"/>
      <c r="I52" s="65"/>
      <c r="J52" s="65"/>
      <c r="K52" s="65"/>
      <c r="L52" s="65"/>
      <c r="M52" s="65"/>
      <c r="N52" s="65"/>
      <c r="O52" s="65"/>
      <c r="P52" s="65"/>
      <c r="Q52" s="65"/>
      <c r="R52" s="65"/>
      <c r="S52" s="65"/>
      <c r="T52" s="65"/>
      <c r="AE52" s="65"/>
    </row>
    <row r="53" spans="1:31" x14ac:dyDescent="0.2">
      <c r="A53" s="65"/>
      <c r="B53" s="65"/>
      <c r="C53" s="65"/>
      <c r="D53" s="65"/>
      <c r="E53" s="65"/>
      <c r="F53" s="65"/>
      <c r="G53" s="65"/>
      <c r="H53" s="65"/>
      <c r="I53" s="65"/>
      <c r="J53" s="65"/>
      <c r="K53" s="65"/>
      <c r="L53" s="65"/>
      <c r="M53" s="65"/>
      <c r="N53" s="65"/>
      <c r="O53" s="65"/>
      <c r="P53" s="65"/>
      <c r="Q53" s="65"/>
      <c r="R53" s="65"/>
      <c r="S53" s="65"/>
      <c r="T53" s="65"/>
      <c r="AE53" s="65"/>
    </row>
    <row r="54" spans="1:31" x14ac:dyDescent="0.2">
      <c r="A54" s="65"/>
      <c r="B54" s="65"/>
      <c r="C54" s="65"/>
      <c r="D54" s="65"/>
      <c r="E54" s="65"/>
      <c r="F54" s="65"/>
      <c r="G54" s="65"/>
      <c r="H54" s="65"/>
      <c r="I54" s="65"/>
      <c r="J54" s="65"/>
      <c r="K54" s="65"/>
      <c r="L54" s="65"/>
      <c r="M54" s="65"/>
      <c r="N54" s="65"/>
      <c r="O54" s="65"/>
      <c r="P54" s="65"/>
      <c r="Q54" s="65"/>
      <c r="R54" s="65"/>
      <c r="S54" s="65"/>
      <c r="T54" s="65"/>
      <c r="AE54" s="65"/>
    </row>
    <row r="55" spans="1:31" x14ac:dyDescent="0.2">
      <c r="A55" s="65"/>
      <c r="B55" s="65"/>
      <c r="C55" s="65"/>
      <c r="D55" s="65"/>
      <c r="E55" s="65"/>
      <c r="F55" s="65"/>
      <c r="G55" s="65"/>
      <c r="H55" s="65"/>
      <c r="I55" s="65"/>
      <c r="J55" s="65"/>
      <c r="K55" s="65"/>
      <c r="L55" s="65"/>
      <c r="M55" s="65"/>
      <c r="N55" s="65"/>
      <c r="O55" s="65"/>
      <c r="P55" s="65"/>
      <c r="Q55" s="65"/>
      <c r="R55" s="65"/>
      <c r="S55" s="65"/>
      <c r="T55" s="65"/>
      <c r="AE55" s="65"/>
    </row>
    <row r="56" spans="1:31" x14ac:dyDescent="0.2">
      <c r="A56" s="65"/>
      <c r="B56" s="65"/>
      <c r="C56" s="65"/>
      <c r="D56" s="65"/>
      <c r="E56" s="65"/>
      <c r="F56" s="65"/>
      <c r="G56" s="65"/>
      <c r="H56" s="65"/>
      <c r="I56" s="65"/>
      <c r="J56" s="65"/>
      <c r="K56" s="65"/>
      <c r="L56" s="65"/>
      <c r="M56" s="65"/>
      <c r="N56" s="65"/>
      <c r="O56" s="65"/>
      <c r="P56" s="65"/>
      <c r="Q56" s="65"/>
      <c r="R56" s="65"/>
      <c r="S56" s="65"/>
      <c r="T56" s="65"/>
      <c r="AE56" s="65"/>
    </row>
    <row r="57" spans="1:31" x14ac:dyDescent="0.2">
      <c r="A57" s="65"/>
      <c r="B57" s="65"/>
      <c r="C57" s="65"/>
      <c r="D57" s="65"/>
      <c r="E57" s="65"/>
      <c r="F57" s="65"/>
      <c r="G57" s="65"/>
      <c r="H57" s="65"/>
      <c r="I57" s="65"/>
      <c r="J57" s="65"/>
      <c r="K57" s="65"/>
      <c r="L57" s="65"/>
      <c r="M57" s="65"/>
      <c r="N57" s="65"/>
      <c r="O57" s="65"/>
      <c r="P57" s="65"/>
      <c r="Q57" s="65"/>
      <c r="R57" s="65"/>
      <c r="S57" s="65"/>
      <c r="T57" s="65"/>
      <c r="AE57" s="65"/>
    </row>
    <row r="58" spans="1:31" x14ac:dyDescent="0.2">
      <c r="A58" s="65"/>
      <c r="B58" s="65"/>
      <c r="C58" s="65"/>
      <c r="D58" s="65"/>
      <c r="E58" s="65"/>
      <c r="F58" s="65"/>
      <c r="G58" s="65"/>
      <c r="H58" s="65"/>
      <c r="I58" s="65"/>
      <c r="J58" s="65"/>
      <c r="K58" s="65"/>
      <c r="L58" s="65"/>
      <c r="M58" s="65"/>
      <c r="N58" s="65"/>
      <c r="O58" s="65"/>
      <c r="P58" s="65"/>
      <c r="Q58" s="65"/>
      <c r="R58" s="65"/>
      <c r="S58" s="65"/>
      <c r="T58" s="65"/>
      <c r="AE58" s="65"/>
    </row>
    <row r="59" spans="1:31" x14ac:dyDescent="0.2">
      <c r="A59" s="65"/>
      <c r="B59" s="65"/>
      <c r="C59" s="65"/>
      <c r="D59" s="65"/>
      <c r="E59" s="65"/>
      <c r="F59" s="65"/>
      <c r="G59" s="65"/>
      <c r="H59" s="65"/>
      <c r="I59" s="65"/>
      <c r="J59" s="65"/>
      <c r="K59" s="65"/>
      <c r="L59" s="65"/>
      <c r="M59" s="65"/>
      <c r="N59" s="65"/>
      <c r="O59" s="65"/>
      <c r="P59" s="65"/>
      <c r="Q59" s="65"/>
      <c r="R59" s="65"/>
      <c r="S59" s="65"/>
      <c r="T59" s="65"/>
      <c r="AE59" s="65"/>
    </row>
    <row r="60" spans="1:31" x14ac:dyDescent="0.2">
      <c r="A60" s="65"/>
      <c r="B60" s="65"/>
      <c r="C60" s="65"/>
      <c r="D60" s="65"/>
      <c r="E60" s="65"/>
      <c r="F60" s="65"/>
      <c r="G60" s="65"/>
      <c r="H60" s="65"/>
      <c r="I60" s="65"/>
      <c r="J60" s="65"/>
      <c r="K60" s="65"/>
      <c r="L60" s="65"/>
      <c r="M60" s="65"/>
      <c r="N60" s="65"/>
      <c r="O60" s="65"/>
      <c r="P60" s="65"/>
      <c r="Q60" s="65"/>
      <c r="R60" s="65"/>
      <c r="S60" s="65"/>
      <c r="T60" s="65"/>
      <c r="AE60" s="65"/>
    </row>
    <row r="61" spans="1:31" x14ac:dyDescent="0.2">
      <c r="A61" s="65"/>
      <c r="B61" s="65"/>
      <c r="C61" s="65"/>
      <c r="D61" s="65"/>
      <c r="E61" s="65"/>
      <c r="F61" s="65"/>
      <c r="G61" s="65"/>
      <c r="H61" s="65"/>
      <c r="I61" s="65"/>
      <c r="J61" s="65"/>
      <c r="K61" s="65"/>
      <c r="L61" s="65"/>
      <c r="M61" s="65"/>
      <c r="N61" s="65"/>
      <c r="O61" s="65"/>
      <c r="P61" s="65"/>
      <c r="Q61" s="65"/>
      <c r="R61" s="65"/>
      <c r="S61" s="65"/>
      <c r="T61" s="65"/>
      <c r="AE61" s="65"/>
    </row>
    <row r="62" spans="1:31" x14ac:dyDescent="0.2">
      <c r="A62" s="65"/>
      <c r="B62" s="65"/>
      <c r="C62" s="65"/>
      <c r="D62" s="65"/>
      <c r="E62" s="65"/>
      <c r="F62" s="65"/>
      <c r="G62" s="65"/>
      <c r="H62" s="65"/>
      <c r="I62" s="65"/>
      <c r="J62" s="65"/>
      <c r="K62" s="65"/>
      <c r="L62" s="65"/>
      <c r="M62" s="65"/>
      <c r="N62" s="65"/>
      <c r="O62" s="65"/>
      <c r="P62" s="65"/>
      <c r="Q62" s="65"/>
      <c r="R62" s="65"/>
      <c r="S62" s="65"/>
      <c r="T62" s="65"/>
      <c r="AE62" s="65"/>
    </row>
    <row r="63" spans="1:31" x14ac:dyDescent="0.2">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row>
    <row r="64" spans="1:31" x14ac:dyDescent="0.2">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row>
    <row r="65" spans="1:31" x14ac:dyDescent="0.2">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row>
    <row r="66" spans="1:31" x14ac:dyDescent="0.2">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row>
    <row r="67" spans="1:31" x14ac:dyDescent="0.2">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row>
  </sheetData>
  <mergeCells count="2">
    <mergeCell ref="A9:R9"/>
    <mergeCell ref="A29:R29"/>
  </mergeCells>
  <phoneticPr fontId="12" type="noConversion"/>
  <printOptions horizontalCentered="1"/>
  <pageMargins left="0.5" right="0.5" top="1" bottom="0.5"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46"/>
  <sheetViews>
    <sheetView workbookViewId="0">
      <selection sqref="A1:J1"/>
    </sheetView>
  </sheetViews>
  <sheetFormatPr defaultColWidth="9.77734375" defaultRowHeight="15" x14ac:dyDescent="0.2"/>
  <cols>
    <col min="1" max="1" width="5" style="348" customWidth="1"/>
    <col min="2" max="2" width="13.21875" style="348" customWidth="1"/>
    <col min="3" max="3" width="6.88671875" style="348" customWidth="1"/>
    <col min="4" max="4" width="9.77734375" style="348" customWidth="1"/>
    <col min="5" max="5" width="8" style="348" customWidth="1"/>
    <col min="6" max="6" width="9.77734375" style="348" customWidth="1"/>
    <col min="7" max="7" width="2.5546875" style="348" customWidth="1"/>
    <col min="8" max="8" width="9.77734375" style="348" customWidth="1"/>
    <col min="9" max="9" width="3.5546875" style="348" customWidth="1"/>
    <col min="10" max="15" width="9.77734375" style="348" customWidth="1"/>
    <col min="16" max="16" width="11.109375" style="348" bestFit="1" customWidth="1"/>
    <col min="17" max="16384" width="9.77734375" style="348"/>
  </cols>
  <sheetData>
    <row r="1" spans="1:17" x14ac:dyDescent="0.2">
      <c r="A1" s="621" t="s">
        <v>51</v>
      </c>
      <c r="B1" s="621"/>
      <c r="C1" s="621"/>
      <c r="D1" s="621"/>
      <c r="E1" s="621"/>
      <c r="F1" s="621"/>
      <c r="G1" s="621"/>
      <c r="H1" s="621"/>
      <c r="I1" s="621"/>
      <c r="J1" s="621"/>
    </row>
    <row r="2" spans="1:17" x14ac:dyDescent="0.2">
      <c r="A2" s="621"/>
      <c r="B2" s="621"/>
      <c r="C2" s="621"/>
      <c r="D2" s="621"/>
      <c r="E2" s="621"/>
      <c r="F2" s="621"/>
      <c r="G2" s="621"/>
      <c r="H2" s="621"/>
      <c r="I2" s="621"/>
      <c r="J2" s="621"/>
      <c r="L2" s="489"/>
      <c r="M2" s="489"/>
      <c r="N2" s="489"/>
      <c r="O2" s="489"/>
      <c r="P2" s="489"/>
      <c r="Q2" s="489"/>
    </row>
    <row r="3" spans="1:17" x14ac:dyDescent="0.2">
      <c r="A3" s="77"/>
      <c r="B3" s="77"/>
      <c r="C3" s="77"/>
      <c r="D3" s="77"/>
      <c r="E3" s="77"/>
      <c r="F3" s="77"/>
      <c r="G3" s="77"/>
      <c r="H3" s="77"/>
      <c r="I3" s="78"/>
      <c r="L3" s="489"/>
      <c r="M3" s="489"/>
      <c r="N3" s="489"/>
      <c r="O3" s="489"/>
      <c r="P3" s="489"/>
      <c r="Q3" s="489"/>
    </row>
    <row r="4" spans="1:17" x14ac:dyDescent="0.2">
      <c r="A4" s="37" t="s">
        <v>221</v>
      </c>
      <c r="B4" s="37"/>
      <c r="C4" s="37"/>
      <c r="D4" s="37"/>
      <c r="E4" s="37"/>
      <c r="F4" s="37"/>
      <c r="G4" s="37"/>
      <c r="H4" s="37"/>
      <c r="I4" s="78"/>
      <c r="P4" s="489"/>
    </row>
    <row r="5" spans="1:17" x14ac:dyDescent="0.2">
      <c r="A5" s="78"/>
      <c r="B5" s="78"/>
      <c r="C5" s="78"/>
      <c r="D5" s="78"/>
      <c r="E5" s="78"/>
      <c r="F5" s="78"/>
      <c r="G5" s="78"/>
      <c r="H5" s="78"/>
      <c r="I5" s="78"/>
    </row>
    <row r="6" spans="1:17" x14ac:dyDescent="0.2">
      <c r="A6" s="78"/>
      <c r="B6" s="78"/>
      <c r="C6" s="78"/>
      <c r="D6" s="78"/>
      <c r="E6" s="78"/>
      <c r="F6" s="78"/>
      <c r="G6" s="78"/>
      <c r="H6" s="78"/>
      <c r="I6" s="78"/>
      <c r="P6" s="369"/>
    </row>
    <row r="7" spans="1:17" x14ac:dyDescent="0.2">
      <c r="A7" s="78" t="s">
        <v>136</v>
      </c>
      <c r="B7" s="78"/>
      <c r="C7" s="78"/>
      <c r="D7" s="78"/>
      <c r="E7" s="78"/>
      <c r="F7" s="78"/>
      <c r="G7" s="78"/>
      <c r="H7" s="78"/>
      <c r="I7" s="78"/>
      <c r="P7" s="369"/>
    </row>
    <row r="8" spans="1:17" x14ac:dyDescent="0.2">
      <c r="A8" s="78"/>
      <c r="B8" s="78"/>
      <c r="C8" s="78"/>
      <c r="D8" s="78"/>
      <c r="E8" s="78"/>
      <c r="F8" s="78"/>
      <c r="G8" s="78"/>
      <c r="H8" s="78"/>
      <c r="I8" s="78"/>
      <c r="P8" s="369"/>
    </row>
    <row r="9" spans="1:17" ht="28.15" customHeight="1" x14ac:dyDescent="0.2">
      <c r="A9" s="632" t="s">
        <v>92</v>
      </c>
      <c r="B9" s="633"/>
      <c r="C9" s="633"/>
      <c r="D9" s="633"/>
      <c r="E9" s="633"/>
      <c r="F9" s="633"/>
      <c r="G9" s="633"/>
      <c r="H9" s="633"/>
      <c r="I9" s="633"/>
      <c r="J9" s="633"/>
      <c r="P9" s="369"/>
    </row>
    <row r="10" spans="1:17" x14ac:dyDescent="0.2">
      <c r="A10" s="78"/>
      <c r="B10" s="78"/>
      <c r="C10" s="78"/>
      <c r="D10" s="78"/>
      <c r="E10" s="78"/>
      <c r="F10" s="78"/>
      <c r="G10" s="78"/>
      <c r="H10" s="78"/>
      <c r="I10" s="78"/>
      <c r="P10" s="369"/>
    </row>
    <row r="11" spans="1:17" x14ac:dyDescent="0.2">
      <c r="A11" s="78"/>
      <c r="B11" s="78"/>
      <c r="C11" s="78"/>
      <c r="E11" s="78"/>
      <c r="F11" s="78"/>
      <c r="G11" s="78"/>
      <c r="H11" s="78"/>
      <c r="I11" s="78"/>
      <c r="L11" s="369"/>
      <c r="M11" s="369"/>
      <c r="P11" s="369"/>
    </row>
    <row r="12" spans="1:17" x14ac:dyDescent="0.2">
      <c r="A12" s="78" t="s">
        <v>271</v>
      </c>
      <c r="B12" s="78"/>
      <c r="C12" s="242">
        <f>+'F 3B 4B'!G50</f>
        <v>12000</v>
      </c>
      <c r="D12" s="236" t="s">
        <v>338</v>
      </c>
      <c r="E12" s="77"/>
      <c r="F12" s="79" t="s">
        <v>272</v>
      </c>
      <c r="H12" s="80">
        <f>ROUND(+C12*60*10/D13,4)</f>
        <v>0.27629999999999999</v>
      </c>
      <c r="I12" s="78"/>
      <c r="L12" s="369"/>
      <c r="M12" s="369"/>
      <c r="P12" s="497"/>
    </row>
    <row r="13" spans="1:17" x14ac:dyDescent="0.2">
      <c r="A13" s="78"/>
      <c r="B13" s="78"/>
      <c r="D13" s="496">
        <v>26054000</v>
      </c>
      <c r="E13" s="82" t="s">
        <v>388</v>
      </c>
      <c r="F13" s="79"/>
      <c r="G13" s="78"/>
      <c r="I13" s="78"/>
    </row>
    <row r="14" spans="1:17" x14ac:dyDescent="0.2">
      <c r="A14" s="78"/>
      <c r="B14" s="78"/>
      <c r="C14" s="78"/>
      <c r="D14" s="78"/>
      <c r="E14" s="78"/>
      <c r="F14" s="79"/>
      <c r="G14" s="78"/>
      <c r="I14" s="78"/>
    </row>
    <row r="15" spans="1:17" x14ac:dyDescent="0.2">
      <c r="A15" s="78" t="s">
        <v>273</v>
      </c>
      <c r="B15" s="78"/>
      <c r="D15" s="80">
        <v>1</v>
      </c>
      <c r="E15" s="79" t="s">
        <v>274</v>
      </c>
      <c r="F15" s="80">
        <f>H12</f>
        <v>0.27629999999999999</v>
      </c>
      <c r="G15" s="81" t="s">
        <v>272</v>
      </c>
      <c r="H15" s="80">
        <f>D15-F15</f>
        <v>0.72370000000000001</v>
      </c>
      <c r="I15" s="78"/>
      <c r="K15" s="362"/>
      <c r="L15" s="489"/>
      <c r="M15" s="489"/>
      <c r="N15" s="489"/>
      <c r="O15" s="489"/>
      <c r="P15" s="489"/>
      <c r="Q15" s="489"/>
    </row>
    <row r="16" spans="1:17" x14ac:dyDescent="0.2">
      <c r="A16" s="78"/>
      <c r="B16" s="78"/>
      <c r="C16" s="78"/>
      <c r="D16" s="78"/>
      <c r="E16" s="78"/>
      <c r="F16" s="78"/>
      <c r="G16" s="78"/>
      <c r="H16" s="78"/>
      <c r="I16" s="78"/>
      <c r="L16" s="489"/>
      <c r="M16" s="489"/>
      <c r="N16" s="489"/>
      <c r="O16" s="489"/>
      <c r="P16" s="489"/>
      <c r="Q16" s="489"/>
    </row>
    <row r="17" spans="1:19" x14ac:dyDescent="0.2">
      <c r="A17" s="78"/>
      <c r="B17" s="78"/>
      <c r="C17" s="78"/>
      <c r="D17" s="78"/>
      <c r="E17" s="78"/>
      <c r="F17" s="78"/>
      <c r="G17" s="78"/>
      <c r="H17" s="78"/>
      <c r="I17" s="78"/>
      <c r="J17" s="297"/>
      <c r="K17" s="297"/>
      <c r="L17" s="297"/>
      <c r="M17" s="297"/>
      <c r="N17" s="297"/>
      <c r="O17" s="297"/>
      <c r="P17" s="297"/>
      <c r="Q17" s="297"/>
      <c r="R17" s="297"/>
      <c r="S17" s="297"/>
    </row>
    <row r="18" spans="1:19" ht="29.25" customHeight="1" x14ac:dyDescent="0.2">
      <c r="A18" s="632" t="s">
        <v>275</v>
      </c>
      <c r="B18" s="632"/>
      <c r="C18" s="632"/>
      <c r="D18" s="632"/>
      <c r="E18" s="632"/>
      <c r="F18" s="632"/>
      <c r="G18" s="632"/>
      <c r="H18" s="632"/>
      <c r="I18" s="78"/>
    </row>
    <row r="19" spans="1:19" x14ac:dyDescent="0.2">
      <c r="A19" s="78"/>
      <c r="B19" s="78"/>
      <c r="C19" s="78"/>
      <c r="D19" s="78"/>
      <c r="E19" s="78"/>
      <c r="F19" s="78"/>
      <c r="G19" s="78"/>
      <c r="H19" s="78"/>
      <c r="I19" s="78"/>
    </row>
    <row r="20" spans="1:19" x14ac:dyDescent="0.2">
      <c r="A20" s="78"/>
      <c r="B20" s="78"/>
      <c r="C20" s="78"/>
      <c r="D20" s="79" t="s">
        <v>229</v>
      </c>
      <c r="E20" s="78"/>
      <c r="F20" s="78"/>
      <c r="G20" s="78"/>
      <c r="H20" s="78"/>
      <c r="I20" s="78"/>
    </row>
    <row r="21" spans="1:19" x14ac:dyDescent="0.2">
      <c r="A21" s="78"/>
      <c r="B21" s="78"/>
      <c r="C21" s="78"/>
      <c r="D21" s="79" t="s">
        <v>276</v>
      </c>
      <c r="E21" s="78"/>
      <c r="F21" s="78"/>
      <c r="G21" s="78"/>
      <c r="H21" s="78"/>
      <c r="I21" s="78"/>
    </row>
    <row r="22" spans="1:19" x14ac:dyDescent="0.2">
      <c r="A22" s="78"/>
      <c r="B22" s="78"/>
      <c r="C22" s="78"/>
      <c r="D22" s="79" t="s">
        <v>231</v>
      </c>
      <c r="E22" s="78"/>
      <c r="F22" s="79" t="s">
        <v>277</v>
      </c>
      <c r="G22" s="78"/>
      <c r="H22" s="79" t="s">
        <v>232</v>
      </c>
      <c r="I22" s="78"/>
    </row>
    <row r="23" spans="1:19" x14ac:dyDescent="0.2">
      <c r="A23" s="78"/>
      <c r="B23" s="78"/>
      <c r="C23" s="78"/>
      <c r="D23" s="82"/>
      <c r="E23" s="78"/>
      <c r="F23" s="82"/>
      <c r="G23" s="78"/>
      <c r="H23" s="82"/>
      <c r="I23" s="78"/>
    </row>
    <row r="24" spans="1:19" x14ac:dyDescent="0.2">
      <c r="A24" s="78"/>
      <c r="B24" s="78" t="s">
        <v>255</v>
      </c>
      <c r="C24" s="78"/>
      <c r="D24" s="83">
        <v>1</v>
      </c>
      <c r="E24" s="78"/>
      <c r="F24" s="83">
        <f>D24/D29*100</f>
        <v>41.666666666666671</v>
      </c>
      <c r="G24" s="78"/>
      <c r="H24" s="80">
        <f>ROUND(F24/100*(1-H12),4)</f>
        <v>0.30149999999999999</v>
      </c>
      <c r="I24" s="78"/>
    </row>
    <row r="25" spans="1:19" x14ac:dyDescent="0.2">
      <c r="A25" s="78"/>
      <c r="B25" s="78"/>
      <c r="C25" s="78"/>
      <c r="D25" s="78"/>
      <c r="E25" s="78"/>
      <c r="F25" s="78"/>
      <c r="G25" s="78"/>
      <c r="H25" s="78"/>
      <c r="I25" s="78"/>
    </row>
    <row r="26" spans="1:19" x14ac:dyDescent="0.2">
      <c r="A26" s="78"/>
      <c r="B26" s="78" t="s">
        <v>211</v>
      </c>
      <c r="C26" s="78"/>
      <c r="D26" s="78"/>
      <c r="E26" s="78"/>
      <c r="F26" s="78"/>
      <c r="G26" s="78"/>
      <c r="H26" s="78"/>
      <c r="I26" s="78"/>
    </row>
    <row r="27" spans="1:19" x14ac:dyDescent="0.2">
      <c r="A27" s="78"/>
      <c r="B27" s="78" t="s">
        <v>278</v>
      </c>
      <c r="C27" s="78"/>
      <c r="D27" s="83">
        <f>'F 3B 4B'!$E$46</f>
        <v>1.4</v>
      </c>
      <c r="E27" s="78"/>
      <c r="F27" s="83">
        <f>D27/D29*100</f>
        <v>58.333333333333336</v>
      </c>
      <c r="G27" s="78"/>
      <c r="H27" s="80">
        <f>ROUND(F27/100*(1-H12),4)</f>
        <v>0.42220000000000002</v>
      </c>
      <c r="I27" s="78"/>
    </row>
    <row r="28" spans="1:19" x14ac:dyDescent="0.2">
      <c r="A28" s="78"/>
      <c r="B28" s="78"/>
      <c r="C28" s="78"/>
      <c r="D28" s="84"/>
      <c r="E28" s="78"/>
      <c r="F28" s="84"/>
      <c r="G28" s="78"/>
      <c r="H28" s="84"/>
      <c r="I28" s="78"/>
    </row>
    <row r="29" spans="1:19" ht="15.75" thickBot="1" x14ac:dyDescent="0.25">
      <c r="A29" s="78"/>
      <c r="B29" s="78" t="s">
        <v>235</v>
      </c>
      <c r="C29" s="78"/>
      <c r="D29" s="83">
        <f>SUM(D24:D28)</f>
        <v>2.4</v>
      </c>
      <c r="E29" s="78"/>
      <c r="F29" s="83">
        <f>SUM(F24:F28)</f>
        <v>100</v>
      </c>
      <c r="G29" s="78"/>
      <c r="H29" s="205">
        <f>SUM(H24:H28)</f>
        <v>0.72370000000000001</v>
      </c>
      <c r="I29" s="78"/>
    </row>
    <row r="30" spans="1:19" ht="15.75" thickTop="1" x14ac:dyDescent="0.2">
      <c r="A30" s="78"/>
      <c r="B30" s="78"/>
      <c r="C30" s="78"/>
      <c r="D30" s="85"/>
      <c r="E30" s="78"/>
      <c r="F30" s="85"/>
      <c r="G30" s="78"/>
      <c r="H30" s="204"/>
      <c r="I30" s="78"/>
    </row>
    <row r="32" spans="1:19" x14ac:dyDescent="0.2">
      <c r="A32" s="47"/>
      <c r="B32" s="47"/>
      <c r="C32" s="47"/>
      <c r="D32" s="48" t="s">
        <v>261</v>
      </c>
      <c r="F32" s="47"/>
      <c r="G32" s="235"/>
      <c r="H32" s="47"/>
      <c r="I32" s="47"/>
      <c r="J32" s="47"/>
      <c r="K32" s="47"/>
    </row>
    <row r="33" spans="1:11" x14ac:dyDescent="0.2">
      <c r="A33" s="47"/>
      <c r="B33" s="47"/>
      <c r="C33" s="47"/>
      <c r="D33" s="48" t="s">
        <v>262</v>
      </c>
      <c r="F33" s="45" t="s">
        <v>263</v>
      </c>
      <c r="G33" s="45"/>
      <c r="H33" s="45"/>
      <c r="I33" s="45"/>
      <c r="J33" s="45"/>
    </row>
    <row r="34" spans="1:11" x14ac:dyDescent="0.2">
      <c r="A34" s="630" t="s">
        <v>239</v>
      </c>
      <c r="B34" s="630"/>
      <c r="C34" s="45"/>
      <c r="D34" s="48" t="s">
        <v>210</v>
      </c>
      <c r="F34" s="59"/>
      <c r="G34" s="59"/>
      <c r="H34" s="59" t="s">
        <v>337</v>
      </c>
      <c r="I34" s="59"/>
      <c r="J34" s="59" t="s">
        <v>192</v>
      </c>
    </row>
    <row r="35" spans="1:11" x14ac:dyDescent="0.2">
      <c r="A35" s="631" t="s">
        <v>193</v>
      </c>
      <c r="B35" s="631"/>
      <c r="C35" s="78"/>
      <c r="D35" s="48" t="s">
        <v>337</v>
      </c>
      <c r="F35" s="48" t="s">
        <v>225</v>
      </c>
      <c r="G35" s="48"/>
      <c r="H35" s="48" t="s">
        <v>264</v>
      </c>
      <c r="I35" s="48"/>
      <c r="J35" s="48" t="s">
        <v>194</v>
      </c>
    </row>
    <row r="36" spans="1:11" x14ac:dyDescent="0.2">
      <c r="A36" s="60" t="s">
        <v>195</v>
      </c>
      <c r="B36" s="60"/>
      <c r="D36" s="59" t="s">
        <v>214</v>
      </c>
      <c r="F36" s="59" t="s">
        <v>197</v>
      </c>
      <c r="G36" s="48"/>
      <c r="H36" s="59" t="s">
        <v>227</v>
      </c>
      <c r="I36" s="48"/>
      <c r="J36" s="59" t="s">
        <v>228</v>
      </c>
    </row>
    <row r="37" spans="1:11" x14ac:dyDescent="0.2">
      <c r="A37" s="235"/>
      <c r="B37" s="235"/>
      <c r="C37" s="47"/>
      <c r="D37" s="47"/>
      <c r="F37" s="47"/>
      <c r="G37" s="47"/>
      <c r="H37" s="47"/>
      <c r="I37" s="47"/>
      <c r="J37" s="47"/>
    </row>
    <row r="38" spans="1:11" x14ac:dyDescent="0.2">
      <c r="A38" s="2" t="s">
        <v>198</v>
      </c>
      <c r="B38" s="47"/>
      <c r="C38" s="47"/>
      <c r="D38" s="182">
        <f>+'F 5'!D18</f>
        <v>609.29999999999995</v>
      </c>
      <c r="F38" s="171">
        <f>+'F 3B 4B'!G62</f>
        <v>2</v>
      </c>
      <c r="G38" s="47"/>
      <c r="H38" s="57">
        <f>ROUND(D38*F38,1)</f>
        <v>1218.5999999999999</v>
      </c>
      <c r="I38" s="47"/>
      <c r="J38" s="52">
        <f>ROUND(+H38/H$44,4)</f>
        <v>0.60899999999999999</v>
      </c>
    </row>
    <row r="39" spans="1:11" x14ac:dyDescent="0.2">
      <c r="A39" s="2" t="s">
        <v>334</v>
      </c>
      <c r="B39" s="47"/>
      <c r="C39" s="47"/>
      <c r="D39" s="182">
        <f>+'F 5'!D19</f>
        <v>338.3</v>
      </c>
      <c r="F39" s="171">
        <f>+'F 3B 4B'!G63</f>
        <v>1.5</v>
      </c>
      <c r="G39" s="47"/>
      <c r="H39" s="57">
        <f>ROUND(D39*F39,1)</f>
        <v>507.5</v>
      </c>
      <c r="I39" s="47"/>
      <c r="J39" s="52">
        <f>ROUND(+H39/H$44,4)</f>
        <v>0.25359999999999999</v>
      </c>
    </row>
    <row r="40" spans="1:11" x14ac:dyDescent="0.2">
      <c r="A40" s="2" t="s">
        <v>200</v>
      </c>
      <c r="B40" s="47"/>
      <c r="C40" s="47"/>
      <c r="D40" s="182">
        <f>+'F 5'!D20</f>
        <v>132.80000000000001</v>
      </c>
      <c r="F40" s="171">
        <f>+'F 3B 4B'!G64</f>
        <v>1</v>
      </c>
      <c r="G40" s="47"/>
      <c r="H40" s="57">
        <f>ROUND(D40*F40,1)</f>
        <v>132.80000000000001</v>
      </c>
      <c r="I40" s="47"/>
      <c r="J40" s="52">
        <f>ROUND(+H40/H$44,4)</f>
        <v>6.6400000000000001E-2</v>
      </c>
    </row>
    <row r="41" spans="1:11" x14ac:dyDescent="0.2">
      <c r="A41" s="2" t="s">
        <v>201</v>
      </c>
      <c r="B41" s="47"/>
      <c r="C41" s="47"/>
      <c r="D41" s="182">
        <f>+'F 5'!D21</f>
        <v>77</v>
      </c>
      <c r="F41" s="171">
        <f>+'F 3B 4B'!G65</f>
        <v>1</v>
      </c>
      <c r="G41" s="47"/>
      <c r="H41" s="57">
        <f>ROUND(D41*F41,1)</f>
        <v>77</v>
      </c>
      <c r="I41" s="47"/>
      <c r="J41" s="52">
        <f>ROUND(+H41/H$44,4)</f>
        <v>3.85E-2</v>
      </c>
    </row>
    <row r="42" spans="1:11" x14ac:dyDescent="0.2">
      <c r="A42" s="2" t="s">
        <v>105</v>
      </c>
      <c r="B42" s="47"/>
      <c r="C42" s="47"/>
      <c r="D42" s="182">
        <f>+'F 5'!D22</f>
        <v>65.099999999999994</v>
      </c>
      <c r="F42" s="171">
        <f>+'F 3B 4B'!G66</f>
        <v>1</v>
      </c>
      <c r="G42" s="47"/>
      <c r="H42" s="57">
        <f>ROUND(D42*F42,1)</f>
        <v>65.099999999999994</v>
      </c>
      <c r="I42" s="47"/>
      <c r="J42" s="52">
        <f>ROUND(+H42/H$44,4)</f>
        <v>3.2500000000000001E-2</v>
      </c>
    </row>
    <row r="43" spans="1:11" x14ac:dyDescent="0.2">
      <c r="A43" s="47"/>
      <c r="B43" s="47"/>
      <c r="C43" s="47"/>
      <c r="D43" s="168"/>
      <c r="F43" s="47"/>
      <c r="G43" s="47"/>
      <c r="H43" s="61"/>
      <c r="I43" s="47"/>
      <c r="J43" s="49"/>
    </row>
    <row r="44" spans="1:11" ht="15.75" thickBot="1" x14ac:dyDescent="0.25">
      <c r="A44" s="47" t="s">
        <v>265</v>
      </c>
      <c r="B44" s="47"/>
      <c r="C44" s="47"/>
      <c r="D44" s="298">
        <f>SUM(D38:D43)</f>
        <v>1222.4999999999998</v>
      </c>
      <c r="F44" s="57"/>
      <c r="G44" s="57"/>
      <c r="H44" s="298">
        <f>SUM(H38:H43)</f>
        <v>2000.9999999999998</v>
      </c>
      <c r="I44" s="47"/>
      <c r="J44" s="170">
        <f>SUM(J38:J43)</f>
        <v>1</v>
      </c>
    </row>
    <row r="45" spans="1:11" ht="15.75" thickTop="1" x14ac:dyDescent="0.2">
      <c r="A45" s="235"/>
      <c r="B45" s="235"/>
      <c r="C45" s="235"/>
      <c r="D45" s="235"/>
      <c r="E45" s="235"/>
      <c r="F45" s="235"/>
      <c r="G45" s="235"/>
      <c r="H45" s="235"/>
      <c r="I45" s="235"/>
      <c r="J45" s="235"/>
      <c r="K45" s="235"/>
    </row>
    <row r="46" spans="1:11" x14ac:dyDescent="0.2">
      <c r="A46" s="47" t="s">
        <v>266</v>
      </c>
    </row>
  </sheetData>
  <mergeCells count="6">
    <mergeCell ref="A34:B34"/>
    <mergeCell ref="A35:B35"/>
    <mergeCell ref="A1:J1"/>
    <mergeCell ref="A2:J2"/>
    <mergeCell ref="A9:J9"/>
    <mergeCell ref="A18:H18"/>
  </mergeCells>
  <phoneticPr fontId="12" type="noConversion"/>
  <printOptions horizontalCentered="1"/>
  <pageMargins left="1" right="1" top="1" bottom="0.5" header="0.5" footer="0.5"/>
  <pageSetup scale="8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90"/>
  <sheetViews>
    <sheetView workbookViewId="0"/>
  </sheetViews>
  <sheetFormatPr defaultColWidth="9.77734375" defaultRowHeight="15" x14ac:dyDescent="0.2"/>
  <cols>
    <col min="1" max="2" width="7.77734375" style="174" customWidth="1"/>
    <col min="3" max="3" width="1.77734375" style="174" customWidth="1"/>
    <col min="4" max="4" width="7.77734375" style="174" customWidth="1"/>
    <col min="5" max="5" width="1.21875" style="174" customWidth="1"/>
    <col min="6" max="6" width="7.77734375" style="174" customWidth="1"/>
    <col min="7" max="7" width="1.21875" style="174" customWidth="1"/>
    <col min="8" max="8" width="8.44140625" style="174" customWidth="1"/>
    <col min="9" max="9" width="1.21875" style="174" customWidth="1"/>
    <col min="10" max="10" width="7.77734375" style="174" customWidth="1"/>
    <col min="11" max="11" width="1.21875" style="174" customWidth="1"/>
    <col min="12" max="12" width="7.77734375" style="174" customWidth="1"/>
    <col min="13" max="13" width="1.21875" style="174" customWidth="1"/>
    <col min="14" max="14" width="7.77734375" style="174" customWidth="1"/>
    <col min="15" max="15" width="1.21875" style="174" customWidth="1"/>
    <col min="16" max="16" width="7.77734375" style="174" customWidth="1"/>
    <col min="17" max="18" width="9.77734375" style="174" customWidth="1"/>
    <col min="19" max="19" width="12.21875" style="174" customWidth="1"/>
    <col min="20" max="20" width="12.33203125" style="174" customWidth="1"/>
    <col min="21" max="21" width="11.44140625" style="174" customWidth="1"/>
    <col min="22" max="16384" width="9.77734375" style="174"/>
  </cols>
  <sheetData>
    <row r="1" spans="1:25" x14ac:dyDescent="0.2">
      <c r="A1" s="36" t="s">
        <v>51</v>
      </c>
      <c r="B1" s="86"/>
      <c r="C1" s="86"/>
      <c r="D1" s="87"/>
      <c r="E1" s="87"/>
      <c r="F1" s="87"/>
      <c r="G1" s="87"/>
      <c r="H1" s="87"/>
      <c r="I1" s="87"/>
      <c r="J1" s="87"/>
      <c r="K1" s="87"/>
      <c r="L1" s="87"/>
      <c r="M1" s="87"/>
      <c r="N1" s="87"/>
      <c r="O1" s="87"/>
      <c r="P1" s="87"/>
      <c r="Q1" s="360"/>
      <c r="R1" s="360"/>
      <c r="S1" s="360"/>
      <c r="T1" s="360"/>
      <c r="U1" s="360"/>
      <c r="V1" s="360"/>
    </row>
    <row r="2" spans="1:25" x14ac:dyDescent="0.2">
      <c r="A2" s="36"/>
      <c r="B2" s="86"/>
      <c r="C2" s="86"/>
      <c r="D2" s="87"/>
      <c r="E2" s="87"/>
      <c r="F2" s="87"/>
      <c r="G2" s="87"/>
      <c r="H2" s="87"/>
      <c r="I2" s="87"/>
      <c r="J2" s="87"/>
      <c r="K2" s="87"/>
      <c r="L2" s="87"/>
      <c r="M2" s="87"/>
      <c r="N2" s="87"/>
      <c r="O2" s="87"/>
      <c r="P2" s="87"/>
      <c r="Q2" s="360"/>
      <c r="R2" s="360"/>
      <c r="S2" s="360"/>
      <c r="T2" s="360"/>
      <c r="U2" s="360"/>
      <c r="V2" s="360"/>
    </row>
    <row r="3" spans="1:25" x14ac:dyDescent="0.2">
      <c r="A3" s="87"/>
      <c r="B3" s="87"/>
      <c r="C3" s="87"/>
      <c r="D3" s="87"/>
      <c r="E3" s="87"/>
      <c r="F3" s="87"/>
      <c r="G3" s="87"/>
      <c r="H3" s="87"/>
      <c r="I3" s="87"/>
      <c r="J3" s="87"/>
      <c r="K3" s="87"/>
      <c r="L3" s="87"/>
      <c r="M3" s="87"/>
      <c r="N3" s="87"/>
      <c r="O3" s="87"/>
      <c r="P3" s="87"/>
      <c r="Q3" s="360"/>
      <c r="R3" s="360"/>
      <c r="S3" s="360"/>
      <c r="T3" s="360"/>
      <c r="U3" s="360"/>
      <c r="V3" s="360"/>
    </row>
    <row r="4" spans="1:25" x14ac:dyDescent="0.2">
      <c r="A4" s="87" t="s">
        <v>221</v>
      </c>
      <c r="B4" s="87"/>
      <c r="C4" s="87"/>
      <c r="D4" s="87"/>
      <c r="E4" s="87"/>
      <c r="F4" s="87"/>
      <c r="G4" s="87"/>
      <c r="H4" s="87"/>
      <c r="I4" s="87"/>
      <c r="J4" s="87"/>
      <c r="K4" s="87"/>
      <c r="L4" s="87"/>
      <c r="M4" s="87"/>
      <c r="N4" s="87"/>
      <c r="O4" s="87"/>
      <c r="P4" s="87"/>
      <c r="Q4" s="360"/>
      <c r="R4" s="360"/>
      <c r="S4" s="360"/>
      <c r="T4" s="360"/>
      <c r="U4" s="360"/>
      <c r="V4" s="360"/>
    </row>
    <row r="5" spans="1:25" x14ac:dyDescent="0.2">
      <c r="A5" s="88"/>
      <c r="B5" s="88"/>
      <c r="C5" s="88"/>
      <c r="D5" s="88"/>
      <c r="E5" s="88"/>
      <c r="F5" s="88"/>
      <c r="G5" s="88"/>
      <c r="H5" s="88"/>
      <c r="I5" s="88"/>
      <c r="J5" s="88"/>
      <c r="K5" s="88"/>
      <c r="L5" s="88"/>
      <c r="M5" s="88"/>
      <c r="N5" s="88"/>
      <c r="O5" s="88"/>
      <c r="P5" s="88"/>
      <c r="Q5" s="360"/>
      <c r="R5" s="360"/>
      <c r="S5" s="360"/>
      <c r="T5" s="360"/>
      <c r="U5" s="360"/>
      <c r="V5" s="360"/>
    </row>
    <row r="6" spans="1:25" x14ac:dyDescent="0.2">
      <c r="A6" s="88"/>
      <c r="B6" s="88"/>
      <c r="C6" s="88"/>
      <c r="D6" s="88"/>
      <c r="E6" s="88"/>
      <c r="F6" s="88"/>
      <c r="G6" s="88"/>
      <c r="H6" s="88"/>
      <c r="I6" s="88"/>
      <c r="J6" s="88"/>
      <c r="K6" s="88"/>
      <c r="L6" s="88"/>
      <c r="M6" s="88"/>
      <c r="N6" s="88"/>
      <c r="O6" s="88"/>
      <c r="P6" s="88"/>
      <c r="Q6" s="360"/>
      <c r="R6" s="360"/>
      <c r="S6" s="360"/>
      <c r="T6" s="360"/>
      <c r="U6" s="360"/>
      <c r="V6" s="360"/>
    </row>
    <row r="7" spans="1:25" x14ac:dyDescent="0.2">
      <c r="A7" s="88" t="s">
        <v>352</v>
      </c>
      <c r="B7" s="88"/>
      <c r="C7" s="88"/>
      <c r="D7" s="88"/>
      <c r="E7" s="88"/>
      <c r="F7" s="88"/>
      <c r="G7" s="88"/>
      <c r="H7" s="88"/>
      <c r="I7" s="88"/>
      <c r="J7" s="88"/>
      <c r="K7" s="88"/>
      <c r="L7" s="88"/>
      <c r="M7" s="88"/>
      <c r="N7" s="88"/>
      <c r="O7" s="88"/>
      <c r="P7" s="88"/>
    </row>
    <row r="8" spans="1:25" x14ac:dyDescent="0.2">
      <c r="A8" s="88"/>
      <c r="B8" s="88"/>
      <c r="C8" s="88"/>
      <c r="D8" s="88"/>
      <c r="E8" s="88"/>
      <c r="F8" s="88"/>
      <c r="G8" s="88"/>
      <c r="H8" s="88"/>
      <c r="I8" s="88"/>
      <c r="J8" s="88"/>
      <c r="K8" s="88"/>
      <c r="L8" s="88"/>
      <c r="M8" s="88"/>
      <c r="N8" s="88"/>
      <c r="O8" s="88"/>
      <c r="P8" s="88"/>
    </row>
    <row r="9" spans="1:25" ht="30.2" customHeight="1" x14ac:dyDescent="0.2">
      <c r="A9" s="634" t="s">
        <v>0</v>
      </c>
      <c r="B9" s="634"/>
      <c r="C9" s="634"/>
      <c r="D9" s="634"/>
      <c r="E9" s="634"/>
      <c r="F9" s="634"/>
      <c r="G9" s="634"/>
      <c r="H9" s="634"/>
      <c r="I9" s="634"/>
      <c r="J9" s="634"/>
      <c r="K9" s="634"/>
      <c r="L9" s="634"/>
      <c r="M9" s="634"/>
      <c r="N9" s="634"/>
      <c r="O9" s="634"/>
      <c r="P9" s="634"/>
    </row>
    <row r="10" spans="1:25" x14ac:dyDescent="0.2">
      <c r="A10" s="88"/>
      <c r="B10" s="88"/>
      <c r="C10" s="88"/>
      <c r="D10" s="88"/>
      <c r="E10" s="88"/>
      <c r="F10" s="88"/>
      <c r="G10" s="88"/>
      <c r="H10" s="88"/>
      <c r="I10" s="88"/>
      <c r="J10" s="88"/>
      <c r="K10" s="88"/>
      <c r="L10" s="88"/>
      <c r="M10" s="88"/>
      <c r="N10" s="88"/>
      <c r="O10" s="88"/>
      <c r="P10" s="88"/>
    </row>
    <row r="11" spans="1:25" x14ac:dyDescent="0.2">
      <c r="A11" s="88"/>
      <c r="B11" s="88"/>
      <c r="C11" s="88"/>
      <c r="F11" s="87" t="s">
        <v>279</v>
      </c>
      <c r="G11" s="87"/>
      <c r="H11" s="87"/>
      <c r="I11" s="88"/>
      <c r="J11" s="87" t="s">
        <v>280</v>
      </c>
      <c r="K11" s="87"/>
      <c r="L11" s="87"/>
      <c r="M11" s="88"/>
      <c r="N11" s="88"/>
    </row>
    <row r="12" spans="1:25" x14ac:dyDescent="0.2">
      <c r="B12" s="88"/>
      <c r="C12" s="88"/>
      <c r="F12" s="87" t="s">
        <v>469</v>
      </c>
      <c r="G12" s="87"/>
      <c r="H12" s="87"/>
      <c r="I12" s="88"/>
      <c r="J12" s="87" t="s">
        <v>210</v>
      </c>
      <c r="K12" s="87"/>
      <c r="L12" s="87"/>
      <c r="M12" s="88"/>
      <c r="N12" s="88"/>
    </row>
    <row r="13" spans="1:25" x14ac:dyDescent="0.2">
      <c r="B13" s="87" t="s">
        <v>190</v>
      </c>
      <c r="C13" s="87"/>
      <c r="D13" s="86"/>
      <c r="F13" s="89" t="s">
        <v>192</v>
      </c>
      <c r="G13" s="89"/>
      <c r="H13" s="89" t="s">
        <v>212</v>
      </c>
      <c r="I13" s="90"/>
      <c r="J13" s="89" t="s">
        <v>192</v>
      </c>
      <c r="K13" s="89"/>
      <c r="L13" s="89" t="s">
        <v>212</v>
      </c>
      <c r="M13" s="90"/>
      <c r="N13" s="90" t="s">
        <v>192</v>
      </c>
    </row>
    <row r="14" spans="1:25" x14ac:dyDescent="0.2">
      <c r="B14" s="87" t="s">
        <v>193</v>
      </c>
      <c r="C14" s="87"/>
      <c r="D14" s="86"/>
      <c r="F14" s="90" t="s">
        <v>281</v>
      </c>
      <c r="G14" s="90"/>
      <c r="H14" s="90" t="s">
        <v>194</v>
      </c>
      <c r="I14" s="90"/>
      <c r="J14" s="90" t="s">
        <v>282</v>
      </c>
      <c r="K14" s="90"/>
      <c r="L14" s="90" t="s">
        <v>194</v>
      </c>
      <c r="M14" s="90"/>
      <c r="N14" s="90" t="s">
        <v>194</v>
      </c>
      <c r="Y14" s="174" t="s">
        <v>192</v>
      </c>
    </row>
    <row r="15" spans="1:25" x14ac:dyDescent="0.2">
      <c r="B15" s="91" t="s">
        <v>195</v>
      </c>
      <c r="C15" s="91"/>
      <c r="D15" s="98"/>
      <c r="F15" s="89" t="s">
        <v>214</v>
      </c>
      <c r="G15" s="88"/>
      <c r="H15" s="92" t="s">
        <v>283</v>
      </c>
      <c r="I15" s="88"/>
      <c r="J15" s="89" t="s">
        <v>216</v>
      </c>
      <c r="K15" s="88"/>
      <c r="L15" s="92" t="s">
        <v>284</v>
      </c>
      <c r="M15" s="88"/>
      <c r="N15" s="89" t="s">
        <v>218</v>
      </c>
      <c r="S15" s="174" t="s">
        <v>181</v>
      </c>
      <c r="T15" s="280">
        <f>+H16</f>
        <v>0.25369999999999998</v>
      </c>
      <c r="U15" s="174" t="s">
        <v>182</v>
      </c>
      <c r="V15" s="280">
        <f>+L16</f>
        <v>0.74629999999999996</v>
      </c>
      <c r="Y15" s="174" t="s">
        <v>194</v>
      </c>
    </row>
    <row r="16" spans="1:25" x14ac:dyDescent="0.2">
      <c r="B16" s="88"/>
      <c r="C16" s="88"/>
      <c r="F16" s="93"/>
      <c r="G16" s="93"/>
      <c r="H16" s="93">
        <f>N34</f>
        <v>0.25369999999999998</v>
      </c>
      <c r="I16" s="93"/>
      <c r="J16" s="93"/>
      <c r="K16" s="93"/>
      <c r="L16" s="93">
        <f>N36</f>
        <v>0.74629999999999996</v>
      </c>
      <c r="M16" s="93"/>
      <c r="N16" s="94"/>
    </row>
    <row r="17" spans="1:25" x14ac:dyDescent="0.2">
      <c r="B17" s="88"/>
      <c r="C17" s="88"/>
      <c r="F17" s="88"/>
      <c r="G17" s="88"/>
      <c r="H17" s="88"/>
      <c r="I17" s="88"/>
      <c r="J17" s="88"/>
      <c r="K17" s="88"/>
      <c r="L17" s="88"/>
      <c r="M17" s="88"/>
      <c r="N17" s="88"/>
      <c r="R17" s="93" t="s">
        <v>285</v>
      </c>
      <c r="S17" s="494">
        <f>+'F 3-4'!F17-'F 3-4'!F24-'F 3-4'!F25</f>
        <v>0.53090000000000004</v>
      </c>
      <c r="T17" s="313">
        <f>ROUND(S17*$H$16,4)-0.0001</f>
        <v>0.1346</v>
      </c>
      <c r="U17" s="314">
        <f>+'F 3-4'!H47-'F 3-4'!H54-'F 3-4'!H55</f>
        <v>0.32530000000000003</v>
      </c>
      <c r="V17" s="313">
        <f>ROUND(U17*$L$16,4)</f>
        <v>0.24279999999999999</v>
      </c>
      <c r="X17" s="313"/>
      <c r="Y17" s="280">
        <f>T17+V17+X17</f>
        <v>0.37739999999999996</v>
      </c>
    </row>
    <row r="18" spans="1:25" x14ac:dyDescent="0.2">
      <c r="B18" s="2" t="s">
        <v>198</v>
      </c>
      <c r="C18" s="88"/>
      <c r="F18" s="93">
        <f>'F 3-4'!$P$19</f>
        <v>0.44359999999999999</v>
      </c>
      <c r="G18" s="93"/>
      <c r="H18" s="93">
        <f>ROUND($H$16*F18,4)</f>
        <v>0.1125</v>
      </c>
      <c r="I18" s="93"/>
      <c r="J18" s="93">
        <f>+'F 3-4'!R49</f>
        <v>0.45979999999999999</v>
      </c>
      <c r="K18" s="93"/>
      <c r="L18" s="93">
        <f>ROUND($L$16*J18,4)</f>
        <v>0.34310000000000002</v>
      </c>
      <c r="M18" s="93"/>
      <c r="N18" s="93">
        <f t="shared" ref="N18:N24" si="0">H18+L18</f>
        <v>0.4556</v>
      </c>
      <c r="R18" s="93" t="s">
        <v>286</v>
      </c>
      <c r="S18" s="494">
        <f>+'F 3-4'!J17</f>
        <v>0.32030000000000003</v>
      </c>
      <c r="T18" s="313">
        <f>ROUND(S18*$H$16,4)</f>
        <v>8.1299999999999997E-2</v>
      </c>
      <c r="U18" s="314"/>
      <c r="V18" s="313">
        <f>ROUND(U18*$L$16,4)</f>
        <v>0</v>
      </c>
      <c r="X18" s="313"/>
      <c r="Y18" s="313">
        <f>T18+V18+X18</f>
        <v>8.1299999999999997E-2</v>
      </c>
    </row>
    <row r="19" spans="1:25" x14ac:dyDescent="0.2">
      <c r="B19" s="2" t="s">
        <v>334</v>
      </c>
      <c r="C19" s="88"/>
      <c r="F19" s="93">
        <f>'F 3-4'!$P$20</f>
        <v>0.2276</v>
      </c>
      <c r="G19" s="93"/>
      <c r="H19" s="93">
        <f t="shared" ref="H19:H24" si="1">ROUND($H$16*F19,4)</f>
        <v>5.7700000000000001E-2</v>
      </c>
      <c r="I19" s="93"/>
      <c r="J19" s="93">
        <f>+'F 3-4'!R50</f>
        <v>0.21529999999999999</v>
      </c>
      <c r="K19" s="93"/>
      <c r="L19" s="93">
        <f t="shared" ref="L19:L24" si="2">ROUND($L$16*J19,4)</f>
        <v>0.16070000000000001</v>
      </c>
      <c r="M19" s="93"/>
      <c r="N19" s="93">
        <f t="shared" si="0"/>
        <v>0.21840000000000001</v>
      </c>
      <c r="R19" s="93" t="s">
        <v>287</v>
      </c>
      <c r="S19" s="494">
        <f>'F 3B 4B'!I18</f>
        <v>0</v>
      </c>
      <c r="T19" s="313">
        <f>ROUND(S19*$H$16,4)</f>
        <v>0</v>
      </c>
      <c r="U19" s="314">
        <f>+'F 3-4'!L47</f>
        <v>0.45829999999999999</v>
      </c>
      <c r="V19" s="313">
        <f>ROUND(U19*$L$16,4)</f>
        <v>0.34200000000000003</v>
      </c>
      <c r="X19" s="313"/>
      <c r="Y19" s="313">
        <f>T19+V19+X19</f>
        <v>0.34200000000000003</v>
      </c>
    </row>
    <row r="20" spans="1:25" x14ac:dyDescent="0.2">
      <c r="B20" s="2" t="s">
        <v>200</v>
      </c>
      <c r="C20" s="88"/>
      <c r="F20" s="93">
        <f>'F 3-4'!$P$21</f>
        <v>8.6999999999999994E-2</v>
      </c>
      <c r="G20" s="93"/>
      <c r="H20" s="93">
        <f t="shared" si="1"/>
        <v>2.2100000000000002E-2</v>
      </c>
      <c r="I20" s="93"/>
      <c r="J20" s="93">
        <f>+'F 3-4'!R51</f>
        <v>6.8699999999999997E-2</v>
      </c>
      <c r="K20" s="93"/>
      <c r="L20" s="93">
        <f t="shared" si="2"/>
        <v>5.1299999999999998E-2</v>
      </c>
      <c r="M20" s="93"/>
      <c r="N20" s="93">
        <f t="shared" si="0"/>
        <v>7.3399999999999993E-2</v>
      </c>
      <c r="R20" s="93" t="s">
        <v>288</v>
      </c>
      <c r="S20" s="495">
        <f>+'F 3-4'!P24</f>
        <v>0</v>
      </c>
      <c r="T20" s="313">
        <f>ROUND(S20*$H$16,4)</f>
        <v>0</v>
      </c>
      <c r="U20" s="314">
        <f>+'F 3-4'!R54</f>
        <v>0</v>
      </c>
      <c r="V20" s="313">
        <f>ROUND(U20*$L$16,4)</f>
        <v>0</v>
      </c>
      <c r="X20" s="313"/>
      <c r="Y20" s="313">
        <f>T20+V20+X20</f>
        <v>0</v>
      </c>
    </row>
    <row r="21" spans="1:25" x14ac:dyDescent="0.2">
      <c r="B21" s="2" t="s">
        <v>201</v>
      </c>
      <c r="C21" s="88"/>
      <c r="F21" s="93">
        <f>'F 3-4'!$P$22</f>
        <v>5.04E-2</v>
      </c>
      <c r="G21" s="93"/>
      <c r="H21" s="93">
        <f t="shared" si="1"/>
        <v>1.2800000000000001E-2</v>
      </c>
      <c r="I21" s="93"/>
      <c r="J21" s="93">
        <f>+'F 3-4'!R52</f>
        <v>3.9800000000000002E-2</v>
      </c>
      <c r="K21" s="93"/>
      <c r="L21" s="93">
        <f t="shared" si="2"/>
        <v>2.9700000000000001E-2</v>
      </c>
      <c r="M21" s="93"/>
      <c r="N21" s="93">
        <f t="shared" si="0"/>
        <v>4.2500000000000003E-2</v>
      </c>
      <c r="R21" s="93" t="s">
        <v>304</v>
      </c>
      <c r="S21" s="495">
        <f>+'F 3-4'!P25</f>
        <v>0.14880000000000002</v>
      </c>
      <c r="T21" s="313">
        <f>ROUND(S21*$H$16,4)</f>
        <v>3.78E-2</v>
      </c>
      <c r="U21" s="314">
        <f>+'F 3-4'!R55</f>
        <v>0.21639999999999998</v>
      </c>
      <c r="V21" s="313">
        <f>ROUND(U21*$L$16,4)</f>
        <v>0.1615</v>
      </c>
      <c r="X21" s="313"/>
      <c r="Y21" s="313">
        <f>T21+V21+X21</f>
        <v>0.1993</v>
      </c>
    </row>
    <row r="22" spans="1:25" x14ac:dyDescent="0.2">
      <c r="B22" s="2" t="s">
        <v>105</v>
      </c>
      <c r="C22" s="88"/>
      <c r="F22" s="93">
        <f>'F 3-4'!$P$23</f>
        <v>4.2599999999999999E-2</v>
      </c>
      <c r="G22" s="93"/>
      <c r="H22" s="93">
        <f t="shared" si="1"/>
        <v>1.0800000000000001E-2</v>
      </c>
      <c r="I22" s="93"/>
      <c r="J22" s="93">
        <f>+'F 3-4'!R53</f>
        <v>0</v>
      </c>
      <c r="K22" s="93"/>
      <c r="L22" s="93">
        <f t="shared" si="2"/>
        <v>0</v>
      </c>
      <c r="M22" s="93"/>
      <c r="N22" s="93">
        <f t="shared" si="0"/>
        <v>1.0800000000000001E-2</v>
      </c>
      <c r="R22" s="93"/>
      <c r="S22" s="495">
        <f>SUM(S17:S21)</f>
        <v>1</v>
      </c>
      <c r="T22" s="313">
        <f t="shared" ref="T22:Y22" si="3">SUM(T17:T21)</f>
        <v>0.25369999999999998</v>
      </c>
      <c r="U22" s="313">
        <f t="shared" si="3"/>
        <v>1</v>
      </c>
      <c r="V22" s="313">
        <f t="shared" si="3"/>
        <v>0.74629999999999996</v>
      </c>
      <c r="W22" s="313"/>
      <c r="X22" s="313"/>
      <c r="Y22" s="313">
        <f t="shared" si="3"/>
        <v>1</v>
      </c>
    </row>
    <row r="23" spans="1:25" hidden="1" x14ac:dyDescent="0.2">
      <c r="B23" s="88" t="s">
        <v>203</v>
      </c>
      <c r="C23" s="88"/>
      <c r="F23" s="93">
        <f>'F 3-4'!$P$24</f>
        <v>0</v>
      </c>
      <c r="G23" s="93"/>
      <c r="H23" s="93">
        <f t="shared" si="1"/>
        <v>0</v>
      </c>
      <c r="I23" s="93"/>
      <c r="J23" s="93">
        <f>+'F 3-4'!R54</f>
        <v>0</v>
      </c>
      <c r="K23" s="93"/>
      <c r="L23" s="93">
        <f t="shared" si="2"/>
        <v>0</v>
      </c>
      <c r="M23" s="93"/>
      <c r="N23" s="93">
        <f t="shared" si="0"/>
        <v>0</v>
      </c>
      <c r="R23" s="93"/>
    </row>
    <row r="24" spans="1:25" x14ac:dyDescent="0.2">
      <c r="B24" s="65" t="s">
        <v>238</v>
      </c>
      <c r="C24" s="88"/>
      <c r="F24" s="93">
        <f>'F 3-4'!$P$25</f>
        <v>0.14880000000000002</v>
      </c>
      <c r="G24" s="93"/>
      <c r="H24" s="93">
        <f t="shared" si="1"/>
        <v>3.78E-2</v>
      </c>
      <c r="I24" s="93"/>
      <c r="J24" s="93">
        <f>+'F 3-4'!R55</f>
        <v>0.21639999999999998</v>
      </c>
      <c r="K24" s="93"/>
      <c r="L24" s="93">
        <f t="shared" si="2"/>
        <v>0.1615</v>
      </c>
      <c r="M24" s="93"/>
      <c r="N24" s="93">
        <f t="shared" si="0"/>
        <v>0.1993</v>
      </c>
    </row>
    <row r="25" spans="1:25" x14ac:dyDescent="0.2">
      <c r="B25" s="88"/>
      <c r="C25" s="88"/>
      <c r="F25" s="95"/>
      <c r="G25" s="93"/>
      <c r="H25" s="95"/>
      <c r="I25" s="93"/>
      <c r="J25" s="95"/>
      <c r="K25" s="93"/>
      <c r="L25" s="95"/>
      <c r="M25" s="93"/>
      <c r="N25" s="95"/>
    </row>
    <row r="26" spans="1:25" ht="15.75" thickBot="1" x14ac:dyDescent="0.25">
      <c r="B26" s="88" t="s">
        <v>205</v>
      </c>
      <c r="C26" s="88"/>
      <c r="F26" s="93">
        <f>SUM(F18:F25)</f>
        <v>1</v>
      </c>
      <c r="G26" s="93"/>
      <c r="H26" s="93">
        <f>SUM(H18:H25)</f>
        <v>0.25370000000000004</v>
      </c>
      <c r="I26" s="93"/>
      <c r="J26" s="176">
        <f>SUM(J18:J25)</f>
        <v>1</v>
      </c>
      <c r="K26" s="93"/>
      <c r="L26" s="93">
        <f>SUM(L18:L25)</f>
        <v>0.74629999999999996</v>
      </c>
      <c r="M26" s="93"/>
      <c r="N26" s="93">
        <f>SUM(N18:N25)</f>
        <v>1</v>
      </c>
    </row>
    <row r="27" spans="1:25" ht="15.75" thickTop="1" x14ac:dyDescent="0.2">
      <c r="A27" s="88"/>
      <c r="B27" s="88"/>
      <c r="C27" s="88"/>
      <c r="F27" s="96"/>
      <c r="G27" s="88"/>
      <c r="H27" s="96"/>
      <c r="I27" s="88"/>
      <c r="J27" s="175"/>
      <c r="K27" s="88"/>
      <c r="L27" s="96"/>
      <c r="M27" s="88"/>
      <c r="N27" s="96"/>
    </row>
    <row r="28" spans="1:25" x14ac:dyDescent="0.2">
      <c r="A28" s="88"/>
      <c r="B28" s="88"/>
      <c r="C28" s="88"/>
      <c r="D28" s="88"/>
      <c r="E28" s="88"/>
      <c r="F28" s="88"/>
      <c r="G28" s="88"/>
      <c r="H28" s="88"/>
      <c r="I28" s="88"/>
      <c r="J28" s="88"/>
      <c r="K28" s="88"/>
      <c r="L28" s="88"/>
      <c r="M28" s="88"/>
      <c r="N28" s="88"/>
      <c r="O28" s="88"/>
      <c r="P28" s="88"/>
    </row>
    <row r="29" spans="1:25" ht="29.85" customHeight="1" x14ac:dyDescent="0.2">
      <c r="A29" s="634" t="s">
        <v>306</v>
      </c>
      <c r="B29" s="634"/>
      <c r="C29" s="634"/>
      <c r="D29" s="634"/>
      <c r="E29" s="634"/>
      <c r="F29" s="634"/>
      <c r="G29" s="634"/>
      <c r="H29" s="634"/>
      <c r="I29" s="634"/>
      <c r="J29" s="634"/>
      <c r="K29" s="634"/>
      <c r="L29" s="634"/>
      <c r="M29" s="634"/>
      <c r="N29" s="634"/>
      <c r="O29" s="634"/>
      <c r="P29" s="634"/>
      <c r="R29" s="360"/>
      <c r="S29" s="442"/>
      <c r="T29" s="442"/>
    </row>
    <row r="30" spans="1:25" x14ac:dyDescent="0.2">
      <c r="A30" s="88"/>
      <c r="B30" s="88"/>
      <c r="C30" s="88"/>
      <c r="D30" s="88"/>
      <c r="E30" s="88"/>
      <c r="F30" s="88"/>
      <c r="G30" s="88"/>
      <c r="H30" s="88"/>
      <c r="I30" s="88"/>
      <c r="J30" s="88"/>
      <c r="K30" s="88"/>
      <c r="L30" s="88"/>
      <c r="M30" s="88"/>
      <c r="N30" s="88"/>
      <c r="O30" s="88"/>
      <c r="P30" s="88"/>
      <c r="R30" s="360"/>
      <c r="S30" s="442"/>
      <c r="T30" s="442"/>
    </row>
    <row r="31" spans="1:25" ht="15.75" x14ac:dyDescent="0.25">
      <c r="A31" s="88"/>
      <c r="B31" s="88"/>
      <c r="C31" s="88"/>
      <c r="D31" s="88"/>
      <c r="E31" s="88"/>
      <c r="G31" s="90"/>
      <c r="H31" s="90" t="s">
        <v>307</v>
      </c>
      <c r="I31" s="90"/>
      <c r="K31" s="90"/>
      <c r="L31" s="90"/>
      <c r="M31" s="90"/>
      <c r="N31" s="90"/>
      <c r="O31" s="88"/>
      <c r="P31" s="88"/>
      <c r="S31" s="437"/>
      <c r="T31" s="440"/>
      <c r="U31" s="438"/>
    </row>
    <row r="32" spans="1:25" ht="15.75" x14ac:dyDescent="0.25">
      <c r="A32" s="88"/>
      <c r="B32" s="88"/>
      <c r="C32" s="88"/>
      <c r="D32" s="88"/>
      <c r="E32" s="88"/>
      <c r="G32" s="90"/>
      <c r="H32" s="90" t="s">
        <v>308</v>
      </c>
      <c r="I32" s="90"/>
      <c r="K32" s="90"/>
      <c r="L32" s="90"/>
      <c r="M32" s="90"/>
      <c r="N32" s="90" t="s">
        <v>232</v>
      </c>
      <c r="O32" s="88"/>
      <c r="P32" s="88"/>
      <c r="R32" s="360"/>
      <c r="S32" s="534"/>
      <c r="T32" s="439"/>
      <c r="U32" s="369"/>
    </row>
    <row r="33" spans="1:21" ht="15.75" x14ac:dyDescent="0.25">
      <c r="A33" s="88"/>
      <c r="B33" s="88"/>
      <c r="C33" s="88"/>
      <c r="D33" s="88"/>
      <c r="E33" s="88"/>
      <c r="G33" s="88"/>
      <c r="H33" s="97"/>
      <c r="I33" s="88"/>
      <c r="K33" s="88"/>
      <c r="L33" s="88"/>
      <c r="M33" s="88"/>
      <c r="N33" s="97"/>
      <c r="O33" s="88"/>
      <c r="P33" s="88"/>
      <c r="R33" s="360"/>
      <c r="T33" s="439"/>
      <c r="U33" s="369"/>
    </row>
    <row r="34" spans="1:21" ht="15.75" x14ac:dyDescent="0.25">
      <c r="A34" s="88" t="s">
        <v>171</v>
      </c>
      <c r="C34" s="88"/>
      <c r="D34" s="88"/>
      <c r="E34" s="88"/>
      <c r="G34" s="88"/>
      <c r="H34" s="315">
        <v>1728925.85</v>
      </c>
      <c r="I34" s="533"/>
      <c r="K34" s="88"/>
      <c r="L34" s="88"/>
      <c r="M34" s="88"/>
      <c r="N34" s="93">
        <f>ROUND(H34/H38,4)</f>
        <v>0.25369999999999998</v>
      </c>
      <c r="O34" s="88"/>
      <c r="P34" s="88"/>
      <c r="R34" s="360"/>
      <c r="S34" s="436"/>
      <c r="T34" s="439"/>
      <c r="U34" s="369"/>
    </row>
    <row r="35" spans="1:21" ht="15.75" x14ac:dyDescent="0.25">
      <c r="A35" s="88"/>
      <c r="C35" s="88"/>
      <c r="D35" s="88"/>
      <c r="E35" s="88"/>
      <c r="G35" s="88"/>
      <c r="H35" s="315"/>
      <c r="I35" s="533"/>
      <c r="K35" s="88"/>
      <c r="L35" s="88"/>
      <c r="M35" s="88"/>
      <c r="N35" s="93"/>
      <c r="O35" s="88"/>
      <c r="P35" s="88"/>
      <c r="R35" s="360"/>
      <c r="S35" s="436"/>
      <c r="T35" s="439"/>
      <c r="U35" s="369"/>
    </row>
    <row r="36" spans="1:21" ht="15.75" x14ac:dyDescent="0.25">
      <c r="A36" s="88" t="s">
        <v>172</v>
      </c>
      <c r="C36" s="88"/>
      <c r="D36" s="88"/>
      <c r="E36" s="88"/>
      <c r="G36" s="88"/>
      <c r="H36" s="315">
        <v>5085515.7399999984</v>
      </c>
      <c r="I36" s="533"/>
      <c r="K36" s="88"/>
      <c r="L36" s="88"/>
      <c r="M36" s="88"/>
      <c r="N36" s="93">
        <f>ROUND(H36/H38,4)</f>
        <v>0.74629999999999996</v>
      </c>
      <c r="O36" s="88"/>
      <c r="P36" s="88"/>
      <c r="R36" s="360"/>
      <c r="S36" s="436"/>
      <c r="T36" s="439"/>
      <c r="U36" s="369"/>
    </row>
    <row r="37" spans="1:21" ht="15.75" x14ac:dyDescent="0.25">
      <c r="A37" s="88"/>
      <c r="B37" s="88"/>
      <c r="C37" s="88"/>
      <c r="D37" s="88"/>
      <c r="E37" s="88"/>
      <c r="G37" s="88"/>
      <c r="H37" s="493"/>
      <c r="I37" s="533"/>
      <c r="K37" s="88"/>
      <c r="L37" s="88"/>
      <c r="M37" s="88"/>
      <c r="N37" s="95"/>
      <c r="O37" s="88"/>
      <c r="P37" s="88"/>
      <c r="R37" s="360"/>
      <c r="S37" s="436"/>
      <c r="T37" s="439"/>
      <c r="U37" s="369"/>
    </row>
    <row r="38" spans="1:21" ht="16.5" thickBot="1" x14ac:dyDescent="0.3">
      <c r="A38" s="88"/>
      <c r="B38" s="88" t="s">
        <v>305</v>
      </c>
      <c r="C38" s="88"/>
      <c r="D38" s="88"/>
      <c r="E38" s="88"/>
      <c r="G38" s="88"/>
      <c r="H38" s="359">
        <f>SUM(H34:H37)</f>
        <v>6814441.589999998</v>
      </c>
      <c r="I38" s="533"/>
      <c r="K38" s="88"/>
      <c r="L38" s="88"/>
      <c r="M38" s="88"/>
      <c r="N38" s="93">
        <f>SUM(N34:N37)</f>
        <v>1</v>
      </c>
      <c r="O38" s="88"/>
      <c r="P38" s="88"/>
      <c r="R38" s="360"/>
      <c r="S38" s="436"/>
      <c r="T38" s="439"/>
      <c r="U38" s="369"/>
    </row>
    <row r="39" spans="1:21" ht="16.5" thickTop="1" x14ac:dyDescent="0.25">
      <c r="A39" s="88"/>
      <c r="B39" s="88"/>
      <c r="C39" s="88"/>
      <c r="D39" s="88"/>
      <c r="E39" s="88"/>
      <c r="F39" s="88"/>
      <c r="G39" s="88"/>
      <c r="H39" s="175"/>
      <c r="I39" s="88"/>
      <c r="J39" s="88"/>
      <c r="K39" s="88"/>
      <c r="L39" s="88"/>
      <c r="M39" s="88"/>
      <c r="N39" s="96"/>
      <c r="O39" s="88"/>
      <c r="P39" s="88"/>
      <c r="R39" s="360"/>
      <c r="S39" s="436"/>
      <c r="T39" s="439"/>
      <c r="U39" s="369"/>
    </row>
    <row r="40" spans="1:21" ht="15.75" x14ac:dyDescent="0.25">
      <c r="A40" s="88"/>
      <c r="B40" s="88"/>
      <c r="C40" s="88"/>
      <c r="D40" s="88"/>
      <c r="E40" s="88"/>
      <c r="F40" s="88"/>
      <c r="G40" s="88"/>
      <c r="H40" s="315"/>
      <c r="I40" s="88"/>
      <c r="J40" s="88"/>
      <c r="K40" s="88"/>
      <c r="L40" s="88"/>
      <c r="M40" s="88"/>
      <c r="N40" s="88"/>
      <c r="O40" s="88"/>
      <c r="P40" s="88"/>
      <c r="R40" s="360"/>
      <c r="S40" s="436"/>
      <c r="T40" s="439"/>
      <c r="U40" s="369"/>
    </row>
    <row r="41" spans="1:21" ht="15.75" x14ac:dyDescent="0.25">
      <c r="R41" s="360"/>
      <c r="S41" s="436"/>
      <c r="T41" s="439"/>
      <c r="U41" s="369"/>
    </row>
    <row r="42" spans="1:21" ht="15.75" x14ac:dyDescent="0.25">
      <c r="R42" s="360"/>
      <c r="S42" s="436"/>
      <c r="T42" s="439"/>
      <c r="U42" s="369"/>
    </row>
    <row r="43" spans="1:21" ht="15.75" x14ac:dyDescent="0.25">
      <c r="R43" s="360"/>
      <c r="S43" s="436"/>
      <c r="T43" s="439"/>
      <c r="U43" s="369"/>
    </row>
    <row r="44" spans="1:21" ht="15.75" x14ac:dyDescent="0.25">
      <c r="R44" s="360"/>
      <c r="T44" s="440"/>
      <c r="U44" s="369"/>
    </row>
    <row r="45" spans="1:21" ht="15.75" x14ac:dyDescent="0.25">
      <c r="R45" s="360"/>
      <c r="S45" s="436"/>
      <c r="T45" s="439"/>
      <c r="U45" s="369"/>
    </row>
    <row r="46" spans="1:21" ht="15.75" x14ac:dyDescent="0.25">
      <c r="R46" s="360"/>
      <c r="S46" s="436"/>
      <c r="T46" s="439"/>
      <c r="U46" s="369"/>
    </row>
    <row r="47" spans="1:21" ht="15.75" x14ac:dyDescent="0.25">
      <c r="R47" s="360"/>
      <c r="S47" s="436"/>
      <c r="T47" s="439"/>
      <c r="U47" s="369"/>
    </row>
    <row r="48" spans="1:21" ht="15.75" x14ac:dyDescent="0.25">
      <c r="S48" s="436"/>
      <c r="T48" s="439"/>
      <c r="U48" s="369"/>
    </row>
    <row r="49" spans="19:21" ht="15.75" x14ac:dyDescent="0.25">
      <c r="S49" s="436"/>
      <c r="T49" s="439"/>
      <c r="U49" s="369"/>
    </row>
    <row r="50" spans="19:21" ht="15.75" x14ac:dyDescent="0.25">
      <c r="S50" s="436"/>
      <c r="T50" s="439"/>
      <c r="U50" s="369"/>
    </row>
    <row r="51" spans="19:21" ht="15.75" x14ac:dyDescent="0.25">
      <c r="S51" s="436"/>
      <c r="T51" s="439"/>
      <c r="U51" s="369"/>
    </row>
    <row r="52" spans="19:21" ht="15.75" x14ac:dyDescent="0.25">
      <c r="S52" s="436"/>
      <c r="T52" s="439"/>
      <c r="U52" s="369"/>
    </row>
    <row r="53" spans="19:21" ht="15.75" x14ac:dyDescent="0.25">
      <c r="S53" s="436"/>
      <c r="T53" s="439"/>
      <c r="U53" s="369"/>
    </row>
    <row r="54" spans="19:21" ht="15.75" x14ac:dyDescent="0.25">
      <c r="S54" s="436"/>
      <c r="T54" s="439"/>
      <c r="U54" s="369"/>
    </row>
    <row r="55" spans="19:21" ht="15.75" x14ac:dyDescent="0.25">
      <c r="S55" s="436"/>
      <c r="T55" s="439"/>
      <c r="U55" s="369"/>
    </row>
    <row r="56" spans="19:21" ht="15.75" x14ac:dyDescent="0.25">
      <c r="S56" s="436"/>
      <c r="T56" s="439"/>
      <c r="U56" s="369"/>
    </row>
    <row r="57" spans="19:21" ht="15.75" x14ac:dyDescent="0.25">
      <c r="S57" s="439"/>
      <c r="T57" s="439"/>
      <c r="U57" s="369"/>
    </row>
    <row r="58" spans="19:21" ht="15.75" x14ac:dyDescent="0.25">
      <c r="S58" s="439"/>
      <c r="T58" s="439"/>
      <c r="U58" s="369"/>
    </row>
    <row r="59" spans="19:21" ht="15.75" x14ac:dyDescent="0.25">
      <c r="S59" s="439"/>
      <c r="T59" s="439"/>
      <c r="U59" s="369"/>
    </row>
    <row r="60" spans="19:21" ht="15.75" x14ac:dyDescent="0.25">
      <c r="S60" s="439"/>
      <c r="T60" s="439"/>
      <c r="U60" s="369"/>
    </row>
    <row r="61" spans="19:21" ht="15.75" x14ac:dyDescent="0.25">
      <c r="S61" s="441"/>
      <c r="T61" s="439"/>
      <c r="U61" s="369"/>
    </row>
    <row r="62" spans="19:21" ht="15.75" x14ac:dyDescent="0.25">
      <c r="S62" s="441"/>
      <c r="T62" s="439"/>
      <c r="U62" s="369"/>
    </row>
    <row r="63" spans="19:21" ht="15.75" x14ac:dyDescent="0.25">
      <c r="S63" s="441"/>
      <c r="T63" s="439"/>
      <c r="U63" s="369"/>
    </row>
    <row r="64" spans="19:21" ht="15.75" x14ac:dyDescent="0.25">
      <c r="S64" s="439"/>
      <c r="T64" s="439"/>
      <c r="U64" s="369"/>
    </row>
    <row r="65" spans="19:21" ht="15.75" x14ac:dyDescent="0.25">
      <c r="S65" s="439"/>
      <c r="T65" s="439"/>
      <c r="U65" s="369"/>
    </row>
    <row r="66" spans="19:21" ht="15.75" x14ac:dyDescent="0.25">
      <c r="S66" s="439"/>
      <c r="T66" s="439"/>
      <c r="U66" s="369"/>
    </row>
    <row r="67" spans="19:21" ht="15.75" x14ac:dyDescent="0.25">
      <c r="S67" s="439"/>
      <c r="T67" s="439"/>
      <c r="U67" s="369"/>
    </row>
    <row r="68" spans="19:21" ht="15.75" x14ac:dyDescent="0.25">
      <c r="S68" s="439"/>
      <c r="T68" s="439"/>
      <c r="U68" s="369"/>
    </row>
    <row r="69" spans="19:21" ht="15.75" x14ac:dyDescent="0.25">
      <c r="S69" s="439"/>
      <c r="T69" s="439"/>
      <c r="U69" s="369"/>
    </row>
    <row r="70" spans="19:21" ht="15.75" x14ac:dyDescent="0.25">
      <c r="S70" s="439"/>
      <c r="T70" s="439"/>
      <c r="U70" s="369"/>
    </row>
    <row r="71" spans="19:21" ht="15.75" x14ac:dyDescent="0.25">
      <c r="S71" s="439"/>
      <c r="T71" s="439"/>
      <c r="U71" s="369"/>
    </row>
    <row r="72" spans="19:21" ht="15.75" x14ac:dyDescent="0.25">
      <c r="S72" s="439"/>
      <c r="T72" s="439"/>
      <c r="U72" s="369"/>
    </row>
    <row r="73" spans="19:21" ht="15.75" x14ac:dyDescent="0.25">
      <c r="S73" s="439"/>
      <c r="T73" s="439"/>
      <c r="U73" s="369"/>
    </row>
    <row r="74" spans="19:21" ht="15.75" x14ac:dyDescent="0.25">
      <c r="S74" s="439"/>
      <c r="T74" s="439"/>
      <c r="U74" s="369"/>
    </row>
    <row r="75" spans="19:21" ht="15.75" x14ac:dyDescent="0.25">
      <c r="S75" s="439"/>
      <c r="T75" s="439"/>
    </row>
    <row r="76" spans="19:21" ht="15.75" x14ac:dyDescent="0.25">
      <c r="S76" s="439"/>
      <c r="T76" s="440"/>
    </row>
    <row r="77" spans="19:21" ht="15.75" x14ac:dyDescent="0.25">
      <c r="S77" s="440"/>
      <c r="T77" s="440"/>
    </row>
    <row r="78" spans="19:21" ht="15.75" x14ac:dyDescent="0.25">
      <c r="S78" s="440"/>
      <c r="T78" s="440"/>
    </row>
    <row r="79" spans="19:21" ht="15.75" x14ac:dyDescent="0.25">
      <c r="S79" s="440"/>
      <c r="T79" s="440"/>
    </row>
    <row r="80" spans="19:21" ht="15.75" x14ac:dyDescent="0.25">
      <c r="S80" s="440"/>
      <c r="T80" s="440"/>
    </row>
    <row r="81" spans="19:21" ht="15.75" x14ac:dyDescent="0.25">
      <c r="S81" s="440"/>
      <c r="T81" s="440"/>
    </row>
    <row r="82" spans="19:21" ht="15.75" x14ac:dyDescent="0.25">
      <c r="S82" s="440"/>
      <c r="T82" s="440"/>
    </row>
    <row r="83" spans="19:21" ht="15.75" x14ac:dyDescent="0.25">
      <c r="S83" s="440"/>
      <c r="T83" s="440"/>
    </row>
    <row r="84" spans="19:21" ht="15.75" x14ac:dyDescent="0.25">
      <c r="S84" s="440"/>
      <c r="T84" s="440"/>
    </row>
    <row r="85" spans="19:21" ht="15.75" x14ac:dyDescent="0.25">
      <c r="S85" s="440"/>
      <c r="T85" s="440"/>
    </row>
    <row r="86" spans="19:21" ht="15.75" x14ac:dyDescent="0.25">
      <c r="S86" s="440"/>
      <c r="T86" s="440"/>
    </row>
    <row r="87" spans="19:21" ht="15.75" x14ac:dyDescent="0.25">
      <c r="S87" s="440"/>
      <c r="T87" s="440"/>
    </row>
    <row r="88" spans="19:21" ht="15.75" x14ac:dyDescent="0.25">
      <c r="S88" s="440"/>
      <c r="T88" s="440"/>
    </row>
    <row r="89" spans="19:21" ht="15.75" x14ac:dyDescent="0.25">
      <c r="T89" s="440"/>
      <c r="U89" s="438"/>
    </row>
    <row r="90" spans="19:21" ht="15.75" x14ac:dyDescent="0.25">
      <c r="S90" s="437"/>
      <c r="T90" s="440"/>
    </row>
  </sheetData>
  <mergeCells count="2">
    <mergeCell ref="A9:P9"/>
    <mergeCell ref="A29:P29"/>
  </mergeCells>
  <phoneticPr fontId="12" type="noConversion"/>
  <printOptions horizontalCentered="1"/>
  <pageMargins left="1" right="0.75" top="1" bottom="0.5" header="0.5" footer="0.5"/>
  <pageSetup scale="9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Y197"/>
  <sheetViews>
    <sheetView topLeftCell="A6" workbookViewId="0"/>
  </sheetViews>
  <sheetFormatPr defaultColWidth="9.77734375" defaultRowHeight="15" x14ac:dyDescent="0.2"/>
  <cols>
    <col min="1" max="1" width="7.77734375" style="101" customWidth="1"/>
    <col min="2" max="2" width="8.44140625" style="101" customWidth="1"/>
    <col min="3" max="3" width="11.88671875" style="101" customWidth="1"/>
    <col min="4" max="4" width="10.6640625" style="101" customWidth="1"/>
    <col min="5" max="5" width="11.88671875" style="101" customWidth="1"/>
    <col min="6" max="6" width="10.6640625" style="597" customWidth="1"/>
    <col min="7" max="7" width="6.88671875" style="101" customWidth="1"/>
    <col min="8" max="9" width="9.77734375" style="101" customWidth="1"/>
    <col min="10" max="10" width="5.77734375" style="101" customWidth="1"/>
    <col min="11" max="11" width="8.6640625" style="101" customWidth="1"/>
    <col min="12" max="12" width="7.77734375" style="101" customWidth="1"/>
    <col min="13" max="13" width="1.77734375" style="101" customWidth="1"/>
    <col min="14" max="14" width="7.77734375" style="101" customWidth="1"/>
    <col min="15" max="15" width="1.77734375" style="101" customWidth="1"/>
    <col min="16" max="16" width="7.77734375" style="101" customWidth="1"/>
    <col min="17" max="17" width="1.77734375" style="101" customWidth="1"/>
    <col min="18" max="18" width="7.77734375" style="101" customWidth="1"/>
    <col min="19" max="19" width="1.77734375" style="101" customWidth="1"/>
    <col min="20" max="20" width="7.77734375" style="101" customWidth="1"/>
    <col min="21" max="21" width="1.77734375" style="101" customWidth="1"/>
    <col min="22" max="22" width="7.77734375" style="101" customWidth="1"/>
    <col min="23" max="23" width="1.77734375" style="101" customWidth="1"/>
    <col min="24" max="24" width="8.77734375" style="101" customWidth="1"/>
    <col min="25" max="25" width="1.77734375" style="101" customWidth="1"/>
    <col min="26" max="26" width="7.77734375" style="101" customWidth="1"/>
    <col min="27" max="27" width="1.77734375" style="101" customWidth="1"/>
    <col min="28" max="28" width="8.77734375" style="101" customWidth="1"/>
    <col min="29" max="29" width="1.77734375" style="101" customWidth="1"/>
    <col min="30" max="30" width="7.77734375" style="101" customWidth="1"/>
    <col min="31" max="31" width="1.77734375" style="101" customWidth="1"/>
    <col min="32" max="32" width="9.77734375" style="101" customWidth="1"/>
    <col min="33" max="33" width="1.77734375" style="101" customWidth="1"/>
    <col min="34" max="34" width="7.77734375" style="101" customWidth="1"/>
    <col min="35" max="35" width="1.77734375" style="101" customWidth="1"/>
    <col min="36" max="36" width="9.77734375" style="101" customWidth="1"/>
    <col min="37" max="37" width="1.77734375" style="101" customWidth="1"/>
    <col min="38" max="38" width="7.77734375" style="101" customWidth="1"/>
    <col min="39" max="39" width="1.77734375" style="101" customWidth="1"/>
    <col min="40" max="40" width="7.77734375" style="101" customWidth="1"/>
    <col min="41" max="42" width="9.77734375" style="101" customWidth="1"/>
    <col min="43" max="43" width="6.77734375" style="101" customWidth="1"/>
    <col min="44" max="44" width="4.77734375" style="101" customWidth="1"/>
    <col min="45" max="45" width="9.77734375" style="101" customWidth="1"/>
    <col min="46" max="46" width="4.77734375" style="101" customWidth="1"/>
    <col min="47" max="47" width="9.77734375" style="101" customWidth="1"/>
    <col min="48" max="48" width="4.77734375" style="101" customWidth="1"/>
    <col min="49" max="49" width="9.77734375" style="101" customWidth="1"/>
    <col min="50" max="50" width="4.77734375" style="101" customWidth="1"/>
    <col min="51" max="51" width="8.77734375" style="101" customWidth="1"/>
    <col min="52" max="16384" width="9.77734375" style="101"/>
  </cols>
  <sheetData>
    <row r="1" spans="1:7" x14ac:dyDescent="0.2">
      <c r="A1" s="36" t="s">
        <v>51</v>
      </c>
      <c r="B1" s="100"/>
      <c r="C1" s="99"/>
      <c r="D1" s="100"/>
      <c r="E1" s="100"/>
      <c r="F1" s="585"/>
      <c r="G1" s="100"/>
    </row>
    <row r="2" spans="1:7" x14ac:dyDescent="0.2">
      <c r="A2" s="36"/>
      <c r="B2" s="100"/>
      <c r="C2" s="99"/>
      <c r="D2" s="100"/>
      <c r="E2" s="100"/>
      <c r="F2" s="585"/>
      <c r="G2" s="100"/>
    </row>
    <row r="3" spans="1:7" x14ac:dyDescent="0.2">
      <c r="A3" s="100"/>
      <c r="B3" s="100"/>
      <c r="C3" s="100"/>
      <c r="D3" s="100"/>
      <c r="E3" s="100"/>
      <c r="F3" s="585"/>
      <c r="G3" s="100"/>
    </row>
    <row r="4" spans="1:7" x14ac:dyDescent="0.2">
      <c r="A4" s="636" t="s">
        <v>221</v>
      </c>
      <c r="B4" s="636"/>
      <c r="C4" s="636"/>
      <c r="D4" s="636"/>
      <c r="E4" s="636"/>
      <c r="F4" s="636"/>
      <c r="G4" s="636"/>
    </row>
    <row r="5" spans="1:7" x14ac:dyDescent="0.2">
      <c r="A5" s="102"/>
      <c r="B5" s="102"/>
      <c r="C5" s="102"/>
      <c r="D5" s="102"/>
      <c r="E5" s="102"/>
      <c r="F5" s="586"/>
      <c r="G5" s="102"/>
    </row>
    <row r="6" spans="1:7" x14ac:dyDescent="0.2">
      <c r="A6" s="102"/>
      <c r="B6" s="102"/>
      <c r="C6" s="102"/>
      <c r="D6" s="102"/>
      <c r="E6" s="102"/>
      <c r="F6" s="586"/>
      <c r="G6" s="102"/>
    </row>
    <row r="7" spans="1:7" x14ac:dyDescent="0.2">
      <c r="A7" s="102" t="s">
        <v>355</v>
      </c>
      <c r="B7" s="102"/>
      <c r="C7" s="102"/>
      <c r="D7" s="102"/>
      <c r="E7" s="102"/>
      <c r="F7" s="586"/>
      <c r="G7" s="102"/>
    </row>
    <row r="8" spans="1:7" x14ac:dyDescent="0.2">
      <c r="A8" s="102"/>
      <c r="B8" s="102"/>
      <c r="C8" s="102"/>
      <c r="D8" s="102"/>
      <c r="E8" s="102"/>
      <c r="F8" s="586"/>
      <c r="G8" s="102"/>
    </row>
    <row r="9" spans="1:7" x14ac:dyDescent="0.2">
      <c r="A9" s="102" t="s">
        <v>149</v>
      </c>
      <c r="B9" s="102"/>
      <c r="C9" s="102"/>
      <c r="D9" s="102"/>
      <c r="E9" s="102"/>
      <c r="F9" s="586"/>
      <c r="G9" s="102"/>
    </row>
    <row r="10" spans="1:7" x14ac:dyDescent="0.2">
      <c r="A10" s="102"/>
      <c r="B10" s="102"/>
      <c r="C10" s="102"/>
      <c r="D10" s="102"/>
      <c r="E10" s="102"/>
      <c r="F10" s="586"/>
      <c r="G10" s="102"/>
    </row>
    <row r="11" spans="1:7" x14ac:dyDescent="0.2">
      <c r="A11" s="100" t="s">
        <v>190</v>
      </c>
      <c r="B11" s="99"/>
      <c r="C11" s="102"/>
      <c r="D11"/>
      <c r="E11" s="103"/>
      <c r="F11" s="587" t="s">
        <v>192</v>
      </c>
      <c r="G11" s="102"/>
    </row>
    <row r="12" spans="1:7" x14ac:dyDescent="0.2">
      <c r="A12" s="100" t="s">
        <v>193</v>
      </c>
      <c r="B12" s="99"/>
      <c r="C12" s="102"/>
      <c r="D12"/>
      <c r="E12" s="103"/>
      <c r="F12" s="587" t="s">
        <v>194</v>
      </c>
      <c r="G12" s="102"/>
    </row>
    <row r="13" spans="1:7" x14ac:dyDescent="0.2">
      <c r="A13" s="104" t="s">
        <v>195</v>
      </c>
      <c r="B13" s="105"/>
      <c r="C13" s="102"/>
      <c r="D13"/>
      <c r="E13" s="103"/>
      <c r="F13" s="588" t="s">
        <v>197</v>
      </c>
      <c r="G13" s="102"/>
    </row>
    <row r="14" spans="1:7" ht="12.75" customHeight="1" x14ac:dyDescent="0.2">
      <c r="A14" s="102"/>
      <c r="C14" s="102"/>
      <c r="D14"/>
      <c r="E14" s="102"/>
      <c r="F14" s="586"/>
      <c r="G14" s="102"/>
    </row>
    <row r="15" spans="1:7" x14ac:dyDescent="0.2">
      <c r="A15" s="65" t="s">
        <v>238</v>
      </c>
      <c r="C15" s="102"/>
      <c r="D15"/>
      <c r="E15" s="102"/>
      <c r="F15" s="589">
        <v>1</v>
      </c>
      <c r="G15" s="102"/>
    </row>
    <row r="16" spans="1:7" x14ac:dyDescent="0.2">
      <c r="A16" s="102"/>
      <c r="B16" s="102"/>
      <c r="C16" s="102"/>
      <c r="D16"/>
      <c r="E16" s="102"/>
      <c r="F16" s="590"/>
      <c r="G16" s="102"/>
    </row>
    <row r="17" spans="1:11" ht="15.75" thickBot="1" x14ac:dyDescent="0.25">
      <c r="A17" s="102" t="s">
        <v>310</v>
      </c>
      <c r="B17" s="102"/>
      <c r="C17" s="102"/>
      <c r="D17"/>
      <c r="E17" s="102"/>
      <c r="F17" s="589">
        <f>SUM(F15:F15)</f>
        <v>1</v>
      </c>
      <c r="G17" s="102"/>
    </row>
    <row r="18" spans="1:11" ht="15.75" thickTop="1" x14ac:dyDescent="0.2">
      <c r="A18" s="102"/>
      <c r="B18" s="102"/>
      <c r="C18" s="102"/>
      <c r="D18"/>
      <c r="E18" s="102"/>
      <c r="F18" s="591"/>
      <c r="G18" s="102"/>
    </row>
    <row r="19" spans="1:11" x14ac:dyDescent="0.2">
      <c r="A19" s="102"/>
      <c r="B19" s="102"/>
      <c r="C19" s="102"/>
      <c r="D19" s="102"/>
      <c r="E19" s="102"/>
      <c r="F19" s="586"/>
      <c r="G19" s="102"/>
    </row>
    <row r="20" spans="1:11" x14ac:dyDescent="0.2">
      <c r="A20" s="102"/>
      <c r="B20" s="102"/>
      <c r="C20" s="102"/>
      <c r="D20" s="102"/>
      <c r="E20" s="102"/>
      <c r="F20" s="586"/>
      <c r="G20" s="102"/>
    </row>
    <row r="21" spans="1:11" x14ac:dyDescent="0.2">
      <c r="A21" s="102" t="s">
        <v>354</v>
      </c>
      <c r="B21" s="102"/>
      <c r="C21" s="102"/>
      <c r="D21" s="102"/>
      <c r="E21" s="102"/>
      <c r="F21" s="586"/>
      <c r="G21" s="102"/>
    </row>
    <row r="22" spans="1:11" x14ac:dyDescent="0.2">
      <c r="A22" s="102"/>
      <c r="B22" s="102"/>
      <c r="C22" s="102"/>
      <c r="D22" s="102"/>
      <c r="E22" s="102"/>
      <c r="F22" s="586"/>
      <c r="G22" s="102"/>
    </row>
    <row r="23" spans="1:11" ht="28.15" customHeight="1" x14ac:dyDescent="0.2">
      <c r="A23" s="635" t="s">
        <v>311</v>
      </c>
      <c r="B23" s="635"/>
      <c r="C23" s="635"/>
      <c r="D23" s="635"/>
      <c r="E23" s="635"/>
      <c r="F23" s="635"/>
      <c r="G23" s="635"/>
    </row>
    <row r="24" spans="1:11" x14ac:dyDescent="0.2">
      <c r="A24" s="102"/>
      <c r="B24" s="102"/>
      <c r="C24" s="102"/>
      <c r="D24" s="102"/>
      <c r="E24" s="102"/>
      <c r="F24" s="586"/>
      <c r="G24" s="102"/>
    </row>
    <row r="25" spans="1:11" x14ac:dyDescent="0.2">
      <c r="A25" s="100" t="s">
        <v>190</v>
      </c>
      <c r="B25" s="99"/>
      <c r="C25" s="102"/>
      <c r="D25" s="103" t="s">
        <v>312</v>
      </c>
      <c r="E25" s="103"/>
      <c r="F25" s="587" t="s">
        <v>192</v>
      </c>
      <c r="G25" s="102"/>
    </row>
    <row r="26" spans="1:11" x14ac:dyDescent="0.2">
      <c r="A26" s="100" t="s">
        <v>193</v>
      </c>
      <c r="B26" s="99"/>
      <c r="C26" s="102"/>
      <c r="D26" s="103" t="s">
        <v>313</v>
      </c>
      <c r="E26" s="103"/>
      <c r="F26" s="587" t="s">
        <v>194</v>
      </c>
      <c r="G26" s="102"/>
    </row>
    <row r="27" spans="1:11" x14ac:dyDescent="0.2">
      <c r="A27" s="104" t="s">
        <v>195</v>
      </c>
      <c r="B27" s="105"/>
      <c r="C27" s="102"/>
      <c r="D27" s="106" t="s">
        <v>214</v>
      </c>
      <c r="E27" s="103" t="s">
        <v>314</v>
      </c>
      <c r="F27" s="588" t="s">
        <v>197</v>
      </c>
      <c r="G27" s="102"/>
    </row>
    <row r="28" spans="1:11" ht="12.75" customHeight="1" x14ac:dyDescent="0.2">
      <c r="A28" s="102"/>
      <c r="C28" s="102"/>
      <c r="D28" s="102"/>
      <c r="E28" s="102"/>
      <c r="F28" s="589"/>
      <c r="G28" s="102"/>
      <c r="I28" s="377"/>
      <c r="J28" s="377"/>
      <c r="K28" s="377"/>
    </row>
    <row r="29" spans="1:11" x14ac:dyDescent="0.2">
      <c r="A29" s="2" t="s">
        <v>198</v>
      </c>
      <c r="C29" s="102"/>
      <c r="D29" s="107">
        <f>Meters!$G$32</f>
        <v>78368</v>
      </c>
      <c r="E29" s="102"/>
      <c r="F29" s="592">
        <f>ROUND(+D29/D$36,4)</f>
        <v>0.81120000000000003</v>
      </c>
      <c r="G29" s="102"/>
      <c r="I29" s="378"/>
      <c r="J29" s="377"/>
      <c r="K29" s="375"/>
    </row>
    <row r="30" spans="1:11" x14ac:dyDescent="0.2">
      <c r="A30" s="2" t="s">
        <v>334</v>
      </c>
      <c r="C30" s="102"/>
      <c r="D30" s="107">
        <f>Meters!$K$32</f>
        <v>14979</v>
      </c>
      <c r="E30" s="102"/>
      <c r="F30" s="589">
        <f t="shared" ref="F30:F34" si="0">ROUND(+D30/D$36,4)</f>
        <v>0.155</v>
      </c>
      <c r="G30" s="102"/>
      <c r="I30" s="378"/>
      <c r="J30" s="377"/>
      <c r="K30" s="379"/>
    </row>
    <row r="31" spans="1:11" x14ac:dyDescent="0.2">
      <c r="A31" s="2" t="s">
        <v>200</v>
      </c>
      <c r="C31" s="102"/>
      <c r="D31" s="107">
        <f>Meters!$O$32</f>
        <v>948</v>
      </c>
      <c r="E31" s="102"/>
      <c r="F31" s="589">
        <f t="shared" si="0"/>
        <v>9.7999999999999997E-3</v>
      </c>
      <c r="G31" s="102"/>
      <c r="I31" s="378"/>
      <c r="J31" s="377"/>
      <c r="K31" s="379"/>
    </row>
    <row r="32" spans="1:11" x14ac:dyDescent="0.2">
      <c r="A32" s="2" t="s">
        <v>201</v>
      </c>
      <c r="C32" s="102"/>
      <c r="D32" s="107">
        <f>Meters!$S$32</f>
        <v>2214</v>
      </c>
      <c r="E32" s="102"/>
      <c r="F32" s="589">
        <f t="shared" si="0"/>
        <v>2.29E-2</v>
      </c>
      <c r="G32" s="102"/>
      <c r="I32" s="378"/>
      <c r="J32" s="377"/>
      <c r="K32" s="379"/>
    </row>
    <row r="33" spans="1:51" x14ac:dyDescent="0.2">
      <c r="A33" s="2" t="s">
        <v>105</v>
      </c>
      <c r="C33" s="102"/>
      <c r="D33" s="107">
        <f>Meters!$W$32</f>
        <v>104</v>
      </c>
      <c r="E33" s="102"/>
      <c r="F33" s="589">
        <f t="shared" si="0"/>
        <v>1.1000000000000001E-3</v>
      </c>
      <c r="G33" s="102"/>
      <c r="I33" s="377"/>
      <c r="J33" s="377"/>
      <c r="K33" s="379"/>
    </row>
    <row r="34" spans="1:51" hidden="1" x14ac:dyDescent="0.2">
      <c r="A34" s="102" t="s">
        <v>131</v>
      </c>
      <c r="C34" s="102"/>
      <c r="D34" s="107">
        <v>0</v>
      </c>
      <c r="E34" s="102"/>
      <c r="F34" s="589">
        <f t="shared" si="0"/>
        <v>0</v>
      </c>
      <c r="G34" s="102"/>
      <c r="I34" s="377"/>
      <c r="J34" s="377"/>
      <c r="K34" s="379"/>
    </row>
    <row r="35" spans="1:51" x14ac:dyDescent="0.2">
      <c r="A35" s="102"/>
      <c r="C35" s="102"/>
      <c r="D35" s="109"/>
      <c r="E35" s="102"/>
      <c r="F35" s="593"/>
      <c r="G35" s="102"/>
      <c r="I35" s="377"/>
      <c r="J35" s="377"/>
      <c r="K35" s="177"/>
    </row>
    <row r="36" spans="1:51" ht="15.75" thickBot="1" x14ac:dyDescent="0.25">
      <c r="A36" s="102" t="s">
        <v>205</v>
      </c>
      <c r="C36" s="102"/>
      <c r="D36" s="107">
        <f>SUM(D29:D35)</f>
        <v>96613</v>
      </c>
      <c r="E36" s="102"/>
      <c r="F36" s="594">
        <f>SUM(F29:F35)</f>
        <v>1.0000000000000002</v>
      </c>
      <c r="G36" s="102"/>
      <c r="I36" s="380"/>
      <c r="J36" s="377"/>
      <c r="K36" s="379"/>
    </row>
    <row r="37" spans="1:51" ht="15.75" thickTop="1" x14ac:dyDescent="0.2">
      <c r="A37" s="102"/>
      <c r="B37" s="102"/>
      <c r="C37" s="102"/>
      <c r="D37" s="110"/>
      <c r="E37" s="111"/>
      <c r="F37" s="595"/>
      <c r="G37" s="102"/>
      <c r="I37" s="377"/>
      <c r="J37" s="377"/>
      <c r="K37" s="377"/>
    </row>
    <row r="38" spans="1:51" x14ac:dyDescent="0.2">
      <c r="A38" s="36" t="s">
        <v>51</v>
      </c>
      <c r="B38" s="100"/>
      <c r="C38" s="99"/>
      <c r="D38" s="100"/>
      <c r="E38" s="100"/>
      <c r="F38" s="585"/>
      <c r="G38" s="100"/>
      <c r="H38" s="112"/>
      <c r="I38" s="381"/>
      <c r="J38" s="381"/>
      <c r="K38" s="381"/>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row>
    <row r="39" spans="1:51" x14ac:dyDescent="0.2">
      <c r="A39" s="36"/>
      <c r="B39" s="100"/>
      <c r="C39" s="99"/>
      <c r="D39" s="100"/>
      <c r="E39" s="100"/>
      <c r="F39" s="585"/>
      <c r="G39" s="100"/>
    </row>
    <row r="40" spans="1:51" x14ac:dyDescent="0.2">
      <c r="A40" s="100"/>
      <c r="B40" s="100"/>
      <c r="C40" s="100"/>
      <c r="D40" s="100"/>
      <c r="E40" s="100"/>
      <c r="F40" s="585"/>
      <c r="G40" s="100"/>
    </row>
    <row r="41" spans="1:51" x14ac:dyDescent="0.2">
      <c r="A41" s="636" t="s">
        <v>221</v>
      </c>
      <c r="B41" s="636"/>
      <c r="C41" s="636"/>
      <c r="D41" s="636"/>
      <c r="E41" s="636"/>
      <c r="F41" s="636"/>
      <c r="G41" s="636"/>
    </row>
    <row r="42" spans="1:51" x14ac:dyDescent="0.2">
      <c r="A42" s="102"/>
      <c r="B42" s="102"/>
      <c r="C42" s="102"/>
      <c r="D42" s="102"/>
      <c r="E42" s="102"/>
      <c r="F42" s="586"/>
      <c r="G42" s="102"/>
    </row>
    <row r="43" spans="1:51" x14ac:dyDescent="0.2">
      <c r="A43" s="102"/>
      <c r="B43" s="102"/>
      <c r="C43" s="102"/>
      <c r="D43" s="102"/>
      <c r="E43" s="102"/>
      <c r="F43" s="586"/>
      <c r="G43" s="102"/>
    </row>
    <row r="44" spans="1:51" x14ac:dyDescent="0.2">
      <c r="A44" s="102" t="s">
        <v>353</v>
      </c>
      <c r="B44" s="102"/>
      <c r="C44" s="102"/>
      <c r="D44" s="102"/>
      <c r="E44" s="102"/>
      <c r="F44" s="586"/>
      <c r="G44" s="102"/>
    </row>
    <row r="45" spans="1:51" x14ac:dyDescent="0.2">
      <c r="A45" s="102"/>
      <c r="B45" s="102"/>
      <c r="C45" s="102"/>
      <c r="D45" s="102"/>
      <c r="E45" s="102"/>
      <c r="F45" s="586"/>
      <c r="G45" s="102"/>
    </row>
    <row r="46" spans="1:51" ht="27.6" customHeight="1" x14ac:dyDescent="0.2">
      <c r="A46" s="635" t="s">
        <v>315</v>
      </c>
      <c r="B46" s="635"/>
      <c r="C46" s="635"/>
      <c r="D46" s="635"/>
      <c r="E46" s="635"/>
      <c r="F46" s="635"/>
      <c r="G46" s="102"/>
    </row>
    <row r="47" spans="1:51" x14ac:dyDescent="0.2">
      <c r="A47" s="102"/>
      <c r="B47" s="102"/>
      <c r="C47" s="102"/>
      <c r="D47" s="102"/>
      <c r="E47" s="102"/>
      <c r="F47" s="586"/>
      <c r="G47" s="102"/>
    </row>
    <row r="48" spans="1:51" x14ac:dyDescent="0.2">
      <c r="A48" s="100" t="s">
        <v>190</v>
      </c>
      <c r="B48" s="99"/>
      <c r="C48" s="102"/>
      <c r="D48" s="103" t="s">
        <v>316</v>
      </c>
      <c r="E48" s="103"/>
      <c r="F48" s="587" t="s">
        <v>192</v>
      </c>
      <c r="G48" s="102"/>
    </row>
    <row r="49" spans="1:7" x14ac:dyDescent="0.2">
      <c r="A49" s="100" t="s">
        <v>193</v>
      </c>
      <c r="B49" s="99"/>
      <c r="C49" s="102"/>
      <c r="D49" s="103" t="s">
        <v>313</v>
      </c>
      <c r="E49" s="103"/>
      <c r="F49" s="587" t="s">
        <v>194</v>
      </c>
      <c r="G49" s="102"/>
    </row>
    <row r="50" spans="1:7" x14ac:dyDescent="0.2">
      <c r="A50" s="104" t="s">
        <v>195</v>
      </c>
      <c r="B50" s="105"/>
      <c r="C50" s="102"/>
      <c r="D50" s="106" t="s">
        <v>214</v>
      </c>
      <c r="E50" s="103" t="s">
        <v>314</v>
      </c>
      <c r="F50" s="588" t="s">
        <v>197</v>
      </c>
      <c r="G50" s="102"/>
    </row>
    <row r="51" spans="1:7" ht="12.75" customHeight="1" x14ac:dyDescent="0.2">
      <c r="A51" s="102"/>
      <c r="C51" s="102"/>
      <c r="D51" s="102"/>
      <c r="E51" s="102"/>
      <c r="F51" s="589"/>
      <c r="G51" s="102"/>
    </row>
    <row r="52" spans="1:7" x14ac:dyDescent="0.2">
      <c r="A52" s="2" t="s">
        <v>198</v>
      </c>
      <c r="C52" s="102"/>
      <c r="D52" s="107">
        <f>Meters!$G$66</f>
        <v>78140</v>
      </c>
      <c r="E52" s="102"/>
      <c r="F52" s="592">
        <f>ROUND(D52/D$59,4)+0.0001</f>
        <v>0.8458</v>
      </c>
      <c r="G52" s="102"/>
    </row>
    <row r="53" spans="1:7" x14ac:dyDescent="0.2">
      <c r="A53" s="2" t="s">
        <v>334</v>
      </c>
      <c r="C53" s="102"/>
      <c r="D53" s="107">
        <f>Meters!$K$66</f>
        <v>12048</v>
      </c>
      <c r="E53" s="102"/>
      <c r="F53" s="589">
        <f t="shared" ref="F53:F57" si="1">ROUND(D53/D$59,4)</f>
        <v>0.13039999999999999</v>
      </c>
      <c r="G53" s="102"/>
    </row>
    <row r="54" spans="1:7" x14ac:dyDescent="0.2">
      <c r="A54" s="2" t="s">
        <v>200</v>
      </c>
      <c r="C54" s="102"/>
      <c r="D54" s="107">
        <f>Meters!$O$66</f>
        <v>540</v>
      </c>
      <c r="E54" s="102"/>
      <c r="F54" s="589">
        <f t="shared" si="1"/>
        <v>5.7999999999999996E-3</v>
      </c>
      <c r="G54" s="102"/>
    </row>
    <row r="55" spans="1:7" x14ac:dyDescent="0.2">
      <c r="A55" s="2" t="s">
        <v>201</v>
      </c>
      <c r="C55" s="102"/>
      <c r="D55" s="107">
        <f>Meters!$S$66</f>
        <v>1621</v>
      </c>
      <c r="E55" s="102"/>
      <c r="F55" s="589">
        <f t="shared" si="1"/>
        <v>1.7500000000000002E-2</v>
      </c>
      <c r="G55" s="102"/>
    </row>
    <row r="56" spans="1:7" x14ac:dyDescent="0.2">
      <c r="A56" s="2" t="s">
        <v>105</v>
      </c>
      <c r="C56" s="102"/>
      <c r="D56" s="107">
        <f>Meters!$W$66</f>
        <v>43</v>
      </c>
      <c r="E56" s="102"/>
      <c r="F56" s="589">
        <f t="shared" si="1"/>
        <v>5.0000000000000001E-4</v>
      </c>
      <c r="G56" s="102"/>
    </row>
    <row r="57" spans="1:7" hidden="1" x14ac:dyDescent="0.2">
      <c r="A57" s="102" t="s">
        <v>203</v>
      </c>
      <c r="C57" s="102"/>
      <c r="D57" s="107"/>
      <c r="E57" s="102"/>
      <c r="F57" s="589">
        <f t="shared" si="1"/>
        <v>0</v>
      </c>
      <c r="G57" s="102"/>
    </row>
    <row r="58" spans="1:7" x14ac:dyDescent="0.2">
      <c r="A58" s="102"/>
      <c r="C58" s="102"/>
      <c r="D58" s="109"/>
      <c r="E58" s="102"/>
      <c r="F58" s="593"/>
      <c r="G58" s="102"/>
    </row>
    <row r="59" spans="1:7" ht="15.75" thickBot="1" x14ac:dyDescent="0.25">
      <c r="A59" s="102" t="s">
        <v>205</v>
      </c>
      <c r="C59" s="102"/>
      <c r="D59" s="107">
        <f>SUM(D52:D58)</f>
        <v>92392</v>
      </c>
      <c r="E59" s="102"/>
      <c r="F59" s="594">
        <f>SUM(F52:F58)</f>
        <v>0.99999999999999989</v>
      </c>
      <c r="G59" s="102"/>
    </row>
    <row r="60" spans="1:7" ht="15.75" thickTop="1" x14ac:dyDescent="0.2">
      <c r="A60" s="102"/>
      <c r="B60" s="102"/>
      <c r="C60" s="102"/>
      <c r="D60" s="110"/>
      <c r="E60" s="111"/>
      <c r="F60" s="596"/>
      <c r="G60" s="102"/>
    </row>
    <row r="61" spans="1:7" x14ac:dyDescent="0.2">
      <c r="A61" s="102"/>
      <c r="B61" s="102"/>
      <c r="C61" s="102"/>
      <c r="D61" s="102"/>
      <c r="E61" s="102"/>
      <c r="F61" s="586"/>
      <c r="G61" s="102"/>
    </row>
    <row r="62" spans="1:7" x14ac:dyDescent="0.2">
      <c r="A62" s="102"/>
      <c r="B62" s="102"/>
      <c r="C62" s="102"/>
      <c r="D62" s="102"/>
      <c r="E62" s="102"/>
      <c r="F62" s="586"/>
      <c r="G62" s="102"/>
    </row>
    <row r="63" spans="1:7" x14ac:dyDescent="0.2">
      <c r="A63" s="102"/>
      <c r="B63" s="102"/>
      <c r="C63" s="102"/>
      <c r="D63" s="102"/>
      <c r="E63" s="102"/>
      <c r="F63" s="586"/>
      <c r="G63" s="102"/>
    </row>
    <row r="64" spans="1:7" x14ac:dyDescent="0.2">
      <c r="A64" s="102"/>
      <c r="B64" s="102"/>
      <c r="C64" s="102"/>
      <c r="D64" s="102"/>
      <c r="E64" s="102"/>
      <c r="F64" s="586"/>
      <c r="G64" s="102"/>
    </row>
    <row r="65" spans="1:51" x14ac:dyDescent="0.2">
      <c r="A65" s="102"/>
      <c r="B65" s="102"/>
      <c r="C65" s="102"/>
      <c r="D65" s="102"/>
      <c r="E65" s="102"/>
      <c r="F65" s="586"/>
      <c r="G65" s="102"/>
    </row>
    <row r="66" spans="1:51" x14ac:dyDescent="0.2">
      <c r="A66" s="102"/>
      <c r="B66" s="102"/>
      <c r="C66" s="102"/>
      <c r="D66" s="102"/>
      <c r="E66" s="102"/>
      <c r="F66" s="586"/>
      <c r="G66" s="102"/>
    </row>
    <row r="67" spans="1:51" x14ac:dyDescent="0.2">
      <c r="A67" s="102"/>
      <c r="B67" s="102"/>
      <c r="C67" s="102"/>
      <c r="D67" s="102"/>
      <c r="E67" s="102"/>
      <c r="F67" s="586"/>
      <c r="G67" s="102"/>
    </row>
    <row r="68" spans="1:51" x14ac:dyDescent="0.2">
      <c r="A68" s="102"/>
      <c r="B68" s="102"/>
      <c r="C68" s="102"/>
      <c r="D68" s="102"/>
      <c r="E68" s="102"/>
      <c r="F68" s="586"/>
      <c r="G68" s="102"/>
    </row>
    <row r="69" spans="1:51" x14ac:dyDescent="0.2">
      <c r="A69" s="102"/>
      <c r="B69" s="102"/>
      <c r="C69" s="102"/>
      <c r="D69" s="102"/>
      <c r="E69" s="102"/>
      <c r="F69" s="586"/>
      <c r="G69" s="102"/>
    </row>
    <row r="73" spans="1:51" x14ac:dyDescent="0.2">
      <c r="AO73" s="102"/>
      <c r="AQ73" s="99"/>
      <c r="AR73" s="99"/>
      <c r="AS73" s="99"/>
      <c r="AT73" s="99"/>
      <c r="AU73" s="99"/>
      <c r="AV73" s="99"/>
      <c r="AW73" s="99"/>
      <c r="AX73" s="99"/>
      <c r="AY73" s="99"/>
    </row>
    <row r="74" spans="1:51" x14ac:dyDescent="0.2">
      <c r="AO74" s="102">
        <f>14*15</f>
        <v>210</v>
      </c>
      <c r="AQ74" s="99"/>
      <c r="AR74" s="99"/>
      <c r="AS74" s="99"/>
      <c r="AT74" s="99"/>
      <c r="AU74" s="99"/>
      <c r="AV74" s="99"/>
      <c r="AW74" s="99"/>
      <c r="AX74" s="99"/>
      <c r="AY74" s="99"/>
    </row>
    <row r="75" spans="1:51" x14ac:dyDescent="0.2">
      <c r="AO75" s="102"/>
      <c r="AQ75" s="100"/>
      <c r="AR75" s="99"/>
      <c r="AS75" s="99"/>
      <c r="AT75" s="99"/>
      <c r="AU75" s="99"/>
      <c r="AV75" s="99"/>
      <c r="AW75" s="99"/>
      <c r="AX75" s="99"/>
      <c r="AY75" s="99"/>
    </row>
    <row r="76" spans="1:51" x14ac:dyDescent="0.2">
      <c r="AO76" s="102"/>
      <c r="AQ76" s="100"/>
      <c r="AR76" s="99"/>
      <c r="AS76" s="99"/>
      <c r="AT76" s="99"/>
      <c r="AU76" s="99"/>
      <c r="AV76" s="99"/>
      <c r="AW76" s="99"/>
      <c r="AX76" s="99"/>
      <c r="AY76" s="99"/>
    </row>
    <row r="77" spans="1:51" x14ac:dyDescent="0.2">
      <c r="AO77" s="102"/>
    </row>
    <row r="78" spans="1:51" x14ac:dyDescent="0.2">
      <c r="AO78" s="102"/>
      <c r="AQ78" s="102"/>
      <c r="AR78" s="102"/>
      <c r="AS78" s="102"/>
      <c r="AT78" s="102"/>
      <c r="AU78" s="102"/>
      <c r="AV78" s="102"/>
      <c r="AW78" s="102"/>
      <c r="AX78" s="102"/>
      <c r="AY78" s="102"/>
    </row>
    <row r="79" spans="1:51" x14ac:dyDescent="0.2">
      <c r="AO79" s="102"/>
      <c r="AQ79" s="102"/>
      <c r="AR79" s="102"/>
      <c r="AS79" s="103"/>
      <c r="AT79" s="103"/>
      <c r="AU79" s="103"/>
      <c r="AV79" s="103"/>
      <c r="AW79" s="103"/>
      <c r="AX79" s="103"/>
      <c r="AY79" s="103"/>
    </row>
    <row r="80" spans="1:51" x14ac:dyDescent="0.2">
      <c r="AO80" s="102"/>
      <c r="AQ80" s="103"/>
      <c r="AR80" s="102"/>
      <c r="AS80" s="103"/>
      <c r="AT80" s="103"/>
      <c r="AU80" s="103"/>
      <c r="AV80" s="103"/>
      <c r="AW80" s="103"/>
      <c r="AX80" s="103"/>
      <c r="AY80" s="103"/>
    </row>
    <row r="81" spans="41:51" x14ac:dyDescent="0.2">
      <c r="AO81" s="102"/>
      <c r="AQ81" s="103"/>
      <c r="AR81" s="102"/>
      <c r="AS81" s="103"/>
      <c r="AT81" s="103"/>
      <c r="AU81" s="103"/>
      <c r="AV81" s="103"/>
      <c r="AW81" s="103"/>
      <c r="AX81" s="103"/>
      <c r="AY81" s="103"/>
    </row>
    <row r="82" spans="41:51" x14ac:dyDescent="0.2">
      <c r="AO82" s="102"/>
      <c r="AQ82" s="113"/>
      <c r="AR82" s="102"/>
      <c r="AS82" s="113"/>
      <c r="AT82" s="113"/>
      <c r="AU82" s="113"/>
      <c r="AV82" s="102"/>
      <c r="AW82" s="113"/>
      <c r="AX82" s="113"/>
      <c r="AY82" s="113"/>
    </row>
    <row r="83" spans="41:51" x14ac:dyDescent="0.2">
      <c r="AO83" s="102"/>
      <c r="AQ83" s="102"/>
      <c r="AR83" s="102"/>
      <c r="AS83" s="102"/>
      <c r="AT83" s="102"/>
      <c r="AU83" s="102"/>
      <c r="AV83" s="102"/>
      <c r="AW83" s="102"/>
      <c r="AX83" s="102"/>
      <c r="AY83" s="102"/>
    </row>
    <row r="84" spans="41:51" x14ac:dyDescent="0.2">
      <c r="AO84" s="102"/>
      <c r="AQ84" s="103"/>
      <c r="AR84" s="102"/>
      <c r="AS84" s="107"/>
      <c r="AT84" s="107"/>
      <c r="AU84" s="107"/>
      <c r="AV84" s="107"/>
      <c r="AW84" s="107"/>
      <c r="AX84" s="114"/>
      <c r="AY84" s="114"/>
    </row>
    <row r="85" spans="41:51" x14ac:dyDescent="0.2">
      <c r="AO85" s="102"/>
      <c r="AQ85" s="103"/>
      <c r="AR85" s="102"/>
      <c r="AS85" s="107"/>
      <c r="AT85" s="107"/>
      <c r="AU85" s="107"/>
      <c r="AV85" s="107"/>
      <c r="AW85" s="107"/>
      <c r="AX85" s="114"/>
      <c r="AY85" s="114"/>
    </row>
    <row r="86" spans="41:51" x14ac:dyDescent="0.2">
      <c r="AO86" s="102"/>
      <c r="AQ86" s="103"/>
      <c r="AR86" s="102"/>
      <c r="AS86" s="107"/>
      <c r="AT86" s="107"/>
      <c r="AU86" s="107"/>
      <c r="AV86" s="107"/>
      <c r="AW86" s="107"/>
      <c r="AX86" s="114"/>
      <c r="AY86" s="114"/>
    </row>
    <row r="87" spans="41:51" x14ac:dyDescent="0.2">
      <c r="AO87" s="102"/>
      <c r="AQ87" s="103"/>
      <c r="AR87" s="102"/>
      <c r="AS87" s="107"/>
      <c r="AT87" s="107"/>
      <c r="AU87" s="107"/>
      <c r="AV87" s="107"/>
      <c r="AW87" s="107"/>
      <c r="AX87" s="114"/>
      <c r="AY87" s="114"/>
    </row>
    <row r="88" spans="41:51" x14ac:dyDescent="0.2">
      <c r="AO88" s="102"/>
      <c r="AQ88" s="103"/>
      <c r="AR88" s="102"/>
      <c r="AS88" s="107"/>
      <c r="AT88" s="107"/>
      <c r="AU88" s="107"/>
      <c r="AV88" s="107"/>
      <c r="AW88" s="107"/>
      <c r="AX88" s="114"/>
      <c r="AY88" s="114"/>
    </row>
    <row r="89" spans="41:51" x14ac:dyDescent="0.2">
      <c r="AO89" s="102"/>
      <c r="AQ89" s="103"/>
      <c r="AR89" s="102"/>
      <c r="AS89" s="107"/>
      <c r="AT89" s="107"/>
      <c r="AU89" s="107"/>
      <c r="AV89" s="107"/>
      <c r="AW89" s="107"/>
      <c r="AX89" s="114"/>
      <c r="AY89" s="114"/>
    </row>
    <row r="90" spans="41:51" x14ac:dyDescent="0.2">
      <c r="AO90" s="102"/>
      <c r="AQ90" s="103"/>
      <c r="AR90" s="102"/>
      <c r="AS90" s="107"/>
      <c r="AT90" s="107"/>
      <c r="AU90" s="107"/>
      <c r="AV90" s="107"/>
      <c r="AW90" s="107"/>
      <c r="AX90" s="114"/>
      <c r="AY90" s="114"/>
    </row>
    <row r="91" spans="41:51" x14ac:dyDescent="0.2">
      <c r="AO91" s="102"/>
      <c r="AQ91" s="103"/>
      <c r="AR91" s="102"/>
      <c r="AS91" s="107"/>
      <c r="AT91" s="107"/>
      <c r="AU91" s="107"/>
      <c r="AV91" s="107"/>
      <c r="AW91" s="107"/>
      <c r="AX91" s="114"/>
      <c r="AY91" s="114"/>
    </row>
    <row r="92" spans="41:51" x14ac:dyDescent="0.2">
      <c r="AO92" s="102"/>
      <c r="AQ92" s="103"/>
      <c r="AR92" s="102"/>
      <c r="AS92" s="107"/>
      <c r="AT92" s="107"/>
      <c r="AU92" s="107"/>
      <c r="AV92" s="107"/>
      <c r="AW92" s="107"/>
      <c r="AX92" s="114"/>
      <c r="AY92" s="114"/>
    </row>
    <row r="93" spans="41:51" x14ac:dyDescent="0.2">
      <c r="AO93" s="102"/>
      <c r="AQ93" s="103"/>
      <c r="AR93" s="102"/>
      <c r="AS93" s="107"/>
      <c r="AT93" s="107"/>
      <c r="AU93" s="107"/>
      <c r="AV93" s="107"/>
      <c r="AW93" s="107"/>
      <c r="AX93" s="114"/>
      <c r="AY93" s="114"/>
    </row>
    <row r="94" spans="41:51" x14ac:dyDescent="0.2">
      <c r="AO94" s="102"/>
      <c r="AQ94" s="103"/>
      <c r="AR94" s="102"/>
      <c r="AS94" s="107"/>
      <c r="AT94" s="107"/>
      <c r="AU94" s="107"/>
      <c r="AV94" s="107"/>
      <c r="AW94" s="107"/>
      <c r="AX94" s="114"/>
      <c r="AY94" s="114"/>
    </row>
    <row r="95" spans="41:51" x14ac:dyDescent="0.2">
      <c r="AO95" s="102"/>
      <c r="AQ95" s="103"/>
      <c r="AR95" s="102"/>
      <c r="AS95" s="107"/>
      <c r="AT95" s="107"/>
      <c r="AU95" s="107"/>
      <c r="AV95" s="107"/>
      <c r="AW95" s="107"/>
      <c r="AX95" s="114"/>
      <c r="AY95" s="114"/>
    </row>
    <row r="96" spans="41:51" x14ac:dyDescent="0.2">
      <c r="AO96" s="102"/>
      <c r="AQ96" s="103"/>
      <c r="AR96" s="102"/>
      <c r="AS96" s="107"/>
      <c r="AT96" s="107"/>
      <c r="AU96" s="107"/>
      <c r="AV96" s="107"/>
      <c r="AW96" s="107"/>
      <c r="AX96" s="114"/>
      <c r="AY96" s="114"/>
    </row>
    <row r="97" spans="10:51" x14ac:dyDescent="0.2">
      <c r="AO97" s="102"/>
      <c r="AQ97" s="103"/>
      <c r="AR97" s="102"/>
      <c r="AS97" s="107"/>
      <c r="AT97" s="107"/>
      <c r="AU97" s="107"/>
      <c r="AV97" s="107"/>
      <c r="AW97" s="107"/>
      <c r="AX97" s="114"/>
      <c r="AY97" s="114"/>
    </row>
    <row r="98" spans="10:51" x14ac:dyDescent="0.2">
      <c r="AO98" s="102"/>
      <c r="AQ98" s="103"/>
      <c r="AR98" s="102"/>
      <c r="AS98" s="107"/>
      <c r="AT98" s="107"/>
      <c r="AU98" s="107"/>
      <c r="AV98" s="107"/>
      <c r="AW98" s="107"/>
      <c r="AX98" s="114"/>
      <c r="AY98" s="114"/>
    </row>
    <row r="99" spans="10:51" x14ac:dyDescent="0.2">
      <c r="AO99" s="102"/>
      <c r="AQ99" s="103"/>
    </row>
    <row r="100" spans="10:51" x14ac:dyDescent="0.2">
      <c r="AO100" s="102"/>
      <c r="AQ100" s="103"/>
      <c r="AS100" s="107"/>
      <c r="AU100" s="107"/>
      <c r="AW100" s="107"/>
      <c r="AY100" s="114"/>
    </row>
    <row r="101" spans="10:51" x14ac:dyDescent="0.2">
      <c r="AO101" s="102"/>
      <c r="AQ101" s="103"/>
      <c r="AS101" s="107"/>
      <c r="AU101" s="107"/>
      <c r="AW101" s="107"/>
      <c r="AY101" s="114"/>
    </row>
    <row r="102" spans="10:51" x14ac:dyDescent="0.2">
      <c r="AO102" s="102"/>
      <c r="AQ102" s="103"/>
      <c r="AS102" s="107"/>
      <c r="AU102" s="107"/>
      <c r="AW102" s="107"/>
      <c r="AY102" s="114"/>
    </row>
    <row r="103" spans="10:51" x14ac:dyDescent="0.2">
      <c r="AO103" s="102"/>
      <c r="AQ103" s="103"/>
      <c r="AS103" s="107"/>
      <c r="AU103" s="107"/>
      <c r="AW103" s="107"/>
      <c r="AY103" s="114"/>
    </row>
    <row r="104" spans="10:51" x14ac:dyDescent="0.2">
      <c r="AO104" s="102"/>
      <c r="AQ104" s="103"/>
      <c r="AS104" s="107"/>
      <c r="AU104" s="107"/>
      <c r="AW104" s="107"/>
      <c r="AY104" s="114"/>
    </row>
    <row r="105" spans="10:51" x14ac:dyDescent="0.2">
      <c r="AO105" s="102"/>
      <c r="AQ105" s="103"/>
      <c r="AS105" s="107"/>
      <c r="AU105" s="107"/>
      <c r="AW105" s="107"/>
      <c r="AY105" s="114"/>
    </row>
    <row r="106" spans="10:51" x14ac:dyDescent="0.2">
      <c r="AO106" s="102"/>
      <c r="AQ106" s="103"/>
      <c r="AS106" s="107"/>
      <c r="AU106" s="107"/>
      <c r="AW106" s="107"/>
      <c r="AY106" s="114"/>
    </row>
    <row r="107" spans="10:51" x14ac:dyDescent="0.2">
      <c r="AO107" s="102"/>
    </row>
    <row r="108" spans="10:51" x14ac:dyDescent="0.2">
      <c r="AO108" s="102"/>
    </row>
    <row r="109" spans="10:51" x14ac:dyDescent="0.2">
      <c r="AO109" s="102"/>
    </row>
    <row r="110" spans="10:51" x14ac:dyDescent="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row>
    <row r="111" spans="10:51" x14ac:dyDescent="0.2">
      <c r="J111" s="102"/>
      <c r="K111" s="102"/>
      <c r="L111" s="102"/>
      <c r="M111" s="102"/>
      <c r="N111" s="102"/>
      <c r="O111" s="102"/>
      <c r="P111" s="115"/>
      <c r="Q111" s="102"/>
      <c r="R111" s="102"/>
      <c r="S111" s="102"/>
      <c r="T111" s="115"/>
      <c r="U111" s="102"/>
      <c r="V111" s="102"/>
      <c r="W111" s="102"/>
      <c r="X111" s="115"/>
      <c r="Y111" s="102"/>
      <c r="Z111" s="102"/>
      <c r="AA111" s="102"/>
      <c r="AB111" s="115"/>
      <c r="AC111" s="102"/>
      <c r="AD111" s="102"/>
      <c r="AE111" s="102"/>
      <c r="AF111" s="115"/>
      <c r="AG111" s="102"/>
      <c r="AH111" s="102"/>
      <c r="AI111" s="102"/>
      <c r="AJ111" s="116"/>
      <c r="AK111" s="102"/>
      <c r="AL111" s="102"/>
      <c r="AM111" s="102"/>
      <c r="AN111" s="115"/>
      <c r="AO111" s="102"/>
    </row>
    <row r="112" spans="10:51" x14ac:dyDescent="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row>
    <row r="113" spans="10:41" x14ac:dyDescent="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row>
    <row r="114" spans="10:41" x14ac:dyDescent="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row>
    <row r="115" spans="10:41" x14ac:dyDescent="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row>
    <row r="116" spans="10:41" x14ac:dyDescent="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row>
    <row r="117" spans="10:41" x14ac:dyDescent="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row>
    <row r="118" spans="10:41" x14ac:dyDescent="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row>
    <row r="119" spans="10:41" x14ac:dyDescent="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row>
    <row r="120" spans="10:41" x14ac:dyDescent="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row>
    <row r="121" spans="10:41" x14ac:dyDescent="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row>
    <row r="122" spans="10:41" x14ac:dyDescent="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row>
    <row r="123" spans="10:41" x14ac:dyDescent="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row>
    <row r="124" spans="10:41" x14ac:dyDescent="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row>
    <row r="125" spans="10:41" x14ac:dyDescent="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row>
    <row r="126" spans="10:41" x14ac:dyDescent="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row>
    <row r="127" spans="10:41" x14ac:dyDescent="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row>
    <row r="128" spans="10:41" x14ac:dyDescent="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row>
    <row r="129" spans="10:41" x14ac:dyDescent="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row>
    <row r="130" spans="10:41" x14ac:dyDescent="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row>
    <row r="131" spans="10:41" x14ac:dyDescent="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row>
    <row r="132" spans="10:41" x14ac:dyDescent="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row>
    <row r="133" spans="10:41" x14ac:dyDescent="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row>
    <row r="134" spans="10:41" x14ac:dyDescent="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row>
    <row r="135" spans="10:41" x14ac:dyDescent="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row>
    <row r="136" spans="10:41" x14ac:dyDescent="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row>
    <row r="137" spans="10:41" x14ac:dyDescent="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row>
    <row r="138" spans="10:41" x14ac:dyDescent="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row>
    <row r="139" spans="10:41" x14ac:dyDescent="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row>
    <row r="140" spans="10:41" x14ac:dyDescent="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row>
    <row r="141" spans="10:41" x14ac:dyDescent="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row>
    <row r="142" spans="10:41" x14ac:dyDescent="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row>
    <row r="143" spans="10:41" x14ac:dyDescent="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row>
    <row r="144" spans="10:41" x14ac:dyDescent="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row>
    <row r="145" spans="10:51" x14ac:dyDescent="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row>
    <row r="146" spans="10:51" x14ac:dyDescent="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row>
    <row r="147" spans="10:51" x14ac:dyDescent="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row>
    <row r="148" spans="10:51" x14ac:dyDescent="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row>
    <row r="149" spans="10:51" x14ac:dyDescent="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row>
    <row r="150" spans="10:51" x14ac:dyDescent="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row>
    <row r="151" spans="10:51" x14ac:dyDescent="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row>
    <row r="152" spans="10:51" x14ac:dyDescent="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row>
    <row r="153" spans="10:51" x14ac:dyDescent="0.2">
      <c r="J153" s="102" t="s">
        <v>317</v>
      </c>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row>
    <row r="154" spans="10:51" x14ac:dyDescent="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row>
    <row r="155" spans="10:51" x14ac:dyDescent="0.2">
      <c r="J155" s="117" t="s">
        <v>318</v>
      </c>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row>
    <row r="156" spans="10:51" x14ac:dyDescent="0.2">
      <c r="J156" s="99" t="s">
        <v>184</v>
      </c>
      <c r="K156" s="100"/>
      <c r="L156" s="100"/>
      <c r="M156" s="100"/>
      <c r="N156" s="100"/>
      <c r="O156" s="100"/>
      <c r="P156" s="100"/>
      <c r="Q156" s="100"/>
      <c r="R156" s="100"/>
      <c r="S156" s="100"/>
      <c r="T156" s="100"/>
      <c r="U156" s="100"/>
      <c r="V156" s="99"/>
      <c r="W156" s="100"/>
      <c r="X156" s="100"/>
      <c r="Y156" s="100"/>
      <c r="Z156" s="100"/>
      <c r="AA156" s="100"/>
      <c r="AB156" s="100"/>
      <c r="AC156" s="100"/>
      <c r="AD156" s="100"/>
      <c r="AE156" s="100"/>
      <c r="AF156" s="100"/>
      <c r="AG156" s="100"/>
      <c r="AH156" s="100"/>
      <c r="AI156" s="100"/>
      <c r="AJ156" s="100"/>
      <c r="AK156" s="100"/>
      <c r="AL156" s="100"/>
      <c r="AM156" s="100"/>
      <c r="AN156" s="100"/>
      <c r="AO156" s="102"/>
      <c r="AQ156" s="99"/>
      <c r="AR156" s="99"/>
      <c r="AS156" s="99"/>
      <c r="AT156" s="99"/>
      <c r="AU156" s="99"/>
      <c r="AV156" s="99"/>
      <c r="AW156" s="99"/>
      <c r="AX156" s="99"/>
      <c r="AY156" s="99"/>
    </row>
    <row r="157" spans="10:51" x14ac:dyDescent="0.2">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2"/>
      <c r="AQ157" s="99"/>
      <c r="AR157" s="99"/>
      <c r="AS157" s="99"/>
      <c r="AT157" s="99"/>
      <c r="AU157" s="99"/>
      <c r="AV157" s="99"/>
      <c r="AW157" s="99"/>
      <c r="AX157" s="99"/>
      <c r="AY157" s="99"/>
    </row>
    <row r="158" spans="10:51" x14ac:dyDescent="0.2">
      <c r="J158" s="100" t="s">
        <v>319</v>
      </c>
      <c r="K158" s="100"/>
      <c r="L158" s="100"/>
      <c r="M158" s="100"/>
      <c r="N158" s="100"/>
      <c r="O158" s="100"/>
      <c r="P158" s="100"/>
      <c r="Q158" s="100"/>
      <c r="R158" s="100"/>
      <c r="S158" s="100"/>
      <c r="T158" s="99"/>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2"/>
      <c r="AQ158" s="100"/>
      <c r="AR158" s="99"/>
      <c r="AS158" s="99"/>
      <c r="AT158" s="99"/>
      <c r="AU158" s="99"/>
      <c r="AV158" s="99"/>
      <c r="AW158" s="99"/>
      <c r="AX158" s="99"/>
      <c r="AY158" s="99"/>
    </row>
    <row r="159" spans="10:51" x14ac:dyDescent="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Q159" s="100"/>
      <c r="AR159" s="99"/>
      <c r="AS159" s="99"/>
      <c r="AT159" s="99"/>
      <c r="AU159" s="99"/>
      <c r="AV159" s="99"/>
      <c r="AW159" s="99"/>
      <c r="AX159" s="99"/>
      <c r="AY159" s="99"/>
    </row>
    <row r="160" spans="10:51" x14ac:dyDescent="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row>
    <row r="161" spans="7:51" x14ac:dyDescent="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Q161" s="102"/>
      <c r="AR161" s="102"/>
      <c r="AS161" s="102"/>
      <c r="AT161" s="102"/>
      <c r="AU161" s="102"/>
      <c r="AV161" s="102"/>
      <c r="AW161" s="102"/>
      <c r="AX161" s="102"/>
      <c r="AY161" s="102"/>
    </row>
    <row r="162" spans="7:51" x14ac:dyDescent="0.2">
      <c r="J162" s="103"/>
      <c r="K162" s="103"/>
      <c r="L162" s="103" t="s">
        <v>320</v>
      </c>
      <c r="M162" s="103"/>
      <c r="N162" s="100" t="s">
        <v>198</v>
      </c>
      <c r="O162" s="100"/>
      <c r="P162" s="100"/>
      <c r="Q162" s="103"/>
      <c r="R162" s="100" t="s">
        <v>199</v>
      </c>
      <c r="S162" s="100"/>
      <c r="T162" s="100"/>
      <c r="U162" s="103"/>
      <c r="V162" s="100" t="s">
        <v>200</v>
      </c>
      <c r="W162" s="100"/>
      <c r="X162" s="100"/>
      <c r="Y162" s="103"/>
      <c r="Z162" s="100" t="s">
        <v>201</v>
      </c>
      <c r="AA162" s="100"/>
      <c r="AB162" s="100"/>
      <c r="AC162" s="103"/>
      <c r="AD162" s="100" t="s">
        <v>323</v>
      </c>
      <c r="AE162" s="100"/>
      <c r="AF162" s="100"/>
      <c r="AG162" s="103"/>
      <c r="AH162" s="100" t="s">
        <v>203</v>
      </c>
      <c r="AI162" s="100"/>
      <c r="AJ162" s="100"/>
      <c r="AK162" s="103"/>
      <c r="AL162" s="100" t="s">
        <v>324</v>
      </c>
      <c r="AM162" s="100"/>
      <c r="AN162" s="100"/>
      <c r="AO162" s="102"/>
      <c r="AQ162" s="102"/>
      <c r="AR162" s="102"/>
      <c r="AS162" s="103"/>
      <c r="AT162" s="103"/>
      <c r="AU162" s="103"/>
      <c r="AV162" s="103"/>
      <c r="AW162" s="103"/>
      <c r="AX162" s="103"/>
      <c r="AY162" s="103"/>
    </row>
    <row r="163" spans="7:51" x14ac:dyDescent="0.2">
      <c r="J163" s="103" t="s">
        <v>325</v>
      </c>
      <c r="K163" s="103"/>
      <c r="L163" s="103" t="s">
        <v>326</v>
      </c>
      <c r="M163" s="103"/>
      <c r="N163" s="106" t="s">
        <v>309</v>
      </c>
      <c r="O163" s="106"/>
      <c r="P163" s="106"/>
      <c r="Q163" s="103"/>
      <c r="R163" s="106" t="s">
        <v>309</v>
      </c>
      <c r="S163" s="106"/>
      <c r="T163" s="106"/>
      <c r="U163" s="103"/>
      <c r="V163" s="106" t="s">
        <v>309</v>
      </c>
      <c r="W163" s="106"/>
      <c r="X163" s="106"/>
      <c r="Y163" s="103"/>
      <c r="Z163" s="106" t="s">
        <v>309</v>
      </c>
      <c r="AA163" s="106"/>
      <c r="AB163" s="106"/>
      <c r="AC163" s="103"/>
      <c r="AD163" s="106" t="s">
        <v>309</v>
      </c>
      <c r="AE163" s="106"/>
      <c r="AF163" s="106"/>
      <c r="AG163" s="103"/>
      <c r="AH163" s="106" t="s">
        <v>309</v>
      </c>
      <c r="AI163" s="106"/>
      <c r="AJ163" s="106"/>
      <c r="AK163" s="103"/>
      <c r="AL163" s="106" t="s">
        <v>309</v>
      </c>
      <c r="AM163" s="106"/>
      <c r="AN163" s="106"/>
      <c r="AO163" s="102"/>
      <c r="AQ163" s="103"/>
      <c r="AR163" s="102"/>
      <c r="AS163" s="103"/>
      <c r="AT163" s="103"/>
      <c r="AU163" s="103"/>
      <c r="AV163" s="103"/>
      <c r="AW163" s="103"/>
      <c r="AX163" s="103"/>
      <c r="AY163" s="103"/>
    </row>
    <row r="164" spans="7:51" x14ac:dyDescent="0.2">
      <c r="J164" s="103" t="s">
        <v>327</v>
      </c>
      <c r="K164" s="103"/>
      <c r="L164" s="103" t="s">
        <v>328</v>
      </c>
      <c r="M164" s="103"/>
      <c r="N164" s="103" t="s">
        <v>329</v>
      </c>
      <c r="O164" s="103"/>
      <c r="P164" s="103" t="s">
        <v>330</v>
      </c>
      <c r="Q164" s="103"/>
      <c r="R164" s="103" t="s">
        <v>329</v>
      </c>
      <c r="S164" s="103"/>
      <c r="T164" s="103" t="s">
        <v>330</v>
      </c>
      <c r="U164" s="103"/>
      <c r="V164" s="103" t="s">
        <v>329</v>
      </c>
      <c r="W164" s="103"/>
      <c r="X164" s="103" t="s">
        <v>330</v>
      </c>
      <c r="Y164" s="103"/>
      <c r="Z164" s="103" t="s">
        <v>329</v>
      </c>
      <c r="AA164" s="103"/>
      <c r="AB164" s="103" t="s">
        <v>330</v>
      </c>
      <c r="AC164" s="103"/>
      <c r="AD164" s="103" t="s">
        <v>329</v>
      </c>
      <c r="AE164" s="103"/>
      <c r="AF164" s="103" t="s">
        <v>330</v>
      </c>
      <c r="AG164" s="103"/>
      <c r="AH164" s="103" t="s">
        <v>329</v>
      </c>
      <c r="AI164" s="103"/>
      <c r="AJ164" s="103" t="s">
        <v>330</v>
      </c>
      <c r="AK164" s="103"/>
      <c r="AL164" s="103" t="s">
        <v>329</v>
      </c>
      <c r="AM164" s="103"/>
      <c r="AN164" s="103" t="s">
        <v>330</v>
      </c>
      <c r="AO164" s="102"/>
      <c r="AQ164" s="103"/>
      <c r="AR164" s="102"/>
      <c r="AS164" s="103"/>
      <c r="AT164" s="103"/>
      <c r="AU164" s="103"/>
      <c r="AV164" s="103"/>
      <c r="AW164" s="103"/>
      <c r="AX164" s="103"/>
      <c r="AY164" s="103"/>
    </row>
    <row r="165" spans="7:51" x14ac:dyDescent="0.2">
      <c r="J165" s="118">
        <v>-1</v>
      </c>
      <c r="K165" s="113"/>
      <c r="L165" s="118">
        <v>-2</v>
      </c>
      <c r="M165" s="113"/>
      <c r="N165" s="118">
        <v>-3</v>
      </c>
      <c r="O165" s="113"/>
      <c r="P165" s="118" t="s">
        <v>331</v>
      </c>
      <c r="Q165" s="113"/>
      <c r="R165" s="118">
        <v>-5</v>
      </c>
      <c r="S165" s="113"/>
      <c r="T165" s="118" t="s">
        <v>332</v>
      </c>
      <c r="U165" s="113"/>
      <c r="V165" s="118">
        <v>-7</v>
      </c>
      <c r="W165" s="113"/>
      <c r="X165" s="118" t="s">
        <v>335</v>
      </c>
      <c r="Y165" s="113"/>
      <c r="Z165" s="118">
        <v>-9</v>
      </c>
      <c r="AA165" s="113"/>
      <c r="AB165" s="118" t="s">
        <v>336</v>
      </c>
      <c r="AC165" s="113"/>
      <c r="AD165" s="118">
        <v>-11</v>
      </c>
      <c r="AE165" s="113"/>
      <c r="AF165" s="118" t="s">
        <v>359</v>
      </c>
      <c r="AG165" s="113"/>
      <c r="AH165" s="118">
        <v>-13</v>
      </c>
      <c r="AI165" s="113"/>
      <c r="AJ165" s="118" t="s">
        <v>360</v>
      </c>
      <c r="AK165" s="113"/>
      <c r="AL165" s="118">
        <v>-15</v>
      </c>
      <c r="AM165" s="113"/>
      <c r="AN165" s="118">
        <v>-16</v>
      </c>
      <c r="AO165" s="102"/>
      <c r="AQ165" s="113"/>
      <c r="AR165" s="102"/>
      <c r="AS165" s="113"/>
      <c r="AT165" s="113"/>
      <c r="AU165" s="113"/>
      <c r="AV165" s="102"/>
      <c r="AW165" s="113"/>
      <c r="AX165" s="113"/>
      <c r="AY165" s="113"/>
    </row>
    <row r="166" spans="7:51" x14ac:dyDescent="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Q166" s="102"/>
      <c r="AR166" s="102"/>
      <c r="AS166" s="102"/>
      <c r="AT166" s="102"/>
      <c r="AU166" s="102"/>
      <c r="AV166" s="102"/>
      <c r="AW166" s="102"/>
      <c r="AX166" s="102"/>
      <c r="AY166" s="102"/>
    </row>
    <row r="167" spans="7:51" x14ac:dyDescent="0.2">
      <c r="J167" s="102" t="s">
        <v>361</v>
      </c>
      <c r="K167" s="102"/>
      <c r="L167" s="114">
        <v>1</v>
      </c>
      <c r="M167" s="102"/>
      <c r="N167" s="107">
        <v>262484</v>
      </c>
      <c r="O167" s="102"/>
      <c r="P167" s="107">
        <f>ROUND(+N167*$L167,0)</f>
        <v>262484</v>
      </c>
      <c r="Q167" s="102"/>
      <c r="R167" s="107">
        <v>7892</v>
      </c>
      <c r="S167" s="102"/>
      <c r="T167" s="107">
        <f>ROUND(+R167*$L167,0)</f>
        <v>7892</v>
      </c>
      <c r="U167" s="102"/>
      <c r="V167" s="107">
        <v>272</v>
      </c>
      <c r="W167" s="102"/>
      <c r="X167" s="107">
        <f>ROUND(+V167*$L167,0)</f>
        <v>272</v>
      </c>
      <c r="Y167" s="102"/>
      <c r="Z167" s="107">
        <v>299</v>
      </c>
      <c r="AA167" s="102"/>
      <c r="AB167" s="107">
        <f>ROUND(+Z167*$L167,0)</f>
        <v>299</v>
      </c>
      <c r="AC167" s="102"/>
      <c r="AD167" s="107">
        <v>0</v>
      </c>
      <c r="AE167" s="102"/>
      <c r="AF167" s="107">
        <f>ROUND(+AD167*$L167,0)</f>
        <v>0</v>
      </c>
      <c r="AG167" s="102"/>
      <c r="AH167" s="107">
        <v>0</v>
      </c>
      <c r="AI167" s="102"/>
      <c r="AJ167" s="107">
        <f>ROUND(+AH167*$L167,0)</f>
        <v>0</v>
      </c>
      <c r="AK167" s="102"/>
      <c r="AL167" s="107">
        <f>N167+R167+V167+Z167+AD167+AH167</f>
        <v>270947</v>
      </c>
      <c r="AM167" s="102"/>
      <c r="AN167" s="107">
        <f>P167+T167+X167+AB167+AF167+AJ167</f>
        <v>270947</v>
      </c>
      <c r="AO167" s="102"/>
      <c r="AQ167" s="103"/>
      <c r="AR167" s="102"/>
      <c r="AS167" s="107"/>
      <c r="AT167" s="107"/>
      <c r="AU167" s="107"/>
      <c r="AV167" s="107"/>
      <c r="AW167" s="107"/>
      <c r="AX167" s="114"/>
      <c r="AY167" s="114"/>
    </row>
    <row r="168" spans="7:51" x14ac:dyDescent="0.2">
      <c r="J168" s="102"/>
      <c r="K168" s="102"/>
      <c r="L168" s="114"/>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Q168" s="103"/>
      <c r="AR168" s="102"/>
      <c r="AS168" s="107"/>
      <c r="AT168" s="107"/>
      <c r="AU168" s="107"/>
      <c r="AV168" s="107"/>
      <c r="AW168" s="107"/>
      <c r="AX168" s="114"/>
      <c r="AY168" s="114"/>
    </row>
    <row r="169" spans="7:51" x14ac:dyDescent="0.2">
      <c r="G169" s="114"/>
      <c r="J169" s="102" t="s">
        <v>362</v>
      </c>
      <c r="K169" s="102"/>
      <c r="L169" s="114">
        <v>1.19</v>
      </c>
      <c r="M169" s="102"/>
      <c r="N169" s="107">
        <v>4546</v>
      </c>
      <c r="O169" s="102"/>
      <c r="P169" s="107">
        <f>ROUND(+N169*$L169,0)</f>
        <v>5410</v>
      </c>
      <c r="Q169" s="102"/>
      <c r="R169" s="107">
        <v>2180</v>
      </c>
      <c r="S169" s="102"/>
      <c r="T169" s="107">
        <f>ROUND(+R169*$L169,0)</f>
        <v>2594</v>
      </c>
      <c r="U169" s="102"/>
      <c r="V169" s="107">
        <v>146</v>
      </c>
      <c r="W169" s="102"/>
      <c r="X169" s="107">
        <f>ROUND(+V169*$L169,0)</f>
        <v>174</v>
      </c>
      <c r="Y169" s="102"/>
      <c r="Z169" s="107">
        <v>179</v>
      </c>
      <c r="AA169" s="102"/>
      <c r="AB169" s="107">
        <f>ROUND(+Z169*$L169,0)</f>
        <v>213</v>
      </c>
      <c r="AC169" s="102"/>
      <c r="AD169" s="107">
        <v>1</v>
      </c>
      <c r="AE169" s="102"/>
      <c r="AF169" s="107">
        <f>ROUND(+AD169*$L169,0)</f>
        <v>1</v>
      </c>
      <c r="AG169" s="102"/>
      <c r="AH169" s="107">
        <v>2</v>
      </c>
      <c r="AI169" s="102"/>
      <c r="AJ169" s="107">
        <f>ROUND(+AH169*$L169,0)</f>
        <v>2</v>
      </c>
      <c r="AK169" s="102"/>
      <c r="AL169" s="107">
        <f>N169+R169+V169+Z169+AD169+AH169</f>
        <v>7054</v>
      </c>
      <c r="AM169" s="102"/>
      <c r="AN169" s="107">
        <f>P169+T169+X169+AB169+AF169+AJ169</f>
        <v>8394</v>
      </c>
      <c r="AO169" s="102"/>
      <c r="AQ169" s="103"/>
      <c r="AR169" s="102"/>
      <c r="AS169" s="107"/>
      <c r="AT169" s="107"/>
      <c r="AU169" s="107"/>
      <c r="AV169" s="107"/>
      <c r="AW169" s="107"/>
      <c r="AX169" s="114"/>
      <c r="AY169" s="114"/>
    </row>
    <row r="170" spans="7:51" x14ac:dyDescent="0.2">
      <c r="G170" s="114"/>
      <c r="J170" s="102"/>
      <c r="K170" s="102"/>
      <c r="L170" s="114"/>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Q170" s="103"/>
      <c r="AR170" s="102"/>
      <c r="AS170" s="107"/>
      <c r="AT170" s="107"/>
      <c r="AU170" s="107"/>
      <c r="AV170" s="107"/>
      <c r="AW170" s="107"/>
      <c r="AX170" s="114"/>
      <c r="AY170" s="114"/>
    </row>
    <row r="171" spans="7:51" x14ac:dyDescent="0.2">
      <c r="G171" s="114"/>
      <c r="J171" s="102" t="s">
        <v>363</v>
      </c>
      <c r="K171" s="102"/>
      <c r="L171" s="114">
        <v>1.72</v>
      </c>
      <c r="M171" s="102"/>
      <c r="N171" s="107">
        <v>149</v>
      </c>
      <c r="O171" s="102"/>
      <c r="P171" s="107">
        <f>ROUND(+N171*$L171,0)</f>
        <v>256</v>
      </c>
      <c r="Q171" s="102"/>
      <c r="R171" s="107">
        <v>1409</v>
      </c>
      <c r="S171" s="102"/>
      <c r="T171" s="107">
        <f>ROUND(+R171*$L171,0)</f>
        <v>2423</v>
      </c>
      <c r="U171" s="102"/>
      <c r="V171" s="107">
        <v>53</v>
      </c>
      <c r="W171" s="102"/>
      <c r="X171" s="107">
        <f>ROUND(+V171*$L171,0)</f>
        <v>91</v>
      </c>
      <c r="Y171" s="102"/>
      <c r="Z171" s="107">
        <v>64</v>
      </c>
      <c r="AA171" s="102"/>
      <c r="AB171" s="107">
        <f>ROUND(+Z171*$L171,0)</f>
        <v>110</v>
      </c>
      <c r="AC171" s="102"/>
      <c r="AD171" s="107">
        <v>0</v>
      </c>
      <c r="AE171" s="102"/>
      <c r="AF171" s="107">
        <f>ROUND(+AD171*$L171,0)</f>
        <v>0</v>
      </c>
      <c r="AG171" s="102"/>
      <c r="AH171" s="107">
        <v>61</v>
      </c>
      <c r="AI171" s="102"/>
      <c r="AJ171" s="107">
        <f>ROUND(+AH171*$L171,0)</f>
        <v>105</v>
      </c>
      <c r="AK171" s="102"/>
      <c r="AL171" s="107">
        <f>N171+R171+V171+Z171+AD171+AH171</f>
        <v>1736</v>
      </c>
      <c r="AM171" s="102"/>
      <c r="AN171" s="107">
        <f>P171+T171+X171+AB171+AF171+AJ171</f>
        <v>2985</v>
      </c>
      <c r="AO171" s="102"/>
      <c r="AQ171" s="103"/>
      <c r="AR171" s="102"/>
      <c r="AS171" s="107"/>
      <c r="AT171" s="107"/>
      <c r="AU171" s="107"/>
      <c r="AV171" s="107"/>
      <c r="AW171" s="107"/>
      <c r="AX171" s="114"/>
      <c r="AY171" s="114"/>
    </row>
    <row r="172" spans="7:51" x14ac:dyDescent="0.2">
      <c r="G172" s="114"/>
      <c r="J172" s="102"/>
      <c r="K172" s="102"/>
      <c r="L172" s="114"/>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Q172" s="103"/>
      <c r="AR172" s="102"/>
      <c r="AS172" s="107"/>
      <c r="AT172" s="107"/>
      <c r="AU172" s="107"/>
      <c r="AV172" s="107"/>
      <c r="AW172" s="107"/>
      <c r="AX172" s="114"/>
      <c r="AY172" s="114"/>
    </row>
    <row r="173" spans="7:51" x14ac:dyDescent="0.2">
      <c r="G173" s="114"/>
      <c r="J173" s="102" t="s">
        <v>364</v>
      </c>
      <c r="K173" s="102"/>
      <c r="L173" s="114">
        <v>2.38</v>
      </c>
      <c r="M173" s="102"/>
      <c r="N173" s="107">
        <v>79</v>
      </c>
      <c r="O173" s="102"/>
      <c r="P173" s="107">
        <f>ROUND(+N173*$L173,0)</f>
        <v>188</v>
      </c>
      <c r="Q173" s="102"/>
      <c r="R173" s="107">
        <v>1311</v>
      </c>
      <c r="S173" s="102"/>
      <c r="T173" s="107">
        <f>ROUND(+R173*$L173,0)</f>
        <v>3120</v>
      </c>
      <c r="U173" s="102"/>
      <c r="V173" s="107">
        <v>123</v>
      </c>
      <c r="W173" s="102"/>
      <c r="X173" s="107">
        <f>ROUND(+V173*$L173,0)</f>
        <v>293</v>
      </c>
      <c r="Y173" s="102"/>
      <c r="Z173" s="107">
        <v>115</v>
      </c>
      <c r="AA173" s="102"/>
      <c r="AB173" s="107">
        <f>ROUND(+Z173*$L173,0)</f>
        <v>274</v>
      </c>
      <c r="AC173" s="102"/>
      <c r="AD173" s="107">
        <v>1</v>
      </c>
      <c r="AE173" s="102"/>
      <c r="AF173" s="107">
        <f>ROUND(+AD173*$L173,0)</f>
        <v>2</v>
      </c>
      <c r="AG173" s="102"/>
      <c r="AH173" s="107">
        <v>51</v>
      </c>
      <c r="AI173" s="102"/>
      <c r="AJ173" s="107">
        <f>ROUND(+AH173*$L173,0)</f>
        <v>121</v>
      </c>
      <c r="AK173" s="102"/>
      <c r="AL173" s="107">
        <f>N173+R173+V173+Z173+AD173+AH173</f>
        <v>1680</v>
      </c>
      <c r="AM173" s="102"/>
      <c r="AN173" s="107">
        <f>P173+T173+X173+AB173+AF173+AJ173</f>
        <v>3998</v>
      </c>
      <c r="AO173" s="102"/>
      <c r="AQ173" s="103"/>
      <c r="AR173" s="102"/>
      <c r="AS173" s="107"/>
      <c r="AT173" s="107"/>
      <c r="AU173" s="107"/>
      <c r="AV173" s="107"/>
      <c r="AW173" s="107"/>
      <c r="AX173" s="114"/>
      <c r="AY173" s="114"/>
    </row>
    <row r="174" spans="7:51" x14ac:dyDescent="0.2">
      <c r="G174" s="114"/>
      <c r="J174" s="102"/>
      <c r="K174" s="102"/>
      <c r="L174" s="114"/>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Q174" s="103"/>
      <c r="AR174" s="102"/>
      <c r="AS174" s="107"/>
      <c r="AT174" s="107"/>
      <c r="AU174" s="107"/>
      <c r="AV174" s="107"/>
      <c r="AW174" s="107"/>
      <c r="AX174" s="114"/>
      <c r="AY174" s="114"/>
    </row>
    <row r="175" spans="7:51" x14ac:dyDescent="0.2">
      <c r="G175" s="114"/>
      <c r="J175" s="102" t="s">
        <v>365</v>
      </c>
      <c r="K175" s="102"/>
      <c r="L175" s="114">
        <v>2.92</v>
      </c>
      <c r="M175" s="102"/>
      <c r="N175" s="107">
        <v>2</v>
      </c>
      <c r="O175" s="102"/>
      <c r="P175" s="107">
        <f>ROUND(+N175*$L175,0)</f>
        <v>6</v>
      </c>
      <c r="Q175" s="102"/>
      <c r="R175" s="107">
        <v>530</v>
      </c>
      <c r="S175" s="102"/>
      <c r="T175" s="107">
        <f>ROUND(+R175*$L175,0)</f>
        <v>1548</v>
      </c>
      <c r="U175" s="102"/>
      <c r="V175" s="107">
        <v>82</v>
      </c>
      <c r="W175" s="102"/>
      <c r="X175" s="107">
        <f>ROUND(+V175*$L175,0)</f>
        <v>239</v>
      </c>
      <c r="Y175" s="102"/>
      <c r="Z175" s="107">
        <v>123</v>
      </c>
      <c r="AA175" s="102"/>
      <c r="AB175" s="107">
        <f>ROUND(+Z175*$L175,0)</f>
        <v>359</v>
      </c>
      <c r="AC175" s="102"/>
      <c r="AD175" s="107">
        <v>6</v>
      </c>
      <c r="AE175" s="102"/>
      <c r="AF175" s="107">
        <f>ROUND(+AD175*$L175,0)</f>
        <v>18</v>
      </c>
      <c r="AG175" s="102"/>
      <c r="AH175" s="107">
        <v>622</v>
      </c>
      <c r="AI175" s="102"/>
      <c r="AJ175" s="107">
        <f>ROUND(+AH175*$L175,0)</f>
        <v>1816</v>
      </c>
      <c r="AK175" s="102"/>
      <c r="AL175" s="107">
        <f>N175+R175+V175+Z175+AD175+AH175</f>
        <v>1365</v>
      </c>
      <c r="AM175" s="102"/>
      <c r="AN175" s="107">
        <f>P175+T175+X175+AB175+AF175+AJ175</f>
        <v>3986</v>
      </c>
      <c r="AO175" s="102"/>
      <c r="AQ175" s="103"/>
      <c r="AR175" s="102"/>
      <c r="AS175" s="107"/>
      <c r="AT175" s="107"/>
      <c r="AU175" s="107"/>
      <c r="AV175" s="107"/>
      <c r="AW175" s="107"/>
      <c r="AX175" s="114"/>
      <c r="AY175" s="114"/>
    </row>
    <row r="176" spans="7:51" x14ac:dyDescent="0.2">
      <c r="G176" s="114"/>
      <c r="J176" s="102"/>
      <c r="K176" s="102"/>
      <c r="L176" s="114"/>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Q176" s="103"/>
      <c r="AR176" s="102"/>
      <c r="AS176" s="107"/>
      <c r="AT176" s="107"/>
      <c r="AU176" s="107"/>
      <c r="AV176" s="107"/>
      <c r="AW176" s="107"/>
      <c r="AX176" s="114"/>
      <c r="AY176" s="114"/>
    </row>
    <row r="177" spans="7:51" x14ac:dyDescent="0.2">
      <c r="G177" s="114"/>
      <c r="J177" s="102" t="s">
        <v>366</v>
      </c>
      <c r="K177" s="102"/>
      <c r="L177" s="114">
        <v>3.96</v>
      </c>
      <c r="M177" s="102"/>
      <c r="N177" s="107">
        <v>16</v>
      </c>
      <c r="O177" s="102"/>
      <c r="P177" s="107">
        <f>ROUND(+N177*$L177,0)</f>
        <v>63</v>
      </c>
      <c r="Q177" s="102"/>
      <c r="R177" s="107">
        <v>144</v>
      </c>
      <c r="S177" s="102"/>
      <c r="T177" s="107">
        <f>ROUND(+R177*$L177,0)</f>
        <v>570</v>
      </c>
      <c r="U177" s="102"/>
      <c r="V177" s="107">
        <v>61</v>
      </c>
      <c r="W177" s="102"/>
      <c r="X177" s="107">
        <f>ROUND(+V177*$L177,0)</f>
        <v>242</v>
      </c>
      <c r="Y177" s="102"/>
      <c r="Z177" s="107">
        <v>9</v>
      </c>
      <c r="AA177" s="102"/>
      <c r="AB177" s="107">
        <f>ROUND(+Z177*$L177,0)</f>
        <v>36</v>
      </c>
      <c r="AC177" s="102"/>
      <c r="AD177" s="107">
        <v>2</v>
      </c>
      <c r="AE177" s="102"/>
      <c r="AF177" s="107">
        <f>ROUND(+AD177*$L177,0)</f>
        <v>8</v>
      </c>
      <c r="AG177" s="102"/>
      <c r="AH177" s="107">
        <v>988</v>
      </c>
      <c r="AI177" s="102"/>
      <c r="AJ177" s="107">
        <f>ROUND(+AH177*$L177,0)</f>
        <v>3912</v>
      </c>
      <c r="AK177" s="102"/>
      <c r="AL177" s="107">
        <f>N177+R177+V177+Z177+AD177+AH177</f>
        <v>1220</v>
      </c>
      <c r="AM177" s="102"/>
      <c r="AN177" s="107">
        <f>P177+T177+X177+AB177+AF177+AJ177</f>
        <v>4831</v>
      </c>
      <c r="AO177" s="102"/>
      <c r="AQ177" s="103"/>
      <c r="AR177" s="102"/>
      <c r="AS177" s="107"/>
      <c r="AT177" s="107"/>
      <c r="AU177" s="107"/>
      <c r="AV177" s="107"/>
      <c r="AW177" s="107"/>
      <c r="AX177" s="114"/>
      <c r="AY177" s="114"/>
    </row>
    <row r="178" spans="7:51" x14ac:dyDescent="0.2">
      <c r="G178" s="114"/>
      <c r="J178" s="102"/>
      <c r="K178" s="102"/>
      <c r="L178" s="114"/>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Q178" s="103"/>
      <c r="AR178" s="102"/>
      <c r="AS178" s="107"/>
      <c r="AT178" s="107"/>
      <c r="AU178" s="107"/>
      <c r="AV178" s="107"/>
      <c r="AW178" s="107"/>
      <c r="AX178" s="114"/>
      <c r="AY178" s="114"/>
    </row>
    <row r="179" spans="7:51" x14ac:dyDescent="0.2">
      <c r="G179" s="114"/>
      <c r="J179" s="102" t="s">
        <v>367</v>
      </c>
      <c r="K179" s="102"/>
      <c r="L179" s="114">
        <v>6.46</v>
      </c>
      <c r="M179" s="102"/>
      <c r="N179" s="107">
        <v>1</v>
      </c>
      <c r="O179" s="102"/>
      <c r="P179" s="107">
        <f>ROUND(+N179*$L179,0)</f>
        <v>6</v>
      </c>
      <c r="Q179" s="102"/>
      <c r="R179" s="107">
        <v>12</v>
      </c>
      <c r="S179" s="102"/>
      <c r="T179" s="107">
        <f>ROUND(+R179*$L179,0)</f>
        <v>78</v>
      </c>
      <c r="U179" s="102"/>
      <c r="V179" s="107">
        <v>10</v>
      </c>
      <c r="W179" s="102"/>
      <c r="X179" s="107">
        <f>ROUND(+V179*$L179,0)</f>
        <v>65</v>
      </c>
      <c r="Y179" s="102"/>
      <c r="Z179" s="107">
        <v>0</v>
      </c>
      <c r="AA179" s="102"/>
      <c r="AB179" s="107">
        <f>ROUND(+Z179*$L179,0)</f>
        <v>0</v>
      </c>
      <c r="AC179" s="102"/>
      <c r="AD179" s="107">
        <v>1</v>
      </c>
      <c r="AE179" s="102"/>
      <c r="AF179" s="107">
        <f>ROUND(+AD179*$L179,0)</f>
        <v>6</v>
      </c>
      <c r="AG179" s="102"/>
      <c r="AH179" s="107">
        <v>445</v>
      </c>
      <c r="AI179" s="102"/>
      <c r="AJ179" s="107">
        <f>ROUND(+AH179*$L179,0)</f>
        <v>2875</v>
      </c>
      <c r="AK179" s="102"/>
      <c r="AL179" s="107">
        <f>N179+R179+V179+Z179+AD179+AH179</f>
        <v>469</v>
      </c>
      <c r="AM179" s="102"/>
      <c r="AN179" s="107">
        <f>P179+T179+X179+AB179+AF179+AJ179</f>
        <v>3030</v>
      </c>
      <c r="AO179" s="102"/>
      <c r="AQ179" s="103"/>
      <c r="AR179" s="102"/>
      <c r="AS179" s="107"/>
      <c r="AT179" s="107"/>
      <c r="AU179" s="107"/>
      <c r="AV179" s="107"/>
      <c r="AW179" s="107"/>
      <c r="AX179" s="114"/>
      <c r="AY179" s="114"/>
    </row>
    <row r="180" spans="7:51" x14ac:dyDescent="0.2">
      <c r="G180" s="114"/>
      <c r="J180" s="102"/>
      <c r="K180" s="102"/>
      <c r="L180" s="114"/>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Q180" s="103"/>
      <c r="AR180" s="102"/>
      <c r="AS180" s="107"/>
      <c r="AT180" s="107"/>
      <c r="AU180" s="107"/>
      <c r="AV180" s="107"/>
      <c r="AW180" s="107"/>
      <c r="AX180" s="114"/>
      <c r="AY180" s="114"/>
    </row>
    <row r="181" spans="7:51" x14ac:dyDescent="0.2">
      <c r="G181" s="114"/>
      <c r="J181" s="102" t="s">
        <v>368</v>
      </c>
      <c r="K181" s="102"/>
      <c r="L181" s="114">
        <v>8.68</v>
      </c>
      <c r="M181" s="102"/>
      <c r="N181" s="107">
        <v>0</v>
      </c>
      <c r="O181" s="102"/>
      <c r="P181" s="107">
        <f>ROUND(+N181*$L181,0)</f>
        <v>0</v>
      </c>
      <c r="Q181" s="102"/>
      <c r="R181" s="107">
        <v>12</v>
      </c>
      <c r="S181" s="102"/>
      <c r="T181" s="107">
        <f>ROUND(+R181*$L181,0)</f>
        <v>104</v>
      </c>
      <c r="U181" s="102"/>
      <c r="V181" s="107">
        <v>10</v>
      </c>
      <c r="W181" s="102"/>
      <c r="X181" s="107">
        <f>ROUND(+V181*$L181,0)</f>
        <v>87</v>
      </c>
      <c r="Y181" s="102"/>
      <c r="Z181" s="107">
        <v>0</v>
      </c>
      <c r="AA181" s="102"/>
      <c r="AB181" s="107">
        <f>ROUND(+Z181*$L181,0)</f>
        <v>0</v>
      </c>
      <c r="AC181" s="102"/>
      <c r="AD181" s="107">
        <v>1</v>
      </c>
      <c r="AE181" s="102"/>
      <c r="AF181" s="107">
        <f>ROUND(+AD181*$L181,0)</f>
        <v>9</v>
      </c>
      <c r="AG181" s="102"/>
      <c r="AH181" s="107">
        <v>20</v>
      </c>
      <c r="AI181" s="102"/>
      <c r="AJ181" s="107">
        <f>ROUND(+AH181*$L181,0)</f>
        <v>174</v>
      </c>
      <c r="AK181" s="102"/>
      <c r="AL181" s="107">
        <f>N181+R181+V181+Z181+AD181+AH181</f>
        <v>43</v>
      </c>
      <c r="AM181" s="102"/>
      <c r="AN181" s="107">
        <f>P181+T181+X181+AB181+AF181+AJ181</f>
        <v>374</v>
      </c>
      <c r="AO181" s="102"/>
      <c r="AQ181" s="103"/>
      <c r="AR181" s="102"/>
      <c r="AS181" s="107"/>
      <c r="AT181" s="107"/>
      <c r="AU181" s="107"/>
      <c r="AV181" s="107"/>
      <c r="AW181" s="107"/>
      <c r="AX181" s="114"/>
      <c r="AY181" s="114"/>
    </row>
    <row r="182" spans="7:51" x14ac:dyDescent="0.2">
      <c r="G182" s="114"/>
      <c r="J182" s="102"/>
      <c r="K182" s="102"/>
      <c r="L182" s="114"/>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Q182" s="103"/>
      <c r="AR182" s="102"/>
      <c r="AS182" s="107"/>
      <c r="AT182" s="107"/>
      <c r="AU182" s="107"/>
      <c r="AV182" s="107"/>
      <c r="AW182" s="107"/>
      <c r="AX182" s="114"/>
      <c r="AY182" s="114"/>
    </row>
    <row r="183" spans="7:51" x14ac:dyDescent="0.2">
      <c r="G183" s="114"/>
      <c r="J183" s="102" t="s">
        <v>369</v>
      </c>
      <c r="K183" s="102"/>
      <c r="L183" s="114">
        <v>11.11</v>
      </c>
      <c r="M183" s="102"/>
      <c r="N183" s="107">
        <v>0</v>
      </c>
      <c r="O183" s="102"/>
      <c r="P183" s="107">
        <f>ROUND(+N183*$L183,0)</f>
        <v>0</v>
      </c>
      <c r="Q183" s="102"/>
      <c r="R183" s="107">
        <v>0</v>
      </c>
      <c r="S183" s="102"/>
      <c r="T183" s="107">
        <f>ROUND(+R183*$L183,0)</f>
        <v>0</v>
      </c>
      <c r="U183" s="102"/>
      <c r="V183" s="107">
        <v>0</v>
      </c>
      <c r="W183" s="102"/>
      <c r="X183" s="107">
        <f>ROUND(+V183*$L183,0)</f>
        <v>0</v>
      </c>
      <c r="Y183" s="102"/>
      <c r="Z183" s="107">
        <v>0</v>
      </c>
      <c r="AA183" s="102"/>
      <c r="AB183" s="107">
        <f>ROUND(+Z183*$L183,0)</f>
        <v>0</v>
      </c>
      <c r="AC183" s="102"/>
      <c r="AD183" s="107">
        <v>1</v>
      </c>
      <c r="AE183" s="102"/>
      <c r="AF183" s="107">
        <f>ROUND(+AD183*$L183,0)</f>
        <v>11</v>
      </c>
      <c r="AG183" s="102"/>
      <c r="AH183" s="107">
        <v>0</v>
      </c>
      <c r="AI183" s="102"/>
      <c r="AJ183" s="107">
        <f>ROUND(+AH183*$L183,0)</f>
        <v>0</v>
      </c>
      <c r="AK183" s="102"/>
      <c r="AL183" s="107">
        <f>N183+R183+V183+Z183+AD183+AH183</f>
        <v>1</v>
      </c>
      <c r="AM183" s="102"/>
      <c r="AN183" s="107">
        <f>P183+T183+X183+AB183+AF183+AJ183</f>
        <v>11</v>
      </c>
      <c r="AO183" s="102"/>
      <c r="AQ183" s="103"/>
      <c r="AR183" s="102"/>
      <c r="AS183" s="107"/>
      <c r="AT183" s="107"/>
      <c r="AU183" s="107"/>
      <c r="AV183" s="107"/>
      <c r="AW183" s="107"/>
      <c r="AX183" s="114"/>
      <c r="AY183" s="114"/>
    </row>
    <row r="184" spans="7:51" x14ac:dyDescent="0.2">
      <c r="G184" s="114"/>
      <c r="J184" s="102"/>
      <c r="K184" s="102"/>
      <c r="L184" s="114"/>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Q184" s="103"/>
      <c r="AR184" s="102"/>
      <c r="AS184" s="107"/>
      <c r="AT184" s="107"/>
      <c r="AU184" s="107"/>
      <c r="AV184" s="107"/>
      <c r="AW184" s="107"/>
      <c r="AX184" s="114"/>
      <c r="AY184" s="114"/>
    </row>
    <row r="185" spans="7:51" x14ac:dyDescent="0.2">
      <c r="G185" s="114"/>
      <c r="I185" s="119"/>
      <c r="J185" s="102" t="s">
        <v>370</v>
      </c>
      <c r="K185" s="102"/>
      <c r="L185" s="114">
        <v>15.97</v>
      </c>
      <c r="M185" s="102"/>
      <c r="N185" s="107">
        <v>0</v>
      </c>
      <c r="O185" s="102"/>
      <c r="P185" s="107">
        <f>ROUND(+N185*$L185,0)</f>
        <v>0</v>
      </c>
      <c r="Q185" s="102"/>
      <c r="R185" s="107">
        <v>0</v>
      </c>
      <c r="S185" s="102"/>
      <c r="T185" s="107">
        <f>ROUND(+R185*$L185,0)</f>
        <v>0</v>
      </c>
      <c r="U185" s="102"/>
      <c r="V185" s="107">
        <v>0</v>
      </c>
      <c r="W185" s="102"/>
      <c r="X185" s="107">
        <f>ROUND(+V185*$L185,0)</f>
        <v>0</v>
      </c>
      <c r="Y185" s="102"/>
      <c r="Z185" s="107">
        <v>0</v>
      </c>
      <c r="AA185" s="102"/>
      <c r="AB185" s="107">
        <f>ROUND(+Z185*$L185,0)</f>
        <v>0</v>
      </c>
      <c r="AC185" s="102"/>
      <c r="AD185" s="107">
        <v>1</v>
      </c>
      <c r="AE185" s="102"/>
      <c r="AF185" s="107">
        <f>ROUND(+AD185*$L185,0)</f>
        <v>16</v>
      </c>
      <c r="AG185" s="102"/>
      <c r="AH185" s="107">
        <v>0</v>
      </c>
      <c r="AI185" s="102"/>
      <c r="AJ185" s="107">
        <f>ROUND(+AH185*$L185,0)</f>
        <v>0</v>
      </c>
      <c r="AK185" s="102"/>
      <c r="AL185" s="107">
        <f>N185+R185+V185+Z185+AD185+AH185</f>
        <v>1</v>
      </c>
      <c r="AM185" s="102"/>
      <c r="AN185" s="107">
        <f>P185+T185+X185+AB185+AF185+AJ185</f>
        <v>16</v>
      </c>
      <c r="AO185" s="102"/>
      <c r="AQ185" s="103"/>
      <c r="AR185" s="102"/>
      <c r="AS185" s="107"/>
      <c r="AT185" s="107"/>
      <c r="AU185" s="107"/>
      <c r="AV185" s="107"/>
      <c r="AW185" s="107"/>
      <c r="AX185" s="114"/>
      <c r="AY185" s="114"/>
    </row>
    <row r="186" spans="7:51" x14ac:dyDescent="0.2">
      <c r="J186" s="102"/>
      <c r="K186" s="102"/>
      <c r="L186" s="102"/>
      <c r="M186" s="102"/>
      <c r="N186" s="120"/>
      <c r="O186" s="102"/>
      <c r="P186" s="120"/>
      <c r="Q186" s="102"/>
      <c r="R186" s="120"/>
      <c r="S186" s="102"/>
      <c r="T186" s="120"/>
      <c r="U186" s="102"/>
      <c r="V186" s="120"/>
      <c r="W186" s="102"/>
      <c r="X186" s="120"/>
      <c r="Y186" s="102"/>
      <c r="Z186" s="120"/>
      <c r="AA186" s="102"/>
      <c r="AB186" s="120"/>
      <c r="AC186" s="102"/>
      <c r="AD186" s="120"/>
      <c r="AE186" s="102"/>
      <c r="AF186" s="120"/>
      <c r="AG186" s="102"/>
      <c r="AH186" s="120"/>
      <c r="AI186" s="102"/>
      <c r="AJ186" s="120"/>
      <c r="AK186" s="102"/>
      <c r="AL186" s="120"/>
      <c r="AM186" s="102"/>
      <c r="AN186" s="120"/>
      <c r="AO186" s="102"/>
      <c r="AQ186" s="102"/>
      <c r="AR186" s="102"/>
      <c r="AS186" s="107"/>
      <c r="AT186" s="107"/>
      <c r="AU186" s="107"/>
      <c r="AV186" s="107"/>
      <c r="AW186" s="107"/>
      <c r="AX186" s="102"/>
      <c r="AY186" s="102"/>
    </row>
    <row r="187" spans="7:51" x14ac:dyDescent="0.2">
      <c r="J187" s="102" t="s">
        <v>324</v>
      </c>
      <c r="K187" s="102"/>
      <c r="L187" s="102"/>
      <c r="M187" s="102"/>
      <c r="N187" s="107">
        <f>SUM(N167:N185)</f>
        <v>267277</v>
      </c>
      <c r="O187" s="102"/>
      <c r="P187" s="107">
        <f>SUM(P167:P185)</f>
        <v>268413</v>
      </c>
      <c r="Q187" s="102"/>
      <c r="R187" s="107">
        <f>SUM(R167:R185)</f>
        <v>13490</v>
      </c>
      <c r="S187" s="102"/>
      <c r="T187" s="107">
        <f>SUM(T167:T185)</f>
        <v>18329</v>
      </c>
      <c r="U187" s="102"/>
      <c r="V187" s="107">
        <f>SUM(V167:V185)</f>
        <v>757</v>
      </c>
      <c r="W187" s="102"/>
      <c r="X187" s="107">
        <f>SUM(X167:X185)</f>
        <v>1463</v>
      </c>
      <c r="Y187" s="102"/>
      <c r="Z187" s="107">
        <f>SUM(Z167:Z185)</f>
        <v>789</v>
      </c>
      <c r="AA187" s="102"/>
      <c r="AB187" s="107">
        <f>SUM(AB167:AB185)</f>
        <v>1291</v>
      </c>
      <c r="AC187" s="102"/>
      <c r="AD187" s="107">
        <f>SUM(AD167:AD185)</f>
        <v>14</v>
      </c>
      <c r="AE187" s="102"/>
      <c r="AF187" s="107">
        <f>SUM(AF167:AF185)</f>
        <v>71</v>
      </c>
      <c r="AG187" s="102"/>
      <c r="AH187" s="107">
        <f>SUM(AH167:AH185)</f>
        <v>2189</v>
      </c>
      <c r="AI187" s="102"/>
      <c r="AJ187" s="107">
        <f>SUM(AJ167:AJ185)</f>
        <v>9005</v>
      </c>
      <c r="AK187" s="102"/>
      <c r="AL187" s="107">
        <f>SUM(AL167:AL185)</f>
        <v>284516</v>
      </c>
      <c r="AM187" s="102"/>
      <c r="AN187" s="107">
        <f>SUM(AN167:AN185)</f>
        <v>298572</v>
      </c>
      <c r="AO187" s="102"/>
      <c r="AQ187" s="102"/>
      <c r="AR187" s="102"/>
      <c r="AS187" s="102"/>
      <c r="AT187" s="102"/>
      <c r="AU187" s="102"/>
      <c r="AV187" s="102"/>
      <c r="AW187" s="102"/>
      <c r="AX187" s="102"/>
      <c r="AY187" s="102"/>
    </row>
    <row r="188" spans="7:51" x14ac:dyDescent="0.2">
      <c r="J188" s="102"/>
      <c r="K188" s="102"/>
      <c r="L188" s="102"/>
      <c r="M188" s="102"/>
      <c r="N188" s="110"/>
      <c r="O188" s="102"/>
      <c r="P188" s="110"/>
      <c r="Q188" s="102"/>
      <c r="R188" s="110"/>
      <c r="S188" s="102"/>
      <c r="T188" s="110"/>
      <c r="U188" s="102"/>
      <c r="V188" s="110"/>
      <c r="W188" s="102"/>
      <c r="X188" s="110"/>
      <c r="Y188" s="102"/>
      <c r="Z188" s="110"/>
      <c r="AA188" s="102"/>
      <c r="AB188" s="110"/>
      <c r="AC188" s="102"/>
      <c r="AD188" s="110"/>
      <c r="AE188" s="102"/>
      <c r="AF188" s="110"/>
      <c r="AG188" s="102"/>
      <c r="AH188" s="110"/>
      <c r="AI188" s="102"/>
      <c r="AJ188" s="110"/>
      <c r="AK188" s="102"/>
      <c r="AL188" s="110"/>
      <c r="AM188" s="102"/>
      <c r="AN188" s="110"/>
      <c r="AO188" s="102"/>
    </row>
    <row r="189" spans="7:51" x14ac:dyDescent="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row>
    <row r="190" spans="7:51" x14ac:dyDescent="0.2">
      <c r="J190" s="102"/>
      <c r="K190" s="102"/>
      <c r="L190" s="102"/>
      <c r="M190" s="102"/>
      <c r="N190" s="102"/>
      <c r="O190" s="102"/>
      <c r="P190" s="115"/>
      <c r="Q190" s="102"/>
      <c r="R190" s="102"/>
      <c r="S190" s="102"/>
      <c r="T190" s="115"/>
      <c r="U190" s="102"/>
      <c r="V190" s="102"/>
      <c r="W190" s="102"/>
      <c r="X190" s="115"/>
      <c r="Y190" s="102"/>
      <c r="Z190" s="102"/>
      <c r="AA190" s="102"/>
      <c r="AB190" s="115"/>
      <c r="AC190" s="102"/>
      <c r="AD190" s="102"/>
      <c r="AE190" s="102"/>
      <c r="AF190" s="115"/>
      <c r="AG190" s="102"/>
      <c r="AH190" s="102"/>
      <c r="AI190" s="102"/>
      <c r="AJ190" s="115"/>
      <c r="AK190" s="102"/>
      <c r="AL190" s="102"/>
      <c r="AM190" s="102"/>
      <c r="AN190" s="115"/>
      <c r="AO190" s="102"/>
    </row>
    <row r="191" spans="7:51" x14ac:dyDescent="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row>
    <row r="192" spans="7:51" x14ac:dyDescent="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row>
    <row r="193" spans="10:41" x14ac:dyDescent="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row>
    <row r="194" spans="10:41" x14ac:dyDescent="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row>
    <row r="195" spans="10:41" x14ac:dyDescent="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row>
    <row r="196" spans="10:41" x14ac:dyDescent="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row>
    <row r="197" spans="10:41" x14ac:dyDescent="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row>
  </sheetData>
  <mergeCells count="4">
    <mergeCell ref="A23:G23"/>
    <mergeCell ref="A46:F46"/>
    <mergeCell ref="A4:G4"/>
    <mergeCell ref="A41:G41"/>
  </mergeCells>
  <phoneticPr fontId="12" type="noConversion"/>
  <printOptions horizontalCentered="1"/>
  <pageMargins left="1" right="1" top="1" bottom="0.5" header="0.5" footer="0.5"/>
  <pageSetup fitToHeight="0" orientation="portrait" r:id="rId1"/>
  <headerFooter alignWithMargins="0"/>
  <rowBreaks count="1" manualBreakCount="1">
    <brk id="3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28</vt:i4>
      </vt:variant>
    </vt:vector>
  </HeadingPairs>
  <TitlesOfParts>
    <vt:vector size="45" baseType="lpstr">
      <vt:lpstr>COS 1</vt:lpstr>
      <vt:lpstr>F 1-2</vt:lpstr>
      <vt:lpstr>F 2 B</vt:lpstr>
      <vt:lpstr>F 3-4</vt:lpstr>
      <vt:lpstr>F 3B 4B</vt:lpstr>
      <vt:lpstr>F 5</vt:lpstr>
      <vt:lpstr>F 5B</vt:lpstr>
      <vt:lpstr>F6</vt:lpstr>
      <vt:lpstr>F7-9</vt:lpstr>
      <vt:lpstr>Meters</vt:lpstr>
      <vt:lpstr>F10-11</vt:lpstr>
      <vt:lpstr>F12-13</vt:lpstr>
      <vt:lpstr>F 14-20</vt:lpstr>
      <vt:lpstr>SCH-D</vt:lpstr>
      <vt:lpstr>Fire</vt:lpstr>
      <vt:lpstr>cust charge</vt:lpstr>
      <vt:lpstr>SCH-A</vt:lpstr>
      <vt:lpstr>comp</vt:lpstr>
      <vt:lpstr>CUST</vt:lpstr>
      <vt:lpstr>ds</vt:lpstr>
      <vt:lpstr>'F 3-4'!FACT3</vt:lpstr>
      <vt:lpstr>'F 1-2'!FACT3A</vt:lpstr>
      <vt:lpstr>'F 2 B'!FACT3A</vt:lpstr>
      <vt:lpstr>'F 3-4'!FACT3A</vt:lpstr>
      <vt:lpstr>factor</vt:lpstr>
      <vt:lpstr>Factors</vt:lpstr>
      <vt:lpstr>'F 1-2'!FIRE</vt:lpstr>
      <vt:lpstr>'F 2 B'!FIRE</vt:lpstr>
      <vt:lpstr>'F 3-4'!FIRE</vt:lpstr>
      <vt:lpstr>func</vt:lpstr>
      <vt:lpstr>'COS 1'!Print_Area</vt:lpstr>
      <vt:lpstr>'cust charge'!Print_Area</vt:lpstr>
      <vt:lpstr>'F 1-2'!Print_Area</vt:lpstr>
      <vt:lpstr>'F 2 B'!Print_Area</vt:lpstr>
      <vt:lpstr>'F 3-4'!Print_Area</vt:lpstr>
      <vt:lpstr>'F 3B 4B'!Print_Area</vt:lpstr>
      <vt:lpstr>'F 5B'!Print_Area</vt:lpstr>
      <vt:lpstr>'F10-11'!Print_Area</vt:lpstr>
      <vt:lpstr>'F12-13'!Print_Area</vt:lpstr>
      <vt:lpstr>'F6'!Print_Area</vt:lpstr>
      <vt:lpstr>'F7-9'!Print_Area</vt:lpstr>
      <vt:lpstr>Fire!Print_Area</vt:lpstr>
      <vt:lpstr>Meters!Print_Area</vt:lpstr>
      <vt:lpstr>'SCH-D'!Print_Area</vt:lpstr>
      <vt:lpstr>'COS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Heppenstall, Constance E.</dc:creator>
  <cp:lastModifiedBy>Jack Bragg</cp:lastModifiedBy>
  <cp:lastPrinted>2015-06-10T11:49:53Z</cp:lastPrinted>
  <dcterms:created xsi:type="dcterms:W3CDTF">2000-03-27T20:18:41Z</dcterms:created>
  <dcterms:modified xsi:type="dcterms:W3CDTF">2015-07-03T14:16:19Z</dcterms:modified>
</cp:coreProperties>
</file>