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135" yWindow="135" windowWidth="18660" windowHeight="7965"/>
  </bookViews>
  <sheets>
    <sheet name="Dispatch" sheetId="1" r:id="rId1"/>
    <sheet name="Transactions and Load" sheetId="2" r:id="rId2"/>
  </sheets>
  <calcPr calcId="145621"/>
</workbook>
</file>

<file path=xl/calcChain.xml><?xml version="1.0" encoding="utf-8"?>
<calcChain xmlns="http://schemas.openxmlformats.org/spreadsheetml/2006/main">
  <c r="G44" i="1" l="1"/>
  <c r="G16" i="1"/>
  <c r="G17" i="1"/>
  <c r="G25" i="1"/>
  <c r="G26" i="1"/>
  <c r="G27" i="1"/>
  <c r="G28" i="1"/>
  <c r="G29" i="1"/>
  <c r="G24" i="1"/>
  <c r="H25" i="1"/>
  <c r="H26" i="1"/>
  <c r="H27" i="1"/>
  <c r="H28" i="1"/>
  <c r="H24" i="1"/>
  <c r="BA5" i="1" l="1"/>
  <c r="BA7" i="1"/>
  <c r="BA8" i="1"/>
  <c r="BA9" i="1"/>
  <c r="BA6" i="1"/>
  <c r="V79" i="1"/>
  <c r="W79" i="1"/>
  <c r="Y79" i="1"/>
  <c r="AA79" i="1"/>
  <c r="AB79" i="1"/>
  <c r="AC79" i="1"/>
  <c r="AD79" i="1"/>
  <c r="AE79" i="1"/>
  <c r="U79" i="1"/>
  <c r="AR46" i="1"/>
  <c r="BB46" i="1"/>
  <c r="AR47" i="1"/>
  <c r="BB47" i="1"/>
  <c r="AR48" i="1"/>
  <c r="BB48" i="1"/>
  <c r="AR49" i="1"/>
  <c r="BB49" i="1"/>
  <c r="AR50" i="1"/>
  <c r="BB50" i="1"/>
  <c r="G51" i="1"/>
  <c r="E29" i="1"/>
  <c r="E51" i="1" s="1"/>
  <c r="AK51" i="1"/>
  <c r="AH29" i="1"/>
  <c r="AH51" i="1" s="1"/>
  <c r="AG29" i="1"/>
  <c r="AG51" i="1" s="1"/>
  <c r="E50" i="1"/>
  <c r="D50" i="1"/>
  <c r="E49" i="1"/>
  <c r="D49" i="1"/>
  <c r="E48" i="1"/>
  <c r="D48" i="1"/>
  <c r="E47" i="1"/>
  <c r="D47" i="1"/>
  <c r="E46" i="1"/>
  <c r="D46" i="1"/>
  <c r="C38" i="1"/>
  <c r="A32" i="1"/>
  <c r="F24" i="1" l="1"/>
  <c r="F25" i="1"/>
  <c r="F26" i="1"/>
  <c r="F27" i="1"/>
  <c r="F28" i="1"/>
  <c r="AS24" i="1" l="1"/>
  <c r="AS46" i="1" s="1"/>
  <c r="AT24" i="1"/>
  <c r="AT46" i="1" s="1"/>
  <c r="AU24" i="1"/>
  <c r="AU46" i="1" s="1"/>
  <c r="AV24" i="1"/>
  <c r="AV46" i="1" s="1"/>
  <c r="AW24" i="1"/>
  <c r="AW46" i="1" s="1"/>
  <c r="AX24" i="1"/>
  <c r="AX46" i="1" s="1"/>
  <c r="AY24" i="1"/>
  <c r="AY46" i="1" s="1"/>
  <c r="AZ24" i="1"/>
  <c r="AZ46" i="1" s="1"/>
  <c r="BA24" i="1"/>
  <c r="BA46" i="1" s="1"/>
  <c r="BC24" i="1"/>
  <c r="BC46" i="1" s="1"/>
  <c r="BD24" i="1"/>
  <c r="BD46" i="1" s="1"/>
  <c r="BE24" i="1"/>
  <c r="BE46" i="1" s="1"/>
  <c r="BF24" i="1"/>
  <c r="BF46" i="1" s="1"/>
  <c r="AS25" i="1"/>
  <c r="AS47" i="1" s="1"/>
  <c r="AT25" i="1"/>
  <c r="AT47" i="1" s="1"/>
  <c r="AU25" i="1"/>
  <c r="AU47" i="1" s="1"/>
  <c r="AV25" i="1"/>
  <c r="AV47" i="1" s="1"/>
  <c r="AW25" i="1"/>
  <c r="AW47" i="1" s="1"/>
  <c r="AX25" i="1"/>
  <c r="AX47" i="1" s="1"/>
  <c r="AY25" i="1"/>
  <c r="AY47" i="1" s="1"/>
  <c r="AZ25" i="1"/>
  <c r="AZ47" i="1" s="1"/>
  <c r="BA25" i="1"/>
  <c r="BA47" i="1" s="1"/>
  <c r="BC25" i="1"/>
  <c r="BC47" i="1" s="1"/>
  <c r="BD25" i="1"/>
  <c r="BD47" i="1" s="1"/>
  <c r="BE25" i="1"/>
  <c r="BE47" i="1" s="1"/>
  <c r="BF25" i="1"/>
  <c r="BF47" i="1" s="1"/>
  <c r="AS26" i="1"/>
  <c r="AS48" i="1" s="1"/>
  <c r="AT26" i="1"/>
  <c r="AT48" i="1" s="1"/>
  <c r="AU26" i="1"/>
  <c r="AU48" i="1" s="1"/>
  <c r="AV26" i="1"/>
  <c r="AV48" i="1" s="1"/>
  <c r="AW26" i="1"/>
  <c r="AW48" i="1" s="1"/>
  <c r="AX26" i="1"/>
  <c r="AX48" i="1" s="1"/>
  <c r="AY26" i="1"/>
  <c r="AY48" i="1" s="1"/>
  <c r="AZ26" i="1"/>
  <c r="AZ48" i="1" s="1"/>
  <c r="BA26" i="1"/>
  <c r="BA48" i="1" s="1"/>
  <c r="BC26" i="1"/>
  <c r="BC48" i="1" s="1"/>
  <c r="BD26" i="1"/>
  <c r="BD48" i="1" s="1"/>
  <c r="BE26" i="1"/>
  <c r="BE48" i="1" s="1"/>
  <c r="BF26" i="1"/>
  <c r="BF48" i="1" s="1"/>
  <c r="AS27" i="1"/>
  <c r="AS49" i="1" s="1"/>
  <c r="AT27" i="1"/>
  <c r="AT49" i="1" s="1"/>
  <c r="AU27" i="1"/>
  <c r="AU49" i="1" s="1"/>
  <c r="AV27" i="1"/>
  <c r="AV49" i="1" s="1"/>
  <c r="AW27" i="1"/>
  <c r="AW49" i="1" s="1"/>
  <c r="AX27" i="1"/>
  <c r="AX49" i="1" s="1"/>
  <c r="AY27" i="1"/>
  <c r="AY49" i="1" s="1"/>
  <c r="AZ27" i="1"/>
  <c r="AZ49" i="1" s="1"/>
  <c r="BA27" i="1"/>
  <c r="BA49" i="1" s="1"/>
  <c r="BC27" i="1"/>
  <c r="BC49" i="1" s="1"/>
  <c r="BD27" i="1"/>
  <c r="BD49" i="1" s="1"/>
  <c r="BE27" i="1"/>
  <c r="BE49" i="1" s="1"/>
  <c r="BF27" i="1"/>
  <c r="BF49" i="1" s="1"/>
  <c r="AS28" i="1"/>
  <c r="AS50" i="1" s="1"/>
  <c r="AT28" i="1"/>
  <c r="AT50" i="1" s="1"/>
  <c r="AU28" i="1"/>
  <c r="AU50" i="1" s="1"/>
  <c r="AV28" i="1"/>
  <c r="AV50" i="1" s="1"/>
  <c r="AW28" i="1"/>
  <c r="AW50" i="1" s="1"/>
  <c r="AX28" i="1"/>
  <c r="AX50" i="1" s="1"/>
  <c r="AY28" i="1"/>
  <c r="AY50" i="1" s="1"/>
  <c r="AZ28" i="1"/>
  <c r="AZ50" i="1" s="1"/>
  <c r="BA28" i="1"/>
  <c r="BA50" i="1" s="1"/>
  <c r="BC28" i="1"/>
  <c r="BC50" i="1" s="1"/>
  <c r="BD28" i="1"/>
  <c r="BD50" i="1" s="1"/>
  <c r="BE28" i="1"/>
  <c r="BE50" i="1" s="1"/>
  <c r="BF28" i="1"/>
  <c r="BF50" i="1" s="1"/>
  <c r="AN24" i="1"/>
  <c r="AN46" i="1" s="1"/>
  <c r="AO24" i="1"/>
  <c r="AO46" i="1" s="1"/>
  <c r="AP24" i="1"/>
  <c r="AP46" i="1" s="1"/>
  <c r="AQ24" i="1"/>
  <c r="AQ46" i="1" s="1"/>
  <c r="AN25" i="1"/>
  <c r="AN47" i="1" s="1"/>
  <c r="AO25" i="1"/>
  <c r="AO47" i="1" s="1"/>
  <c r="AP25" i="1"/>
  <c r="AP47" i="1" s="1"/>
  <c r="AQ25" i="1"/>
  <c r="AQ47" i="1" s="1"/>
  <c r="AN26" i="1"/>
  <c r="AN48" i="1" s="1"/>
  <c r="AO26" i="1"/>
  <c r="AO48" i="1" s="1"/>
  <c r="AP26" i="1"/>
  <c r="AP48" i="1" s="1"/>
  <c r="AQ26" i="1"/>
  <c r="AQ48" i="1" s="1"/>
  <c r="AN27" i="1"/>
  <c r="AN49" i="1" s="1"/>
  <c r="AO27" i="1"/>
  <c r="AO49" i="1" s="1"/>
  <c r="AP27" i="1"/>
  <c r="AP49" i="1" s="1"/>
  <c r="AQ27" i="1"/>
  <c r="AQ49" i="1" s="1"/>
  <c r="AN28" i="1"/>
  <c r="AN50" i="1" s="1"/>
  <c r="AO28" i="1"/>
  <c r="AO50" i="1" s="1"/>
  <c r="AP28" i="1"/>
  <c r="AP50" i="1" s="1"/>
  <c r="AQ28" i="1"/>
  <c r="AQ50" i="1" s="1"/>
  <c r="K5" i="1"/>
  <c r="L5" i="1" s="1"/>
  <c r="U5" i="1"/>
  <c r="V5" i="1"/>
  <c r="K6" i="1"/>
  <c r="L6" i="1" s="1"/>
  <c r="U6" i="1"/>
  <c r="V6" i="1"/>
  <c r="K7" i="1"/>
  <c r="L7" i="1" s="1"/>
  <c r="U7" i="1"/>
  <c r="V7" i="1"/>
  <c r="K8" i="1"/>
  <c r="L8" i="1" s="1"/>
  <c r="U8" i="1"/>
  <c r="V8" i="1"/>
  <c r="K9" i="1"/>
  <c r="L9" i="1" s="1"/>
  <c r="U9" i="1"/>
  <c r="V9" i="1"/>
  <c r="U24" i="1" l="1"/>
  <c r="U46" i="1" s="1"/>
  <c r="U26" i="1"/>
  <c r="U48" i="1" s="1"/>
  <c r="U25" i="1"/>
  <c r="U47" i="1" s="1"/>
  <c r="S7" i="1"/>
  <c r="Q7" i="1" s="1"/>
  <c r="U28" i="1"/>
  <c r="U50" i="1" s="1"/>
  <c r="K26" i="1"/>
  <c r="M26" i="1" s="1"/>
  <c r="V25" i="1"/>
  <c r="K25" i="1"/>
  <c r="S25" i="1" s="1"/>
  <c r="Q25" i="1" s="1"/>
  <c r="S9" i="1"/>
  <c r="Q9" i="1" s="1"/>
  <c r="M7" i="1"/>
  <c r="S6" i="1"/>
  <c r="Q6" i="1" s="1"/>
  <c r="S5" i="1"/>
  <c r="Q5" i="1" s="1"/>
  <c r="V28" i="1"/>
  <c r="K28" i="1"/>
  <c r="L28" i="1" s="1"/>
  <c r="U27" i="1"/>
  <c r="U49" i="1" s="1"/>
  <c r="M8" i="1"/>
  <c r="W7" i="1"/>
  <c r="O5" i="1"/>
  <c r="V26" i="1"/>
  <c r="M5" i="1"/>
  <c r="W5" i="1"/>
  <c r="AD5" i="1" s="1"/>
  <c r="K24" i="1"/>
  <c r="O24" i="1" s="1"/>
  <c r="O6" i="1"/>
  <c r="O7" i="1"/>
  <c r="W6" i="1"/>
  <c r="M6" i="1"/>
  <c r="O9" i="1"/>
  <c r="M9" i="1"/>
  <c r="S8" i="1"/>
  <c r="Q8" i="1" s="1"/>
  <c r="V27" i="1"/>
  <c r="O8" i="1"/>
  <c r="V24" i="1"/>
  <c r="K27" i="1"/>
  <c r="R27" i="1" s="1"/>
  <c r="P27" i="1" s="1"/>
  <c r="W9" i="1"/>
  <c r="W8" i="1"/>
  <c r="R9" i="1"/>
  <c r="P9" i="1" s="1"/>
  <c r="N9" i="1"/>
  <c r="R8" i="1"/>
  <c r="P8" i="1" s="1"/>
  <c r="N8" i="1"/>
  <c r="R7" i="1"/>
  <c r="P7" i="1" s="1"/>
  <c r="N7" i="1"/>
  <c r="R6" i="1"/>
  <c r="P6" i="1" s="1"/>
  <c r="N6" i="1"/>
  <c r="R5" i="1"/>
  <c r="P5" i="1" s="1"/>
  <c r="N5" i="1"/>
  <c r="Z6" i="1" l="1"/>
  <c r="X6" i="1"/>
  <c r="AE7" i="1"/>
  <c r="O26" i="1"/>
  <c r="W25" i="1"/>
  <c r="AD25" i="1" s="1"/>
  <c r="W24" i="1"/>
  <c r="N26" i="1"/>
  <c r="L25" i="1"/>
  <c r="R26" i="1"/>
  <c r="P26" i="1" s="1"/>
  <c r="N25" i="1"/>
  <c r="O25" i="1"/>
  <c r="Z7" i="1"/>
  <c r="O28" i="1"/>
  <c r="S28" i="1"/>
  <c r="Q28" i="1" s="1"/>
  <c r="M28" i="1"/>
  <c r="M25" i="1"/>
  <c r="AA7" i="1"/>
  <c r="L26" i="1"/>
  <c r="R25" i="1"/>
  <c r="P25" i="1" s="1"/>
  <c r="AD7" i="1"/>
  <c r="Y7" i="1"/>
  <c r="S26" i="1"/>
  <c r="Q26" i="1" s="1"/>
  <c r="W28" i="1"/>
  <c r="AE28" i="1" s="1"/>
  <c r="W27" i="1"/>
  <c r="AE27" i="1" s="1"/>
  <c r="AE25" i="1"/>
  <c r="AC25" i="1" s="1"/>
  <c r="N24" i="1"/>
  <c r="AE6" i="1"/>
  <c r="R24" i="1"/>
  <c r="P24" i="1" s="1"/>
  <c r="Y6" i="1"/>
  <c r="X5" i="1"/>
  <c r="X7" i="1"/>
  <c r="L24" i="1"/>
  <c r="Z5" i="1"/>
  <c r="N28" i="1"/>
  <c r="R28" i="1"/>
  <c r="P28" i="1" s="1"/>
  <c r="N27" i="1"/>
  <c r="AA6" i="1"/>
  <c r="AD6" i="1"/>
  <c r="M24" i="1"/>
  <c r="W26" i="1"/>
  <c r="AA26" i="1" s="1"/>
  <c r="S24" i="1"/>
  <c r="Q24" i="1" s="1"/>
  <c r="AA5" i="1"/>
  <c r="AE5" i="1"/>
  <c r="Y5" i="1"/>
  <c r="Z25" i="1"/>
  <c r="L27" i="1"/>
  <c r="O27" i="1"/>
  <c r="S27" i="1"/>
  <c r="Q27" i="1" s="1"/>
  <c r="M27" i="1"/>
  <c r="Y8" i="1"/>
  <c r="AA8" i="1"/>
  <c r="AE8" i="1"/>
  <c r="X8" i="1"/>
  <c r="Z8" i="1"/>
  <c r="AD8" i="1"/>
  <c r="Y9" i="1"/>
  <c r="AA9" i="1"/>
  <c r="AE9" i="1"/>
  <c r="X9" i="1"/>
  <c r="Z9" i="1"/>
  <c r="AD9" i="1"/>
  <c r="AC5" i="1" l="1"/>
  <c r="AB5" i="1"/>
  <c r="AC9" i="1"/>
  <c r="AC8" i="1"/>
  <c r="AB9" i="1"/>
  <c r="AB8" i="1"/>
  <c r="AC7" i="1"/>
  <c r="AB7" i="1"/>
  <c r="AB6" i="1"/>
  <c r="AC6" i="1"/>
  <c r="AA25" i="1"/>
  <c r="Y25" i="1"/>
  <c r="X25" i="1"/>
  <c r="Y28" i="1"/>
  <c r="AD28" i="1"/>
  <c r="AB28" i="1" s="1"/>
  <c r="X28" i="1"/>
  <c r="AA28" i="1"/>
  <c r="Z28" i="1"/>
  <c r="AE26" i="1"/>
  <c r="AC26" i="1" s="1"/>
  <c r="AD27" i="1"/>
  <c r="AB27" i="1" s="1"/>
  <c r="AA27" i="1"/>
  <c r="Z27" i="1"/>
  <c r="Y26" i="1"/>
  <c r="AD26" i="1"/>
  <c r="AB26" i="1" s="1"/>
  <c r="Y27" i="1"/>
  <c r="X27" i="1"/>
  <c r="X26" i="1"/>
  <c r="Z26" i="1"/>
  <c r="AC28" i="1"/>
  <c r="AC27" i="1"/>
  <c r="AD24" i="1"/>
  <c r="AA24" i="1"/>
  <c r="Y24" i="1"/>
  <c r="AE24" i="1"/>
  <c r="Z24" i="1"/>
  <c r="X24" i="1"/>
  <c r="AB25" i="1"/>
  <c r="AB24" i="1" l="1"/>
  <c r="AC24" i="1"/>
  <c r="I24" i="1" l="1"/>
  <c r="I25" i="1"/>
  <c r="I26" i="1"/>
  <c r="I27" i="1"/>
  <c r="I28" i="1"/>
  <c r="I5" i="1"/>
  <c r="I6" i="1"/>
  <c r="I7" i="1"/>
  <c r="I8" i="1"/>
  <c r="I9" i="1"/>
  <c r="D15" i="1"/>
  <c r="D34" i="1" s="1"/>
  <c r="G15" i="1" l="1"/>
  <c r="D10" i="1"/>
  <c r="D17" i="1"/>
  <c r="G84" i="1"/>
  <c r="D29" i="1" l="1"/>
  <c r="D51" i="1" s="1"/>
  <c r="G58" i="1"/>
  <c r="G34" i="1"/>
  <c r="D36" i="1"/>
  <c r="V73" i="1"/>
  <c r="U73" i="1"/>
  <c r="U72" i="1"/>
  <c r="U71" i="1"/>
  <c r="V69" i="1"/>
  <c r="V71" i="1"/>
  <c r="U69" i="1"/>
  <c r="V72" i="1"/>
  <c r="W73" i="1"/>
  <c r="X73" i="1"/>
  <c r="W71" i="1"/>
  <c r="AE73" i="1"/>
  <c r="AA72" i="1"/>
  <c r="U70" i="1"/>
  <c r="V70" i="1"/>
  <c r="W69" i="1"/>
  <c r="AD71" i="1"/>
  <c r="AD72" i="1"/>
  <c r="W72" i="1"/>
  <c r="AA69" i="1"/>
  <c r="AC69" i="1"/>
  <c r="Z69" i="1"/>
  <c r="AE69" i="1"/>
  <c r="AD69" i="1"/>
  <c r="AE72" i="1"/>
  <c r="AD73" i="1"/>
  <c r="X71" i="1"/>
  <c r="Z71" i="1"/>
  <c r="AB69" i="1"/>
  <c r="Z73" i="1"/>
  <c r="Z72" i="1"/>
  <c r="AA71" i="1"/>
  <c r="AC71" i="1"/>
  <c r="AE71" i="1"/>
  <c r="X72" i="1"/>
  <c r="AC73" i="1"/>
  <c r="AB72" i="1"/>
  <c r="X69" i="1"/>
  <c r="AA73" i="1"/>
  <c r="AB71" i="1"/>
  <c r="W70" i="1"/>
  <c r="AC72" i="1"/>
  <c r="AA70" i="1"/>
  <c r="AE70" i="1"/>
  <c r="AB73" i="1"/>
  <c r="Z70" i="1"/>
  <c r="X70" i="1"/>
  <c r="AD70" i="1"/>
  <c r="AB70" i="1"/>
  <c r="AC70" i="1"/>
  <c r="AJ10" i="1"/>
  <c r="G69" i="1"/>
  <c r="G66" i="1"/>
  <c r="G70" i="1"/>
  <c r="G67" i="1"/>
  <c r="G71" i="1"/>
  <c r="G73" i="1"/>
  <c r="G68" i="1"/>
  <c r="G72" i="1"/>
  <c r="AL10" i="1"/>
  <c r="AL29" i="1" s="1"/>
  <c r="AI10" i="1"/>
  <c r="AI29" i="1" s="1"/>
  <c r="AI51" i="1" s="1"/>
  <c r="D79" i="1"/>
  <c r="D14" i="1"/>
  <c r="D60" i="1"/>
  <c r="D16" i="1"/>
  <c r="D35" i="1" s="1"/>
  <c r="G65" i="1"/>
  <c r="G14" i="1" l="1"/>
  <c r="G33" i="1" s="1"/>
  <c r="D33" i="1"/>
  <c r="I10" i="1"/>
  <c r="AJ29" i="1"/>
  <c r="AJ51" i="1" s="1"/>
  <c r="G10" i="1"/>
  <c r="U66" i="1"/>
  <c r="H10" i="1"/>
  <c r="Z68" i="1"/>
  <c r="U65" i="1"/>
  <c r="U67" i="1"/>
  <c r="V66" i="1"/>
  <c r="V65" i="1"/>
  <c r="U68" i="1"/>
  <c r="V68" i="1"/>
  <c r="V67" i="1"/>
  <c r="X68" i="1"/>
  <c r="W68" i="1"/>
  <c r="W67" i="1"/>
  <c r="W66" i="1"/>
  <c r="D57" i="1"/>
  <c r="D59" i="1"/>
  <c r="W65" i="1"/>
  <c r="G57" i="1" l="1"/>
  <c r="Z10" i="1"/>
  <c r="Z79" i="1" s="1"/>
  <c r="H29" i="1"/>
  <c r="G79" i="1"/>
  <c r="G59" i="1"/>
  <c r="G35" i="1"/>
  <c r="X10" i="1"/>
  <c r="X79" i="1" s="1"/>
  <c r="G19" i="1"/>
  <c r="AA66" i="1"/>
  <c r="AA67" i="1"/>
  <c r="X66" i="1"/>
  <c r="Z67" i="1"/>
  <c r="Z66" i="1"/>
  <c r="X67" i="1"/>
  <c r="AA68" i="1"/>
  <c r="AB68" i="1"/>
  <c r="AD68" i="1"/>
  <c r="AB66" i="1"/>
  <c r="AD66" i="1"/>
  <c r="AC67" i="1"/>
  <c r="AE67" i="1"/>
  <c r="AB67" i="1"/>
  <c r="AD67" i="1"/>
  <c r="AC68" i="1"/>
  <c r="AE68" i="1"/>
  <c r="AC66" i="1"/>
  <c r="AE66" i="1"/>
  <c r="X65" i="1"/>
  <c r="AD65" i="1"/>
  <c r="AA65" i="1"/>
  <c r="AE65" i="1"/>
  <c r="Z65" i="1"/>
  <c r="G38" i="1" l="1"/>
  <c r="AB65" i="1"/>
  <c r="AC65" i="1"/>
  <c r="G46" i="1" l="1"/>
  <c r="G50" i="1"/>
  <c r="G49" i="1"/>
  <c r="G47" i="1"/>
  <c r="G48" i="1"/>
  <c r="U74" i="1"/>
  <c r="U75" i="1" l="1"/>
  <c r="V47" i="1"/>
  <c r="W47" i="1" s="1"/>
  <c r="W75" i="1" s="1"/>
  <c r="G75" i="1"/>
  <c r="V49" i="1"/>
  <c r="W49" i="1" s="1"/>
  <c r="W77" i="1" s="1"/>
  <c r="G77" i="1"/>
  <c r="V50" i="1"/>
  <c r="W50" i="1" s="1"/>
  <c r="G78" i="1"/>
  <c r="V48" i="1"/>
  <c r="G76" i="1"/>
  <c r="G74" i="1"/>
  <c r="G62" i="1"/>
  <c r="U78" i="1"/>
  <c r="U76" i="1"/>
  <c r="V46" i="1"/>
  <c r="U77" i="1"/>
  <c r="V75" i="1" l="1"/>
  <c r="V78" i="1"/>
  <c r="V77" i="1"/>
  <c r="V74" i="1"/>
  <c r="W46" i="1"/>
  <c r="AD50" i="1"/>
  <c r="AA50" i="1"/>
  <c r="AA78" i="1" s="1"/>
  <c r="Z50" i="1"/>
  <c r="Z78" i="1" s="1"/>
  <c r="X50" i="1"/>
  <c r="X78" i="1" s="1"/>
  <c r="AE50" i="1"/>
  <c r="Y50" i="1"/>
  <c r="Y78" i="1" s="1"/>
  <c r="W48" i="1"/>
  <c r="V76" i="1"/>
  <c r="W78" i="1"/>
  <c r="G82" i="1"/>
  <c r="AA47" i="1"/>
  <c r="AA75" i="1" s="1"/>
  <c r="AE47" i="1"/>
  <c r="AD47" i="1"/>
  <c r="Y47" i="1"/>
  <c r="Y75" i="1" s="1"/>
  <c r="X47" i="1"/>
  <c r="X75" i="1" s="1"/>
  <c r="Z47" i="1"/>
  <c r="Z75" i="1" s="1"/>
  <c r="AD49" i="1"/>
  <c r="AA49" i="1"/>
  <c r="AA77" i="1" s="1"/>
  <c r="Z49" i="1"/>
  <c r="Z77" i="1" s="1"/>
  <c r="X49" i="1"/>
  <c r="X77" i="1" s="1"/>
  <c r="AE49" i="1"/>
  <c r="Y49" i="1"/>
  <c r="Y77" i="1" s="1"/>
  <c r="U82" i="1"/>
  <c r="V82" i="1" l="1"/>
  <c r="AC49" i="1"/>
  <c r="AC77" i="1" s="1"/>
  <c r="AE77" i="1"/>
  <c r="AB49" i="1"/>
  <c r="AB77" i="1" s="1"/>
  <c r="AD77" i="1"/>
  <c r="AB47" i="1"/>
  <c r="AB75" i="1" s="1"/>
  <c r="AD75" i="1"/>
  <c r="AC50" i="1"/>
  <c r="AC78" i="1" s="1"/>
  <c r="AE78" i="1"/>
  <c r="AB50" i="1"/>
  <c r="AB78" i="1" s="1"/>
  <c r="AD78" i="1"/>
  <c r="AC47" i="1"/>
  <c r="AC75" i="1" s="1"/>
  <c r="AE75" i="1"/>
  <c r="Z46" i="1"/>
  <c r="Z74" i="1" s="1"/>
  <c r="AD46" i="1"/>
  <c r="AA46" i="1"/>
  <c r="AA74" i="1" s="1"/>
  <c r="X46" i="1"/>
  <c r="X74" i="1" s="1"/>
  <c r="AE46" i="1"/>
  <c r="Y46" i="1"/>
  <c r="Y74" i="1" s="1"/>
  <c r="W74" i="1"/>
  <c r="Y48" i="1"/>
  <c r="Y76" i="1" s="1"/>
  <c r="AD48" i="1"/>
  <c r="X48" i="1"/>
  <c r="X76" i="1" s="1"/>
  <c r="Z48" i="1"/>
  <c r="Z76" i="1" s="1"/>
  <c r="AE48" i="1"/>
  <c r="AA48" i="1"/>
  <c r="AA76" i="1" s="1"/>
  <c r="W76" i="1"/>
  <c r="AA82" i="1" l="1"/>
  <c r="X82" i="1"/>
  <c r="AB46" i="1"/>
  <c r="AB74" i="1" s="1"/>
  <c r="AD74" i="1"/>
  <c r="W82" i="1"/>
  <c r="AB48" i="1"/>
  <c r="AB76" i="1" s="1"/>
  <c r="AD76" i="1"/>
  <c r="AC48" i="1"/>
  <c r="AC76" i="1" s="1"/>
  <c r="AE76" i="1"/>
  <c r="AC46" i="1"/>
  <c r="AC74" i="1" s="1"/>
  <c r="AE74" i="1"/>
  <c r="Z82" i="1"/>
  <c r="AE82" i="1" l="1"/>
  <c r="AB82" i="1"/>
  <c r="AC82" i="1"/>
  <c r="AD82" i="1"/>
  <c r="X84" i="1" l="1"/>
</calcChain>
</file>

<file path=xl/sharedStrings.xml><?xml version="1.0" encoding="utf-8"?>
<sst xmlns="http://schemas.openxmlformats.org/spreadsheetml/2006/main" count="249" uniqueCount="100">
  <si>
    <t/>
  </si>
  <si>
    <t>OM_COST</t>
  </si>
  <si>
    <t>HAND_COST</t>
  </si>
  <si>
    <t>CHEM_COST</t>
  </si>
  <si>
    <t>NOX_COST</t>
  </si>
  <si>
    <t>NOX_VOLUME</t>
  </si>
  <si>
    <t>SOX_COST</t>
  </si>
  <si>
    <t>SOX_VOLUME</t>
  </si>
  <si>
    <t>Actual</t>
  </si>
  <si>
    <t>PURCHASE</t>
  </si>
  <si>
    <t>SPOT MARKET ENERGY - BAL</t>
  </si>
  <si>
    <t>Internal Load</t>
  </si>
  <si>
    <t>FUEL COST</t>
  </si>
  <si>
    <t>Minimum Available Generation</t>
  </si>
  <si>
    <t>Resource</t>
  </si>
  <si>
    <t>Incremental Dispatch Cost at Output Level</t>
  </si>
  <si>
    <t>Dispatch State</t>
  </si>
  <si>
    <t>Incremental Heat</t>
  </si>
  <si>
    <t>Variable Heat Input</t>
  </si>
  <si>
    <t>Total Heat Input</t>
  </si>
  <si>
    <t>No Load Heat Input</t>
  </si>
  <si>
    <t>Fuel Rate</t>
  </si>
  <si>
    <t>Handling Rate</t>
  </si>
  <si>
    <t>Chemicals Rate</t>
  </si>
  <si>
    <t>OM Price</t>
  </si>
  <si>
    <t>NOX Market Price ($/Ton)</t>
  </si>
  <si>
    <t>SOX Market Price ($/Ton)</t>
  </si>
  <si>
    <t>NOX Inventory Rate</t>
  </si>
  <si>
    <t>SOX Inventory Rate</t>
  </si>
  <si>
    <t>Percentage of Unit Ownership</t>
  </si>
  <si>
    <t>MWH</t>
  </si>
  <si>
    <t>Purchases</t>
  </si>
  <si>
    <t>A Coefficient</t>
  </si>
  <si>
    <t>B Coefficient</t>
  </si>
  <si>
    <t>C Coefficient</t>
  </si>
  <si>
    <t>Operation Performance Factor</t>
  </si>
  <si>
    <t>Sale or Purchase</t>
  </si>
  <si>
    <t>Operating Company</t>
  </si>
  <si>
    <t>Class</t>
  </si>
  <si>
    <t>Emissions Rates</t>
  </si>
  <si>
    <t>SOX Curve Slope</t>
  </si>
  <si>
    <t>SOX Curve Intercept</t>
  </si>
  <si>
    <t>NOX Curve Slope</t>
  </si>
  <si>
    <t>NOX Curve Intercept</t>
  </si>
  <si>
    <t>Unit Operating Model</t>
  </si>
  <si>
    <t>Accounting Components</t>
  </si>
  <si>
    <t>Incremental Cost Components</t>
  </si>
  <si>
    <t>Total Allocation</t>
  </si>
  <si>
    <t>Hour (EPT)</t>
  </si>
  <si>
    <t>SALE</t>
  </si>
  <si>
    <t>SPOT MARKET</t>
  </si>
  <si>
    <t>SPOT MARKET ENERGY - DA</t>
  </si>
  <si>
    <t>LOAD ADJUSTMENT</t>
  </si>
  <si>
    <t>ADJUSTMENT</t>
  </si>
  <si>
    <t>LOAD</t>
  </si>
  <si>
    <t>Price</t>
  </si>
  <si>
    <t>Transaction Type</t>
  </si>
  <si>
    <t>Transaction Category</t>
  </si>
  <si>
    <t>Category</t>
  </si>
  <si>
    <t>Total Sales</t>
  </si>
  <si>
    <t>Notes:</t>
  </si>
  <si>
    <t>Net Resources and Load</t>
  </si>
  <si>
    <t>MARGINAL_LOSS LOAD ADJUSTMENT</t>
  </si>
  <si>
    <t>Resulting Generation at Load Level (MWH)</t>
  </si>
  <si>
    <t>Resources</t>
  </si>
  <si>
    <t>Loads</t>
  </si>
  <si>
    <t>2) The economic dispatch algorithm targets a solution where resources meet load and all unconstrained  resources have the same incremental cost.</t>
  </si>
  <si>
    <t>Max Available Generation</t>
  </si>
  <si>
    <t xml:space="preserve">1)  Stacking starts with Actual generation and load for the hour.  Sales load is then removed and  the resourses dispatched down to serve the revised load level. </t>
  </si>
  <si>
    <t>FIRM LOAD</t>
  </si>
  <si>
    <t>COMPANY LOAD</t>
  </si>
  <si>
    <t>COMPANY LOAD OBLIGATION</t>
  </si>
  <si>
    <t>FIRM LOAD OBLIGATION</t>
  </si>
  <si>
    <t>Off System Allocation</t>
  </si>
  <si>
    <t>NON_DISP</t>
  </si>
  <si>
    <t>DISP</t>
  </si>
  <si>
    <t>Dispatchable Resource</t>
  </si>
  <si>
    <t>IM</t>
  </si>
  <si>
    <t>Cost Components</t>
  </si>
  <si>
    <t>FUEL PRICE</t>
  </si>
  <si>
    <t>OTHER PRICE</t>
  </si>
  <si>
    <t>HAND/OTH_COST</t>
  </si>
  <si>
    <t>KIUC Q1-3e: KP Cost Allocation Calculation Example</t>
  </si>
  <si>
    <t>Rockport 1 KP AEG</t>
  </si>
  <si>
    <t>Rockport 2 KP AEG</t>
  </si>
  <si>
    <t>Big Sandy 2</t>
  </si>
  <si>
    <t>Mitchell 1 KP</t>
  </si>
  <si>
    <t>Mitchell 2 KP</t>
  </si>
  <si>
    <t xml:space="preserve">Resources Allocated to Economic Minimum </t>
  </si>
  <si>
    <t xml:space="preserve">DISPATCH TO MINIMUMS </t>
  </si>
  <si>
    <t>Eco Min</t>
  </si>
  <si>
    <t>Internal Load  Target</t>
  </si>
  <si>
    <t>LOW LOAD ALLOCATION</t>
  </si>
  <si>
    <t>RESOURCE ALLOCATION RATIO</t>
  </si>
  <si>
    <t>Low Load State</t>
  </si>
  <si>
    <t>NA</t>
  </si>
  <si>
    <t>Excess Generation Due to Low Load</t>
  </si>
  <si>
    <t>Total</t>
  </si>
  <si>
    <t>Actual Gen</t>
  </si>
  <si>
    <t>7/16/2014  15:00:00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</si>
</sst>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yyyymmdd\ hh"/>
  </numFmts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165" fontId="0" fillId="0" borderId="0" xfId="0" applyNumberFormat="1"/>
    <xf numFmtId="0" fontId="1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 applyFill="1"/>
    <xf numFmtId="165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3" fillId="2" borderId="0" xfId="0" applyFont="1" applyFill="1"/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Font="1"/>
    <xf numFmtId="43" fontId="0" fillId="0" borderId="0" xfId="0" applyNumberFormat="1"/>
    <xf numFmtId="43" fontId="0" fillId="0" borderId="0" xfId="1" applyFont="1" applyFill="1"/>
    <xf numFmtId="164" fontId="0" fillId="0" borderId="0" xfId="0" applyNumberFormat="1"/>
    <xf numFmtId="0" fontId="3" fillId="0" borderId="0" xfId="0" applyFont="1"/>
    <xf numFmtId="0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0" xfId="0" applyNumberFormat="1" applyFill="1"/>
    <xf numFmtId="2" fontId="0" fillId="0" borderId="0" xfId="0" applyNumberFormat="1"/>
    <xf numFmtId="43" fontId="0" fillId="0" borderId="0" xfId="0" applyNumberFormat="1" applyFill="1"/>
    <xf numFmtId="43" fontId="0" fillId="0" borderId="0" xfId="1" applyNumberFormat="1" applyFont="1" applyFill="1"/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4"/>
  <sheetViews>
    <sheetView tabSelected="1" zoomScale="93" zoomScaleNormal="93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1.25" x14ac:dyDescent="0.2"/>
  <cols>
    <col min="1" max="1" width="3.1640625" bestFit="1" customWidth="1"/>
    <col min="2" max="2" width="13.83203125" style="3"/>
    <col min="3" max="3" width="22" bestFit="1" customWidth="1"/>
    <col min="4" max="4" width="34.5" customWidth="1"/>
    <col min="5" max="5" width="10.83203125" customWidth="1"/>
    <col min="6" max="6" width="9.6640625"/>
    <col min="7" max="7" width="12.6640625"/>
    <col min="9" max="9" width="12.6640625"/>
    <col min="10" max="10" width="2.83203125" customWidth="1"/>
    <col min="11" max="11" width="13" customWidth="1"/>
    <col min="14" max="14" width="11.33203125" customWidth="1"/>
    <col min="15" max="15" width="11.6640625" customWidth="1"/>
    <col min="18" max="18" width="12" customWidth="1"/>
    <col min="19" max="19" width="11.33203125" customWidth="1"/>
    <col min="20" max="20" width="2.83203125" customWidth="1"/>
    <col min="21" max="25" width="11.5" customWidth="1"/>
    <col min="26" max="26" width="12.5" customWidth="1"/>
    <col min="27" max="29" width="11.5" customWidth="1"/>
    <col min="30" max="30" width="13.33203125" customWidth="1"/>
    <col min="31" max="31" width="13.1640625" customWidth="1"/>
    <col min="32" max="32" width="2.83203125" customWidth="1"/>
    <col min="33" max="33" width="13.6640625" customWidth="1"/>
    <col min="34" max="34" width="11.6640625" customWidth="1"/>
    <col min="35" max="35" width="28.83203125" customWidth="1"/>
    <col min="39" max="39" width="11.5" customWidth="1"/>
    <col min="40" max="40" width="12.33203125"/>
    <col min="41" max="41" width="12.1640625"/>
    <col min="42" max="43" width="9" customWidth="1"/>
    <col min="50" max="50" width="11.33203125" customWidth="1"/>
    <col min="51" max="52" width="10.5" customWidth="1"/>
    <col min="53" max="53" width="19"/>
    <col min="54" max="54" width="15"/>
  </cols>
  <sheetData>
    <row r="1" spans="1:60" ht="15.75" x14ac:dyDescent="0.25">
      <c r="A1" s="16" t="s">
        <v>82</v>
      </c>
    </row>
    <row r="2" spans="1:60" x14ac:dyDescent="0.2">
      <c r="C2" s="12" t="s">
        <v>16</v>
      </c>
      <c r="D2" s="9"/>
      <c r="E2" s="9"/>
      <c r="F2" s="9"/>
      <c r="G2" s="9"/>
      <c r="H2" s="9"/>
      <c r="I2" s="9"/>
      <c r="K2" s="12" t="s">
        <v>46</v>
      </c>
      <c r="L2" s="9"/>
      <c r="M2" s="9"/>
      <c r="N2" s="9"/>
      <c r="O2" s="9"/>
      <c r="P2" s="9"/>
      <c r="Q2" s="9"/>
      <c r="R2" s="9"/>
      <c r="S2" s="9"/>
      <c r="U2" s="11" t="s">
        <v>45</v>
      </c>
      <c r="V2" s="9"/>
      <c r="W2" s="9"/>
      <c r="X2" s="9"/>
      <c r="Y2" s="9"/>
      <c r="Z2" s="9"/>
      <c r="AA2" s="9"/>
      <c r="AB2" s="9"/>
      <c r="AC2" s="9"/>
      <c r="AD2" s="9"/>
      <c r="AE2" s="9"/>
      <c r="AG2" s="9" t="s">
        <v>31</v>
      </c>
      <c r="AH2" s="9"/>
      <c r="AI2" s="9"/>
      <c r="AJ2" s="9"/>
      <c r="AK2" s="9"/>
      <c r="AL2" s="9"/>
      <c r="AN2" s="9" t="s">
        <v>39</v>
      </c>
      <c r="AO2" s="9"/>
      <c r="AP2" s="9"/>
      <c r="AQ2" s="9"/>
      <c r="AS2" s="9" t="s">
        <v>44</v>
      </c>
      <c r="AT2" s="9"/>
      <c r="AU2" s="9"/>
      <c r="AV2" s="9"/>
      <c r="AW2" s="9"/>
      <c r="AX2" s="9"/>
      <c r="AY2" s="9"/>
      <c r="AZ2" s="9"/>
      <c r="BA2" s="9"/>
      <c r="BC2" s="9" t="s">
        <v>78</v>
      </c>
      <c r="BD2" s="9"/>
      <c r="BE2" s="9"/>
      <c r="BF2" s="9"/>
    </row>
    <row r="3" spans="1:60" s="8" customFormat="1" ht="45" x14ac:dyDescent="0.2">
      <c r="A3" s="4" t="s">
        <v>0</v>
      </c>
      <c r="B3" s="7" t="s">
        <v>48</v>
      </c>
      <c r="C3" s="4" t="s">
        <v>16</v>
      </c>
      <c r="D3" s="4" t="s">
        <v>14</v>
      </c>
      <c r="E3" s="4" t="s">
        <v>76</v>
      </c>
      <c r="F3" s="4" t="s">
        <v>13</v>
      </c>
      <c r="G3" s="4" t="s">
        <v>63</v>
      </c>
      <c r="H3" s="4" t="s">
        <v>67</v>
      </c>
      <c r="I3" s="4" t="s">
        <v>15</v>
      </c>
      <c r="J3" s="4"/>
      <c r="K3" s="4" t="s">
        <v>17</v>
      </c>
      <c r="L3" s="4" t="s">
        <v>12</v>
      </c>
      <c r="M3" s="4" t="s">
        <v>1</v>
      </c>
      <c r="N3" s="4" t="s">
        <v>2</v>
      </c>
      <c r="O3" s="4" t="s">
        <v>3</v>
      </c>
      <c r="P3" s="4" t="s">
        <v>4</v>
      </c>
      <c r="Q3" s="4" t="s">
        <v>6</v>
      </c>
      <c r="R3" s="4" t="s">
        <v>5</v>
      </c>
      <c r="S3" s="4" t="s">
        <v>7</v>
      </c>
      <c r="T3" s="4"/>
      <c r="U3" s="4" t="s">
        <v>20</v>
      </c>
      <c r="V3" s="4" t="s">
        <v>18</v>
      </c>
      <c r="W3" s="4" t="s">
        <v>19</v>
      </c>
      <c r="X3" s="4" t="s">
        <v>12</v>
      </c>
      <c r="Y3" s="4" t="s">
        <v>1</v>
      </c>
      <c r="Z3" s="4" t="s">
        <v>81</v>
      </c>
      <c r="AA3" s="4" t="s">
        <v>3</v>
      </c>
      <c r="AB3" s="4" t="s">
        <v>4</v>
      </c>
      <c r="AC3" s="4" t="s">
        <v>6</v>
      </c>
      <c r="AD3" s="4" t="s">
        <v>5</v>
      </c>
      <c r="AE3" s="4" t="s">
        <v>7</v>
      </c>
      <c r="AF3" s="4"/>
      <c r="AG3" s="4" t="s">
        <v>36</v>
      </c>
      <c r="AH3" s="4" t="s">
        <v>37</v>
      </c>
      <c r="AI3" s="4" t="s">
        <v>38</v>
      </c>
      <c r="AJ3" s="4" t="s">
        <v>79</v>
      </c>
      <c r="AK3" s="4" t="s">
        <v>80</v>
      </c>
      <c r="AL3" s="4" t="s">
        <v>30</v>
      </c>
      <c r="AM3" s="4"/>
      <c r="AN3" s="4" t="s">
        <v>27</v>
      </c>
      <c r="AO3" s="4" t="s">
        <v>28</v>
      </c>
      <c r="AP3" s="4" t="s">
        <v>25</v>
      </c>
      <c r="AQ3" s="4" t="s">
        <v>26</v>
      </c>
      <c r="AR3" s="4"/>
      <c r="AS3" s="4" t="s">
        <v>32</v>
      </c>
      <c r="AT3" s="4" t="s">
        <v>33</v>
      </c>
      <c r="AU3" s="4" t="s">
        <v>34</v>
      </c>
      <c r="AV3" s="4" t="s">
        <v>35</v>
      </c>
      <c r="AW3" s="4" t="s">
        <v>40</v>
      </c>
      <c r="AX3" s="4" t="s">
        <v>41</v>
      </c>
      <c r="AY3" s="4" t="s">
        <v>42</v>
      </c>
      <c r="AZ3" s="4" t="s">
        <v>43</v>
      </c>
      <c r="BA3" s="4" t="s">
        <v>29</v>
      </c>
      <c r="BC3" s="4" t="s">
        <v>21</v>
      </c>
      <c r="BD3" s="4" t="s">
        <v>22</v>
      </c>
      <c r="BE3" s="4" t="s">
        <v>23</v>
      </c>
      <c r="BF3" s="4" t="s">
        <v>24</v>
      </c>
      <c r="BH3" s="27" t="s">
        <v>98</v>
      </c>
    </row>
    <row r="4" spans="1:60" s="8" customFormat="1" x14ac:dyDescent="0.2">
      <c r="A4" s="15" t="s">
        <v>64</v>
      </c>
      <c r="B4" s="7"/>
      <c r="C4" s="4"/>
      <c r="D4" s="4"/>
      <c r="E4" s="4"/>
      <c r="F4" s="21"/>
      <c r="G4" s="21"/>
      <c r="H4" s="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2"/>
      <c r="BC4" s="21"/>
      <c r="BD4" s="21"/>
      <c r="BE4" s="21"/>
      <c r="BF4" s="21"/>
      <c r="BH4" s="22"/>
    </row>
    <row r="5" spans="1:60" x14ac:dyDescent="0.2">
      <c r="B5" s="2" t="s">
        <v>99</v>
      </c>
      <c r="C5" s="2" t="s">
        <v>8</v>
      </c>
      <c r="D5" t="s">
        <v>85</v>
      </c>
      <c r="E5" t="s">
        <v>75</v>
      </c>
      <c r="F5" s="18">
        <v>300</v>
      </c>
      <c r="G5" s="18">
        <v>520</v>
      </c>
      <c r="H5" s="18">
        <v>520</v>
      </c>
      <c r="I5" s="18">
        <f t="shared" ref="I5:I9" si="0">+L5+M5+N5+O5+P5+Q5</f>
        <v>27.508136052377598</v>
      </c>
      <c r="K5" s="13">
        <f t="shared" ref="K5:K9" si="1">+(AT5+(2*AU5*G5/BA5))*AV5</f>
        <v>7.962827285966557</v>
      </c>
      <c r="L5" s="13">
        <f t="shared" ref="L5:L9" si="2">+$K5*BC5</f>
        <v>24.147937845612443</v>
      </c>
      <c r="M5" s="13">
        <f t="shared" ref="M5:M9" si="3">+$K5*BF5</f>
        <v>1.6961898217312097</v>
      </c>
      <c r="N5" s="13">
        <f t="shared" ref="N5:N9" si="4">+$K5*BD5</f>
        <v>0.92499854700403128</v>
      </c>
      <c r="O5" s="13">
        <f t="shared" ref="O5:O9" si="5">+$K5*BE5</f>
        <v>0.70621762726885651</v>
      </c>
      <c r="P5" s="13">
        <f t="shared" ref="P5:P9" si="6">+AP5*R5/2000</f>
        <v>2.5650925729316387E-2</v>
      </c>
      <c r="Q5" s="13">
        <f t="shared" ref="Q5:Q9" si="7">+AQ5*S5/2000</f>
        <v>7.1412850317438816E-3</v>
      </c>
      <c r="R5" s="13">
        <f t="shared" ref="R5:R9" si="8">+(($G5*AY5)+AZ5)*K5</f>
        <v>1.1400411435251727</v>
      </c>
      <c r="S5" s="13">
        <f t="shared" ref="S5:S9" si="9">+(($G5*AW5) + AX5)*K5</f>
        <v>11.518201664103035</v>
      </c>
      <c r="T5" s="13"/>
      <c r="U5" s="13">
        <f t="shared" ref="U5:U9" si="10">+(AS5*BA5)*AV5</f>
        <v>2044.1725925026531</v>
      </c>
      <c r="V5" s="13">
        <f t="shared" ref="V5:V9" si="11">+( (AT5*G5) + ((AU5/BA5)*G5*G5))* AV5</f>
        <v>3051.7751137552691</v>
      </c>
      <c r="W5" s="13">
        <f t="shared" ref="W5:W9" si="12">+U5+V5</f>
        <v>5095.9477062579226</v>
      </c>
      <c r="X5" s="13">
        <f t="shared" ref="X5:X9" si="13">$W5*BC5</f>
        <v>15453.886421984669</v>
      </c>
      <c r="Y5" s="13">
        <f t="shared" ref="Y5:Y9" si="14">$W5*BF5</f>
        <v>1085.5057281805641</v>
      </c>
      <c r="Z5" s="13">
        <f t="shared" ref="Z5:Z9" si="15">$W5*BD5</f>
        <v>591.96866321645109</v>
      </c>
      <c r="AA5" s="13">
        <f t="shared" ref="AA5:AA9" si="16">+$W5*BE5</f>
        <v>451.95606642657458</v>
      </c>
      <c r="AB5" s="13">
        <f t="shared" ref="AB5:AB9" si="17">+AN5*AD5/2000</f>
        <v>8.6821073868376306</v>
      </c>
      <c r="AC5" s="13">
        <f t="shared" ref="AC5:AC9" si="18">+AO5*AE5/2000</f>
        <v>696.29020527047294</v>
      </c>
      <c r="AD5" s="13">
        <f>+((G5*AY5)+AZ5)*W5</f>
        <v>729.58885603677561</v>
      </c>
      <c r="AE5" s="13">
        <f t="shared" ref="AE5:AE9" si="19">+((G5*AW5) + AX5)*W5</f>
        <v>7371.270434792219</v>
      </c>
      <c r="AF5" s="1"/>
      <c r="AM5" s="1"/>
      <c r="AN5" s="23">
        <v>23.8</v>
      </c>
      <c r="AO5" s="6">
        <v>188.92</v>
      </c>
      <c r="AP5" s="6">
        <v>45</v>
      </c>
      <c r="AQ5" s="6">
        <v>1.24</v>
      </c>
      <c r="AR5" s="6"/>
      <c r="AS5" s="6">
        <v>1998.9547050000001</v>
      </c>
      <c r="AT5" s="6">
        <v>3.6912699500000001</v>
      </c>
      <c r="AU5" s="6">
        <v>3.9379005E-3</v>
      </c>
      <c r="AV5" s="6">
        <v>1.0226207664383535</v>
      </c>
      <c r="AW5" s="6">
        <v>0</v>
      </c>
      <c r="AX5" s="6">
        <v>1.446496483027123</v>
      </c>
      <c r="AY5" s="6">
        <v>0</v>
      </c>
      <c r="AZ5" s="6">
        <v>0.14317039696871817</v>
      </c>
      <c r="BA5" s="18">
        <f>H5/BH5</f>
        <v>1</v>
      </c>
      <c r="BB5" s="6"/>
      <c r="BC5" s="6">
        <v>3.0325834001410565</v>
      </c>
      <c r="BD5" s="6">
        <v>0.11616458749949536</v>
      </c>
      <c r="BE5" s="6">
        <v>8.8689306185690209E-2</v>
      </c>
      <c r="BF5" s="6">
        <v>0.21301351402164942</v>
      </c>
      <c r="BH5" s="6">
        <v>520</v>
      </c>
    </row>
    <row r="6" spans="1:60" x14ac:dyDescent="0.2">
      <c r="B6" s="2" t="s">
        <v>99</v>
      </c>
      <c r="C6" s="2" t="s">
        <v>8</v>
      </c>
      <c r="D6" t="s">
        <v>86</v>
      </c>
      <c r="E6" t="s">
        <v>75</v>
      </c>
      <c r="F6" s="18">
        <v>185</v>
      </c>
      <c r="G6" s="18">
        <v>374</v>
      </c>
      <c r="H6" s="18">
        <v>374</v>
      </c>
      <c r="I6" s="18">
        <f t="shared" si="0"/>
        <v>32.853380267696707</v>
      </c>
      <c r="K6" s="13">
        <f t="shared" si="1"/>
        <v>10.567677413233852</v>
      </c>
      <c r="L6" s="13">
        <f t="shared" si="2"/>
        <v>27.197980251165077</v>
      </c>
      <c r="M6" s="13">
        <f t="shared" si="3"/>
        <v>1.7915256494974281</v>
      </c>
      <c r="N6" s="13">
        <f t="shared" si="4"/>
        <v>1.9648039465252463</v>
      </c>
      <c r="O6" s="13">
        <f t="shared" si="5"/>
        <v>1.8802677160887562</v>
      </c>
      <c r="P6" s="13">
        <f t="shared" si="6"/>
        <v>1.8032029386458873E-2</v>
      </c>
      <c r="Q6" s="13">
        <f t="shared" si="7"/>
        <v>7.7067503373237363E-4</v>
      </c>
      <c r="R6" s="13">
        <f t="shared" si="8"/>
        <v>0.80142352828706098</v>
      </c>
      <c r="S6" s="13">
        <f t="shared" si="9"/>
        <v>1.2430242479554414</v>
      </c>
      <c r="T6" s="13"/>
      <c r="U6" s="13">
        <f t="shared" si="10"/>
        <v>1079.0718224538882</v>
      </c>
      <c r="V6" s="13">
        <f t="shared" si="11"/>
        <v>2656.1800448354529</v>
      </c>
      <c r="W6" s="13">
        <f t="shared" si="12"/>
        <v>3735.2518672893411</v>
      </c>
      <c r="X6" s="13">
        <f>$W6*BC6</f>
        <v>9613.3996664622518</v>
      </c>
      <c r="Y6" s="13">
        <f t="shared" si="14"/>
        <v>633.23275928179908</v>
      </c>
      <c r="Z6" s="13">
        <f>$W6*BD6</f>
        <v>694.4797161318769</v>
      </c>
      <c r="AA6" s="13">
        <f t="shared" si="16"/>
        <v>664.59953525163246</v>
      </c>
      <c r="AB6" s="13">
        <f t="shared" si="17"/>
        <v>3.3709273570958498</v>
      </c>
      <c r="AC6" s="13">
        <f t="shared" si="18"/>
        <v>41.501891029835043</v>
      </c>
      <c r="AD6" s="13">
        <f t="shared" ref="AD6:AD9" si="20">+((G6*AY6)+AZ6)*W6</f>
        <v>283.27120647864285</v>
      </c>
      <c r="AE6" s="13">
        <f t="shared" si="19"/>
        <v>439.35942229340515</v>
      </c>
      <c r="AF6" s="1"/>
      <c r="AM6" s="1"/>
      <c r="AN6" s="23">
        <v>23.8</v>
      </c>
      <c r="AO6" s="6">
        <v>188.92</v>
      </c>
      <c r="AP6" s="6">
        <v>45</v>
      </c>
      <c r="AQ6" s="6">
        <v>1.24</v>
      </c>
      <c r="AR6" s="6"/>
      <c r="AS6" s="6">
        <v>2058.86</v>
      </c>
      <c r="AT6" s="6">
        <v>3.4691999999999998</v>
      </c>
      <c r="AU6" s="6">
        <v>4.4200000000000003E-3</v>
      </c>
      <c r="AV6" s="6">
        <v>1.0482226304400379</v>
      </c>
      <c r="AW6" s="6">
        <v>0</v>
      </c>
      <c r="AX6" s="6">
        <v>0.11762511281796018</v>
      </c>
      <c r="AY6" s="6">
        <v>0</v>
      </c>
      <c r="AZ6" s="6">
        <v>7.5837243790526962E-2</v>
      </c>
      <c r="BA6" s="26">
        <f>H6/BH6</f>
        <v>0.5</v>
      </c>
      <c r="BB6" s="6"/>
      <c r="BC6" s="6">
        <v>2.5736951638119816</v>
      </c>
      <c r="BD6" s="6">
        <v>0.18592580656036412</v>
      </c>
      <c r="BE6" s="6">
        <v>0.17792629757359038</v>
      </c>
      <c r="BF6" s="6">
        <v>0.16952879799812104</v>
      </c>
      <c r="BH6" s="6">
        <v>748</v>
      </c>
    </row>
    <row r="7" spans="1:60" x14ac:dyDescent="0.2">
      <c r="B7" s="2" t="s">
        <v>99</v>
      </c>
      <c r="C7" s="2" t="s">
        <v>8</v>
      </c>
      <c r="D7" t="s">
        <v>87</v>
      </c>
      <c r="E7" t="s">
        <v>75</v>
      </c>
      <c r="F7" s="18">
        <v>205.26048284625159</v>
      </c>
      <c r="G7" s="18">
        <v>394</v>
      </c>
      <c r="H7" s="18">
        <v>394</v>
      </c>
      <c r="I7" s="18">
        <f t="shared" si="0"/>
        <v>32.613338442154678</v>
      </c>
      <c r="K7" s="13">
        <f t="shared" si="1"/>
        <v>10.490032878656564</v>
      </c>
      <c r="L7" s="13">
        <f t="shared" si="2"/>
        <v>26.998146888027076</v>
      </c>
      <c r="M7" s="13">
        <f t="shared" si="3"/>
        <v>1.7783626648794169</v>
      </c>
      <c r="N7" s="13">
        <f t="shared" si="4"/>
        <v>1.9503678238089599</v>
      </c>
      <c r="O7" s="13">
        <f t="shared" si="5"/>
        <v>1.8664463177319142</v>
      </c>
      <c r="P7" s="13">
        <f t="shared" si="6"/>
        <v>1.9610177985338061E-2</v>
      </c>
      <c r="Q7" s="13">
        <f t="shared" si="7"/>
        <v>4.0456972197325719E-4</v>
      </c>
      <c r="R7" s="13">
        <f t="shared" si="8"/>
        <v>0.87156346601502499</v>
      </c>
      <c r="S7" s="13">
        <f t="shared" si="9"/>
        <v>0.65253180963428581</v>
      </c>
      <c r="T7" s="13"/>
      <c r="U7" s="13">
        <f t="shared" si="10"/>
        <v>1037.0406283421755</v>
      </c>
      <c r="V7" s="13">
        <f t="shared" si="11"/>
        <v>2754.1478155918312</v>
      </c>
      <c r="W7" s="13">
        <f t="shared" si="12"/>
        <v>3791.1884439340065</v>
      </c>
      <c r="X7" s="13">
        <f t="shared" si="13"/>
        <v>9757.3633632528254</v>
      </c>
      <c r="Y7" s="13">
        <f t="shared" si="14"/>
        <v>642.71561988449901</v>
      </c>
      <c r="Z7" s="13">
        <f t="shared" si="15"/>
        <v>704.87976926076192</v>
      </c>
      <c r="AA7" s="13">
        <f t="shared" si="16"/>
        <v>674.54981246108605</v>
      </c>
      <c r="AB7" s="13">
        <f t="shared" si="17"/>
        <v>3.7483876749411467</v>
      </c>
      <c r="AC7" s="13">
        <f t="shared" si="18"/>
        <v>22.27656125118418</v>
      </c>
      <c r="AD7" s="13">
        <f t="shared" si="20"/>
        <v>314.99056091942407</v>
      </c>
      <c r="AE7" s="13">
        <f t="shared" si="19"/>
        <v>235.83062937946411</v>
      </c>
      <c r="AF7" s="1"/>
      <c r="AM7" s="1"/>
      <c r="AN7" s="23">
        <v>23.8</v>
      </c>
      <c r="AO7" s="6">
        <v>188.92</v>
      </c>
      <c r="AP7" s="6">
        <v>45</v>
      </c>
      <c r="AQ7" s="6">
        <v>1.24</v>
      </c>
      <c r="AR7" s="6"/>
      <c r="AS7" s="6">
        <v>2058.86</v>
      </c>
      <c r="AT7" s="6">
        <v>3.4691999999999998</v>
      </c>
      <c r="AU7" s="6">
        <v>4.4200000000000003E-3</v>
      </c>
      <c r="AV7" s="6">
        <v>1.0061146332782702</v>
      </c>
      <c r="AW7" s="6">
        <v>0</v>
      </c>
      <c r="AX7" s="6">
        <v>6.2204934644385416E-2</v>
      </c>
      <c r="AY7" s="6">
        <v>0</v>
      </c>
      <c r="AZ7" s="6">
        <v>8.3084912706836461E-2</v>
      </c>
      <c r="BA7" s="26">
        <f t="shared" ref="BA7:BA9" si="21">H7/BH7</f>
        <v>0.5006353240152478</v>
      </c>
      <c r="BB7" s="6"/>
      <c r="BC7" s="6">
        <v>2.5736951638119816</v>
      </c>
      <c r="BD7" s="6">
        <v>0.18592580656036412</v>
      </c>
      <c r="BE7" s="6">
        <v>0.17792568806237583</v>
      </c>
      <c r="BF7" s="6">
        <v>0.16952879799812104</v>
      </c>
      <c r="BH7" s="6">
        <v>787</v>
      </c>
    </row>
    <row r="8" spans="1:60" x14ac:dyDescent="0.2">
      <c r="B8" s="2" t="s">
        <v>99</v>
      </c>
      <c r="C8" s="2" t="s">
        <v>8</v>
      </c>
      <c r="D8" t="s">
        <v>83</v>
      </c>
      <c r="E8" t="s">
        <v>75</v>
      </c>
      <c r="F8" s="18">
        <v>37.200000000000003</v>
      </c>
      <c r="G8" s="18">
        <v>37.200000000000003</v>
      </c>
      <c r="H8" s="18">
        <v>37.200000000000003</v>
      </c>
      <c r="I8" s="18">
        <f t="shared" si="0"/>
        <v>22.27602352442063</v>
      </c>
      <c r="K8" s="13">
        <f t="shared" si="1"/>
        <v>8.1368645296308291</v>
      </c>
      <c r="L8" s="13">
        <f t="shared" si="2"/>
        <v>20.468241117922364</v>
      </c>
      <c r="M8" s="13">
        <f t="shared" si="3"/>
        <v>0.73872857815908188</v>
      </c>
      <c r="N8" s="13">
        <f t="shared" si="4"/>
        <v>1.0210741697873904</v>
      </c>
      <c r="O8" s="13">
        <f t="shared" si="5"/>
        <v>5.129132535706129E-4</v>
      </c>
      <c r="P8" s="13">
        <f t="shared" si="6"/>
        <v>4.3770034369828362E-2</v>
      </c>
      <c r="Q8" s="13">
        <f t="shared" si="7"/>
        <v>3.6967109283954826E-3</v>
      </c>
      <c r="R8" s="13">
        <f t="shared" si="8"/>
        <v>1.9453348608812604</v>
      </c>
      <c r="S8" s="13">
        <f t="shared" si="9"/>
        <v>5.9624369812830365</v>
      </c>
      <c r="T8" s="13"/>
      <c r="U8" s="13">
        <f t="shared" si="10"/>
        <v>202.52181582303126</v>
      </c>
      <c r="V8" s="13">
        <f t="shared" si="11"/>
        <v>296.40405433377435</v>
      </c>
      <c r="W8" s="13">
        <f t="shared" si="12"/>
        <v>498.92587015680562</v>
      </c>
      <c r="X8" s="13">
        <f t="shared" si="13"/>
        <v>1255.0454752135402</v>
      </c>
      <c r="Y8" s="13">
        <f t="shared" si="14"/>
        <v>45.296415753949127</v>
      </c>
      <c r="Z8" s="13">
        <f t="shared" si="15"/>
        <v>62.608922245252749</v>
      </c>
      <c r="AA8" s="13">
        <f t="shared" si="16"/>
        <v>3.1450159999688088E-2</v>
      </c>
      <c r="AB8" s="13">
        <f t="shared" si="17"/>
        <v>1.4194505546525893</v>
      </c>
      <c r="AC8" s="13">
        <f t="shared" si="18"/>
        <v>34.534301880441816</v>
      </c>
      <c r="AD8" s="13">
        <f t="shared" si="20"/>
        <v>119.2815592145033</v>
      </c>
      <c r="AE8" s="13">
        <f t="shared" si="19"/>
        <v>365.59709803558985</v>
      </c>
      <c r="AF8" s="1"/>
      <c r="AM8" s="1"/>
      <c r="AN8" s="23">
        <v>23.8</v>
      </c>
      <c r="AO8" s="6">
        <v>188.92</v>
      </c>
      <c r="AP8" s="6">
        <v>45</v>
      </c>
      <c r="AQ8" s="6">
        <v>1.24</v>
      </c>
      <c r="AR8" s="6"/>
      <c r="AS8" s="6">
        <v>1287.05849583605</v>
      </c>
      <c r="AT8" s="6">
        <v>7.4344285711329796</v>
      </c>
      <c r="AU8" s="6">
        <v>6.4966238300148899E-4</v>
      </c>
      <c r="AV8" s="6">
        <v>1.0490163758587974</v>
      </c>
      <c r="AW8" s="6">
        <v>0</v>
      </c>
      <c r="AX8" s="6">
        <v>0.73276837282598251</v>
      </c>
      <c r="AY8" s="6">
        <v>0</v>
      </c>
      <c r="AZ8" s="6">
        <v>0.23907671730274224</v>
      </c>
      <c r="BA8" s="26">
        <f t="shared" si="21"/>
        <v>0.15000000000000002</v>
      </c>
      <c r="BB8" s="6"/>
      <c r="BC8" s="6">
        <v>2.5154948866834594</v>
      </c>
      <c r="BD8" s="6">
        <v>0.12548742406477262</v>
      </c>
      <c r="BE8" s="6">
        <v>6.3035737132259212E-5</v>
      </c>
      <c r="BF8" s="6">
        <v>9.0787867423497357E-2</v>
      </c>
      <c r="BH8" s="6">
        <v>248</v>
      </c>
    </row>
    <row r="9" spans="1:60" x14ac:dyDescent="0.2">
      <c r="B9" s="2" t="s">
        <v>99</v>
      </c>
      <c r="C9" s="2" t="s">
        <v>8</v>
      </c>
      <c r="D9" t="s">
        <v>84</v>
      </c>
      <c r="E9" t="s">
        <v>75</v>
      </c>
      <c r="F9" s="18">
        <v>82.5</v>
      </c>
      <c r="G9" s="18">
        <v>195.15</v>
      </c>
      <c r="H9" s="18">
        <v>195.15</v>
      </c>
      <c r="I9" s="18">
        <f t="shared" si="0"/>
        <v>25.710770774930577</v>
      </c>
      <c r="K9" s="13">
        <f t="shared" si="1"/>
        <v>9.3909390829674635</v>
      </c>
      <c r="L9" s="13">
        <f t="shared" si="2"/>
        <v>23.622859244360509</v>
      </c>
      <c r="M9" s="13">
        <f t="shared" si="3"/>
        <v>0.8525833324465899</v>
      </c>
      <c r="N9" s="13">
        <f t="shared" si="4"/>
        <v>1.1784447550707851</v>
      </c>
      <c r="O9" s="13">
        <f t="shared" si="5"/>
        <v>5.9178121024857137E-4</v>
      </c>
      <c r="P9" s="13">
        <f t="shared" si="6"/>
        <v>5.1870426121683244E-2</v>
      </c>
      <c r="Q9" s="13">
        <f t="shared" si="7"/>
        <v>4.4212357207598068E-3</v>
      </c>
      <c r="R9" s="13">
        <f t="shared" si="8"/>
        <v>2.3053522720748107</v>
      </c>
      <c r="S9" s="13">
        <f t="shared" si="9"/>
        <v>7.131025356064205</v>
      </c>
      <c r="T9" s="13"/>
      <c r="U9" s="13">
        <f t="shared" si="10"/>
        <v>188.02348632290375</v>
      </c>
      <c r="V9" s="13">
        <f t="shared" si="11"/>
        <v>1685.8928898363088</v>
      </c>
      <c r="W9" s="13">
        <f t="shared" si="12"/>
        <v>1873.9163761592126</v>
      </c>
      <c r="X9" s="13">
        <f t="shared" si="13"/>
        <v>4713.8270623008975</v>
      </c>
      <c r="Y9" s="13">
        <f t="shared" si="14"/>
        <v>170.1288715214632</v>
      </c>
      <c r="Z9" s="13">
        <f t="shared" si="15"/>
        <v>235.15293895701308</v>
      </c>
      <c r="AA9" s="13">
        <f t="shared" si="16"/>
        <v>0.11808707214376871</v>
      </c>
      <c r="AB9" s="13">
        <f t="shared" si="17"/>
        <v>5.4742602751174152</v>
      </c>
      <c r="AC9" s="13">
        <f t="shared" si="18"/>
        <v>134.41294761146273</v>
      </c>
      <c r="AD9" s="13">
        <f t="shared" si="20"/>
        <v>460.02187185860635</v>
      </c>
      <c r="AE9" s="13">
        <f t="shared" si="19"/>
        <v>1422.9615457491293</v>
      </c>
      <c r="AF9" s="1"/>
      <c r="AH9" s="6"/>
      <c r="AM9" s="1"/>
      <c r="AN9" s="23">
        <v>23.8</v>
      </c>
      <c r="AO9" s="6">
        <v>188.92</v>
      </c>
      <c r="AP9" s="6">
        <v>45</v>
      </c>
      <c r="AQ9" s="6">
        <v>1.24</v>
      </c>
      <c r="AR9" s="6"/>
      <c r="AS9" s="6">
        <v>1207.93772014709</v>
      </c>
      <c r="AT9" s="6">
        <v>7.6003642089589096</v>
      </c>
      <c r="AU9" s="6">
        <v>5.5699669881773104E-4</v>
      </c>
      <c r="AV9" s="6">
        <v>1.0377107096769207</v>
      </c>
      <c r="AW9" s="6">
        <v>0</v>
      </c>
      <c r="AX9" s="6">
        <v>0.75935167857684116</v>
      </c>
      <c r="AY9" s="6">
        <v>0</v>
      </c>
      <c r="AZ9" s="6">
        <v>0.24548687321974805</v>
      </c>
      <c r="BA9" s="26">
        <f t="shared" si="21"/>
        <v>0.15</v>
      </c>
      <c r="BB9" s="6"/>
      <c r="BC9" s="6">
        <v>2.5154948866834594</v>
      </c>
      <c r="BD9" s="6">
        <v>0.12548742406477262</v>
      </c>
      <c r="BE9" s="6">
        <v>6.3016190928327599E-5</v>
      </c>
      <c r="BF9" s="6">
        <v>9.0787867423497357E-2</v>
      </c>
      <c r="BH9" s="6">
        <v>1301</v>
      </c>
    </row>
    <row r="10" spans="1:60" x14ac:dyDescent="0.2">
      <c r="B10" s="2" t="s">
        <v>99</v>
      </c>
      <c r="C10" s="2" t="s">
        <v>8</v>
      </c>
      <c r="D10" t="str">
        <f>+'Transactions and Load'!C6</f>
        <v>SPOT MARKET ENERGY - BAL</v>
      </c>
      <c r="E10" t="s">
        <v>75</v>
      </c>
      <c r="F10" s="18">
        <v>0</v>
      </c>
      <c r="G10" s="18">
        <f>+AL10</f>
        <v>112.464</v>
      </c>
      <c r="H10" s="18">
        <f>+AL10</f>
        <v>112.464</v>
      </c>
      <c r="I10" s="18">
        <f>+AJ10</f>
        <v>35.97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f>+G10*AJ10</f>
        <v>4045.3300799999997</v>
      </c>
      <c r="Y10" s="13"/>
      <c r="Z10" s="13">
        <f t="shared" ref="Z10" si="22">G10*AK10</f>
        <v>0</v>
      </c>
      <c r="AA10" s="13"/>
      <c r="AB10" s="13"/>
      <c r="AC10" s="13"/>
      <c r="AD10" s="13"/>
      <c r="AE10" s="13"/>
      <c r="AF10" s="1"/>
      <c r="AG10" t="s">
        <v>9</v>
      </c>
      <c r="AH10" s="6" t="s">
        <v>77</v>
      </c>
      <c r="AI10" t="str">
        <f>+D10</f>
        <v>SPOT MARKET ENERGY - BAL</v>
      </c>
      <c r="AJ10" s="13">
        <f>SUMIFS('Transactions and Load'!$D$2:$D$6,  'Transactions and Load'!$C$2:$C$6,Dispatch!$D10, 'Transactions and Load'!$A$2:$A$6,"PURCHASE")</f>
        <v>35.97</v>
      </c>
      <c r="AK10" s="13">
        <v>0</v>
      </c>
      <c r="AL10" s="13">
        <f>SUMIFS('Transactions and Load'!$E$2:$E$6,  'Transactions and Load'!$C$2:$C$6,Dispatch!$D10, 'Transactions and Load'!$A$2:$A$6,"PURCHASE")</f>
        <v>112.464</v>
      </c>
      <c r="AM10" s="1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18"/>
      <c r="BB10" s="6"/>
      <c r="BC10" s="6"/>
      <c r="BD10" s="6"/>
      <c r="BE10" s="6"/>
      <c r="BF10" s="6"/>
      <c r="BH10" s="6"/>
    </row>
    <row r="11" spans="1:60" x14ac:dyDescent="0.2">
      <c r="B11" s="2"/>
      <c r="F11" s="18"/>
      <c r="G11" s="18"/>
      <c r="H11" s="18"/>
      <c r="I11" s="1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"/>
      <c r="AJ11" s="13"/>
      <c r="AK11" s="13"/>
      <c r="AL11" s="13"/>
      <c r="AM11" s="1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18"/>
      <c r="BB11" s="6"/>
      <c r="BC11" s="6"/>
      <c r="BD11" s="6"/>
      <c r="BE11" s="6"/>
      <c r="BF11" s="6"/>
      <c r="BH11" s="6"/>
    </row>
    <row r="12" spans="1:60" x14ac:dyDescent="0.2">
      <c r="B12" s="2"/>
      <c r="F12" s="18"/>
      <c r="G12" s="18"/>
      <c r="H12" s="18"/>
      <c r="I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M12" s="1"/>
      <c r="AR12" s="6"/>
      <c r="BA12" s="13"/>
      <c r="BC12" s="6"/>
    </row>
    <row r="13" spans="1:60" x14ac:dyDescent="0.2">
      <c r="A13" s="5" t="s">
        <v>65</v>
      </c>
      <c r="B13" s="2"/>
      <c r="F13" s="18"/>
      <c r="G13" s="18"/>
      <c r="H13" s="18"/>
      <c r="I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AD13" s="13"/>
      <c r="AE13" s="13"/>
      <c r="AF13" s="1"/>
      <c r="AM13" s="1"/>
      <c r="AR13" s="6"/>
      <c r="BA13" s="13"/>
      <c r="BC13" s="6"/>
    </row>
    <row r="14" spans="1:60" x14ac:dyDescent="0.2">
      <c r="B14" s="2"/>
      <c r="C14" s="2" t="s">
        <v>8</v>
      </c>
      <c r="D14" t="str">
        <f>+'Transactions and Load'!C3</f>
        <v>COMPANY LOAD OBLIGATION</v>
      </c>
      <c r="F14" s="18"/>
      <c r="G14" s="18">
        <f>-1*SUMIFS('Transactions and Load'!$E$2:$E$6,'Transactions and Load'!$C$2:$C$6,D14)</f>
        <v>-816.71</v>
      </c>
      <c r="H14" s="13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"/>
      <c r="AM14" s="1"/>
      <c r="AR14" s="6"/>
      <c r="BA14" s="13"/>
      <c r="BC14" s="6"/>
    </row>
    <row r="15" spans="1:60" x14ac:dyDescent="0.2">
      <c r="B15" s="2"/>
      <c r="C15" s="2" t="s">
        <v>8</v>
      </c>
      <c r="D15" t="str">
        <f>+'Transactions and Load'!C4</f>
        <v>FIRM LOAD OBLIGATION</v>
      </c>
      <c r="F15" s="18"/>
      <c r="G15" s="18">
        <f>-1*SUMIFS('Transactions and Load'!$E$2:$E$6,'Transactions and Load'!$C$2:$C$6,D15)</f>
        <v>-11.545999999999999</v>
      </c>
      <c r="H15" s="13"/>
      <c r="I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"/>
      <c r="AM15" s="1"/>
      <c r="AR15" s="6"/>
      <c r="BA15" s="13"/>
      <c r="BC15" s="6"/>
    </row>
    <row r="16" spans="1:60" x14ac:dyDescent="0.2">
      <c r="B16" s="2"/>
      <c r="C16" s="2" t="s">
        <v>8</v>
      </c>
      <c r="D16" t="str">
        <f>+'Transactions and Load'!C2</f>
        <v>MARGINAL_LOSS LOAD ADJUSTMENT</v>
      </c>
      <c r="F16" s="18"/>
      <c r="G16" s="18">
        <f>-1*SUMIFS('Transactions and Load'!$E$2:$E$6,'Transactions and Load'!$C$2:$C$6,D16)</f>
        <v>25.292000000000002</v>
      </c>
      <c r="H16" s="13"/>
      <c r="I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"/>
      <c r="AM16" s="1"/>
      <c r="AR16" s="6"/>
      <c r="BA16" s="13"/>
      <c r="BC16" s="6"/>
    </row>
    <row r="17" spans="1:58" x14ac:dyDescent="0.2">
      <c r="B17" s="2"/>
      <c r="C17" s="2" t="s">
        <v>8</v>
      </c>
      <c r="D17" t="str">
        <f>'Transactions and Load'!C5</f>
        <v>SPOT MARKET ENERGY - DA</v>
      </c>
      <c r="F17" s="18"/>
      <c r="G17" s="18">
        <f>-1*SUMIFS('Transactions and Load'!$E$2:$E$6,'Transactions and Load'!$C$2:$C$6,D17)</f>
        <v>-829.85</v>
      </c>
      <c r="H17" s="13"/>
      <c r="I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"/>
      <c r="AM17" s="1"/>
      <c r="AR17" s="6"/>
      <c r="BA17" s="13"/>
      <c r="BC17" s="6"/>
    </row>
    <row r="18" spans="1:58" x14ac:dyDescent="0.2">
      <c r="B18" s="2"/>
      <c r="F18" s="18"/>
      <c r="G18" s="18"/>
      <c r="H18" s="13"/>
      <c r="I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"/>
      <c r="AM18" s="1"/>
      <c r="AR18" s="6"/>
      <c r="BA18" s="13"/>
      <c r="BC18" s="6"/>
    </row>
    <row r="19" spans="1:58" x14ac:dyDescent="0.2">
      <c r="B19" s="2"/>
      <c r="C19" s="10" t="s">
        <v>61</v>
      </c>
      <c r="F19" s="13"/>
      <c r="G19" s="13">
        <f>SUM(G5:G17)</f>
        <v>0</v>
      </c>
      <c r="H19" s="13"/>
      <c r="I19" s="13"/>
      <c r="J19" s="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"/>
      <c r="AM19" s="1"/>
      <c r="AR19" s="6"/>
      <c r="BA19" s="13"/>
      <c r="BC19" s="6"/>
    </row>
    <row r="20" spans="1:58" x14ac:dyDescent="0.2">
      <c r="B20" s="2"/>
      <c r="C20" s="6"/>
      <c r="F20" s="18"/>
      <c r="G20" s="13"/>
      <c r="H20" s="13"/>
      <c r="I20" s="13"/>
      <c r="J20" s="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"/>
      <c r="AM20" s="1"/>
      <c r="AR20" s="6"/>
      <c r="BA20" s="13"/>
      <c r="BC20" s="6"/>
    </row>
    <row r="21" spans="1:58" x14ac:dyDescent="0.2">
      <c r="B21" s="2"/>
      <c r="F21" s="18"/>
      <c r="G21" s="13"/>
      <c r="H21" s="13"/>
      <c r="I21" s="13"/>
      <c r="J21" s="25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"/>
      <c r="AM21" s="1"/>
      <c r="AR21" s="6"/>
      <c r="BA21" s="13"/>
      <c r="BC21" s="6"/>
    </row>
    <row r="22" spans="1:58" x14ac:dyDescent="0.2">
      <c r="A22" s="20" t="s">
        <v>89</v>
      </c>
      <c r="B22" s="2"/>
      <c r="F22" s="18"/>
      <c r="G22" s="13"/>
      <c r="H22" s="13"/>
      <c r="I22" s="13"/>
      <c r="J22" s="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"/>
      <c r="AM22" s="1"/>
      <c r="AR22" s="6"/>
      <c r="BA22" s="13"/>
      <c r="BC22" s="6"/>
    </row>
    <row r="23" spans="1:58" x14ac:dyDescent="0.2">
      <c r="A23" s="15" t="s">
        <v>88</v>
      </c>
      <c r="B23" s="2"/>
      <c r="F23" s="18"/>
      <c r="G23" s="18"/>
      <c r="H23" s="18"/>
      <c r="I23" s="13"/>
      <c r="J23" s="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"/>
      <c r="AM23" s="1"/>
      <c r="AR23" s="6"/>
      <c r="BA23" s="13"/>
      <c r="BC23" s="6"/>
    </row>
    <row r="24" spans="1:58" x14ac:dyDescent="0.2">
      <c r="B24" s="2"/>
      <c r="C24" t="s">
        <v>90</v>
      </c>
      <c r="D24" t="s">
        <v>85</v>
      </c>
      <c r="E24" t="s">
        <v>75</v>
      </c>
      <c r="F24" s="18">
        <f>F5</f>
        <v>300</v>
      </c>
      <c r="G24" s="18">
        <f>F5</f>
        <v>300</v>
      </c>
      <c r="H24" s="18">
        <f>G5</f>
        <v>520</v>
      </c>
      <c r="I24" s="13">
        <f t="shared" ref="I24:I28" si="23">+L24+M24+N24+O24+P24+Q24</f>
        <v>21.387086568991975</v>
      </c>
      <c r="J24" s="25"/>
      <c r="K24" s="13">
        <f t="shared" ref="K24:K28" si="24">+(AT24+(2*AU24*G24/BA24))*AV24</f>
        <v>6.1909566018806483</v>
      </c>
      <c r="L24" s="13">
        <f t="shared" ref="L24:L28" si="25">+$K24*BC24</f>
        <v>18.774592221856938</v>
      </c>
      <c r="M24" s="13">
        <f t="shared" ref="M24:M28" si="26">+$K24*BF24</f>
        <v>1.3187574209221264</v>
      </c>
      <c r="N24" s="13">
        <f t="shared" ref="N24:N28" si="27">+$K24*BD24</f>
        <v>0.71916991988474299</v>
      </c>
      <c r="O24" s="13">
        <f t="shared" ref="O24:O28" si="28">+$K24*BE24</f>
        <v>0.54907164564651301</v>
      </c>
      <c r="P24" s="13">
        <f t="shared" ref="P24:P28" si="29">+AP24*R24/2000</f>
        <v>1.9943138571915577E-2</v>
      </c>
      <c r="Q24" s="13">
        <f t="shared" ref="Q24:Q28" si="30">+AQ24*S24/2000</f>
        <v>5.552222109740222E-3</v>
      </c>
      <c r="R24" s="13">
        <f t="shared" ref="R24:R28" si="31">+(($G24*AY24)+AZ24)*K24</f>
        <v>0.88636171430735888</v>
      </c>
      <c r="S24" s="13">
        <f t="shared" ref="S24:S28" si="32">+(($G24*AW24) + AX24)*K24</f>
        <v>8.9551969511939067</v>
      </c>
      <c r="T24" s="13"/>
      <c r="U24" s="13">
        <f>+(AS24*BA24)*AV24</f>
        <v>2044.1725925026531</v>
      </c>
      <c r="V24" s="13">
        <f t="shared" ref="V24:V28" si="33">+( (AT24*G24) + ((AU24/BA24)*G24*G24))* AV24</f>
        <v>1494.8588860920768</v>
      </c>
      <c r="W24" s="13">
        <f>+U24+V24</f>
        <v>3539.0314785947298</v>
      </c>
      <c r="X24" s="13">
        <f t="shared" ref="X24:X28" si="34">$W24*BC24</f>
        <v>10732.408114563037</v>
      </c>
      <c r="Y24" s="13">
        <f t="shared" ref="Y24:Y28" si="35">$W24*BF24</f>
        <v>753.86153148869721</v>
      </c>
      <c r="Z24" s="13">
        <f t="shared" ref="Z24:Z28" si="36">$W24*BD24</f>
        <v>411.11013185868592</v>
      </c>
      <c r="AA24" s="13">
        <f t="shared" ref="AA24:AA28" si="37">+$W24*BE24</f>
        <v>313.87424640588392</v>
      </c>
      <c r="AB24" s="13">
        <f t="shared" ref="AB24:AB28" si="38">+AN24*AD24/2000</f>
        <v>6.0295460459348451</v>
      </c>
      <c r="AC24" s="13">
        <f t="shared" ref="AC24:AC28" si="39">+AO24*AE24/2000</f>
        <v>483.55930961836856</v>
      </c>
      <c r="AD24" s="13">
        <f t="shared" ref="AD24:AD28" si="40">+((G24*AY24)+AZ24)*W24</f>
        <v>506.68454167519707</v>
      </c>
      <c r="AE24" s="13">
        <f t="shared" ref="AE24:AE28" si="41">+((G24*AW24) + AX24)*W24</f>
        <v>5119.1965871095554</v>
      </c>
      <c r="AF24" s="1"/>
      <c r="AM24" s="1"/>
      <c r="AN24">
        <f t="shared" ref="AN24:AQ28" si="42">AN5</f>
        <v>23.8</v>
      </c>
      <c r="AO24">
        <f t="shared" si="42"/>
        <v>188.92</v>
      </c>
      <c r="AP24">
        <f t="shared" si="42"/>
        <v>45</v>
      </c>
      <c r="AQ24">
        <f t="shared" si="42"/>
        <v>1.24</v>
      </c>
      <c r="AR24" s="6"/>
      <c r="AS24">
        <f t="shared" ref="AS24:BA24" si="43">AS5</f>
        <v>1998.9547050000001</v>
      </c>
      <c r="AT24">
        <f t="shared" si="43"/>
        <v>3.6912699500000001</v>
      </c>
      <c r="AU24">
        <f t="shared" si="43"/>
        <v>3.9379005E-3</v>
      </c>
      <c r="AV24">
        <f t="shared" si="43"/>
        <v>1.0226207664383535</v>
      </c>
      <c r="AW24">
        <f t="shared" si="43"/>
        <v>0</v>
      </c>
      <c r="AX24">
        <f t="shared" si="43"/>
        <v>1.446496483027123</v>
      </c>
      <c r="AY24">
        <f t="shared" si="43"/>
        <v>0</v>
      </c>
      <c r="AZ24">
        <f t="shared" si="43"/>
        <v>0.14317039696871817</v>
      </c>
      <c r="BA24">
        <f t="shared" si="43"/>
        <v>1</v>
      </c>
      <c r="BC24">
        <f t="shared" ref="BC24:BF28" si="44">BC5</f>
        <v>3.0325834001410565</v>
      </c>
      <c r="BD24">
        <f t="shared" si="44"/>
        <v>0.11616458749949536</v>
      </c>
      <c r="BE24">
        <f t="shared" si="44"/>
        <v>8.8689306185690209E-2</v>
      </c>
      <c r="BF24">
        <f t="shared" si="44"/>
        <v>0.21301351402164942</v>
      </c>
    </row>
    <row r="25" spans="1:58" x14ac:dyDescent="0.2">
      <c r="B25" s="2"/>
      <c r="C25" t="s">
        <v>90</v>
      </c>
      <c r="D25" t="s">
        <v>86</v>
      </c>
      <c r="E25" t="s">
        <v>75</v>
      </c>
      <c r="F25" s="18">
        <f>F6</f>
        <v>185</v>
      </c>
      <c r="G25" s="18">
        <f t="shared" ref="G25:G29" si="45">F6</f>
        <v>185</v>
      </c>
      <c r="H25" s="18">
        <f t="shared" ref="H25:H29" si="46">G6</f>
        <v>374</v>
      </c>
      <c r="I25" s="13">
        <f t="shared" si="23"/>
        <v>21.964126739249213</v>
      </c>
      <c r="J25" s="25"/>
      <c r="K25" s="13">
        <f t="shared" si="24"/>
        <v>7.0650205291658557</v>
      </c>
      <c r="L25" s="13">
        <f t="shared" si="25"/>
        <v>18.183209168146529</v>
      </c>
      <c r="M25" s="13">
        <f t="shared" si="26"/>
        <v>1.1977244381415366</v>
      </c>
      <c r="N25" s="13">
        <f t="shared" si="27"/>
        <v>1.3135696402506922</v>
      </c>
      <c r="O25" s="13">
        <f t="shared" si="28"/>
        <v>1.2570529450358889</v>
      </c>
      <c r="P25" s="13">
        <f t="shared" si="29"/>
        <v>1.2055312895747149E-2</v>
      </c>
      <c r="Q25" s="13">
        <f t="shared" si="30"/>
        <v>5.1523477881868982E-4</v>
      </c>
      <c r="R25" s="13">
        <f t="shared" si="31"/>
        <v>0.53579168425542878</v>
      </c>
      <c r="S25" s="13">
        <f t="shared" si="32"/>
        <v>0.83102383680433844</v>
      </c>
      <c r="T25" s="13"/>
      <c r="U25" s="13">
        <f t="shared" ref="U25:U28" si="47">+(AS25*BA25)*AV25</f>
        <v>1079.0718224538882</v>
      </c>
      <c r="V25" s="13">
        <f t="shared" si="33"/>
        <v>989.89008927868042</v>
      </c>
      <c r="W25" s="13">
        <f t="shared" ref="W25:W28" si="48">+U25+V25</f>
        <v>2068.9619117325688</v>
      </c>
      <c r="X25" s="13">
        <f t="shared" si="34"/>
        <v>5324.8772663373038</v>
      </c>
      <c r="Y25" s="13">
        <f t="shared" si="35"/>
        <v>350.74862599991695</v>
      </c>
      <c r="Z25" s="13">
        <f t="shared" si="36"/>
        <v>384.6734121815507</v>
      </c>
      <c r="AA25" s="13">
        <f t="shared" si="37"/>
        <v>368.12273277535348</v>
      </c>
      <c r="AB25" s="13">
        <f t="shared" si="38"/>
        <v>1.8671619898311929</v>
      </c>
      <c r="AC25" s="13">
        <f t="shared" si="39"/>
        <v>22.987963022669415</v>
      </c>
      <c r="AD25" s="13">
        <f t="shared" si="40"/>
        <v>156.90436889337755</v>
      </c>
      <c r="AE25" s="13">
        <f t="shared" si="41"/>
        <v>243.36187828360596</v>
      </c>
      <c r="AF25" s="1"/>
      <c r="AM25" s="1"/>
      <c r="AN25">
        <f t="shared" si="42"/>
        <v>23.8</v>
      </c>
      <c r="AO25">
        <f t="shared" si="42"/>
        <v>188.92</v>
      </c>
      <c r="AP25">
        <f t="shared" si="42"/>
        <v>45</v>
      </c>
      <c r="AQ25">
        <f t="shared" si="42"/>
        <v>1.24</v>
      </c>
      <c r="AR25" s="6"/>
      <c r="AS25">
        <f t="shared" ref="AS25:BA25" si="49">AS6</f>
        <v>2058.86</v>
      </c>
      <c r="AT25">
        <f t="shared" si="49"/>
        <v>3.4691999999999998</v>
      </c>
      <c r="AU25">
        <f t="shared" si="49"/>
        <v>4.4200000000000003E-3</v>
      </c>
      <c r="AV25">
        <f t="shared" si="49"/>
        <v>1.0482226304400379</v>
      </c>
      <c r="AW25">
        <f t="shared" si="49"/>
        <v>0</v>
      </c>
      <c r="AX25">
        <f t="shared" si="49"/>
        <v>0.11762511281796018</v>
      </c>
      <c r="AY25">
        <f t="shared" si="49"/>
        <v>0</v>
      </c>
      <c r="AZ25">
        <f t="shared" si="49"/>
        <v>7.5837243790526962E-2</v>
      </c>
      <c r="BA25" s="24">
        <f t="shared" si="49"/>
        <v>0.5</v>
      </c>
      <c r="BC25">
        <f t="shared" si="44"/>
        <v>2.5736951638119816</v>
      </c>
      <c r="BD25">
        <f t="shared" si="44"/>
        <v>0.18592580656036412</v>
      </c>
      <c r="BE25">
        <f t="shared" si="44"/>
        <v>0.17792629757359038</v>
      </c>
      <c r="BF25">
        <f t="shared" si="44"/>
        <v>0.16952879799812104</v>
      </c>
    </row>
    <row r="26" spans="1:58" x14ac:dyDescent="0.2">
      <c r="B26" s="2"/>
      <c r="C26" t="s">
        <v>90</v>
      </c>
      <c r="D26" t="s">
        <v>87</v>
      </c>
      <c r="E26" t="s">
        <v>75</v>
      </c>
      <c r="F26" s="18">
        <f>F7</f>
        <v>205.26048284625159</v>
      </c>
      <c r="G26" s="18">
        <f t="shared" si="45"/>
        <v>205.26048284625159</v>
      </c>
      <c r="H26" s="18">
        <f t="shared" si="46"/>
        <v>394</v>
      </c>
      <c r="I26" s="13">
        <f t="shared" si="23"/>
        <v>22.188736306071618</v>
      </c>
      <c r="J26" s="25"/>
      <c r="K26" s="13">
        <f t="shared" si="24"/>
        <v>7.1369747626227378</v>
      </c>
      <c r="L26" s="13">
        <f t="shared" si="25"/>
        <v>18.368397430810305</v>
      </c>
      <c r="M26" s="13">
        <f t="shared" si="26"/>
        <v>1.209922752850358</v>
      </c>
      <c r="N26" s="13">
        <f t="shared" si="27"/>
        <v>1.3269477891415957</v>
      </c>
      <c r="O26" s="13">
        <f t="shared" si="28"/>
        <v>1.269851145323462</v>
      </c>
      <c r="P26" s="13">
        <f t="shared" si="29"/>
        <v>1.3341935815726612E-2</v>
      </c>
      <c r="Q26" s="13">
        <f t="shared" si="30"/>
        <v>2.7525213017389681E-4</v>
      </c>
      <c r="R26" s="13">
        <f t="shared" si="31"/>
        <v>0.592974925143405</v>
      </c>
      <c r="S26" s="13">
        <f t="shared" si="32"/>
        <v>0.44395504866757551</v>
      </c>
      <c r="T26" s="13"/>
      <c r="U26" s="13">
        <f t="shared" si="47"/>
        <v>1037.0406283421755</v>
      </c>
      <c r="V26" s="13">
        <f t="shared" si="33"/>
        <v>1090.6913600515866</v>
      </c>
      <c r="W26" s="13">
        <f t="shared" si="48"/>
        <v>2127.7319883937621</v>
      </c>
      <c r="X26" s="13">
        <f t="shared" si="34"/>
        <v>5476.1335284170773</v>
      </c>
      <c r="Y26" s="13">
        <f t="shared" si="35"/>
        <v>360.7118464545465</v>
      </c>
      <c r="Z26" s="13">
        <f t="shared" si="36"/>
        <v>395.60028608639749</v>
      </c>
      <c r="AA26" s="13">
        <f t="shared" si="37"/>
        <v>378.57817804728717</v>
      </c>
      <c r="AB26" s="13">
        <f t="shared" si="38"/>
        <v>2.1037108755789475</v>
      </c>
      <c r="AC26" s="13">
        <f t="shared" si="39"/>
        <v>12.502293849675656</v>
      </c>
      <c r="AD26" s="13">
        <f t="shared" si="40"/>
        <v>176.78242651923929</v>
      </c>
      <c r="AE26" s="13">
        <f t="shared" si="41"/>
        <v>132.35542927880221</v>
      </c>
      <c r="AF26" s="1"/>
      <c r="AM26" s="1"/>
      <c r="AN26">
        <f t="shared" si="42"/>
        <v>23.8</v>
      </c>
      <c r="AO26">
        <f t="shared" si="42"/>
        <v>188.92</v>
      </c>
      <c r="AP26">
        <f t="shared" si="42"/>
        <v>45</v>
      </c>
      <c r="AQ26">
        <f t="shared" si="42"/>
        <v>1.24</v>
      </c>
      <c r="AR26" s="6"/>
      <c r="AS26">
        <f t="shared" ref="AS26:BA26" si="50">AS7</f>
        <v>2058.86</v>
      </c>
      <c r="AT26">
        <f t="shared" si="50"/>
        <v>3.4691999999999998</v>
      </c>
      <c r="AU26">
        <f t="shared" si="50"/>
        <v>4.4200000000000003E-3</v>
      </c>
      <c r="AV26">
        <f t="shared" si="50"/>
        <v>1.0061146332782702</v>
      </c>
      <c r="AW26">
        <f t="shared" si="50"/>
        <v>0</v>
      </c>
      <c r="AX26">
        <f t="shared" si="50"/>
        <v>6.2204934644385416E-2</v>
      </c>
      <c r="AY26">
        <f t="shared" si="50"/>
        <v>0</v>
      </c>
      <c r="AZ26">
        <f t="shared" si="50"/>
        <v>8.3084912706836461E-2</v>
      </c>
      <c r="BA26" s="24">
        <f t="shared" si="50"/>
        <v>0.5006353240152478</v>
      </c>
      <c r="BC26">
        <f t="shared" si="44"/>
        <v>2.5736951638119816</v>
      </c>
      <c r="BD26">
        <f t="shared" si="44"/>
        <v>0.18592580656036412</v>
      </c>
      <c r="BE26">
        <f t="shared" si="44"/>
        <v>0.17792568806237583</v>
      </c>
      <c r="BF26">
        <f t="shared" si="44"/>
        <v>0.16952879799812104</v>
      </c>
    </row>
    <row r="27" spans="1:58" x14ac:dyDescent="0.2">
      <c r="B27" s="2"/>
      <c r="C27" t="s">
        <v>90</v>
      </c>
      <c r="D27" t="s">
        <v>83</v>
      </c>
      <c r="E27" t="s">
        <v>75</v>
      </c>
      <c r="F27" s="18">
        <f>F8</f>
        <v>37.200000000000003</v>
      </c>
      <c r="G27" s="18">
        <f t="shared" si="45"/>
        <v>37.200000000000003</v>
      </c>
      <c r="H27" s="18">
        <f t="shared" si="46"/>
        <v>37.200000000000003</v>
      </c>
      <c r="I27" s="13">
        <f t="shared" si="23"/>
        <v>22.27602352442063</v>
      </c>
      <c r="J27" s="25"/>
      <c r="K27" s="13">
        <f t="shared" si="24"/>
        <v>8.1368645296308291</v>
      </c>
      <c r="L27" s="13">
        <f t="shared" si="25"/>
        <v>20.468241117922364</v>
      </c>
      <c r="M27" s="13">
        <f t="shared" si="26"/>
        <v>0.73872857815908188</v>
      </c>
      <c r="N27" s="13">
        <f t="shared" si="27"/>
        <v>1.0210741697873904</v>
      </c>
      <c r="O27" s="13">
        <f t="shared" si="28"/>
        <v>5.129132535706129E-4</v>
      </c>
      <c r="P27" s="13">
        <f t="shared" si="29"/>
        <v>4.3770034369828362E-2</v>
      </c>
      <c r="Q27" s="13">
        <f t="shared" si="30"/>
        <v>3.6967109283954826E-3</v>
      </c>
      <c r="R27" s="13">
        <f t="shared" si="31"/>
        <v>1.9453348608812604</v>
      </c>
      <c r="S27" s="13">
        <f t="shared" si="32"/>
        <v>5.9624369812830365</v>
      </c>
      <c r="T27" s="13"/>
      <c r="U27" s="13">
        <f t="shared" si="47"/>
        <v>202.52181582303126</v>
      </c>
      <c r="V27" s="13">
        <f t="shared" si="33"/>
        <v>296.40405433377435</v>
      </c>
      <c r="W27" s="13">
        <f t="shared" si="48"/>
        <v>498.92587015680562</v>
      </c>
      <c r="X27" s="13">
        <f t="shared" si="34"/>
        <v>1255.0454752135402</v>
      </c>
      <c r="Y27" s="13">
        <f t="shared" si="35"/>
        <v>45.296415753949127</v>
      </c>
      <c r="Z27" s="13">
        <f t="shared" si="36"/>
        <v>62.608922245252749</v>
      </c>
      <c r="AA27" s="13">
        <f t="shared" si="37"/>
        <v>3.1450159999688088E-2</v>
      </c>
      <c r="AB27" s="13">
        <f t="shared" si="38"/>
        <v>1.4194505546525893</v>
      </c>
      <c r="AC27" s="13">
        <f t="shared" si="39"/>
        <v>34.534301880441816</v>
      </c>
      <c r="AD27" s="13">
        <f t="shared" si="40"/>
        <v>119.2815592145033</v>
      </c>
      <c r="AE27" s="13">
        <f t="shared" si="41"/>
        <v>365.59709803558985</v>
      </c>
      <c r="AF27" s="1"/>
      <c r="AM27" s="1"/>
      <c r="AN27">
        <f t="shared" si="42"/>
        <v>23.8</v>
      </c>
      <c r="AO27">
        <f t="shared" si="42"/>
        <v>188.92</v>
      </c>
      <c r="AP27">
        <f t="shared" si="42"/>
        <v>45</v>
      </c>
      <c r="AQ27">
        <f t="shared" si="42"/>
        <v>1.24</v>
      </c>
      <c r="AR27" s="6"/>
      <c r="AS27">
        <f t="shared" ref="AS27:BA27" si="51">AS8</f>
        <v>1287.05849583605</v>
      </c>
      <c r="AT27">
        <f t="shared" si="51"/>
        <v>7.4344285711329796</v>
      </c>
      <c r="AU27">
        <f t="shared" si="51"/>
        <v>6.4966238300148899E-4</v>
      </c>
      <c r="AV27">
        <f t="shared" si="51"/>
        <v>1.0490163758587974</v>
      </c>
      <c r="AW27">
        <f t="shared" si="51"/>
        <v>0</v>
      </c>
      <c r="AX27">
        <f t="shared" si="51"/>
        <v>0.73276837282598251</v>
      </c>
      <c r="AY27">
        <f t="shared" si="51"/>
        <v>0</v>
      </c>
      <c r="AZ27">
        <f t="shared" si="51"/>
        <v>0.23907671730274224</v>
      </c>
      <c r="BA27">
        <f t="shared" si="51"/>
        <v>0.15000000000000002</v>
      </c>
      <c r="BC27">
        <f t="shared" si="44"/>
        <v>2.5154948866834594</v>
      </c>
      <c r="BD27">
        <f t="shared" si="44"/>
        <v>0.12548742406477262</v>
      </c>
      <c r="BE27">
        <f t="shared" si="44"/>
        <v>6.3035737132259212E-5</v>
      </c>
      <c r="BF27">
        <f t="shared" si="44"/>
        <v>9.0787867423497357E-2</v>
      </c>
    </row>
    <row r="28" spans="1:58" x14ac:dyDescent="0.2">
      <c r="B28" s="2"/>
      <c r="C28" t="s">
        <v>90</v>
      </c>
      <c r="D28" t="s">
        <v>84</v>
      </c>
      <c r="E28" t="s">
        <v>75</v>
      </c>
      <c r="F28" s="18">
        <f>F9</f>
        <v>82.5</v>
      </c>
      <c r="G28" s="18">
        <f t="shared" si="45"/>
        <v>82.5</v>
      </c>
      <c r="H28" s="18">
        <f t="shared" si="46"/>
        <v>195.15</v>
      </c>
      <c r="I28" s="13">
        <f t="shared" si="23"/>
        <v>23.333903529787982</v>
      </c>
      <c r="J28" s="25"/>
      <c r="K28" s="13">
        <f t="shared" si="24"/>
        <v>8.5227809206614538</v>
      </c>
      <c r="L28" s="13">
        <f t="shared" si="25"/>
        <v>21.439011826247235</v>
      </c>
      <c r="M28" s="13">
        <f t="shared" si="26"/>
        <v>0.77376510430452483</v>
      </c>
      <c r="N28" s="13">
        <f t="shared" si="27"/>
        <v>1.0695018236021971</v>
      </c>
      <c r="O28" s="13">
        <f t="shared" si="28"/>
        <v>5.3707318973670985E-4</v>
      </c>
      <c r="P28" s="13">
        <f t="shared" si="29"/>
        <v>4.7075193885377384E-2</v>
      </c>
      <c r="Q28" s="13">
        <f t="shared" si="30"/>
        <v>4.0125085589131091E-3</v>
      </c>
      <c r="R28" s="13">
        <f t="shared" si="31"/>
        <v>2.0922308393501057</v>
      </c>
      <c r="S28" s="13">
        <f t="shared" si="32"/>
        <v>6.4717879982469508</v>
      </c>
      <c r="T28" s="13"/>
      <c r="U28" s="13">
        <f t="shared" si="47"/>
        <v>188.02348632290375</v>
      </c>
      <c r="V28" s="13">
        <f t="shared" si="33"/>
        <v>676.90261063190985</v>
      </c>
      <c r="W28" s="13">
        <f t="shared" si="48"/>
        <v>864.9260969548136</v>
      </c>
      <c r="X28" s="13">
        <f t="shared" si="34"/>
        <v>2175.7171742489159</v>
      </c>
      <c r="Y28" s="13">
        <f t="shared" si="35"/>
        <v>78.524795821456635</v>
      </c>
      <c r="Z28" s="13">
        <f t="shared" si="36"/>
        <v>108.53734791325734</v>
      </c>
      <c r="AA28" s="13">
        <f t="shared" si="37"/>
        <v>5.4504348064597724E-2</v>
      </c>
      <c r="AB28" s="13">
        <f t="shared" si="38"/>
        <v>2.5267032369804143</v>
      </c>
      <c r="AC28" s="13">
        <f t="shared" si="39"/>
        <v>62.039730073791084</v>
      </c>
      <c r="AD28" s="13">
        <f t="shared" si="40"/>
        <v>212.32800310759782</v>
      </c>
      <c r="AE28" s="13">
        <f t="shared" si="41"/>
        <v>656.78308356755338</v>
      </c>
      <c r="AF28" s="1"/>
      <c r="AM28" s="1"/>
      <c r="AN28">
        <f t="shared" si="42"/>
        <v>23.8</v>
      </c>
      <c r="AO28">
        <f t="shared" si="42"/>
        <v>188.92</v>
      </c>
      <c r="AP28">
        <f t="shared" si="42"/>
        <v>45</v>
      </c>
      <c r="AQ28">
        <f t="shared" si="42"/>
        <v>1.24</v>
      </c>
      <c r="AR28" s="6"/>
      <c r="AS28">
        <f t="shared" ref="AS28:BA28" si="52">AS9</f>
        <v>1207.93772014709</v>
      </c>
      <c r="AT28">
        <f t="shared" si="52"/>
        <v>7.6003642089589096</v>
      </c>
      <c r="AU28">
        <f t="shared" si="52"/>
        <v>5.5699669881773104E-4</v>
      </c>
      <c r="AV28">
        <f t="shared" si="52"/>
        <v>1.0377107096769207</v>
      </c>
      <c r="AW28">
        <f t="shared" si="52"/>
        <v>0</v>
      </c>
      <c r="AX28">
        <f t="shared" si="52"/>
        <v>0.75935167857684116</v>
      </c>
      <c r="AY28">
        <f t="shared" si="52"/>
        <v>0</v>
      </c>
      <c r="AZ28">
        <f t="shared" si="52"/>
        <v>0.24548687321974805</v>
      </c>
      <c r="BA28">
        <f t="shared" si="52"/>
        <v>0.15</v>
      </c>
      <c r="BC28">
        <f t="shared" si="44"/>
        <v>2.5154948866834594</v>
      </c>
      <c r="BD28">
        <f t="shared" si="44"/>
        <v>0.12548742406477262</v>
      </c>
      <c r="BE28">
        <f t="shared" si="44"/>
        <v>6.3016190928327599E-5</v>
      </c>
      <c r="BF28">
        <f t="shared" si="44"/>
        <v>9.0787867423497357E-2</v>
      </c>
    </row>
    <row r="29" spans="1:58" x14ac:dyDescent="0.2">
      <c r="B29" s="2"/>
      <c r="C29" t="s">
        <v>90</v>
      </c>
      <c r="D29" t="str">
        <f>+D10</f>
        <v>SPOT MARKET ENERGY - BAL</v>
      </c>
      <c r="E29" t="str">
        <f>+E10</f>
        <v>DISP</v>
      </c>
      <c r="F29" s="18">
        <v>0</v>
      </c>
      <c r="G29" s="18">
        <f t="shared" si="45"/>
        <v>0</v>
      </c>
      <c r="H29" s="18">
        <f t="shared" si="46"/>
        <v>112.464</v>
      </c>
      <c r="I29" s="18"/>
      <c r="J29" s="2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"/>
      <c r="AG29" t="str">
        <f>+AG10</f>
        <v>PURCHASE</v>
      </c>
      <c r="AH29" t="str">
        <f>+AH10</f>
        <v>IM</v>
      </c>
      <c r="AI29" t="str">
        <f>+AI10</f>
        <v>SPOT MARKET ENERGY - BAL</v>
      </c>
      <c r="AJ29">
        <f>+AJ10</f>
        <v>35.97</v>
      </c>
      <c r="AK29" s="13">
        <v>0</v>
      </c>
      <c r="AL29" s="13">
        <f>+AL10</f>
        <v>112.464</v>
      </c>
      <c r="AM29" s="1"/>
      <c r="AR29" s="6"/>
      <c r="BC29" s="6"/>
    </row>
    <row r="30" spans="1:58" x14ac:dyDescent="0.2">
      <c r="B30" s="2"/>
      <c r="F30" s="18"/>
      <c r="G30" s="18"/>
      <c r="H30" s="18"/>
      <c r="I30" s="13"/>
      <c r="J30" s="2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"/>
      <c r="AJ30" s="13"/>
      <c r="AK30" s="13"/>
      <c r="AL30" s="13"/>
      <c r="AM30" s="1"/>
      <c r="AR30" s="6"/>
      <c r="BC30" s="6"/>
    </row>
    <row r="31" spans="1:58" x14ac:dyDescent="0.2">
      <c r="B31" s="2"/>
      <c r="F31" s="18"/>
      <c r="G31" s="13"/>
      <c r="H31" s="13"/>
      <c r="I31" s="13"/>
      <c r="J31" s="2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"/>
      <c r="AJ31" s="13"/>
      <c r="AK31" s="13"/>
      <c r="AL31" s="13"/>
      <c r="AM31" s="1"/>
      <c r="AR31" s="6"/>
      <c r="BC31" s="6"/>
    </row>
    <row r="32" spans="1:58" x14ac:dyDescent="0.2">
      <c r="A32" t="str">
        <f>+A13</f>
        <v>Loads</v>
      </c>
      <c r="B32"/>
      <c r="H32" s="13"/>
      <c r="I32" s="13"/>
      <c r="J32" s="2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"/>
      <c r="AJ32" s="13"/>
      <c r="AK32" s="13"/>
      <c r="AL32" s="13"/>
      <c r="AM32" s="1"/>
      <c r="AR32" s="6"/>
      <c r="BC32" s="6"/>
    </row>
    <row r="33" spans="1:58" x14ac:dyDescent="0.2">
      <c r="B33"/>
      <c r="C33" t="s">
        <v>91</v>
      </c>
      <c r="D33" t="str">
        <f>+D14</f>
        <v>COMPANY LOAD OBLIGATION</v>
      </c>
      <c r="G33" s="18">
        <f>+G14</f>
        <v>-816.71</v>
      </c>
      <c r="H33" s="13"/>
      <c r="I33" s="13"/>
      <c r="J33" s="2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"/>
      <c r="AJ33" s="13"/>
      <c r="AK33" s="13"/>
      <c r="AL33" s="13"/>
      <c r="AM33" s="1"/>
      <c r="AR33" s="6"/>
      <c r="BC33" s="6"/>
    </row>
    <row r="34" spans="1:58" x14ac:dyDescent="0.2">
      <c r="B34"/>
      <c r="C34" t="s">
        <v>91</v>
      </c>
      <c r="D34" t="str">
        <f>+D15</f>
        <v>FIRM LOAD OBLIGATION</v>
      </c>
      <c r="G34" s="18">
        <f>+G15</f>
        <v>-11.545999999999999</v>
      </c>
      <c r="H34" s="13"/>
      <c r="I34" s="13"/>
      <c r="J34" s="2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"/>
      <c r="AJ34" s="13"/>
      <c r="AK34" s="13"/>
      <c r="AL34" s="13"/>
      <c r="AM34" s="1"/>
      <c r="AR34" s="6"/>
      <c r="BC34" s="6"/>
    </row>
    <row r="35" spans="1:58" x14ac:dyDescent="0.2">
      <c r="B35"/>
      <c r="C35" t="s">
        <v>91</v>
      </c>
      <c r="D35" t="str">
        <f>+D16</f>
        <v>MARGINAL_LOSS LOAD ADJUSTMENT</v>
      </c>
      <c r="G35" s="18">
        <f>+G16</f>
        <v>25.292000000000002</v>
      </c>
      <c r="H35" s="13"/>
      <c r="I35" s="13"/>
      <c r="J35" s="2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"/>
      <c r="AJ35" s="13"/>
      <c r="AK35" s="13"/>
      <c r="AL35" s="13"/>
      <c r="AM35" s="1"/>
      <c r="AR35" s="6"/>
      <c r="BC35" s="6"/>
    </row>
    <row r="36" spans="1:58" x14ac:dyDescent="0.2">
      <c r="B36"/>
      <c r="C36" t="s">
        <v>91</v>
      </c>
      <c r="D36" t="str">
        <f>+D17</f>
        <v>SPOT MARKET ENERGY - DA</v>
      </c>
      <c r="G36" s="18">
        <v>0</v>
      </c>
      <c r="H36" s="13"/>
      <c r="I36" s="13"/>
      <c r="J36" s="2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"/>
      <c r="AJ36" s="13"/>
      <c r="AK36" s="13"/>
      <c r="AL36" s="13"/>
      <c r="AM36" s="1"/>
      <c r="AR36" s="6"/>
      <c r="BC36" s="6"/>
    </row>
    <row r="37" spans="1:58" x14ac:dyDescent="0.2">
      <c r="B37"/>
      <c r="H37" s="13"/>
      <c r="I37" s="13"/>
      <c r="J37" s="2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"/>
      <c r="AJ37" s="13"/>
      <c r="AK37" s="13"/>
      <c r="AL37" s="13"/>
      <c r="AM37" s="1"/>
      <c r="AR37" s="6"/>
      <c r="BC37" s="6"/>
    </row>
    <row r="38" spans="1:58" x14ac:dyDescent="0.2">
      <c r="B38"/>
      <c r="C38" t="str">
        <f>+C19</f>
        <v>Net Resources and Load</v>
      </c>
      <c r="G38" s="17">
        <f>SUM(G24:G28) + SUM(G33:G36)</f>
        <v>6.9964828462515243</v>
      </c>
      <c r="H38" s="13"/>
      <c r="I38" s="13" t="s">
        <v>96</v>
      </c>
      <c r="J38" s="2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"/>
      <c r="AJ38" s="13"/>
      <c r="AK38" s="13"/>
      <c r="AL38" s="13"/>
      <c r="AM38" s="1"/>
      <c r="AR38" s="6"/>
      <c r="BC38" s="6"/>
    </row>
    <row r="39" spans="1:58" x14ac:dyDescent="0.2">
      <c r="B39"/>
      <c r="H39" s="13"/>
      <c r="I39" s="13"/>
      <c r="J39" s="25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"/>
      <c r="AJ39" s="13"/>
      <c r="AK39" s="13"/>
      <c r="AL39" s="13"/>
      <c r="AM39" s="1"/>
      <c r="AR39" s="6"/>
      <c r="BC39" s="6"/>
    </row>
    <row r="40" spans="1:58" x14ac:dyDescent="0.2">
      <c r="B40"/>
      <c r="H40" s="13"/>
      <c r="I40" s="13"/>
      <c r="J40" s="2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"/>
      <c r="AJ40" s="13"/>
      <c r="AK40" s="13"/>
      <c r="AL40" s="13"/>
      <c r="AM40" s="1"/>
      <c r="AR40" s="6"/>
      <c r="BC40" s="6"/>
    </row>
    <row r="41" spans="1:58" x14ac:dyDescent="0.2">
      <c r="B41" s="2"/>
      <c r="F41" s="18"/>
      <c r="G41" s="13"/>
      <c r="H41" s="13"/>
      <c r="I41" s="13"/>
      <c r="J41" s="2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"/>
      <c r="AJ41" s="13"/>
      <c r="AK41" s="13"/>
      <c r="AL41" s="13"/>
      <c r="AM41" s="1"/>
      <c r="AR41" s="6"/>
      <c r="BC41" s="6"/>
    </row>
    <row r="42" spans="1:58" x14ac:dyDescent="0.2">
      <c r="A42" s="20" t="s">
        <v>92</v>
      </c>
      <c r="B42" s="2"/>
      <c r="F42" s="18"/>
      <c r="G42" s="13"/>
      <c r="H42" s="13"/>
      <c r="I42" s="13"/>
      <c r="J42" s="25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"/>
      <c r="AJ42" s="13"/>
      <c r="AK42" s="13"/>
      <c r="AL42" s="13"/>
      <c r="AM42" s="1"/>
      <c r="AR42" s="6"/>
      <c r="BC42" s="6"/>
    </row>
    <row r="43" spans="1:58" x14ac:dyDescent="0.2">
      <c r="B43" s="2"/>
      <c r="F43" s="18"/>
      <c r="G43" s="13"/>
      <c r="H43" s="13"/>
      <c r="I43" s="13"/>
      <c r="J43" s="25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"/>
      <c r="AJ43" s="13"/>
      <c r="AK43" s="13"/>
      <c r="AL43" s="13"/>
      <c r="AM43" s="1"/>
      <c r="AR43" s="6"/>
      <c r="BC43" s="6"/>
    </row>
    <row r="44" spans="1:58" x14ac:dyDescent="0.2">
      <c r="B44" s="2"/>
      <c r="C44" t="s">
        <v>93</v>
      </c>
      <c r="F44" s="18"/>
      <c r="G44" s="13">
        <f>+G38/SUM(F24:F28)</f>
        <v>8.6380545649158685E-3</v>
      </c>
      <c r="H44" s="13"/>
      <c r="I44" s="13"/>
      <c r="J44" s="25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"/>
      <c r="AJ44" s="13"/>
      <c r="AK44" s="13"/>
      <c r="AL44" s="13"/>
      <c r="AM44" s="1"/>
      <c r="AR44" s="6"/>
      <c r="BC44" s="6"/>
    </row>
    <row r="45" spans="1:58" x14ac:dyDescent="0.2">
      <c r="B45" s="2"/>
      <c r="F45" s="18"/>
      <c r="G45" s="13"/>
      <c r="H45" s="13"/>
      <c r="I45" s="13"/>
      <c r="J45" s="25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"/>
      <c r="AJ45" s="13"/>
      <c r="AK45" s="13"/>
      <c r="AL45" s="13"/>
      <c r="AM45" s="1"/>
      <c r="AR45" s="6"/>
      <c r="BC45" s="6"/>
    </row>
    <row r="46" spans="1:58" x14ac:dyDescent="0.2">
      <c r="B46" s="2"/>
      <c r="C46" t="s">
        <v>94</v>
      </c>
      <c r="D46" t="str">
        <f>+D24</f>
        <v>Big Sandy 2</v>
      </c>
      <c r="E46" t="str">
        <f>+E24</f>
        <v>DISP</v>
      </c>
      <c r="F46" t="s">
        <v>95</v>
      </c>
      <c r="G46" s="13">
        <f>+G24-(G24*$G$44)</f>
        <v>297.40858363052524</v>
      </c>
      <c r="H46" s="13" t="s">
        <v>95</v>
      </c>
      <c r="I46" s="13"/>
      <c r="J46" s="25"/>
      <c r="K46" s="13" t="s">
        <v>95</v>
      </c>
      <c r="L46" s="13" t="s">
        <v>95</v>
      </c>
      <c r="M46" s="13" t="s">
        <v>95</v>
      </c>
      <c r="N46" s="13" t="s">
        <v>95</v>
      </c>
      <c r="O46" s="13" t="s">
        <v>95</v>
      </c>
      <c r="P46" s="13" t="s">
        <v>95</v>
      </c>
      <c r="Q46" s="13" t="s">
        <v>95</v>
      </c>
      <c r="R46" s="13" t="s">
        <v>95</v>
      </c>
      <c r="S46" s="13" t="s">
        <v>95</v>
      </c>
      <c r="T46" s="13"/>
      <c r="U46" s="13">
        <f>U24</f>
        <v>2044.1725925026531</v>
      </c>
      <c r="V46" s="13">
        <f t="shared" ref="V46" si="53">+$G46*(V24/$G24)</f>
        <v>1481.9462134671639</v>
      </c>
      <c r="W46" s="13">
        <f>+U46+V46</f>
        <v>3526.118805969817</v>
      </c>
      <c r="X46" s="13">
        <f>+W46*BC46</f>
        <v>10693.24935790927</v>
      </c>
      <c r="Y46" s="13">
        <f>+W46*BF46</f>
        <v>751.11095771745329</v>
      </c>
      <c r="Z46" s="13">
        <f>+W46*BD46</f>
        <v>409.61013656969692</v>
      </c>
      <c r="AA46" s="13">
        <f>+W46*BE46</f>
        <v>312.72903042977748</v>
      </c>
      <c r="AB46" s="13">
        <f>+AN46*AD46/2000</f>
        <v>6.007546367593779</v>
      </c>
      <c r="AC46" s="13">
        <f>+AO46*AE46/2000</f>
        <v>481.7949729354097</v>
      </c>
      <c r="AD46" s="13">
        <f>(W46/W24)*AD24</f>
        <v>504.83582920956121</v>
      </c>
      <c r="AE46" s="13">
        <f>(W46/W24)*AE24</f>
        <v>5100.518451571138</v>
      </c>
      <c r="AF46" s="1"/>
      <c r="AJ46" s="13"/>
      <c r="AK46" s="13"/>
      <c r="AL46" s="13"/>
      <c r="AM46" s="1"/>
      <c r="AN46">
        <f>AN24</f>
        <v>23.8</v>
      </c>
      <c r="AO46">
        <f t="shared" ref="AO46:BF46" si="54">AO24</f>
        <v>188.92</v>
      </c>
      <c r="AP46">
        <f t="shared" si="54"/>
        <v>45</v>
      </c>
      <c r="AQ46">
        <f t="shared" si="54"/>
        <v>1.24</v>
      </c>
      <c r="AR46" s="6">
        <f t="shared" si="54"/>
        <v>0</v>
      </c>
      <c r="AS46">
        <f t="shared" si="54"/>
        <v>1998.9547050000001</v>
      </c>
      <c r="AT46">
        <f t="shared" si="54"/>
        <v>3.6912699500000001</v>
      </c>
      <c r="AU46">
        <f t="shared" si="54"/>
        <v>3.9379005E-3</v>
      </c>
      <c r="AV46">
        <f t="shared" si="54"/>
        <v>1.0226207664383535</v>
      </c>
      <c r="AW46">
        <f t="shared" si="54"/>
        <v>0</v>
      </c>
      <c r="AX46">
        <f t="shared" si="54"/>
        <v>1.446496483027123</v>
      </c>
      <c r="AY46">
        <f t="shared" si="54"/>
        <v>0</v>
      </c>
      <c r="AZ46">
        <f t="shared" si="54"/>
        <v>0.14317039696871817</v>
      </c>
      <c r="BA46">
        <f t="shared" si="54"/>
        <v>1</v>
      </c>
      <c r="BB46">
        <f t="shared" si="54"/>
        <v>0</v>
      </c>
      <c r="BC46" s="6">
        <f t="shared" si="54"/>
        <v>3.0325834001410565</v>
      </c>
      <c r="BD46">
        <f t="shared" si="54"/>
        <v>0.11616458749949536</v>
      </c>
      <c r="BE46">
        <f t="shared" si="54"/>
        <v>8.8689306185690209E-2</v>
      </c>
      <c r="BF46">
        <f t="shared" si="54"/>
        <v>0.21301351402164942</v>
      </c>
    </row>
    <row r="47" spans="1:58" x14ac:dyDescent="0.2">
      <c r="B47" s="2"/>
      <c r="C47" t="s">
        <v>94</v>
      </c>
      <c r="D47" t="str">
        <f t="shared" ref="D47:E47" si="55">+D25</f>
        <v>Mitchell 1 KP</v>
      </c>
      <c r="E47" t="str">
        <f t="shared" si="55"/>
        <v>DISP</v>
      </c>
      <c r="F47" t="s">
        <v>95</v>
      </c>
      <c r="G47" s="13">
        <f t="shared" ref="G47:G50" si="56">+G25-(G25*$G$44)</f>
        <v>183.40195990549057</v>
      </c>
      <c r="H47" s="13" t="s">
        <v>95</v>
      </c>
      <c r="I47" s="13"/>
      <c r="J47" s="25"/>
      <c r="K47" s="13" t="s">
        <v>95</v>
      </c>
      <c r="L47" s="13" t="s">
        <v>95</v>
      </c>
      <c r="M47" s="13" t="s">
        <v>95</v>
      </c>
      <c r="N47" s="13" t="s">
        <v>95</v>
      </c>
      <c r="O47" s="13" t="s">
        <v>95</v>
      </c>
      <c r="P47" s="13" t="s">
        <v>95</v>
      </c>
      <c r="Q47" s="13" t="s">
        <v>95</v>
      </c>
      <c r="R47" s="13" t="s">
        <v>95</v>
      </c>
      <c r="S47" s="13" t="s">
        <v>95</v>
      </c>
      <c r="T47" s="13"/>
      <c r="U47" s="13">
        <f t="shared" ref="U47:U50" si="57">U25</f>
        <v>1079.0718224538882</v>
      </c>
      <c r="V47" s="13">
        <f t="shared" ref="V47" si="58">+$G47*(V25/$G25)</f>
        <v>981.33936467422188</v>
      </c>
      <c r="W47" s="13">
        <f t="shared" ref="W47:W50" si="59">+U47+V47</f>
        <v>2060.4111871281102</v>
      </c>
      <c r="X47" s="13">
        <f t="shared" ref="X47:X50" si="60">+W47*BC47</f>
        <v>5302.8703077757209</v>
      </c>
      <c r="Y47" s="13">
        <f t="shared" ref="Y47:Y50" si="61">+W47*BF47</f>
        <v>349.29903193571016</v>
      </c>
      <c r="Z47" s="13">
        <f t="shared" ref="Z47:Z50" si="62">+W47*BD47</f>
        <v>383.08361181279122</v>
      </c>
      <c r="AA47" s="13">
        <f t="shared" ref="AA47:AA50" si="63">+W47*BE47</f>
        <v>366.60133400491077</v>
      </c>
      <c r="AB47" s="13">
        <f t="shared" ref="AB47:AB50" si="64">+AN47*AD47/2000</f>
        <v>1.8594452755328663</v>
      </c>
      <c r="AC47" s="13">
        <f t="shared" ref="AC47:AC50" si="65">+AO47*AE47/2000</f>
        <v>22.892957048944307</v>
      </c>
      <c r="AD47" s="13">
        <f t="shared" ref="AD47:AD50" si="66">(W47/W25)*AD25</f>
        <v>156.25590550696356</v>
      </c>
      <c r="AE47" s="13">
        <f t="shared" ref="AE47:AE50" si="67">(W47/W25)*AE25</f>
        <v>242.35609833733122</v>
      </c>
      <c r="AF47" s="1"/>
      <c r="AJ47" s="13"/>
      <c r="AK47" s="13"/>
      <c r="AL47" s="13"/>
      <c r="AM47" s="1"/>
      <c r="AN47">
        <f t="shared" ref="AN47:BF47" si="68">AN25</f>
        <v>23.8</v>
      </c>
      <c r="AO47">
        <f t="shared" si="68"/>
        <v>188.92</v>
      </c>
      <c r="AP47">
        <f t="shared" si="68"/>
        <v>45</v>
      </c>
      <c r="AQ47">
        <f t="shared" si="68"/>
        <v>1.24</v>
      </c>
      <c r="AR47" s="6">
        <f t="shared" si="68"/>
        <v>0</v>
      </c>
      <c r="AS47">
        <f t="shared" si="68"/>
        <v>2058.86</v>
      </c>
      <c r="AT47">
        <f t="shared" si="68"/>
        <v>3.4691999999999998</v>
      </c>
      <c r="AU47">
        <f t="shared" si="68"/>
        <v>4.4200000000000003E-3</v>
      </c>
      <c r="AV47">
        <f t="shared" si="68"/>
        <v>1.0482226304400379</v>
      </c>
      <c r="AW47">
        <f t="shared" si="68"/>
        <v>0</v>
      </c>
      <c r="AX47">
        <f t="shared" si="68"/>
        <v>0.11762511281796018</v>
      </c>
      <c r="AY47">
        <f t="shared" si="68"/>
        <v>0</v>
      </c>
      <c r="AZ47">
        <f t="shared" si="68"/>
        <v>7.5837243790526962E-2</v>
      </c>
      <c r="BA47" s="24">
        <f t="shared" si="68"/>
        <v>0.5</v>
      </c>
      <c r="BB47">
        <f t="shared" si="68"/>
        <v>0</v>
      </c>
      <c r="BC47" s="6">
        <f t="shared" si="68"/>
        <v>2.5736951638119816</v>
      </c>
      <c r="BD47">
        <f t="shared" si="68"/>
        <v>0.18592580656036412</v>
      </c>
      <c r="BE47">
        <f t="shared" si="68"/>
        <v>0.17792629757359038</v>
      </c>
      <c r="BF47">
        <f t="shared" si="68"/>
        <v>0.16952879799812104</v>
      </c>
    </row>
    <row r="48" spans="1:58" x14ac:dyDescent="0.2">
      <c r="B48" s="2"/>
      <c r="C48" t="s">
        <v>94</v>
      </c>
      <c r="D48" t="str">
        <f t="shared" ref="D48:E48" si="69">+D26</f>
        <v>Mitchell 2 KP</v>
      </c>
      <c r="E48" t="str">
        <f t="shared" si="69"/>
        <v>DISP</v>
      </c>
      <c r="F48" t="s">
        <v>95</v>
      </c>
      <c r="G48" s="13">
        <f t="shared" si="56"/>
        <v>203.4874315954047</v>
      </c>
      <c r="H48" s="13" t="s">
        <v>95</v>
      </c>
      <c r="I48" s="13"/>
      <c r="J48" s="25"/>
      <c r="K48" s="13" t="s">
        <v>95</v>
      </c>
      <c r="L48" s="13" t="s">
        <v>95</v>
      </c>
      <c r="M48" s="13" t="s">
        <v>95</v>
      </c>
      <c r="N48" s="13" t="s">
        <v>95</v>
      </c>
      <c r="O48" s="13" t="s">
        <v>95</v>
      </c>
      <c r="P48" s="13" t="s">
        <v>95</v>
      </c>
      <c r="Q48" s="13" t="s">
        <v>95</v>
      </c>
      <c r="R48" s="13" t="s">
        <v>95</v>
      </c>
      <c r="S48" s="13" t="s">
        <v>95</v>
      </c>
      <c r="T48" s="13"/>
      <c r="U48" s="13">
        <f t="shared" si="57"/>
        <v>1037.0406283421755</v>
      </c>
      <c r="V48" s="13">
        <f t="shared" ref="V48" si="70">+$G48*(V26/$G26)</f>
        <v>1081.2699085699787</v>
      </c>
      <c r="W48" s="13">
        <f t="shared" si="59"/>
        <v>2118.310536912154</v>
      </c>
      <c r="X48" s="13">
        <f t="shared" si="60"/>
        <v>5451.8855843027732</v>
      </c>
      <c r="Y48" s="13">
        <f t="shared" si="61"/>
        <v>359.11463910947185</v>
      </c>
      <c r="Z48" s="13">
        <f t="shared" si="62"/>
        <v>393.84859512071017</v>
      </c>
      <c r="AA48" s="13">
        <f t="shared" si="63"/>
        <v>376.90185980987576</v>
      </c>
      <c r="AB48" s="13">
        <f t="shared" si="64"/>
        <v>2.0943957879392867</v>
      </c>
      <c r="AC48" s="13">
        <f t="shared" si="65"/>
        <v>12.446934548994914</v>
      </c>
      <c r="AD48" s="13">
        <f t="shared" si="66"/>
        <v>175.9996460453182</v>
      </c>
      <c r="AE48" s="13">
        <f t="shared" si="67"/>
        <v>131.76936850513354</v>
      </c>
      <c r="AF48" s="1"/>
      <c r="AJ48" s="13"/>
      <c r="AK48" s="13"/>
      <c r="AL48" s="13"/>
      <c r="AM48" s="1"/>
      <c r="AN48">
        <f t="shared" ref="AN48:BF48" si="71">AN26</f>
        <v>23.8</v>
      </c>
      <c r="AO48">
        <f t="shared" si="71"/>
        <v>188.92</v>
      </c>
      <c r="AP48">
        <f t="shared" si="71"/>
        <v>45</v>
      </c>
      <c r="AQ48">
        <f t="shared" si="71"/>
        <v>1.24</v>
      </c>
      <c r="AR48" s="6">
        <f t="shared" si="71"/>
        <v>0</v>
      </c>
      <c r="AS48">
        <f t="shared" si="71"/>
        <v>2058.86</v>
      </c>
      <c r="AT48">
        <f t="shared" si="71"/>
        <v>3.4691999999999998</v>
      </c>
      <c r="AU48">
        <f t="shared" si="71"/>
        <v>4.4200000000000003E-3</v>
      </c>
      <c r="AV48">
        <f t="shared" si="71"/>
        <v>1.0061146332782702</v>
      </c>
      <c r="AW48">
        <f t="shared" si="71"/>
        <v>0</v>
      </c>
      <c r="AX48">
        <f t="shared" si="71"/>
        <v>6.2204934644385416E-2</v>
      </c>
      <c r="AY48">
        <f t="shared" si="71"/>
        <v>0</v>
      </c>
      <c r="AZ48">
        <f t="shared" si="71"/>
        <v>8.3084912706836461E-2</v>
      </c>
      <c r="BA48" s="24">
        <f t="shared" si="71"/>
        <v>0.5006353240152478</v>
      </c>
      <c r="BB48">
        <f t="shared" si="71"/>
        <v>0</v>
      </c>
      <c r="BC48" s="6">
        <f t="shared" si="71"/>
        <v>2.5736951638119816</v>
      </c>
      <c r="BD48">
        <f t="shared" si="71"/>
        <v>0.18592580656036412</v>
      </c>
      <c r="BE48">
        <f t="shared" si="71"/>
        <v>0.17792568806237583</v>
      </c>
      <c r="BF48">
        <f t="shared" si="71"/>
        <v>0.16952879799812104</v>
      </c>
    </row>
    <row r="49" spans="1:58" x14ac:dyDescent="0.2">
      <c r="B49" s="2"/>
      <c r="C49" t="s">
        <v>94</v>
      </c>
      <c r="D49" t="str">
        <f t="shared" ref="D49:E49" si="72">+D27</f>
        <v>Rockport 1 KP AEG</v>
      </c>
      <c r="E49" t="str">
        <f t="shared" si="72"/>
        <v>DISP</v>
      </c>
      <c r="F49" t="s">
        <v>95</v>
      </c>
      <c r="G49" s="13">
        <f t="shared" si="56"/>
        <v>36.878664370185135</v>
      </c>
      <c r="H49" s="13" t="s">
        <v>95</v>
      </c>
      <c r="I49" s="13"/>
      <c r="J49" s="25"/>
      <c r="K49" s="13" t="s">
        <v>95</v>
      </c>
      <c r="L49" s="13" t="s">
        <v>95</v>
      </c>
      <c r="M49" s="13" t="s">
        <v>95</v>
      </c>
      <c r="N49" s="13" t="s">
        <v>95</v>
      </c>
      <c r="O49" s="13" t="s">
        <v>95</v>
      </c>
      <c r="P49" s="13" t="s">
        <v>95</v>
      </c>
      <c r="Q49" s="13" t="s">
        <v>95</v>
      </c>
      <c r="R49" s="13" t="s">
        <v>95</v>
      </c>
      <c r="S49" s="13" t="s">
        <v>95</v>
      </c>
      <c r="T49" s="13"/>
      <c r="U49" s="13">
        <f t="shared" si="57"/>
        <v>202.52181582303126</v>
      </c>
      <c r="V49" s="13">
        <f t="shared" ref="V49" si="73">+$G49*(V27/$G27)</f>
        <v>293.84369993917693</v>
      </c>
      <c r="W49" s="13">
        <f t="shared" si="59"/>
        <v>496.36551576220819</v>
      </c>
      <c r="X49" s="13">
        <f t="shared" si="60"/>
        <v>1248.6049168258328</v>
      </c>
      <c r="Y49" s="13">
        <f t="shared" si="61"/>
        <v>45.063966638615241</v>
      </c>
      <c r="Z49" s="13">
        <f t="shared" si="62"/>
        <v>62.287629967581793</v>
      </c>
      <c r="AA49" s="13">
        <f t="shared" si="63"/>
        <v>3.1288766173104825E-2</v>
      </c>
      <c r="AB49" s="13">
        <f t="shared" si="64"/>
        <v>1.4121663132794646</v>
      </c>
      <c r="AC49" s="13">
        <f t="shared" si="65"/>
        <v>34.357081060931783</v>
      </c>
      <c r="AD49" s="13">
        <f t="shared" si="66"/>
        <v>118.66943809071131</v>
      </c>
      <c r="AE49" s="13">
        <f t="shared" si="67"/>
        <v>363.72095131200285</v>
      </c>
      <c r="AF49" s="1"/>
      <c r="AJ49" s="13"/>
      <c r="AK49" s="13"/>
      <c r="AL49" s="13"/>
      <c r="AM49" s="1"/>
      <c r="AN49">
        <f t="shared" ref="AN49:BF49" si="74">AN27</f>
        <v>23.8</v>
      </c>
      <c r="AO49">
        <f t="shared" si="74"/>
        <v>188.92</v>
      </c>
      <c r="AP49">
        <f t="shared" si="74"/>
        <v>45</v>
      </c>
      <c r="AQ49">
        <f t="shared" si="74"/>
        <v>1.24</v>
      </c>
      <c r="AR49" s="6">
        <f t="shared" si="74"/>
        <v>0</v>
      </c>
      <c r="AS49">
        <f t="shared" si="74"/>
        <v>1287.05849583605</v>
      </c>
      <c r="AT49">
        <f t="shared" si="74"/>
        <v>7.4344285711329796</v>
      </c>
      <c r="AU49">
        <f t="shared" si="74"/>
        <v>6.4966238300148899E-4</v>
      </c>
      <c r="AV49">
        <f t="shared" si="74"/>
        <v>1.0490163758587974</v>
      </c>
      <c r="AW49">
        <f t="shared" si="74"/>
        <v>0</v>
      </c>
      <c r="AX49">
        <f t="shared" si="74"/>
        <v>0.73276837282598251</v>
      </c>
      <c r="AY49">
        <f t="shared" si="74"/>
        <v>0</v>
      </c>
      <c r="AZ49">
        <f t="shared" si="74"/>
        <v>0.23907671730274224</v>
      </c>
      <c r="BA49">
        <f t="shared" si="74"/>
        <v>0.15000000000000002</v>
      </c>
      <c r="BB49">
        <f t="shared" si="74"/>
        <v>0</v>
      </c>
      <c r="BC49" s="6">
        <f t="shared" si="74"/>
        <v>2.5154948866834594</v>
      </c>
      <c r="BD49">
        <f t="shared" si="74"/>
        <v>0.12548742406477262</v>
      </c>
      <c r="BE49">
        <f t="shared" si="74"/>
        <v>6.3035737132259212E-5</v>
      </c>
      <c r="BF49">
        <f t="shared" si="74"/>
        <v>9.0787867423497357E-2</v>
      </c>
    </row>
    <row r="50" spans="1:58" x14ac:dyDescent="0.2">
      <c r="B50" s="2"/>
      <c r="C50" t="s">
        <v>94</v>
      </c>
      <c r="D50" t="str">
        <f t="shared" ref="D50:G51" si="75">+D28</f>
        <v>Rockport 2 KP AEG</v>
      </c>
      <c r="E50" t="str">
        <f t="shared" si="75"/>
        <v>DISP</v>
      </c>
      <c r="F50" t="s">
        <v>95</v>
      </c>
      <c r="G50" s="13">
        <f t="shared" si="56"/>
        <v>81.787360498394435</v>
      </c>
      <c r="H50" s="13" t="s">
        <v>95</v>
      </c>
      <c r="I50" s="13"/>
      <c r="J50" s="25"/>
      <c r="K50" s="13" t="s">
        <v>95</v>
      </c>
      <c r="L50" s="13" t="s">
        <v>95</v>
      </c>
      <c r="M50" s="13" t="s">
        <v>95</v>
      </c>
      <c r="N50" s="13" t="s">
        <v>95</v>
      </c>
      <c r="O50" s="13" t="s">
        <v>95</v>
      </c>
      <c r="P50" s="13" t="s">
        <v>95</v>
      </c>
      <c r="Q50" s="13" t="s">
        <v>95</v>
      </c>
      <c r="R50" s="13" t="s">
        <v>95</v>
      </c>
      <c r="S50" s="13" t="s">
        <v>95</v>
      </c>
      <c r="T50" s="13"/>
      <c r="U50" s="13">
        <f t="shared" si="57"/>
        <v>188.02348632290375</v>
      </c>
      <c r="V50" s="13">
        <f t="shared" ref="V50" si="76">+$G50*(V28/$G28)</f>
        <v>671.0554889461373</v>
      </c>
      <c r="W50" s="13">
        <f t="shared" si="59"/>
        <v>859.07897526904105</v>
      </c>
      <c r="X50" s="13">
        <f t="shared" si="60"/>
        <v>2161.008769546539</v>
      </c>
      <c r="Y50" s="13">
        <f t="shared" si="61"/>
        <v>77.993948113039664</v>
      </c>
      <c r="Z50" s="13">
        <f t="shared" si="62"/>
        <v>107.80360767471646</v>
      </c>
      <c r="AA50" s="13">
        <f t="shared" si="63"/>
        <v>5.4135884728065915E-2</v>
      </c>
      <c r="AB50" s="13">
        <f t="shared" si="64"/>
        <v>2.5096220767027035</v>
      </c>
      <c r="AC50" s="13">
        <f t="shared" si="65"/>
        <v>61.620325627132459</v>
      </c>
      <c r="AD50" s="13">
        <f t="shared" si="66"/>
        <v>210.89261148762213</v>
      </c>
      <c r="AE50" s="13">
        <f t="shared" si="67"/>
        <v>652.34306190061886</v>
      </c>
      <c r="AF50" s="1"/>
      <c r="AJ50" s="13"/>
      <c r="AK50" s="13"/>
      <c r="AL50" s="13"/>
      <c r="AM50" s="1"/>
      <c r="AN50">
        <f t="shared" ref="AN50:BF50" si="77">AN28</f>
        <v>23.8</v>
      </c>
      <c r="AO50">
        <f t="shared" si="77"/>
        <v>188.92</v>
      </c>
      <c r="AP50">
        <f t="shared" si="77"/>
        <v>45</v>
      </c>
      <c r="AQ50">
        <f t="shared" si="77"/>
        <v>1.24</v>
      </c>
      <c r="AR50" s="6">
        <f t="shared" si="77"/>
        <v>0</v>
      </c>
      <c r="AS50">
        <f t="shared" si="77"/>
        <v>1207.93772014709</v>
      </c>
      <c r="AT50">
        <f t="shared" si="77"/>
        <v>7.6003642089589096</v>
      </c>
      <c r="AU50">
        <f t="shared" si="77"/>
        <v>5.5699669881773104E-4</v>
      </c>
      <c r="AV50">
        <f t="shared" si="77"/>
        <v>1.0377107096769207</v>
      </c>
      <c r="AW50">
        <f t="shared" si="77"/>
        <v>0</v>
      </c>
      <c r="AX50">
        <f t="shared" si="77"/>
        <v>0.75935167857684116</v>
      </c>
      <c r="AY50">
        <f t="shared" si="77"/>
        <v>0</v>
      </c>
      <c r="AZ50">
        <f t="shared" si="77"/>
        <v>0.24548687321974805</v>
      </c>
      <c r="BA50">
        <f t="shared" si="77"/>
        <v>0.15</v>
      </c>
      <c r="BB50">
        <f t="shared" si="77"/>
        <v>0</v>
      </c>
      <c r="BC50" s="6">
        <f t="shared" si="77"/>
        <v>2.5154948866834594</v>
      </c>
      <c r="BD50">
        <f t="shared" si="77"/>
        <v>0.12548742406477262</v>
      </c>
      <c r="BE50">
        <f t="shared" si="77"/>
        <v>6.3016190928327599E-5</v>
      </c>
      <c r="BF50">
        <f t="shared" si="77"/>
        <v>9.0787867423497357E-2</v>
      </c>
    </row>
    <row r="51" spans="1:58" x14ac:dyDescent="0.2">
      <c r="B51" s="2"/>
      <c r="C51" t="s">
        <v>94</v>
      </c>
      <c r="D51" t="str">
        <f t="shared" si="75"/>
        <v>SPOT MARKET ENERGY - BAL</v>
      </c>
      <c r="E51" t="str">
        <f t="shared" si="75"/>
        <v>DISP</v>
      </c>
      <c r="F51" t="s">
        <v>95</v>
      </c>
      <c r="G51">
        <f t="shared" si="75"/>
        <v>0</v>
      </c>
      <c r="H51" t="s">
        <v>95</v>
      </c>
      <c r="I51" s="13"/>
      <c r="J51" s="25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"/>
      <c r="AG51" t="str">
        <f>+AG29</f>
        <v>PURCHASE</v>
      </c>
      <c r="AH51" t="str">
        <f t="shared" ref="AH51:AK51" si="78">+AH29</f>
        <v>IM</v>
      </c>
      <c r="AI51" t="str">
        <f t="shared" si="78"/>
        <v>SPOT MARKET ENERGY - BAL</v>
      </c>
      <c r="AJ51">
        <f t="shared" si="78"/>
        <v>35.97</v>
      </c>
      <c r="AK51" s="13">
        <f t="shared" si="78"/>
        <v>0</v>
      </c>
      <c r="AL51" s="13">
        <v>0</v>
      </c>
      <c r="AM51" s="1"/>
      <c r="AR51" s="6"/>
      <c r="BC51" s="6"/>
    </row>
    <row r="52" spans="1:58" x14ac:dyDescent="0.2">
      <c r="B52" s="2"/>
      <c r="G52" s="13"/>
      <c r="H52" s="13"/>
      <c r="I52" s="13"/>
      <c r="J52" s="25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"/>
      <c r="AK52" s="13"/>
      <c r="AL52" s="13"/>
      <c r="AM52" s="1"/>
      <c r="AR52" s="6"/>
      <c r="BC52" s="6"/>
    </row>
    <row r="53" spans="1:58" x14ac:dyDescent="0.2">
      <c r="B53" s="2"/>
      <c r="F53" s="18"/>
      <c r="G53" s="13"/>
      <c r="H53" s="13"/>
      <c r="I53" s="13"/>
      <c r="J53" s="25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"/>
      <c r="AJ53" s="13"/>
      <c r="AK53" s="13"/>
      <c r="AL53" s="13"/>
      <c r="AM53" s="1"/>
      <c r="AR53" s="6"/>
      <c r="BC53" s="6"/>
    </row>
    <row r="54" spans="1:58" x14ac:dyDescent="0.2">
      <c r="B54" s="2"/>
      <c r="F54" s="18"/>
      <c r="G54" s="13"/>
      <c r="H54" s="13"/>
      <c r="I54" s="13"/>
      <c r="J54" s="25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"/>
      <c r="AJ54" s="13"/>
      <c r="AK54" s="13"/>
      <c r="AL54" s="13"/>
      <c r="AM54" s="1"/>
      <c r="AR54" s="6"/>
      <c r="BC54" s="6"/>
    </row>
    <row r="55" spans="1:58" x14ac:dyDescent="0.2">
      <c r="B55" s="2"/>
      <c r="F55" s="18"/>
      <c r="G55" s="18"/>
      <c r="H55" s="13"/>
      <c r="I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"/>
      <c r="AJ55" s="13"/>
      <c r="AK55" s="13"/>
      <c r="AL55" s="13"/>
      <c r="AM55" s="1"/>
      <c r="AR55" s="6"/>
      <c r="BC55" s="6"/>
    </row>
    <row r="56" spans="1:58" x14ac:dyDescent="0.2">
      <c r="A56" s="5" t="s">
        <v>65</v>
      </c>
      <c r="F56" s="6"/>
      <c r="G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58" x14ac:dyDescent="0.2">
      <c r="B57" s="2"/>
      <c r="C57" s="2" t="s">
        <v>11</v>
      </c>
      <c r="D57" t="str">
        <f>+D14</f>
        <v>COMPANY LOAD OBLIGATION</v>
      </c>
      <c r="F57" s="6"/>
      <c r="G57" s="13">
        <f>+G14</f>
        <v>-816.71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58" x14ac:dyDescent="0.2">
      <c r="B58" s="2"/>
      <c r="C58" s="2" t="s">
        <v>11</v>
      </c>
      <c r="D58" t="s">
        <v>72</v>
      </c>
      <c r="F58" s="6"/>
      <c r="G58" s="13">
        <f>+G15</f>
        <v>-11.545999999999999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58" x14ac:dyDescent="0.2">
      <c r="B59" s="2"/>
      <c r="C59" s="2" t="s">
        <v>11</v>
      </c>
      <c r="D59" t="str">
        <f>+D16</f>
        <v>MARGINAL_LOSS LOAD ADJUSTMENT</v>
      </c>
      <c r="F59" s="6"/>
      <c r="G59" s="13">
        <f>+G16</f>
        <v>25.292000000000002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58" x14ac:dyDescent="0.2">
      <c r="B60" s="2"/>
      <c r="C60" s="2" t="s">
        <v>11</v>
      </c>
      <c r="D60" t="str">
        <f>+D17</f>
        <v>SPOT MARKET ENERGY - DA</v>
      </c>
      <c r="F60" s="6"/>
      <c r="G60" s="13">
        <v>0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58" x14ac:dyDescent="0.2">
      <c r="B61" s="2"/>
      <c r="F61" s="6"/>
      <c r="G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58" x14ac:dyDescent="0.2">
      <c r="B62" s="2"/>
      <c r="C62" s="10" t="s">
        <v>61</v>
      </c>
      <c r="F62" s="6"/>
      <c r="G62" s="13">
        <f>SUM(G46:G60)</f>
        <v>1.3500311979441904E-13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58" x14ac:dyDescent="0.2">
      <c r="F63" s="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58" x14ac:dyDescent="0.2">
      <c r="F64" s="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3:31" hidden="1" x14ac:dyDescent="0.2">
      <c r="C65" t="s">
        <v>73</v>
      </c>
      <c r="E65" t="s">
        <v>74</v>
      </c>
      <c r="F65" s="6"/>
      <c r="G65" s="13">
        <f t="shared" ref="G65:G73" si="79">SUMIFS(G$5:G$10,$D$5:$D$10,$D65)-SUMIFS(G$24:G$29,$D$24:$D$29,$D65)</f>
        <v>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>
        <f t="shared" ref="U65:X73" si="80">SUMIFS(U$5:U$10,$D$5:$D$10,$D65)-SUMIFS(U$24:U$29,$D$24:$D$29,$D65)</f>
        <v>0</v>
      </c>
      <c r="V65" s="13">
        <f t="shared" si="80"/>
        <v>0</v>
      </c>
      <c r="W65" s="13">
        <f t="shared" si="80"/>
        <v>0</v>
      </c>
      <c r="X65" s="13">
        <f t="shared" si="80"/>
        <v>0</v>
      </c>
      <c r="Y65" s="13"/>
      <c r="Z65" s="13">
        <f t="shared" ref="Z65:AE73" si="81">SUMIFS(Z$5:Z$10,$D$5:$D$10,$D65)-SUMIFS(Z$24:Z$29,$D$24:$D$29,$D65)</f>
        <v>0</v>
      </c>
      <c r="AA65" s="13">
        <f t="shared" si="81"/>
        <v>0</v>
      </c>
      <c r="AB65" s="13">
        <f t="shared" si="81"/>
        <v>0</v>
      </c>
      <c r="AC65" s="13">
        <f t="shared" si="81"/>
        <v>0</v>
      </c>
      <c r="AD65" s="13">
        <f t="shared" si="81"/>
        <v>0</v>
      </c>
      <c r="AE65" s="13">
        <f t="shared" si="81"/>
        <v>0</v>
      </c>
    </row>
    <row r="66" spans="3:31" hidden="1" x14ac:dyDescent="0.2">
      <c r="C66" t="s">
        <v>73</v>
      </c>
      <c r="E66" t="s">
        <v>74</v>
      </c>
      <c r="F66" s="6"/>
      <c r="G66" s="13">
        <f t="shared" si="79"/>
        <v>0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f t="shared" si="80"/>
        <v>0</v>
      </c>
      <c r="V66" s="13">
        <f t="shared" si="80"/>
        <v>0</v>
      </c>
      <c r="W66" s="13">
        <f t="shared" si="80"/>
        <v>0</v>
      </c>
      <c r="X66" s="13">
        <f t="shared" si="80"/>
        <v>0</v>
      </c>
      <c r="Y66" s="13"/>
      <c r="Z66" s="13">
        <f t="shared" si="81"/>
        <v>0</v>
      </c>
      <c r="AA66" s="13">
        <f t="shared" si="81"/>
        <v>0</v>
      </c>
      <c r="AB66" s="13">
        <f t="shared" si="81"/>
        <v>0</v>
      </c>
      <c r="AC66" s="13">
        <f t="shared" si="81"/>
        <v>0</v>
      </c>
      <c r="AD66" s="13">
        <f t="shared" si="81"/>
        <v>0</v>
      </c>
      <c r="AE66" s="13">
        <f t="shared" si="81"/>
        <v>0</v>
      </c>
    </row>
    <row r="67" spans="3:31" hidden="1" x14ac:dyDescent="0.2">
      <c r="C67" t="s">
        <v>73</v>
      </c>
      <c r="E67" t="s">
        <v>74</v>
      </c>
      <c r="F67" s="6"/>
      <c r="G67" s="13">
        <f t="shared" si="79"/>
        <v>0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f t="shared" si="80"/>
        <v>0</v>
      </c>
      <c r="V67" s="13">
        <f t="shared" si="80"/>
        <v>0</v>
      </c>
      <c r="W67" s="13">
        <f t="shared" si="80"/>
        <v>0</v>
      </c>
      <c r="X67" s="13">
        <f t="shared" si="80"/>
        <v>0</v>
      </c>
      <c r="Y67" s="13"/>
      <c r="Z67" s="13">
        <f t="shared" si="81"/>
        <v>0</v>
      </c>
      <c r="AA67" s="13">
        <f t="shared" si="81"/>
        <v>0</v>
      </c>
      <c r="AB67" s="13">
        <f t="shared" si="81"/>
        <v>0</v>
      </c>
      <c r="AC67" s="13">
        <f t="shared" si="81"/>
        <v>0</v>
      </c>
      <c r="AD67" s="13">
        <f t="shared" si="81"/>
        <v>0</v>
      </c>
      <c r="AE67" s="13">
        <f t="shared" si="81"/>
        <v>0</v>
      </c>
    </row>
    <row r="68" spans="3:31" hidden="1" x14ac:dyDescent="0.2">
      <c r="C68" t="s">
        <v>73</v>
      </c>
      <c r="E68" t="s">
        <v>74</v>
      </c>
      <c r="F68" s="6"/>
      <c r="G68" s="13">
        <f t="shared" si="79"/>
        <v>0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>
        <f t="shared" si="80"/>
        <v>0</v>
      </c>
      <c r="V68" s="13">
        <f t="shared" si="80"/>
        <v>0</v>
      </c>
      <c r="W68" s="13">
        <f t="shared" si="80"/>
        <v>0</v>
      </c>
      <c r="X68" s="13">
        <f t="shared" si="80"/>
        <v>0</v>
      </c>
      <c r="Y68" s="13"/>
      <c r="Z68" s="13">
        <f t="shared" si="81"/>
        <v>0</v>
      </c>
      <c r="AA68" s="13">
        <f t="shared" si="81"/>
        <v>0</v>
      </c>
      <c r="AB68" s="13">
        <f t="shared" si="81"/>
        <v>0</v>
      </c>
      <c r="AC68" s="13">
        <f t="shared" si="81"/>
        <v>0</v>
      </c>
      <c r="AD68" s="13">
        <f t="shared" si="81"/>
        <v>0</v>
      </c>
      <c r="AE68" s="13">
        <f t="shared" si="81"/>
        <v>0</v>
      </c>
    </row>
    <row r="69" spans="3:31" hidden="1" x14ac:dyDescent="0.2">
      <c r="C69" t="s">
        <v>73</v>
      </c>
      <c r="E69" t="s">
        <v>74</v>
      </c>
      <c r="F69" s="6"/>
      <c r="G69" s="18">
        <f t="shared" si="79"/>
        <v>0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f t="shared" si="80"/>
        <v>0</v>
      </c>
      <c r="V69" s="13">
        <f t="shared" si="80"/>
        <v>0</v>
      </c>
      <c r="W69" s="13">
        <f t="shared" si="80"/>
        <v>0</v>
      </c>
      <c r="X69" s="13">
        <f t="shared" si="80"/>
        <v>0</v>
      </c>
      <c r="Y69" s="13"/>
      <c r="Z69" s="13">
        <f t="shared" si="81"/>
        <v>0</v>
      </c>
      <c r="AA69" s="13">
        <f t="shared" si="81"/>
        <v>0</v>
      </c>
      <c r="AB69" s="13">
        <f t="shared" si="81"/>
        <v>0</v>
      </c>
      <c r="AC69" s="13">
        <f t="shared" si="81"/>
        <v>0</v>
      </c>
      <c r="AD69" s="13">
        <f t="shared" si="81"/>
        <v>0</v>
      </c>
      <c r="AE69" s="13">
        <f t="shared" si="81"/>
        <v>0</v>
      </c>
    </row>
    <row r="70" spans="3:31" hidden="1" x14ac:dyDescent="0.2">
      <c r="C70" t="s">
        <v>73</v>
      </c>
      <c r="E70" t="s">
        <v>74</v>
      </c>
      <c r="F70" s="6"/>
      <c r="G70" s="18">
        <f t="shared" si="79"/>
        <v>0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f t="shared" si="80"/>
        <v>0</v>
      </c>
      <c r="V70" s="13">
        <f t="shared" si="80"/>
        <v>0</v>
      </c>
      <c r="W70" s="13">
        <f t="shared" si="80"/>
        <v>0</v>
      </c>
      <c r="X70" s="13">
        <f t="shared" si="80"/>
        <v>0</v>
      </c>
      <c r="Y70" s="13"/>
      <c r="Z70" s="13">
        <f t="shared" si="81"/>
        <v>0</v>
      </c>
      <c r="AA70" s="13">
        <f t="shared" si="81"/>
        <v>0</v>
      </c>
      <c r="AB70" s="13">
        <f t="shared" si="81"/>
        <v>0</v>
      </c>
      <c r="AC70" s="13">
        <f t="shared" si="81"/>
        <v>0</v>
      </c>
      <c r="AD70" s="13">
        <f t="shared" si="81"/>
        <v>0</v>
      </c>
      <c r="AE70" s="13">
        <f t="shared" si="81"/>
        <v>0</v>
      </c>
    </row>
    <row r="71" spans="3:31" hidden="1" x14ac:dyDescent="0.2">
      <c r="C71" t="s">
        <v>73</v>
      </c>
      <c r="E71" t="s">
        <v>74</v>
      </c>
      <c r="F71" s="6"/>
      <c r="G71" s="18">
        <f t="shared" si="79"/>
        <v>0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f t="shared" si="80"/>
        <v>0</v>
      </c>
      <c r="V71" s="13">
        <f t="shared" si="80"/>
        <v>0</v>
      </c>
      <c r="W71" s="13">
        <f t="shared" si="80"/>
        <v>0</v>
      </c>
      <c r="X71" s="13">
        <f t="shared" si="80"/>
        <v>0</v>
      </c>
      <c r="Y71" s="13"/>
      <c r="Z71" s="13">
        <f t="shared" si="81"/>
        <v>0</v>
      </c>
      <c r="AA71" s="13">
        <f t="shared" si="81"/>
        <v>0</v>
      </c>
      <c r="AB71" s="13">
        <f t="shared" si="81"/>
        <v>0</v>
      </c>
      <c r="AC71" s="13">
        <f t="shared" si="81"/>
        <v>0</v>
      </c>
      <c r="AD71" s="13">
        <f t="shared" si="81"/>
        <v>0</v>
      </c>
      <c r="AE71" s="13">
        <f t="shared" si="81"/>
        <v>0</v>
      </c>
    </row>
    <row r="72" spans="3:31" hidden="1" x14ac:dyDescent="0.2">
      <c r="C72" t="s">
        <v>73</v>
      </c>
      <c r="E72" t="s">
        <v>74</v>
      </c>
      <c r="F72" s="6"/>
      <c r="G72" s="18">
        <f t="shared" si="79"/>
        <v>0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f t="shared" si="80"/>
        <v>0</v>
      </c>
      <c r="V72" s="13">
        <f t="shared" si="80"/>
        <v>0</v>
      </c>
      <c r="W72" s="13">
        <f t="shared" si="80"/>
        <v>0</v>
      </c>
      <c r="X72" s="13">
        <f t="shared" si="80"/>
        <v>0</v>
      </c>
      <c r="Y72" s="13"/>
      <c r="Z72" s="13">
        <f t="shared" si="81"/>
        <v>0</v>
      </c>
      <c r="AA72" s="13">
        <f t="shared" si="81"/>
        <v>0</v>
      </c>
      <c r="AB72" s="13">
        <f t="shared" si="81"/>
        <v>0</v>
      </c>
      <c r="AC72" s="13">
        <f t="shared" si="81"/>
        <v>0</v>
      </c>
      <c r="AD72" s="13">
        <f t="shared" si="81"/>
        <v>0</v>
      </c>
      <c r="AE72" s="13">
        <f t="shared" si="81"/>
        <v>0</v>
      </c>
    </row>
    <row r="73" spans="3:31" hidden="1" x14ac:dyDescent="0.2">
      <c r="C73" t="s">
        <v>73</v>
      </c>
      <c r="E73" t="s">
        <v>74</v>
      </c>
      <c r="F73" s="6"/>
      <c r="G73" s="18">
        <f t="shared" si="79"/>
        <v>0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f t="shared" si="80"/>
        <v>0</v>
      </c>
      <c r="V73" s="13">
        <f t="shared" si="80"/>
        <v>0</v>
      </c>
      <c r="W73" s="13">
        <f t="shared" si="80"/>
        <v>0</v>
      </c>
      <c r="X73" s="13">
        <f t="shared" si="80"/>
        <v>0</v>
      </c>
      <c r="Y73" s="13"/>
      <c r="Z73" s="13">
        <f t="shared" si="81"/>
        <v>0</v>
      </c>
      <c r="AA73" s="13">
        <f t="shared" si="81"/>
        <v>0</v>
      </c>
      <c r="AB73" s="13">
        <f t="shared" si="81"/>
        <v>0</v>
      </c>
      <c r="AC73" s="13">
        <f t="shared" si="81"/>
        <v>0</v>
      </c>
      <c r="AD73" s="13">
        <f t="shared" si="81"/>
        <v>0</v>
      </c>
      <c r="AE73" s="13">
        <f t="shared" si="81"/>
        <v>0</v>
      </c>
    </row>
    <row r="74" spans="3:31" x14ac:dyDescent="0.2">
      <c r="C74" t="s">
        <v>73</v>
      </c>
      <c r="D74" t="s">
        <v>85</v>
      </c>
      <c r="E74" t="s">
        <v>75</v>
      </c>
      <c r="F74" s="6"/>
      <c r="G74" s="18">
        <f>SUMIFS(G$5:G$10,$D$5:$D$10,$D74)-SUMIFS(G$46:G$51,$D$24:$D$29,$D74)</f>
        <v>222.59141636947476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>
        <f>SUMIFS(U$5:U$10,$D$5:$D$10,$D74)-SUMIFS(U$46:U$51,$D$24:$D$29,$D74)</f>
        <v>0</v>
      </c>
      <c r="V74" s="13">
        <f>SUMIFS(V$5:V$10,$D$5:$D$10,$D74)-SUMIFS(V$46:V$51,$D$24:$D$29,$D74)</f>
        <v>1569.8289002881052</v>
      </c>
      <c r="W74" s="13">
        <f t="shared" ref="W74:AE74" si="82">SUMIFS(W$5:W$10,$D$5:$D$10,$D74)-SUMIFS(W$46:W$51,$D$24:$D$29,$D74)</f>
        <v>1569.8289002881056</v>
      </c>
      <c r="X74" s="13">
        <f t="shared" si="82"/>
        <v>4760.6370640753994</v>
      </c>
      <c r="Y74" s="13">
        <f t="shared" si="82"/>
        <v>334.39477046311083</v>
      </c>
      <c r="Z74" s="13">
        <f t="shared" si="82"/>
        <v>182.35852664675417</v>
      </c>
      <c r="AA74" s="13">
        <f t="shared" si="82"/>
        <v>139.2270359967971</v>
      </c>
      <c r="AB74" s="13">
        <f t="shared" si="82"/>
        <v>2.6745610192438516</v>
      </c>
      <c r="AC74" s="13">
        <f t="shared" si="82"/>
        <v>214.49523233506324</v>
      </c>
      <c r="AD74" s="13">
        <f t="shared" si="82"/>
        <v>224.7530268272144</v>
      </c>
      <c r="AE74" s="13">
        <f t="shared" si="82"/>
        <v>2270.751983221081</v>
      </c>
    </row>
    <row r="75" spans="3:31" x14ac:dyDescent="0.2">
      <c r="C75" t="s">
        <v>73</v>
      </c>
      <c r="D75" t="s">
        <v>86</v>
      </c>
      <c r="E75" t="s">
        <v>75</v>
      </c>
      <c r="F75" s="6"/>
      <c r="G75" s="18">
        <f t="shared" ref="G75:G79" si="83">SUMIFS(G$5:G$10,$D$5:$D$10,$D75)-SUMIFS(G$46:G$51,$D$24:$D$29,$D75)</f>
        <v>190.59804009450943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>
        <f t="shared" ref="U75:AE79" si="84">SUMIFS(U$5:U$10,$D$5:$D$10,$D75)-SUMIFS(U$46:U$51,$D$24:$D$29,$D75)</f>
        <v>0</v>
      </c>
      <c r="V75" s="13">
        <f t="shared" si="84"/>
        <v>1674.8406801612309</v>
      </c>
      <c r="W75" s="13">
        <f t="shared" si="84"/>
        <v>1674.8406801612309</v>
      </c>
      <c r="X75" s="13">
        <f t="shared" si="84"/>
        <v>4310.5293586865309</v>
      </c>
      <c r="Y75" s="13">
        <f t="shared" si="84"/>
        <v>283.93372734608892</v>
      </c>
      <c r="Z75" s="13">
        <f t="shared" si="84"/>
        <v>311.39610431908568</v>
      </c>
      <c r="AA75" s="13">
        <f t="shared" si="84"/>
        <v>297.99820124672169</v>
      </c>
      <c r="AB75" s="13">
        <f t="shared" si="84"/>
        <v>1.5114820815629835</v>
      </c>
      <c r="AC75" s="13">
        <f t="shared" si="84"/>
        <v>18.608933980890736</v>
      </c>
      <c r="AD75" s="13">
        <f t="shared" si="84"/>
        <v>127.0153009716793</v>
      </c>
      <c r="AE75" s="13">
        <f t="shared" si="84"/>
        <v>197.00332395607393</v>
      </c>
    </row>
    <row r="76" spans="3:31" x14ac:dyDescent="0.2">
      <c r="C76" t="s">
        <v>73</v>
      </c>
      <c r="D76" t="s">
        <v>87</v>
      </c>
      <c r="E76" t="s">
        <v>75</v>
      </c>
      <c r="F76" s="6"/>
      <c r="G76" s="18">
        <f t="shared" si="83"/>
        <v>190.5125684045953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>
        <f t="shared" si="84"/>
        <v>0</v>
      </c>
      <c r="V76" s="13">
        <f t="shared" si="84"/>
        <v>1672.8779070218525</v>
      </c>
      <c r="W76" s="13">
        <f t="shared" si="84"/>
        <v>1672.8779070218525</v>
      </c>
      <c r="X76" s="13">
        <f t="shared" si="84"/>
        <v>4305.4777789500522</v>
      </c>
      <c r="Y76" s="13">
        <f t="shared" si="84"/>
        <v>283.60098077502715</v>
      </c>
      <c r="Z76" s="13">
        <f t="shared" si="84"/>
        <v>311.03117414005175</v>
      </c>
      <c r="AA76" s="13">
        <f t="shared" si="84"/>
        <v>297.64795265121029</v>
      </c>
      <c r="AB76" s="13">
        <f t="shared" si="84"/>
        <v>1.65399188700186</v>
      </c>
      <c r="AC76" s="13">
        <f t="shared" si="84"/>
        <v>9.829626702189266</v>
      </c>
      <c r="AD76" s="13">
        <f t="shared" si="84"/>
        <v>138.99091487410587</v>
      </c>
      <c r="AE76" s="13">
        <f t="shared" si="84"/>
        <v>104.06126087433057</v>
      </c>
    </row>
    <row r="77" spans="3:31" x14ac:dyDescent="0.2">
      <c r="C77" t="s">
        <v>73</v>
      </c>
      <c r="D77" t="s">
        <v>83</v>
      </c>
      <c r="E77" t="s">
        <v>75</v>
      </c>
      <c r="F77" s="6"/>
      <c r="G77" s="18">
        <f t="shared" si="83"/>
        <v>0.32133562981486818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f t="shared" si="84"/>
        <v>0</v>
      </c>
      <c r="V77" s="13">
        <f t="shared" si="84"/>
        <v>2.5603543945974252</v>
      </c>
      <c r="W77" s="13">
        <f t="shared" si="84"/>
        <v>2.5603543945974252</v>
      </c>
      <c r="X77" s="13">
        <f t="shared" si="84"/>
        <v>6.4405583877073695</v>
      </c>
      <c r="Y77" s="13">
        <f t="shared" si="84"/>
        <v>0.23244911533388546</v>
      </c>
      <c r="Z77" s="13">
        <f t="shared" si="84"/>
        <v>0.32129227767095614</v>
      </c>
      <c r="AA77" s="13">
        <f t="shared" si="84"/>
        <v>1.613938265832629E-4</v>
      </c>
      <c r="AB77" s="13">
        <f t="shared" si="84"/>
        <v>7.2842413731246669E-3</v>
      </c>
      <c r="AC77" s="13">
        <f t="shared" si="84"/>
        <v>0.17722081951003332</v>
      </c>
      <c r="AD77" s="13">
        <f t="shared" si="84"/>
        <v>0.61212112379199368</v>
      </c>
      <c r="AE77" s="13">
        <f t="shared" si="84"/>
        <v>1.8761467235869986</v>
      </c>
    </row>
    <row r="78" spans="3:31" x14ac:dyDescent="0.2">
      <c r="C78" t="s">
        <v>73</v>
      </c>
      <c r="D78" t="s">
        <v>84</v>
      </c>
      <c r="E78" t="s">
        <v>75</v>
      </c>
      <c r="F78" s="6"/>
      <c r="G78" s="18">
        <f t="shared" si="83"/>
        <v>113.36263950160557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>
        <f t="shared" si="84"/>
        <v>0</v>
      </c>
      <c r="V78" s="13">
        <f t="shared" si="84"/>
        <v>1014.8374008901715</v>
      </c>
      <c r="W78" s="13">
        <f t="shared" si="84"/>
        <v>1014.8374008901716</v>
      </c>
      <c r="X78" s="13">
        <f t="shared" si="84"/>
        <v>2552.8182927543585</v>
      </c>
      <c r="Y78" s="13">
        <f t="shared" si="84"/>
        <v>92.134923408423532</v>
      </c>
      <c r="Z78" s="13">
        <f t="shared" si="84"/>
        <v>127.34933128229662</v>
      </c>
      <c r="AA78" s="13">
        <f t="shared" si="84"/>
        <v>6.3951187415702798E-2</v>
      </c>
      <c r="AB78" s="13">
        <f t="shared" si="84"/>
        <v>2.9646381984147117</v>
      </c>
      <c r="AC78" s="13">
        <f t="shared" si="84"/>
        <v>72.792621984330268</v>
      </c>
      <c r="AD78" s="13">
        <f t="shared" si="84"/>
        <v>249.12926037098421</v>
      </c>
      <c r="AE78" s="13">
        <f t="shared" si="84"/>
        <v>770.61848384851044</v>
      </c>
    </row>
    <row r="79" spans="3:31" x14ac:dyDescent="0.2">
      <c r="C79" t="s">
        <v>73</v>
      </c>
      <c r="D79" t="str">
        <f>+D10</f>
        <v>SPOT MARKET ENERGY - BAL</v>
      </c>
      <c r="E79" t="s">
        <v>75</v>
      </c>
      <c r="F79" s="6"/>
      <c r="G79" s="18">
        <f t="shared" si="83"/>
        <v>112.464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f t="shared" si="84"/>
        <v>0</v>
      </c>
      <c r="V79" s="13">
        <f t="shared" si="84"/>
        <v>0</v>
      </c>
      <c r="W79" s="13">
        <f t="shared" si="84"/>
        <v>0</v>
      </c>
      <c r="X79" s="13">
        <f t="shared" si="84"/>
        <v>4045.3300799999997</v>
      </c>
      <c r="Y79" s="13">
        <f t="shared" si="84"/>
        <v>0</v>
      </c>
      <c r="Z79" s="13">
        <f t="shared" si="84"/>
        <v>0</v>
      </c>
      <c r="AA79" s="13">
        <f t="shared" si="84"/>
        <v>0</v>
      </c>
      <c r="AB79" s="13">
        <f t="shared" si="84"/>
        <v>0</v>
      </c>
      <c r="AC79" s="13">
        <f t="shared" si="84"/>
        <v>0</v>
      </c>
      <c r="AD79" s="13">
        <f t="shared" si="84"/>
        <v>0</v>
      </c>
      <c r="AE79" s="13">
        <f t="shared" si="84"/>
        <v>0</v>
      </c>
    </row>
    <row r="80" spans="3:31" x14ac:dyDescent="0.2">
      <c r="F80" s="6"/>
      <c r="G80" s="18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">
      <c r="F81" s="6"/>
      <c r="G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">
      <c r="C82" s="10" t="s">
        <v>47</v>
      </c>
      <c r="F82" s="6"/>
      <c r="G82" s="13">
        <f>SUM(G65:G79)</f>
        <v>829.84999999999991</v>
      </c>
      <c r="I82" s="17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>
        <f>SUM(U65:U79)</f>
        <v>0</v>
      </c>
      <c r="V82" s="13">
        <f>SUM(V65:V79)</f>
        <v>5934.9452427559572</v>
      </c>
      <c r="W82" s="13">
        <f>SUM(W65:W79)</f>
        <v>5934.9452427559581</v>
      </c>
      <c r="X82" s="13">
        <f>SUM(X65:X79)</f>
        <v>19981.233132854046</v>
      </c>
      <c r="Y82" s="13"/>
      <c r="Z82" s="13">
        <f t="shared" ref="Z82:AE82" si="85">SUM(Z65:Z79)</f>
        <v>932.45642866585911</v>
      </c>
      <c r="AA82" s="13">
        <f t="shared" si="85"/>
        <v>734.93730247597136</v>
      </c>
      <c r="AB82" s="13">
        <f t="shared" si="85"/>
        <v>8.8119574275965302</v>
      </c>
      <c r="AC82" s="13">
        <f t="shared" si="85"/>
        <v>315.90363582198353</v>
      </c>
      <c r="AD82" s="13">
        <f t="shared" si="85"/>
        <v>740.50062416777575</v>
      </c>
      <c r="AE82" s="13">
        <f t="shared" si="85"/>
        <v>3344.3111986235826</v>
      </c>
    </row>
    <row r="83" spans="2:31" x14ac:dyDescent="0.2">
      <c r="F83" s="6"/>
    </row>
    <row r="84" spans="2:31" x14ac:dyDescent="0.2">
      <c r="C84" s="10" t="s">
        <v>59</v>
      </c>
      <c r="F84" s="6"/>
      <c r="G84" s="13">
        <f>SUMIFS('Transactions and Load'!E2:E6,'Transactions and Load'!A2:A6,"SALE")</f>
        <v>829.85</v>
      </c>
      <c r="J84" s="17"/>
      <c r="K84" s="17"/>
      <c r="X84" s="17">
        <f>SUM(X82:AC82)</f>
        <v>21973.342457245453</v>
      </c>
      <c r="Y84" t="s">
        <v>97</v>
      </c>
    </row>
    <row r="85" spans="2:31" x14ac:dyDescent="0.2">
      <c r="J85" s="17"/>
      <c r="K85" s="17"/>
      <c r="AD85" s="17"/>
      <c r="AE85" s="17"/>
    </row>
    <row r="86" spans="2:31" x14ac:dyDescent="0.2">
      <c r="J86" s="17"/>
      <c r="K86" s="17"/>
      <c r="AD86" s="17"/>
      <c r="AE86" s="17"/>
    </row>
    <row r="87" spans="2:31" x14ac:dyDescent="0.2">
      <c r="J87" s="17"/>
      <c r="K87" s="17"/>
    </row>
    <row r="88" spans="2:31" x14ac:dyDescent="0.2">
      <c r="AE88" s="17"/>
    </row>
    <row r="89" spans="2:31" x14ac:dyDescent="0.2">
      <c r="J89" s="17"/>
    </row>
    <row r="92" spans="2:31" x14ac:dyDescent="0.2">
      <c r="B92" s="3" t="s">
        <v>60</v>
      </c>
    </row>
    <row r="93" spans="2:31" x14ac:dyDescent="0.2">
      <c r="B93" s="3" t="s">
        <v>68</v>
      </c>
    </row>
    <row r="94" spans="2:31" x14ac:dyDescent="0.2">
      <c r="B94" s="3" t="s">
        <v>66</v>
      </c>
    </row>
  </sheetData>
  <sortState ref="A20:BD23">
    <sortCondition ref="A20:A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" sqref="D1:E10"/>
    </sheetView>
  </sheetViews>
  <sheetFormatPr defaultRowHeight="11.25" x14ac:dyDescent="0.2"/>
  <cols>
    <col min="1" max="1" width="13.6640625" customWidth="1"/>
    <col min="2" max="2" width="25" customWidth="1"/>
    <col min="3" max="3" width="32.83203125" customWidth="1"/>
    <col min="4" max="4" width="15" customWidth="1"/>
    <col min="5" max="9" width="25" customWidth="1"/>
  </cols>
  <sheetData>
    <row r="1" spans="1:5" x14ac:dyDescent="0.2">
      <c r="A1" s="14" t="s">
        <v>58</v>
      </c>
      <c r="B1" s="14" t="s">
        <v>57</v>
      </c>
      <c r="C1" s="14" t="s">
        <v>56</v>
      </c>
      <c r="D1" s="28" t="s">
        <v>55</v>
      </c>
      <c r="E1" s="28" t="s">
        <v>30</v>
      </c>
    </row>
    <row r="2" spans="1:5" x14ac:dyDescent="0.2">
      <c r="A2" t="s">
        <v>53</v>
      </c>
      <c r="B2" t="s">
        <v>52</v>
      </c>
      <c r="C2" t="s">
        <v>62</v>
      </c>
      <c r="D2" s="6">
        <v>0</v>
      </c>
      <c r="E2" s="6">
        <v>-25.292000000000002</v>
      </c>
    </row>
    <row r="3" spans="1:5" x14ac:dyDescent="0.2">
      <c r="A3" t="s">
        <v>54</v>
      </c>
      <c r="B3" t="s">
        <v>70</v>
      </c>
      <c r="C3" t="s">
        <v>71</v>
      </c>
      <c r="D3" s="6">
        <v>0</v>
      </c>
      <c r="E3" s="6">
        <v>816.71</v>
      </c>
    </row>
    <row r="4" spans="1:5" x14ac:dyDescent="0.2">
      <c r="A4" t="s">
        <v>54</v>
      </c>
      <c r="B4" t="s">
        <v>69</v>
      </c>
      <c r="C4" t="s">
        <v>72</v>
      </c>
      <c r="D4" s="6">
        <v>0</v>
      </c>
      <c r="E4" s="6">
        <v>11.545999999999999</v>
      </c>
    </row>
    <row r="5" spans="1:5" x14ac:dyDescent="0.2">
      <c r="A5" s="6" t="s">
        <v>49</v>
      </c>
      <c r="B5" t="s">
        <v>50</v>
      </c>
      <c r="C5" t="s">
        <v>51</v>
      </c>
      <c r="D5" s="6">
        <v>41.97</v>
      </c>
      <c r="E5" s="29">
        <v>829.85</v>
      </c>
    </row>
    <row r="6" spans="1:5" x14ac:dyDescent="0.2">
      <c r="A6" t="s">
        <v>9</v>
      </c>
      <c r="B6" t="s">
        <v>50</v>
      </c>
      <c r="C6" t="s">
        <v>10</v>
      </c>
      <c r="D6" s="6">
        <v>35.97</v>
      </c>
      <c r="E6" s="6">
        <v>112.464</v>
      </c>
    </row>
    <row r="7" spans="1:5" x14ac:dyDescent="0.2">
      <c r="D7" s="6"/>
      <c r="E7" s="6"/>
    </row>
    <row r="8" spans="1:5" x14ac:dyDescent="0.2">
      <c r="D8" s="6"/>
      <c r="E8" s="6"/>
    </row>
    <row r="9" spans="1:5" x14ac:dyDescent="0.2">
      <c r="D9" s="6"/>
      <c r="E9" s="6"/>
    </row>
    <row r="10" spans="1:5" x14ac:dyDescent="0.2">
      <c r="D10" s="6"/>
      <c r="E10" s="6"/>
    </row>
    <row r="18" spans="4:4" x14ac:dyDescent="0.2">
      <c r="D18" s="19"/>
    </row>
  </sheetData>
  <sortState ref="A2:E7">
    <sortCondition ref="A2:A7"/>
    <sortCondition ref="B2: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Dispatch</vt:lpstr>
      <vt:lpstr>Transactions and Load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Windows User</cp:lastModifiedBy>
  <dcterms:created xsi:type="dcterms:W3CDTF">2014-09-12T09:17:29Z</dcterms:created>
  <dcterms:modified xsi:type="dcterms:W3CDTF">2015-03-25T18:01:55Z</dcterms:modified>
</cp:coreProperties>
</file>