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446" windowWidth="19320" windowHeight="14445" tabRatio="911" activeTab="3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<sst xmlns="http://schemas.openxmlformats.org/spreadsheetml/2006/main" count="374" uniqueCount="237">
  <si>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</si>
  <si>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</si>
  <si>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</si>
  <si>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</si>
  <si>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</si>
  <si>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</si>
  <si>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</si>
  <si>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</si>
  <si>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</si>
  <si>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</si>
  <si>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</si>
  <si>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</si>
  <si>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</si>
  <si>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</si>
  <si>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</si>
  <si>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</si>
  <si>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</si>
  <si>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</si>
  <si>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</si>
  <si>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</si>
  <si>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</si>
  <si>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</si>
  <si>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</si>
  <si>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</si>
  <si>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</si>
  <si>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</si>
  <si>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</si>
  <si>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</si>
  <si>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</si>
  <si>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</si>
  <si>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</si>
  <si>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</si>
  <si>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</si>
  <si>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</si>
  <si>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</si>
  <si>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</si>
  <si>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</si>
  <si>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</si>
  <si>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</si>
  <si>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</si>
  <si>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</si>
  <si>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</si>
  <si>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</si>
  <si>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</si>
  <si>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</si>
  <si>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</si>
  <si>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</si>
  <si>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</si>
  <si>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</si>
  <si>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</si>
  <si>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</si>
  <si>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</si>
  <si>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</si>
  <si>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</si>
  <si>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</si>
  <si>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</si>
  <si>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</si>
  <si>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</si>
  <si>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</si>
  <si>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</si>
  <si>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</si>
  <si>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</si>
  <si>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</si>
  <si>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</si>
  <si>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</si>
  <si>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</si>
  <si>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</si>
  <si>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</si>
  <si>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</si>
  <si>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</si>
  <si>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</si>
  <si>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</si>
  <si>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</si>
  <si>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</si>
  <si>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</si>
  <si>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</si>
  <si>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</si>
  <si>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</si>
  <si>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</si>
  <si>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</si>
  <si>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</si>
  <si>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</si>
  <si>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</si>
  <si>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</si>
  <si>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</si>
  <si>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</si>
  <si>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</si>
  <si>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</si>
  <si>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</si>
  <si>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</si>
  <si>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</si>
  <si>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</si>
  <si>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</si>
  <si>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</si>
  <si>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</si>
  <si>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</si>
  <si>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</si>
  <si>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</si>
  <si>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</si>
  <si>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</si>
  <si>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</si>
  <si>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</si>
  <si>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</si>
  <si>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</si>
  <si>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</si>
  <si>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</si>
  <si>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</si>
  <si>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</si>
  <si>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</si>
  <si>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</si>
  <si>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</si>
  <si>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</si>
  <si>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</si>
  <si>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</si>
  <si>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</si>
  <si>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</si>
  <si>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</si>
  <si>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</si>
  <si>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</si>
  <si>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</si>
  <si>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</si>
  <si>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</si>
  <si>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</si>
  <si>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</si>
  <si>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</si>
  <si>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</si>
  <si>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</si>
  <si>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</si>
  <si>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</si>
  <si>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</si>
  <si>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</si>
  <si>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</si>
  <si>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</si>
  <si>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</si>
  <si>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</si>
  <si>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</si>
  <si>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</si>
  <si>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</si>
  <si>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</si>
  <si>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</si>
  <si>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</si>
  <si>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</si>
  <si>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</si>
  <si>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</si>
  <si>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</si>
  <si>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</si>
  <si>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</si>
  <si>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</si>
  <si>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</si>
  <si>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</si>
  <si>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System Sales Clause Factor - $/Kwh (Ln 5 / Ln 6)</t>
  </si>
  <si>
    <t>Settlement Agreement in Case No. 2009-00459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</si>
  <si>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</si>
  <si>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</si>
  <si>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</si>
  <si>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</si>
  <si>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</si>
  <si>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</si>
  <si>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</si>
  <si>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</si>
  <si>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</si>
  <si>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</si>
  <si>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</si>
  <si>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</si>
  <si>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</si>
  <si>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</si>
  <si>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</si>
  <si>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</si>
  <si>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</si>
  <si>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</si>
  <si>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</si>
  <si>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</si>
  <si>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</si>
  <si>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</si>
  <si>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</si>
  <si>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</si>
  <si>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</si>
  <si>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</si>
  <si>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</si>
  <si>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</si>
  <si>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</si>
  <si>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</si>
  <si>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</si>
  <si>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</si>
  <si>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</si>
  <si>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0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</si>
  <si>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</si>
  <si>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</si>
  <si>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</si>
  <si>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</si>
  <si>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</si>
  <si>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</si>
  <si>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</si>
  <si>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</si>
  <si>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</si>
  <si>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</si>
  <si>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</si>
  <si>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Cost -- Cannot be higher than the BSP cost</t>
  </si>
  <si>
    <t>Manager, Regulatory Services</t>
  </si>
  <si>
    <t>*Pursuant to PSC Order dated May 31, 2011 in Case No. 2010-00490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</si>
  <si>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</si>
  <si>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</si>
  <si>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</si>
  <si>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</si>
  <si>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</si>
  <si>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</si>
  <si>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</si>
  <si>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</si>
  <si>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</si>
  <si>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</si>
  <si>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</si>
  <si>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</si>
  <si>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</si>
  <si>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</si>
  <si>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</si>
  <si>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</si>
  <si>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</si>
  <si>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</si>
  <si>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</si>
  <si>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</si>
  <si>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</si>
  <si>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</si>
  <si>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</si>
  <si>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</si>
  <si>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</si>
  <si>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</si>
  <si>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</si>
  <si>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</si>
  <si>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</si>
  <si>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</si>
  <si>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</si>
  <si>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</si>
  <si>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</si>
  <si>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December 2012</t>
  </si>
  <si>
    <t>Current FAC billed (page 1 of 1)</t>
  </si>
  <si>
    <t>Estimated  - based on actual Kentucky generation unit costs in</t>
  </si>
  <si>
    <t>January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</si>
</sst>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24" fillId="16" borderId="0" applyNumberFormat="0" applyBorder="0" applyAlignment="0" applyProtection="0"/>
    <xf numFmtId="0" fontId="28" fillId="11" borderId="1" applyNumberFormat="0" applyAlignment="0" applyProtection="0"/>
    <xf numFmtId="0" fontId="3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19" borderId="0" applyNumberFormat="0" applyBorder="0" applyAlignment="0" applyProtection="0"/>
    <xf numFmtId="0" fontId="0" fillId="20" borderId="7" applyNumberFormat="0" applyFont="0" applyAlignment="0" applyProtection="0"/>
    <xf numFmtId="0" fontId="27" fillId="11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0" fontId="1" fillId="0" borderId="12" xfId="0" applyNumberFormat="1" applyFont="1" applyBorder="1" applyAlignment="1">
      <alignment horizontal="center" vertical="top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15" sqref="C15"/>
    </sheetView>
  </sheetViews>
  <sheetFormatPr defaultColWidth="8.8515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60">
        <f>Input!D4</f>
        <v>41323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1" t="str">
        <f>Input!D10</f>
        <v>January 2013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164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161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1045520000</v>
      </c>
      <c r="D15" s="26" t="s">
        <v>162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349871000</v>
      </c>
      <c r="D17" s="26" t="s">
        <v>163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695649000</v>
      </c>
      <c r="D19" s="26" t="s">
        <v>160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695649000</v>
      </c>
      <c r="E22" s="9" t="s">
        <v>160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0.01971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9">
        <f>ROUND(D22*D24,-3)</f>
        <v>13711000</v>
      </c>
      <c r="E26" s="9" t="s">
        <v>160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541000</v>
      </c>
      <c r="E28" s="9" t="s">
        <v>160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13170000</v>
      </c>
      <c r="E31" s="9" t="s">
        <v>160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ySplit="15" topLeftCell="BM25" activePane="bottomLeft" state="frozen"/>
      <selection pane="topLeft" activeCell="F16" sqref="F16"/>
      <selection pane="bottomLeft" activeCell="F16" sqref="F16"/>
    </sheetView>
  </sheetViews>
  <sheetFormatPr defaultColWidth="8.8515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162" t="s">
        <v>151</v>
      </c>
      <c r="C8" s="163"/>
      <c r="D8" s="163"/>
      <c r="E8" s="163"/>
      <c r="F8" s="163"/>
      <c r="G8" s="163"/>
    </row>
    <row r="9" spans="2:7" ht="12.75">
      <c r="B9" s="33"/>
      <c r="C9" s="87"/>
      <c r="D9" s="87"/>
      <c r="E9" s="87"/>
      <c r="F9" s="87"/>
      <c r="G9" s="87"/>
    </row>
    <row r="10" spans="2:7" ht="12.75">
      <c r="B10" s="96" t="s">
        <v>130</v>
      </c>
      <c r="C10" s="187" t="str">
        <f>Summary!$E$6</f>
        <v>January 2013</v>
      </c>
      <c r="D10" s="187"/>
      <c r="E10" s="187"/>
      <c r="F10" s="87"/>
      <c r="G10" s="87"/>
    </row>
    <row r="11" spans="2:7" ht="12.75">
      <c r="B11" s="28"/>
      <c r="C11" s="183"/>
      <c r="D11" s="183"/>
      <c r="E11" s="5"/>
      <c r="F11" s="75"/>
      <c r="G11" s="75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6"/>
      <c r="G13" s="76"/>
      <c r="H13" s="55"/>
    </row>
    <row r="14" spans="1:8" ht="12.75">
      <c r="A14" s="7" t="s">
        <v>133</v>
      </c>
      <c r="B14" s="28"/>
      <c r="C14" s="6"/>
      <c r="D14" s="12"/>
      <c r="E14" s="5"/>
      <c r="F14" s="77"/>
      <c r="G14" s="78"/>
      <c r="H14" s="55"/>
    </row>
    <row r="15" spans="1:8" ht="12" customHeight="1">
      <c r="A15" s="53" t="s">
        <v>134</v>
      </c>
      <c r="C15" s="72"/>
      <c r="D15" s="79"/>
      <c r="E15" s="5"/>
      <c r="F15" s="194"/>
      <c r="G15" s="195"/>
      <c r="H15" s="55"/>
    </row>
    <row r="16" spans="2:8" ht="12.75">
      <c r="B16" s="28"/>
      <c r="C16" s="5"/>
      <c r="D16" s="5"/>
      <c r="E16" s="75"/>
      <c r="F16" s="88"/>
      <c r="G16" s="63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1269435</v>
      </c>
      <c r="E17" s="14"/>
      <c r="F17" s="88"/>
      <c r="G17" s="89"/>
      <c r="H17" s="55"/>
    </row>
    <row r="18" spans="1:8" ht="12.75" customHeight="1">
      <c r="A18" s="12">
        <v>2</v>
      </c>
      <c r="B18" s="86" t="s">
        <v>149</v>
      </c>
      <c r="C18" s="9" t="s">
        <v>16</v>
      </c>
      <c r="D18" s="92">
        <f>Input!D43</f>
        <v>528886</v>
      </c>
      <c r="E18" s="27"/>
      <c r="F18" s="88"/>
      <c r="G18" s="63"/>
      <c r="H18" s="55"/>
    </row>
    <row r="19" spans="1:8" ht="12.75" customHeight="1">
      <c r="A19" s="12"/>
      <c r="B19" s="86" t="s">
        <v>148</v>
      </c>
      <c r="C19" s="9"/>
      <c r="D19" s="93"/>
      <c r="E19" s="27"/>
      <c r="F19" s="88"/>
      <c r="G19" s="63"/>
      <c r="H19" s="55"/>
    </row>
    <row r="20" spans="1:8" ht="12.75" customHeight="1">
      <c r="A20" s="12"/>
      <c r="B20" s="28"/>
      <c r="C20" s="5"/>
      <c r="D20" s="15"/>
      <c r="E20" s="75"/>
      <c r="F20" s="88"/>
      <c r="G20" s="63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740549</v>
      </c>
      <c r="E21" s="15"/>
      <c r="F21" s="88"/>
      <c r="G21" s="63"/>
      <c r="H21" s="55"/>
    </row>
    <row r="22" spans="1:8" ht="15" customHeight="1">
      <c r="A22" s="12"/>
      <c r="B22" s="28"/>
      <c r="C22" s="5"/>
      <c r="D22" s="5"/>
      <c r="E22" s="75"/>
      <c r="F22" s="88"/>
      <c r="G22" s="63"/>
      <c r="H22" s="55"/>
    </row>
    <row r="23" spans="1:8" ht="12.75">
      <c r="A23" s="12">
        <v>4</v>
      </c>
      <c r="B23" s="28" t="s">
        <v>147</v>
      </c>
      <c r="C23" s="30" t="s">
        <v>120</v>
      </c>
      <c r="D23" s="91">
        <v>0.6</v>
      </c>
      <c r="E23" s="75"/>
      <c r="F23" s="88"/>
      <c r="G23" s="63"/>
      <c r="H23" s="55"/>
    </row>
    <row r="24" spans="1:8" ht="12.75">
      <c r="A24" s="12"/>
      <c r="B24" s="28"/>
      <c r="C24" s="30"/>
      <c r="D24" s="21"/>
      <c r="E24" s="75"/>
      <c r="F24" s="21"/>
      <c r="G24" s="63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5"/>
      <c r="F25" s="88"/>
      <c r="G25" s="63"/>
      <c r="H25" s="56"/>
    </row>
    <row r="26" spans="1:7" ht="12.75" customHeight="1">
      <c r="A26" s="12"/>
      <c r="B26" s="28" t="s">
        <v>19</v>
      </c>
      <c r="C26" s="5"/>
      <c r="D26" s="15">
        <f>SUM(D21*0.6)</f>
        <v>444329.39999999997</v>
      </c>
      <c r="E26" s="15"/>
      <c r="F26" s="90"/>
      <c r="G26" s="21"/>
    </row>
    <row r="27" spans="1:8" ht="15" customHeight="1">
      <c r="A27" s="12"/>
      <c r="B27" s="28"/>
      <c r="C27" s="5"/>
      <c r="D27" s="5"/>
      <c r="E27" s="75"/>
      <c r="F27" s="21"/>
      <c r="G27" s="89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682479000</v>
      </c>
      <c r="E28" s="15"/>
      <c r="F28" s="75"/>
      <c r="G28" s="75"/>
    </row>
    <row r="29" spans="1:7" ht="12.75">
      <c r="A29" s="12"/>
      <c r="B29" s="28"/>
      <c r="C29" s="5"/>
      <c r="D29" s="30"/>
      <c r="E29" s="5"/>
      <c r="F29" s="75"/>
      <c r="G29" s="75"/>
    </row>
    <row r="30" spans="1:7" ht="12.75">
      <c r="A30" s="12"/>
      <c r="B30" s="28"/>
      <c r="C30" s="5"/>
      <c r="D30" s="30"/>
      <c r="E30" s="5"/>
      <c r="F30" s="75"/>
      <c r="G30" s="75"/>
    </row>
    <row r="31" spans="1:7" ht="12.75" customHeight="1">
      <c r="A31" s="12"/>
      <c r="B31" s="28"/>
      <c r="C31" s="5"/>
      <c r="D31" s="47"/>
      <c r="E31" s="47"/>
      <c r="F31" s="80"/>
      <c r="G31" s="75"/>
    </row>
    <row r="32" spans="1:7" ht="13.5" thickBot="1">
      <c r="A32" s="12">
        <v>7</v>
      </c>
      <c r="B32" s="70" t="s">
        <v>150</v>
      </c>
      <c r="C32" s="5"/>
      <c r="D32" s="105">
        <f>-D26/D28</f>
        <v>-0.0006510521202850197</v>
      </c>
      <c r="E32" s="12" t="s">
        <v>21</v>
      </c>
      <c r="F32" s="75"/>
      <c r="G32" s="75"/>
    </row>
    <row r="33" spans="1:7" ht="13.5" thickTop="1">
      <c r="A33" s="12"/>
      <c r="B33" s="28"/>
      <c r="C33" s="5"/>
      <c r="D33" s="30"/>
      <c r="E33" s="5"/>
      <c r="F33" s="75"/>
      <c r="G33" s="75"/>
    </row>
    <row r="34" spans="1:7" ht="12.75">
      <c r="A34" s="12"/>
      <c r="B34" s="28"/>
      <c r="C34" s="5"/>
      <c r="D34" s="30"/>
      <c r="E34" s="5"/>
      <c r="F34" s="5"/>
      <c r="G34" s="75"/>
    </row>
    <row r="35" spans="2:7" ht="48">
      <c r="B35" s="59" t="s">
        <v>22</v>
      </c>
      <c r="C35" s="5"/>
      <c r="D35" s="30"/>
      <c r="E35" s="5"/>
      <c r="F35" s="5"/>
      <c r="G35" s="75"/>
    </row>
    <row r="36" spans="2:7" ht="12.75">
      <c r="B36" s="28"/>
      <c r="C36" s="5"/>
      <c r="D36" s="30"/>
      <c r="E36" s="5"/>
      <c r="F36" s="5"/>
      <c r="G36" s="75"/>
    </row>
    <row r="37" spans="2:7" ht="12.75">
      <c r="B37" s="28"/>
      <c r="C37" s="5"/>
      <c r="D37" s="30"/>
      <c r="E37" s="5"/>
      <c r="F37" s="5"/>
      <c r="G37" s="75"/>
    </row>
    <row r="38" spans="2:7" ht="12.75">
      <c r="B38" s="28"/>
      <c r="C38" s="5"/>
      <c r="D38" s="30"/>
      <c r="E38" s="5"/>
      <c r="F38" s="75"/>
      <c r="G38" s="75"/>
    </row>
    <row r="39" spans="2:7" ht="12.75" customHeight="1">
      <c r="B39" s="30" t="s">
        <v>24</v>
      </c>
      <c r="C39" s="169">
        <f>+Summary!E19</f>
        <v>41333</v>
      </c>
      <c r="D39" s="169"/>
      <c r="E39" s="169"/>
      <c r="F39" s="169"/>
      <c r="G39" s="169"/>
    </row>
    <row r="40" spans="2:7" ht="12.75">
      <c r="B40" s="28"/>
      <c r="C40" s="5"/>
      <c r="D40" s="30"/>
      <c r="E40" s="5"/>
      <c r="F40" s="75"/>
      <c r="G40" s="75"/>
    </row>
    <row r="41" spans="2:7" ht="12.75">
      <c r="B41" s="30" t="s">
        <v>25</v>
      </c>
      <c r="C41" s="172" t="s">
        <v>153</v>
      </c>
      <c r="D41" s="172"/>
      <c r="E41" s="172"/>
      <c r="F41" s="172"/>
      <c r="G41" s="172"/>
    </row>
    <row r="42" spans="2:7" ht="12.75">
      <c r="B42" s="5"/>
      <c r="C42" s="188" t="s">
        <v>26</v>
      </c>
      <c r="D42" s="189"/>
      <c r="E42" s="189"/>
      <c r="F42" s="189"/>
      <c r="G42" s="189"/>
    </row>
    <row r="43" spans="2:7" ht="12.75">
      <c r="B43" s="5"/>
      <c r="C43" s="5"/>
      <c r="D43" s="12"/>
      <c r="E43" s="5"/>
      <c r="F43" s="75"/>
      <c r="G43" s="75"/>
    </row>
    <row r="44" spans="2:7" ht="12.75">
      <c r="B44" s="12" t="s">
        <v>27</v>
      </c>
      <c r="C44" s="172" t="str">
        <f>Input!D6</f>
        <v>Manager, Regulatory Services</v>
      </c>
      <c r="D44" s="172"/>
      <c r="E44" s="172"/>
      <c r="F44" s="172"/>
      <c r="G44" s="172"/>
    </row>
    <row r="45" spans="2:7" ht="12.75">
      <c r="B45" s="5"/>
      <c r="C45" s="5"/>
      <c r="D45" s="12"/>
      <c r="E45" s="5"/>
      <c r="F45" s="75"/>
      <c r="G45" s="75"/>
    </row>
    <row r="46" spans="2:7" ht="12.75">
      <c r="B46" s="12" t="s">
        <v>28</v>
      </c>
      <c r="C46" s="169">
        <f>Summary!$E$30</f>
        <v>41323</v>
      </c>
      <c r="D46" s="169"/>
      <c r="E46" s="169"/>
      <c r="F46" s="169"/>
      <c r="G46" s="169"/>
    </row>
    <row r="49" spans="2:6" ht="13.5">
      <c r="B49" s="191"/>
      <c r="C49" s="192"/>
      <c r="D49" s="193"/>
      <c r="E49" s="192"/>
      <c r="F49" s="192"/>
    </row>
    <row r="50" spans="2:6" ht="12.75">
      <c r="B50" s="192"/>
      <c r="C50" s="190"/>
      <c r="D50" s="190"/>
      <c r="E50" s="190"/>
      <c r="F50" s="190"/>
    </row>
    <row r="51" spans="2:6" ht="12.75">
      <c r="B51" s="190"/>
      <c r="C51" s="190"/>
      <c r="D51" s="190"/>
      <c r="E51" s="190"/>
      <c r="F51" s="190"/>
    </row>
    <row r="52" spans="2:6" ht="12.75">
      <c r="B52" s="190"/>
      <c r="C52" s="190"/>
      <c r="D52" s="190"/>
      <c r="E52" s="190"/>
      <c r="F52" s="190"/>
    </row>
  </sheetData>
  <sheetProtection/>
  <mergeCells count="13">
    <mergeCell ref="C11:D11"/>
    <mergeCell ref="F15:G15"/>
    <mergeCell ref="C41:G41"/>
    <mergeCell ref="B8:G8"/>
    <mergeCell ref="C10:E10"/>
    <mergeCell ref="C39:G39"/>
    <mergeCell ref="C42:G42"/>
    <mergeCell ref="C46:G46"/>
    <mergeCell ref="C44:G44"/>
    <mergeCell ref="B52:F52"/>
    <mergeCell ref="B49:F49"/>
    <mergeCell ref="B50:F50"/>
    <mergeCell ref="B51:F51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xSplit="2" ySplit="9" topLeftCell="C10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ColWidth="8.8515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6" t="s">
        <v>11</v>
      </c>
      <c r="B3" s="94"/>
      <c r="C3" s="94"/>
      <c r="D3" s="94"/>
      <c r="E3" s="68"/>
      <c r="F3" s="94"/>
      <c r="G3" s="94"/>
      <c r="H3" s="94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6" t="s">
        <v>12</v>
      </c>
      <c r="B5" s="94"/>
      <c r="C5" s="94"/>
      <c r="D5" s="94"/>
      <c r="E5" s="68"/>
      <c r="F5" s="94"/>
      <c r="G5" s="94"/>
      <c r="H5" s="94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5" t="s">
        <v>130</v>
      </c>
      <c r="C7" s="18"/>
      <c r="D7" s="164" t="str">
        <f>Summary!$E$6</f>
        <v>January 2013</v>
      </c>
      <c r="E7" s="164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7281103</v>
      </c>
      <c r="E11" s="14"/>
      <c r="F11" s="31">
        <f>Input!D34</f>
        <v>6824</v>
      </c>
      <c r="G11" s="14"/>
      <c r="H11" s="31">
        <f>D11+F11</f>
        <v>7287927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3" t="s">
        <v>125</v>
      </c>
      <c r="E13" s="15"/>
      <c r="F13" s="73" t="s">
        <v>125</v>
      </c>
      <c r="G13" s="15"/>
      <c r="H13" s="73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7281103</v>
      </c>
      <c r="E15" s="15"/>
      <c r="F15" s="15">
        <f>SUM(F11:F13)</f>
        <v>6824</v>
      </c>
      <c r="G15" s="15"/>
      <c r="H15" s="15">
        <f>SUM(D15+F15)</f>
        <v>7287927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5953358</v>
      </c>
      <c r="E19" s="14"/>
      <c r="F19" s="31">
        <f>Input!D38</f>
        <v>165981</v>
      </c>
      <c r="G19" s="14"/>
      <c r="H19" s="31">
        <f>D19+F19</f>
        <v>6119339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4" t="s">
        <v>125</v>
      </c>
      <c r="E21" s="15"/>
      <c r="F21" s="74" t="s">
        <v>125</v>
      </c>
      <c r="G21" s="15"/>
      <c r="H21" s="74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-100847</v>
      </c>
      <c r="E23" s="15"/>
      <c r="F23" s="15">
        <v>0</v>
      </c>
      <c r="G23" s="15"/>
      <c r="H23" s="15">
        <f>SUM(D23:F23)</f>
        <v>-100847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5852511</v>
      </c>
      <c r="E25" s="15"/>
      <c r="F25" s="15">
        <f>SUM(F19:F23)</f>
        <v>165981</v>
      </c>
      <c r="G25" s="15"/>
      <c r="H25" s="15">
        <f>SUM(H19:H23)</f>
        <v>6018492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/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1428592</v>
      </c>
      <c r="E28" s="15"/>
      <c r="F28" s="44">
        <f>SUM(F15-F25)</f>
        <v>-159157</v>
      </c>
      <c r="G28" s="27"/>
      <c r="H28" s="44">
        <f>SUM(H15-H25)</f>
        <v>1269435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11" sqref="E11"/>
    </sheetView>
  </sheetViews>
  <sheetFormatPr defaultColWidth="8.8515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22"/>
      <c r="H1" s="122" t="s">
        <v>200</v>
      </c>
    </row>
    <row r="3" spans="3:5" ht="12.75">
      <c r="C3" s="165" t="s">
        <v>201</v>
      </c>
      <c r="D3" s="166"/>
      <c r="E3" s="166"/>
    </row>
    <row r="4" spans="3:5" ht="12.75">
      <c r="C4" s="165" t="s">
        <v>202</v>
      </c>
      <c r="D4" s="166"/>
      <c r="E4" s="166"/>
    </row>
    <row r="5" spans="3:5" ht="12.75">
      <c r="C5" s="167" t="s">
        <v>203</v>
      </c>
      <c r="D5" s="168"/>
      <c r="E5" s="168"/>
    </row>
    <row r="6" spans="3:5" ht="12.75">
      <c r="C6" s="123"/>
      <c r="D6" s="124"/>
      <c r="E6" s="124"/>
    </row>
    <row r="7" spans="3:10" ht="12.75">
      <c r="C7" s="125"/>
      <c r="E7" s="126" t="s">
        <v>204</v>
      </c>
      <c r="H7" s="126" t="s">
        <v>204</v>
      </c>
      <c r="J7" s="126" t="s">
        <v>204</v>
      </c>
    </row>
    <row r="8" spans="1:10" ht="13.5" thickBot="1">
      <c r="A8" s="127"/>
      <c r="B8" s="127"/>
      <c r="C8" s="127"/>
      <c r="D8" s="127"/>
      <c r="E8" s="126" t="s">
        <v>205</v>
      </c>
      <c r="F8" s="127"/>
      <c r="G8" s="127"/>
      <c r="H8" s="126" t="s">
        <v>206</v>
      </c>
      <c r="J8" s="126" t="s">
        <v>207</v>
      </c>
    </row>
    <row r="9" spans="1:10" ht="90.75" thickBot="1">
      <c r="A9" s="127"/>
      <c r="B9" s="128"/>
      <c r="C9" s="129" t="s">
        <v>208</v>
      </c>
      <c r="D9" s="130"/>
      <c r="E9" s="131" t="s">
        <v>209</v>
      </c>
      <c r="F9" s="132"/>
      <c r="G9" s="127"/>
      <c r="H9" s="133" t="s">
        <v>210</v>
      </c>
      <c r="J9" s="133" t="s">
        <v>210</v>
      </c>
    </row>
    <row r="10" spans="1:7" ht="12.75">
      <c r="A10" s="127"/>
      <c r="B10" s="134"/>
      <c r="C10" s="127"/>
      <c r="D10" s="135"/>
      <c r="E10" s="127"/>
      <c r="F10" s="136"/>
      <c r="G10" s="127"/>
    </row>
    <row r="11" spans="1:10" ht="12.75">
      <c r="A11" s="127"/>
      <c r="B11" s="134"/>
      <c r="C11" s="137" t="s">
        <v>211</v>
      </c>
      <c r="D11" s="138"/>
      <c r="E11" s="139">
        <v>528886</v>
      </c>
      <c r="F11" s="136"/>
      <c r="G11" s="127"/>
      <c r="H11" s="140">
        <v>2661693</v>
      </c>
      <c r="J11" s="120">
        <v>895960</v>
      </c>
    </row>
    <row r="12" spans="1:10" ht="12.75">
      <c r="A12" s="127"/>
      <c r="B12" s="134"/>
      <c r="C12" s="137" t="s">
        <v>212</v>
      </c>
      <c r="D12" s="135"/>
      <c r="E12" s="141">
        <v>335167</v>
      </c>
      <c r="F12" s="136"/>
      <c r="G12" s="127"/>
      <c r="H12" s="142">
        <v>2236268</v>
      </c>
      <c r="J12" s="121">
        <v>767802</v>
      </c>
    </row>
    <row r="13" spans="1:10" ht="12.75">
      <c r="A13" s="127"/>
      <c r="B13" s="134"/>
      <c r="C13" s="137" t="s">
        <v>213</v>
      </c>
      <c r="D13" s="135"/>
      <c r="E13" s="141">
        <v>1530489</v>
      </c>
      <c r="F13" s="136"/>
      <c r="G13" s="127"/>
      <c r="H13" s="142">
        <v>1732591</v>
      </c>
      <c r="J13" s="121">
        <v>893126</v>
      </c>
    </row>
    <row r="14" spans="1:10" ht="12.75">
      <c r="A14" s="127"/>
      <c r="B14" s="134"/>
      <c r="C14" s="137" t="s">
        <v>214</v>
      </c>
      <c r="D14" s="135"/>
      <c r="E14" s="141">
        <v>1371521</v>
      </c>
      <c r="F14" s="136"/>
      <c r="G14" s="127"/>
      <c r="H14" s="142">
        <v>2706860</v>
      </c>
      <c r="J14" s="121">
        <v>1036738</v>
      </c>
    </row>
    <row r="15" spans="1:10" ht="12.75">
      <c r="A15" s="127"/>
      <c r="B15" s="134"/>
      <c r="C15" s="137" t="s">
        <v>215</v>
      </c>
      <c r="D15" s="135"/>
      <c r="E15" s="141">
        <v>1307472</v>
      </c>
      <c r="F15" s="136"/>
      <c r="G15" s="127"/>
      <c r="H15" s="142">
        <v>2365563</v>
      </c>
      <c r="J15" s="121">
        <v>1085852</v>
      </c>
    </row>
    <row r="16" spans="2:10" ht="12.75">
      <c r="B16" s="143"/>
      <c r="C16" s="137" t="s">
        <v>216</v>
      </c>
      <c r="D16" s="144"/>
      <c r="E16" s="141">
        <v>767124</v>
      </c>
      <c r="F16" s="145"/>
      <c r="H16" s="146">
        <v>3101556</v>
      </c>
      <c r="J16" s="121">
        <v>1324166</v>
      </c>
    </row>
    <row r="17" spans="2:10" ht="12.75">
      <c r="B17" s="143"/>
      <c r="C17" s="137" t="s">
        <v>217</v>
      </c>
      <c r="D17" s="144"/>
      <c r="E17" s="141">
        <v>616234</v>
      </c>
      <c r="F17" s="145"/>
      <c r="H17" s="146">
        <v>2658364</v>
      </c>
      <c r="J17" s="121">
        <v>1027403</v>
      </c>
    </row>
    <row r="18" spans="2:10" ht="12.75">
      <c r="B18" s="143"/>
      <c r="C18" s="137" t="s">
        <v>218</v>
      </c>
      <c r="D18" s="144"/>
      <c r="E18" s="141">
        <v>2136652</v>
      </c>
      <c r="F18" s="145"/>
      <c r="H18" s="146">
        <v>1660434</v>
      </c>
      <c r="J18" s="121">
        <v>1154184</v>
      </c>
    </row>
    <row r="19" spans="2:10" ht="12.75">
      <c r="B19" s="143"/>
      <c r="C19" s="137" t="s">
        <v>219</v>
      </c>
      <c r="D19" s="144"/>
      <c r="E19" s="141">
        <v>1850577</v>
      </c>
      <c r="F19" s="145"/>
      <c r="H19" s="146">
        <v>1497772</v>
      </c>
      <c r="J19" s="121">
        <v>912736</v>
      </c>
    </row>
    <row r="20" spans="2:10" ht="12.75">
      <c r="B20" s="143"/>
      <c r="C20" s="147" t="s">
        <v>220</v>
      </c>
      <c r="D20" s="148"/>
      <c r="E20" s="149">
        <v>1739665</v>
      </c>
      <c r="F20" s="145"/>
      <c r="H20" s="146">
        <v>950190</v>
      </c>
      <c r="J20" s="121">
        <v>731014</v>
      </c>
    </row>
    <row r="21" spans="2:10" ht="12.75">
      <c r="B21" s="143"/>
      <c r="C21" s="137" t="s">
        <v>221</v>
      </c>
      <c r="D21" s="148"/>
      <c r="E21" s="141">
        <v>1538455</v>
      </c>
      <c r="F21" s="145"/>
      <c r="H21" s="146">
        <v>1258779</v>
      </c>
      <c r="J21" s="121">
        <v>624320</v>
      </c>
    </row>
    <row r="22" spans="2:10" ht="12.75">
      <c r="B22" s="143"/>
      <c r="C22" s="137" t="s">
        <v>222</v>
      </c>
      <c r="D22" s="144"/>
      <c r="E22" s="141">
        <v>1568121</v>
      </c>
      <c r="F22" s="145"/>
      <c r="H22" s="146">
        <v>2025256</v>
      </c>
      <c r="J22" s="121">
        <v>862035</v>
      </c>
    </row>
    <row r="23" spans="2:10" ht="12.75">
      <c r="B23" s="143"/>
      <c r="C23" s="55"/>
      <c r="D23" s="144"/>
      <c r="E23" s="150" t="s">
        <v>223</v>
      </c>
      <c r="F23" s="145"/>
      <c r="H23" s="150" t="s">
        <v>223</v>
      </c>
      <c r="J23" s="150" t="s">
        <v>223</v>
      </c>
    </row>
    <row r="24" spans="2:10" ht="12.75">
      <c r="B24" s="143"/>
      <c r="C24" s="55" t="s">
        <v>2</v>
      </c>
      <c r="D24" s="144"/>
      <c r="E24" s="120">
        <v>15290363</v>
      </c>
      <c r="F24" s="145"/>
      <c r="H24" s="151">
        <v>24855326</v>
      </c>
      <c r="J24" s="120">
        <v>11315336</v>
      </c>
    </row>
    <row r="25" spans="2:10" ht="12.75">
      <c r="B25" s="143"/>
      <c r="C25" s="55"/>
      <c r="D25" s="144"/>
      <c r="E25" s="150" t="s">
        <v>224</v>
      </c>
      <c r="F25" s="145"/>
      <c r="H25" s="150" t="s">
        <v>224</v>
      </c>
      <c r="J25" s="150" t="s">
        <v>224</v>
      </c>
    </row>
    <row r="26" spans="2:10" ht="13.5" thickBot="1">
      <c r="B26" s="152"/>
      <c r="C26" s="153"/>
      <c r="D26" s="154"/>
      <c r="E26" s="155"/>
      <c r="F26" s="156"/>
      <c r="H26" s="121"/>
      <c r="J26" s="121"/>
    </row>
    <row r="27" ht="12.75">
      <c r="E27" s="121"/>
    </row>
    <row r="28" spans="3:10" ht="12.75">
      <c r="C28" t="s">
        <v>225</v>
      </c>
      <c r="E28" s="4" t="s">
        <v>226</v>
      </c>
      <c r="H28" s="4" t="s">
        <v>227</v>
      </c>
      <c r="J28" s="4" t="s">
        <v>228</v>
      </c>
    </row>
    <row r="29" ht="12.75">
      <c r="E29" s="121"/>
    </row>
    <row r="30" spans="3:10" ht="12.75">
      <c r="C30" t="s">
        <v>229</v>
      </c>
      <c r="E30" s="120">
        <v>15290363</v>
      </c>
      <c r="H30" s="120">
        <v>24855326</v>
      </c>
      <c r="J30" s="157">
        <v>11315336</v>
      </c>
    </row>
    <row r="31" spans="3:10" ht="12.75">
      <c r="C31" s="158" t="s">
        <v>230</v>
      </c>
      <c r="E31" s="121"/>
      <c r="H31" s="121">
        <v>5144674</v>
      </c>
      <c r="J31" s="3"/>
    </row>
    <row r="32" spans="3:8" ht="12.75">
      <c r="C32" s="158"/>
      <c r="E32" s="121"/>
      <c r="H32" s="121"/>
    </row>
    <row r="33" spans="3:8" ht="12.75">
      <c r="C33" s="3" t="s">
        <v>231</v>
      </c>
      <c r="E33" s="120"/>
      <c r="H33" s="120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workbookViewId="0" topLeftCell="A25">
      <selection activeCell="D60" sqref="D60"/>
    </sheetView>
  </sheetViews>
  <sheetFormatPr defaultColWidth="8.8515625" defaultRowHeight="12.75"/>
  <cols>
    <col min="1" max="1" width="37.8515625" style="0" customWidth="1"/>
    <col min="2" max="2" width="7.421875" style="0" customWidth="1"/>
    <col min="4" max="4" width="19.7109375" style="106" bestFit="1" customWidth="1"/>
    <col min="5" max="5" width="14.00390625" style="0" bestFit="1" customWidth="1"/>
    <col min="9" max="9" width="18.8515625" style="0" customWidth="1"/>
  </cols>
  <sheetData>
    <row r="4" spans="1:4" ht="12.75">
      <c r="A4" t="s">
        <v>167</v>
      </c>
      <c r="D4" s="110">
        <v>41323</v>
      </c>
    </row>
    <row r="6" spans="1:4" ht="12.75">
      <c r="A6" t="s">
        <v>166</v>
      </c>
      <c r="D6" s="106" t="s">
        <v>198</v>
      </c>
    </row>
    <row r="8" spans="1:4" ht="12.75">
      <c r="A8" t="s">
        <v>165</v>
      </c>
      <c r="D8" s="110">
        <v>41333</v>
      </c>
    </row>
    <row r="9" ht="12.75" customHeight="1">
      <c r="D9" s="106" t="s">
        <v>153</v>
      </c>
    </row>
    <row r="10" spans="1:10" ht="12.75">
      <c r="A10" t="s">
        <v>168</v>
      </c>
      <c r="D10" s="107" t="s">
        <v>236</v>
      </c>
      <c r="J10" s="99" t="s">
        <v>153</v>
      </c>
    </row>
    <row r="11" ht="12.75">
      <c r="J11" s="99"/>
    </row>
    <row r="12" spans="1:10" ht="12.75">
      <c r="A12" t="s">
        <v>171</v>
      </c>
      <c r="D12" s="107" t="s">
        <v>233</v>
      </c>
      <c r="J12" s="99"/>
    </row>
    <row r="13" spans="4:10" ht="12.75">
      <c r="D13" s="107"/>
      <c r="J13" s="99"/>
    </row>
    <row r="14" spans="4:10" ht="12.75">
      <c r="D14" s="107"/>
      <c r="J14" s="99"/>
    </row>
    <row r="15" ht="12.75">
      <c r="A15" s="117" t="str">
        <f>D10</f>
        <v>January 2013</v>
      </c>
    </row>
    <row r="16" spans="1:4" ht="12.75">
      <c r="A16" t="s">
        <v>191</v>
      </c>
      <c r="D16" s="106">
        <v>12112144</v>
      </c>
    </row>
    <row r="18" spans="1:4" ht="12.75">
      <c r="A18" t="s">
        <v>192</v>
      </c>
      <c r="D18" s="106">
        <v>387936</v>
      </c>
    </row>
    <row r="20" spans="1:4" ht="12.75">
      <c r="A20" t="s">
        <v>152</v>
      </c>
      <c r="D20" s="106">
        <v>700879</v>
      </c>
    </row>
    <row r="22" spans="1:5" ht="12.75">
      <c r="A22" t="s">
        <v>154</v>
      </c>
      <c r="D22" s="106">
        <v>541000</v>
      </c>
      <c r="E22" s="98" t="s">
        <v>160</v>
      </c>
    </row>
    <row r="24" spans="1:5" ht="12.75">
      <c r="A24" t="s">
        <v>178</v>
      </c>
      <c r="D24" s="109">
        <v>0.01971</v>
      </c>
      <c r="E24" s="98" t="s">
        <v>186</v>
      </c>
    </row>
    <row r="26" spans="1:5" ht="12.75">
      <c r="A26" t="s">
        <v>155</v>
      </c>
      <c r="D26" s="106">
        <v>361369000</v>
      </c>
      <c r="E26" s="98" t="s">
        <v>160</v>
      </c>
    </row>
    <row r="28" spans="1:5" ht="12.75">
      <c r="A28" t="s">
        <v>43</v>
      </c>
      <c r="D28" s="106">
        <v>684151000</v>
      </c>
      <c r="E28" s="98" t="s">
        <v>160</v>
      </c>
    </row>
    <row r="30" spans="1:5" ht="12.75">
      <c r="A30" t="s">
        <v>179</v>
      </c>
      <c r="D30" s="106">
        <v>349871000</v>
      </c>
      <c r="E30" s="98" t="s">
        <v>160</v>
      </c>
    </row>
    <row r="32" spans="1:4" ht="12.75">
      <c r="A32" t="s">
        <v>156</v>
      </c>
      <c r="D32" s="160">
        <v>7281103</v>
      </c>
    </row>
    <row r="33" ht="12.75">
      <c r="D33" s="160"/>
    </row>
    <row r="34" spans="1:4" ht="12.75">
      <c r="A34" t="s">
        <v>169</v>
      </c>
      <c r="D34" s="160">
        <v>6824</v>
      </c>
    </row>
    <row r="35" ht="12.75">
      <c r="D35" s="160"/>
    </row>
    <row r="36" spans="1:4" ht="12.75">
      <c r="A36" t="s">
        <v>157</v>
      </c>
      <c r="D36" s="160">
        <v>5953358</v>
      </c>
    </row>
    <row r="37" ht="12.75">
      <c r="D37" s="160"/>
    </row>
    <row r="38" spans="1:4" ht="12.75">
      <c r="A38" t="s">
        <v>170</v>
      </c>
      <c r="D38" s="160">
        <v>165981</v>
      </c>
    </row>
    <row r="39" ht="12.75">
      <c r="D39" s="160"/>
    </row>
    <row r="40" spans="1:4" ht="12.75">
      <c r="A40" t="s">
        <v>158</v>
      </c>
      <c r="D40" s="160"/>
    </row>
    <row r="41" spans="1:5" ht="12.75">
      <c r="A41" t="s">
        <v>159</v>
      </c>
      <c r="D41" s="160">
        <v>-100847</v>
      </c>
      <c r="E41" s="98" t="s">
        <v>182</v>
      </c>
    </row>
    <row r="42" ht="11.25" customHeight="1"/>
    <row r="43" spans="1:4" ht="12.75">
      <c r="A43" t="s">
        <v>187</v>
      </c>
      <c r="D43" s="139">
        <v>528886</v>
      </c>
    </row>
    <row r="45" spans="1:5" ht="12.75">
      <c r="A45" t="s">
        <v>188</v>
      </c>
      <c r="D45" s="108">
        <v>-0.00672</v>
      </c>
      <c r="E45" s="98" t="s">
        <v>182</v>
      </c>
    </row>
    <row r="46" spans="1:4" ht="12.75">
      <c r="A46" s="113" t="str">
        <f>D10</f>
        <v>January 2013</v>
      </c>
      <c r="D46" s="108"/>
    </row>
    <row r="48" spans="1:5" ht="12.75">
      <c r="A48" t="s">
        <v>172</v>
      </c>
      <c r="D48" s="106">
        <v>672287874</v>
      </c>
      <c r="E48" s="98" t="s">
        <v>160</v>
      </c>
    </row>
    <row r="49" ht="12.75">
      <c r="A49" t="s">
        <v>173</v>
      </c>
    </row>
    <row r="51" spans="1:5" ht="12.75">
      <c r="A51" t="s">
        <v>194</v>
      </c>
      <c r="D51" s="15">
        <v>587678000</v>
      </c>
      <c r="E51" s="98" t="s">
        <v>160</v>
      </c>
    </row>
    <row r="52" ht="12.75">
      <c r="A52" t="s">
        <v>234</v>
      </c>
    </row>
    <row r="53" ht="12.75">
      <c r="A53" s="113" t="str">
        <f>A46</f>
        <v>January 2013</v>
      </c>
    </row>
    <row r="56" spans="1:5" ht="12.75">
      <c r="A56" t="s">
        <v>189</v>
      </c>
      <c r="B56" s="100" t="s">
        <v>181</v>
      </c>
      <c r="D56" s="106">
        <f>7082300+2666400</f>
        <v>9748700</v>
      </c>
      <c r="E56" s="98" t="s">
        <v>160</v>
      </c>
    </row>
    <row r="57" spans="1:5" ht="12.75">
      <c r="A57" t="s">
        <v>180</v>
      </c>
      <c r="E57" s="98"/>
    </row>
    <row r="59" spans="1:5" ht="12.75">
      <c r="A59" t="s">
        <v>185</v>
      </c>
      <c r="B59" s="100" t="s">
        <v>181</v>
      </c>
      <c r="D59" s="106">
        <f>2198400+5965900</f>
        <v>8164300</v>
      </c>
      <c r="E59" s="98" t="s">
        <v>160</v>
      </c>
    </row>
    <row r="60" ht="12.75">
      <c r="A60" t="s">
        <v>153</v>
      </c>
    </row>
    <row r="62" spans="1:2" ht="12.75">
      <c r="A62" s="117" t="str">
        <f>D12</f>
        <v>December 2012</v>
      </c>
      <c r="B62" s="100"/>
    </row>
    <row r="64" spans="1:4" ht="12.75">
      <c r="A64" t="s">
        <v>174</v>
      </c>
      <c r="D64" s="106">
        <v>11312678</v>
      </c>
    </row>
    <row r="65" ht="12.75">
      <c r="A65" t="s">
        <v>175</v>
      </c>
    </row>
    <row r="67" spans="1:4" ht="12.75">
      <c r="A67" t="s">
        <v>176</v>
      </c>
      <c r="D67" s="106">
        <v>908736</v>
      </c>
    </row>
    <row r="69" spans="1:4" ht="12.75">
      <c r="A69" t="s">
        <v>195</v>
      </c>
      <c r="D69" s="106">
        <v>0</v>
      </c>
    </row>
    <row r="70" ht="12.75">
      <c r="D70" s="106" t="s">
        <v>153</v>
      </c>
    </row>
    <row r="71" spans="1:4" ht="12.75">
      <c r="A71" t="s">
        <v>177</v>
      </c>
      <c r="D71" s="106">
        <v>8733343</v>
      </c>
    </row>
    <row r="73" spans="1:4" ht="12.75">
      <c r="A73" t="s">
        <v>49</v>
      </c>
      <c r="D73" s="106">
        <v>3641777</v>
      </c>
    </row>
    <row r="75" spans="1:4" ht="12.75">
      <c r="A75" t="s">
        <v>183</v>
      </c>
      <c r="D75" s="106">
        <v>731116</v>
      </c>
    </row>
    <row r="77" spans="1:4" ht="12.75">
      <c r="A77" t="s">
        <v>184</v>
      </c>
      <c r="D77" s="106">
        <v>26663957</v>
      </c>
    </row>
    <row r="78" ht="12.75">
      <c r="A78" t="s">
        <v>190</v>
      </c>
    </row>
    <row r="80" ht="12.75">
      <c r="A80" s="116" t="s">
        <v>196</v>
      </c>
    </row>
    <row r="81" spans="1:5" ht="12.75">
      <c r="A81" t="s">
        <v>43</v>
      </c>
      <c r="D81" s="106">
        <v>0</v>
      </c>
      <c r="E81" t="s">
        <v>160</v>
      </c>
    </row>
    <row r="83" spans="1:5" ht="12.75">
      <c r="A83" t="s">
        <v>197</v>
      </c>
      <c r="D83" s="118">
        <v>0</v>
      </c>
      <c r="E83" t="s">
        <v>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ySplit="6" topLeftCell="BM7" activePane="bottomLeft" state="frozen"/>
      <selection pane="topLeft" activeCell="D32" sqref="D32"/>
      <selection pane="bottomLeft" activeCell="D41" sqref="D41"/>
    </sheetView>
  </sheetViews>
  <sheetFormatPr defaultColWidth="8.8515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6" t="s">
        <v>11</v>
      </c>
      <c r="B2" s="67"/>
      <c r="C2" s="67"/>
      <c r="D2" s="67"/>
      <c r="E2" s="66"/>
      <c r="F2" s="67"/>
      <c r="G2" s="67"/>
      <c r="H2" s="67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6" t="s">
        <v>116</v>
      </c>
      <c r="B4" s="67"/>
      <c r="C4" s="67"/>
      <c r="D4" s="67"/>
      <c r="E4" s="68"/>
      <c r="F4" s="67"/>
      <c r="G4" s="67"/>
      <c r="H4" s="67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0" t="str">
        <f>Input!D10</f>
        <v>January 2013</v>
      </c>
      <c r="F6" s="171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2">
        <f>'FAC-Page 1'!$E$17</f>
        <v>-0.004890000000000002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5">
        <f>'Sys Sales - Page 1 of 2'!$D$32</f>
        <v>-0.0006510521202850197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3">
        <f>SUM(F10+F13)</f>
        <v>-0.005541052120285022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69">
        <f>Input!D8</f>
        <v>41333</v>
      </c>
      <c r="F19" s="169"/>
      <c r="G19" s="169"/>
      <c r="H19" s="169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72"/>
      <c r="F23" s="172"/>
      <c r="G23" s="172"/>
      <c r="H23" s="172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72" t="str">
        <f>Input!D6</f>
        <v>Manager, Regulatory Services</v>
      </c>
      <c r="F27" s="172"/>
      <c r="G27" s="172"/>
      <c r="H27" s="172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69">
        <f>Input!D4</f>
        <v>41323</v>
      </c>
      <c r="F30" s="169"/>
      <c r="G30" s="169"/>
      <c r="H30" s="169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pane ySplit="8" topLeftCell="BM9" activePane="bottomLeft" state="frozen"/>
      <selection pane="topLeft" activeCell="F16" sqref="F16"/>
      <selection pane="bottomLeft" activeCell="F16" sqref="F16"/>
    </sheetView>
  </sheetViews>
  <sheetFormatPr defaultColWidth="8.8515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75"/>
      <c r="B7" s="175"/>
      <c r="C7" s="69" t="s">
        <v>130</v>
      </c>
      <c r="D7" s="171" t="str">
        <f>Summary!$E$6</f>
        <v>January 2013</v>
      </c>
      <c r="E7" s="171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1">
        <f>'FAC-Page 2'!$I$44</f>
        <v>16045204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682479000</v>
      </c>
      <c r="D11" s="9" t="s">
        <v>15</v>
      </c>
      <c r="E11" s="104">
        <f>ROUND(C10/C11,5)</f>
        <v>0.02351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1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5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2">
        <f>SUM(E11-E15)</f>
        <v>-0.004890000000000002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69">
        <f>Summary!$E$19</f>
        <v>41333</v>
      </c>
      <c r="D23" s="174"/>
      <c r="E23" s="174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72" t="str">
        <f>Input!D6</f>
        <v>Manager, Regulatory Services</v>
      </c>
      <c r="D31" s="176"/>
      <c r="E31" s="176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69">
        <f>Summary!$E$30</f>
        <v>41323</v>
      </c>
      <c r="D34" s="174"/>
      <c r="E34" s="174"/>
    </row>
    <row r="35" spans="1:5" ht="12.75">
      <c r="A35" s="5"/>
      <c r="B35" s="5"/>
      <c r="C35" s="12"/>
      <c r="D35" s="5"/>
      <c r="E35" s="5"/>
    </row>
    <row r="39" spans="1:6" ht="12.75">
      <c r="A39" s="173" t="s">
        <v>199</v>
      </c>
      <c r="B39" s="173"/>
      <c r="C39" s="173"/>
      <c r="D39" s="173"/>
      <c r="E39" s="173"/>
      <c r="F39" s="173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6" topLeftCell="BM13" activePane="bottomLeft" state="frozen"/>
      <selection pane="topLeft" activeCell="F16" sqref="F16"/>
      <selection pane="bottomLeft" activeCell="F16" sqref="F16"/>
    </sheetView>
  </sheetViews>
  <sheetFormatPr defaultColWidth="8.8515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0"/>
      <c r="E5" s="181"/>
      <c r="F5" s="5"/>
      <c r="G5" s="5"/>
      <c r="H5" s="5"/>
      <c r="I5" s="5"/>
    </row>
    <row r="6" spans="1:9" ht="12.75">
      <c r="A6" s="9"/>
      <c r="B6" s="5"/>
      <c r="C6" s="5"/>
      <c r="D6" s="7"/>
      <c r="E6" s="69" t="s">
        <v>130</v>
      </c>
      <c r="F6" s="171" t="str">
        <f>Summary!$E$6</f>
        <v>January 2013</v>
      </c>
      <c r="G6" s="182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12112144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387936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5"/>
      <c r="F15" s="5"/>
      <c r="G15" s="5"/>
      <c r="H15" s="5"/>
      <c r="I15" s="46">
        <f>SUM(I8:I13)-I14</f>
        <v>12500080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23664783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5"/>
      <c r="F21" s="5"/>
      <c r="G21" s="5"/>
      <c r="H21" s="5"/>
      <c r="I21" s="46">
        <f>SUM(I18:I19)-I20</f>
        <v>23664783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12102038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12102038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83" t="s">
        <v>50</v>
      </c>
      <c r="C27" s="178"/>
      <c r="D27" s="178"/>
      <c r="E27" s="5"/>
      <c r="F27" s="5"/>
      <c r="G27" s="5"/>
      <c r="H27" s="5"/>
      <c r="I27" s="44">
        <f>SUM(I15+I21-I23)</f>
        <v>24062825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69" t="str">
        <f>Input!D12</f>
        <v>December 2012</v>
      </c>
      <c r="E31" s="184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4">
        <f>'FAC-Page 5'!$I$35</f>
        <v>17312980</v>
      </c>
      <c r="F32" s="9" t="s">
        <v>87</v>
      </c>
      <c r="G32" s="61">
        <f>Input!D77</f>
        <v>26663957</v>
      </c>
      <c r="H32" s="9" t="s">
        <v>86</v>
      </c>
      <c r="I32" s="19">
        <f>SUM(E32-G32)</f>
        <v>-9350977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193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-632477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77" t="s">
        <v>91</v>
      </c>
      <c r="C39" s="178"/>
      <c r="D39" s="177"/>
      <c r="E39" s="177"/>
      <c r="F39" s="5"/>
      <c r="G39" s="5"/>
      <c r="H39" s="5"/>
      <c r="I39" s="61">
        <f>SUM(I27+I32-I36)</f>
        <v>15344325</v>
      </c>
    </row>
    <row r="40" spans="1:9" ht="12.75" customHeight="1">
      <c r="A40" s="12"/>
      <c r="B40" s="36"/>
      <c r="C40" s="82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77" t="s">
        <v>137</v>
      </c>
      <c r="C41" s="177"/>
      <c r="D41" s="177"/>
      <c r="E41" s="177"/>
      <c r="F41" s="177"/>
      <c r="G41" s="11" t="str">
        <f>Summary!$E$6</f>
        <v>January 2013</v>
      </c>
      <c r="H41" s="5"/>
      <c r="I41" s="71">
        <f>Input!D20</f>
        <v>700879</v>
      </c>
    </row>
    <row r="42" spans="1:9" ht="12.75">
      <c r="A42" s="12"/>
      <c r="B42" s="177" t="s">
        <v>138</v>
      </c>
      <c r="C42" s="177"/>
      <c r="D42" s="177"/>
      <c r="E42" s="177"/>
      <c r="F42" s="177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77" t="s">
        <v>145</v>
      </c>
      <c r="C44" s="178"/>
      <c r="D44" s="178"/>
      <c r="E44" s="178"/>
      <c r="F44" s="178"/>
      <c r="G44" s="178"/>
      <c r="H44" s="178"/>
      <c r="I44" s="65">
        <f>SUM(I39+I41)</f>
        <v>16045204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235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61" t="str">
        <f>F6</f>
        <v>January 2013</v>
      </c>
      <c r="D47" s="9"/>
      <c r="E47" s="61">
        <f>$I$15</f>
        <v>12500080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361369000</v>
      </c>
      <c r="F48" s="5"/>
      <c r="G48" s="16">
        <f>ROUND((E47/E48),5)</f>
        <v>0.03459</v>
      </c>
      <c r="H48" s="37" t="s">
        <v>111</v>
      </c>
      <c r="I48" s="5"/>
    </row>
    <row r="50" spans="1:10" ht="12.75">
      <c r="A50" s="111"/>
      <c r="B50" s="111"/>
      <c r="C50" s="179"/>
      <c r="D50" s="179"/>
      <c r="E50" s="179"/>
      <c r="F50" s="179"/>
      <c r="G50" s="179"/>
      <c r="H50" s="179"/>
      <c r="I50" s="179"/>
      <c r="J50" s="111"/>
    </row>
    <row r="51" spans="1:10" ht="12.75">
      <c r="A51" s="111"/>
      <c r="B51" s="111"/>
      <c r="C51" s="179"/>
      <c r="D51" s="179"/>
      <c r="E51" s="179"/>
      <c r="F51" s="179"/>
      <c r="G51" s="179"/>
      <c r="H51" s="179"/>
      <c r="I51" s="179"/>
      <c r="J51" s="64"/>
    </row>
    <row r="52" spans="1:10" ht="12.75">
      <c r="A52" s="111"/>
      <c r="B52" s="111"/>
      <c r="C52" s="112"/>
      <c r="D52" s="112"/>
      <c r="E52" s="112"/>
      <c r="F52" s="112"/>
      <c r="G52" s="112"/>
      <c r="H52" s="112"/>
      <c r="I52" s="112"/>
      <c r="J52" s="64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pane ySplit="13" topLeftCell="BM14" activePane="bottomLeft" state="frozen"/>
      <selection pane="topLeft" activeCell="F16" sqref="F16"/>
      <selection pane="bottomLeft" activeCell="F16" sqref="F16"/>
    </sheetView>
  </sheetViews>
  <sheetFormatPr defaultColWidth="8.8515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75" t="s">
        <v>130</v>
      </c>
      <c r="E7" s="175"/>
      <c r="F7" s="8"/>
      <c r="G7" s="171" t="str">
        <f>Summary!$E$6</f>
        <v>January 2013</v>
      </c>
      <c r="H7" s="171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361369000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684151000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1045520000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349871000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13170000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363041000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682479000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85">
        <f>Input!D22</f>
        <v>541000</v>
      </c>
      <c r="F37" s="186"/>
      <c r="G37" s="186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pane ySplit="12" topLeftCell="BM13" activePane="bottomLeft" state="frozen"/>
      <selection pane="topLeft" activeCell="F16" sqref="F16"/>
      <selection pane="bottomLeft" activeCell="F16" sqref="F16"/>
    </sheetView>
  </sheetViews>
  <sheetFormatPr defaultColWidth="8.8515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75" t="s">
        <v>130</v>
      </c>
      <c r="D7" s="175"/>
      <c r="E7" s="8"/>
      <c r="F7" s="187" t="str">
        <f>Summary!$E$6</f>
        <v>January 2013</v>
      </c>
      <c r="G7" s="187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3">
        <f>Input!D45</f>
        <v>-0.00672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672287874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-4517775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587678000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8164300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579513700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-3894332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-623443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682479000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672730300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1.01449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-632477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F16" sqref="F16"/>
    </sheetView>
  </sheetViews>
  <sheetFormatPr defaultColWidth="8.8515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7" t="str">
        <f>'FAC-Page 2'!$D$31</f>
        <v>December 2012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11312678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908736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1">
        <f>Input!D81</f>
        <v>0</v>
      </c>
      <c r="E18" s="9" t="s">
        <v>37</v>
      </c>
      <c r="F18" s="159">
        <f>Input!D83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5"/>
      <c r="C21" s="75"/>
      <c r="D21" s="75"/>
      <c r="E21" s="183" t="s">
        <v>131</v>
      </c>
      <c r="F21" s="183"/>
      <c r="G21" s="183"/>
      <c r="H21" s="5"/>
      <c r="I21" s="19">
        <f>SUM(I13:I18)</f>
        <v>12221414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8733343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153</v>
      </c>
      <c r="J26" s="5"/>
    </row>
    <row r="27" spans="1:10" ht="12.75" customHeight="1">
      <c r="A27" s="9"/>
      <c r="B27" s="18"/>
      <c r="C27" s="22" t="s">
        <v>36</v>
      </c>
      <c r="D27" s="81">
        <f>D18</f>
        <v>0</v>
      </c>
      <c r="E27" s="9" t="s">
        <v>37</v>
      </c>
      <c r="F27" s="159">
        <f>F18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5"/>
      <c r="C29" s="75"/>
      <c r="D29" s="75"/>
      <c r="E29" s="183" t="s">
        <v>131</v>
      </c>
      <c r="F29" s="183"/>
      <c r="G29" s="183"/>
      <c r="H29" s="5"/>
      <c r="I29" s="19">
        <f>SUM(I25-I27)</f>
        <v>8733343</v>
      </c>
      <c r="J29" s="5"/>
      <c r="L29" t="s">
        <v>153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3641777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83" t="s">
        <v>144</v>
      </c>
      <c r="C35" s="178"/>
      <c r="D35" s="178"/>
      <c r="E35" s="178"/>
      <c r="F35" s="178"/>
      <c r="G35" s="178"/>
      <c r="H35" s="5"/>
      <c r="I35" s="61">
        <f>SUM(I21+I29-I32)</f>
        <v>17312980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83" t="s">
        <v>140</v>
      </c>
      <c r="C37" s="178"/>
      <c r="D37" s="178"/>
      <c r="E37" s="178"/>
      <c r="F37" s="178"/>
      <c r="G37" s="114" t="str">
        <f>'FAC-Page 2'!$D$31</f>
        <v>December 2012</v>
      </c>
      <c r="H37" s="5"/>
      <c r="I37" s="71">
        <f>Input!D75</f>
        <v>731116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83" t="s">
        <v>142</v>
      </c>
      <c r="C39" s="178"/>
      <c r="D39" s="178"/>
      <c r="E39" s="178"/>
      <c r="F39" s="178"/>
      <c r="G39" s="178"/>
      <c r="H39" s="5"/>
      <c r="I39" s="44">
        <f>SUM(I35+I37)</f>
        <v>18044096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Amy J. Elliott</cp:lastModifiedBy>
  <cp:lastPrinted>2013-02-18T20:00:57Z</cp:lastPrinted>
  <dcterms:created xsi:type="dcterms:W3CDTF">2004-09-28T13:24:13Z</dcterms:created>
  <dcterms:modified xsi:type="dcterms:W3CDTF">2013-02-19T16:34:40Z</dcterms:modified>
  <cp:category/>
  <cp:version/>
  <cp:contentType/>
  <cp:contentStatus/>
</cp:coreProperties>
</file>