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405" windowWidth="15570" windowHeight="12015" tabRatio="911" activeTab="0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Area" localSheetId="2">'Input'!$A$1:$F$83</definedName>
    <definedName name="_xlnm.Print_Area" localSheetId="9">'Sys Sales - Page 1 of 2'!$A$1:$G$52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<sst xmlns="http://schemas.openxmlformats.org/spreadsheetml/2006/main" count="378" uniqueCount="241">
  <si>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</si>
  <si>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</si>
  <si>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</si>
  <si>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</si>
  <si>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</si>
  <si>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</si>
  <si>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</si>
  <si>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</si>
  <si>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</si>
  <si>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</si>
  <si>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</si>
  <si>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</si>
  <si>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</si>
  <si>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</si>
  <si>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</si>
  <si>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</si>
  <si>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</si>
  <si>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</si>
  <si>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</si>
  <si>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</si>
  <si>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</si>
  <si>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</si>
  <si>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</si>
  <si>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</si>
  <si>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</si>
  <si>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</si>
  <si>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</si>
  <si>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</si>
  <si>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</si>
  <si>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</si>
  <si>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</si>
  <si>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</si>
  <si>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</si>
  <si>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</si>
  <si>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</si>
  <si>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</si>
  <si>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</si>
  <si>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</si>
  <si>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</si>
  <si>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</si>
  <si>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</si>
  <si>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</si>
  <si>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</si>
  <si>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</si>
  <si>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</si>
  <si>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</si>
  <si>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</si>
  <si>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</si>
  <si>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</si>
  <si>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</si>
  <si>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</si>
  <si>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</si>
  <si>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</si>
  <si>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</si>
  <si>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</si>
  <si>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</si>
  <si>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</si>
  <si>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</si>
  <si>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</si>
  <si>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</si>
  <si>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</si>
  <si>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</si>
  <si>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</si>
  <si>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</si>
  <si>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</si>
  <si>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</si>
  <si>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</si>
  <si>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</si>
  <si>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</si>
  <si>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</si>
  <si>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</si>
  <si>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</si>
  <si>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</si>
  <si>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</si>
  <si>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</si>
  <si>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</si>
  <si>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</si>
  <si>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</si>
  <si>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</si>
  <si>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</si>
  <si>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</si>
  <si>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</si>
  <si>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</si>
  <si>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</si>
  <si>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</si>
  <si>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</si>
  <si>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</si>
  <si>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</si>
  <si>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</si>
  <si>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</si>
  <si>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</si>
  <si>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</si>
  <si>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</si>
  <si>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</si>
  <si>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</si>
  <si>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</si>
  <si>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</si>
  <si>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</si>
  <si>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</si>
  <si>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</si>
  <si>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</si>
  <si>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</si>
  <si>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</si>
  <si>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</si>
  <si>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</si>
  <si>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</si>
  <si>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</si>
  <si>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</si>
  <si>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</si>
  <si>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</si>
  <si>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</si>
  <si>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</si>
  <si>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</si>
  <si>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</si>
  <si>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</si>
  <si>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</si>
  <si>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</si>
  <si>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</si>
  <si>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</si>
  <si>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</si>
  <si>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</si>
  <si>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</si>
  <si>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</si>
  <si>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</si>
  <si>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</si>
  <si>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</si>
  <si>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</si>
  <si>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</si>
  <si>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</si>
  <si>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</si>
  <si>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</si>
  <si>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</si>
  <si>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</si>
  <si>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</si>
  <si>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</si>
  <si>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</si>
  <si>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</si>
  <si>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</si>
  <si>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</si>
  <si>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</si>
  <si>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</si>
  <si>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</si>
  <si>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</si>
  <si>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</si>
  <si>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</si>
  <si>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</si>
  <si>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</si>
  <si>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</si>
  <si>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</si>
  <si>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</si>
  <si>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</si>
  <si>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</si>
  <si>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</si>
  <si>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</si>
  <si>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</si>
  <si>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</si>
  <si>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</si>
  <si>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</si>
  <si>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</si>
  <si>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</si>
  <si>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</si>
  <si>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</si>
  <si>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</si>
  <si>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</si>
  <si>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</si>
  <si>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</si>
  <si>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</si>
  <si>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</si>
  <si>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</si>
  <si>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</si>
  <si>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</si>
  <si>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</si>
  <si>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</si>
  <si>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</si>
  <si>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</si>
  <si>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</si>
  <si>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</si>
  <si>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</si>
  <si>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</si>
  <si>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</si>
  <si>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</si>
  <si>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</si>
  <si>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</si>
  <si>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</si>
  <si>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</si>
  <si>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</si>
  <si>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</si>
  <si>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</si>
  <si>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</si>
  <si>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</si>
  <si>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</si>
  <si>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</si>
  <si>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</si>
  <si>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</si>
  <si>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</si>
  <si>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</si>
  <si>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</si>
  <si>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</si>
  <si>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</si>
  <si>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</si>
  <si>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</si>
  <si>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</si>
  <si>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</si>
  <si>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</si>
  <si>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</si>
  <si>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</si>
  <si>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</si>
  <si>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</si>
  <si>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</si>
  <si>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</si>
  <si>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</si>
  <si>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</si>
  <si>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</si>
  <si>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</si>
  <si>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</si>
  <si>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</si>
  <si>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</si>
  <si>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</si>
  <si>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</si>
  <si>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</si>
  <si>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</si>
  <si>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</si>
  <si>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</si>
  <si>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</si>
  <si>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</si>
  <si>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</si>
  <si>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</si>
  <si>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</si>
  <si>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</si>
  <si>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</si>
  <si>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</si>
  <si>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</si>
  <si>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</si>
  <si>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</si>
  <si>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</si>
  <si>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</si>
  <si>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 xml:space="preserve">Estimated  - based on Kentucky generation unit costs in </t>
  </si>
  <si>
    <t>Director, Regulatory Services</t>
  </si>
  <si>
    <t>June 2014</t>
  </si>
  <si>
    <t>ADJUSTED GRAND TOTAL FUEL COSTS (G + H)</t>
  </si>
  <si>
    <t>July 2014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</si>
</sst>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  <numFmt numFmtId="204" formatCode="0_);\(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198" fontId="0" fillId="30" borderId="0" xfId="42" applyNumberFormat="1" applyFont="1" applyFill="1" applyAlignment="1">
      <alignment/>
    </xf>
    <xf numFmtId="0" fontId="0" fillId="0" borderId="0" xfId="0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 quotePrefix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92" fontId="0" fillId="30" borderId="27" xfId="42" applyNumberFormat="1" applyFont="1" applyFill="1" applyBorder="1" applyAlignment="1">
      <alignment/>
    </xf>
    <xf numFmtId="192" fontId="0" fillId="0" borderId="20" xfId="42" applyNumberFormat="1" applyFont="1" applyFill="1" applyBorder="1" applyAlignment="1">
      <alignment/>
    </xf>
    <xf numFmtId="192" fontId="0" fillId="30" borderId="20" xfId="42" applyNumberFormat="1" applyFont="1" applyFill="1" applyBorder="1" applyAlignment="1">
      <alignment/>
    </xf>
    <xf numFmtId="192" fontId="0" fillId="30" borderId="24" xfId="42" applyNumberFormat="1" applyFont="1" applyFill="1" applyBorder="1" applyAlignment="1">
      <alignment/>
    </xf>
    <xf numFmtId="192" fontId="0" fillId="0" borderId="0" xfId="42" applyNumberFormat="1" applyFont="1" applyFill="1" applyBorder="1" applyAlignment="1">
      <alignment/>
    </xf>
    <xf numFmtId="192" fontId="0" fillId="30" borderId="0" xfId="42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41869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July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161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158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1189525000</v>
      </c>
      <c r="D15" s="26" t="s">
        <v>159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637582000</v>
      </c>
      <c r="D17" s="26" t="s">
        <v>160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551943000</v>
      </c>
      <c r="D19" s="26" t="s">
        <v>157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551943000</v>
      </c>
      <c r="E22" s="9" t="s">
        <v>157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0.03378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18645000</v>
      </c>
      <c r="E26" s="9" t="s">
        <v>157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266000</v>
      </c>
      <c r="E28" s="9" t="s">
        <v>157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18379000</v>
      </c>
      <c r="E31" s="9" t="s">
        <v>157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C10" sqref="C10"/>
      <selection pane="bottomLeft" activeCell="F18" sqref="F18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20" t="s">
        <v>235</v>
      </c>
      <c r="C8" s="221"/>
      <c r="D8" s="221"/>
      <c r="E8" s="221"/>
      <c r="F8" s="221"/>
      <c r="G8" s="221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211" t="str">
        <f>Summary!$E$6</f>
        <v>July 2014</v>
      </c>
      <c r="D10" s="211"/>
      <c r="E10" s="211"/>
      <c r="F10" s="86"/>
      <c r="G10" s="86"/>
    </row>
    <row r="11" spans="2:7" ht="12.75">
      <c r="B11" s="28"/>
      <c r="C11" s="207"/>
      <c r="D11" s="207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18"/>
      <c r="G15" s="219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145</v>
      </c>
      <c r="C17" s="30" t="s">
        <v>15</v>
      </c>
      <c r="D17" s="15">
        <f>'Sys Sales - Page 2 of 2'!$H$28</f>
        <v>7356364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148</v>
      </c>
      <c r="C18" s="9" t="s">
        <v>16</v>
      </c>
      <c r="D18" s="91">
        <f>Input!D43</f>
        <v>616234</v>
      </c>
      <c r="E18" s="27"/>
      <c r="F18" s="87"/>
      <c r="G18" s="62"/>
      <c r="H18" s="55"/>
    </row>
    <row r="19" spans="1:8" ht="12.75" customHeight="1">
      <c r="A19" s="12"/>
      <c r="B19" s="85" t="s">
        <v>147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6740130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146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4044078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533564000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230</v>
      </c>
      <c r="C32" s="5"/>
      <c r="D32" s="165">
        <f>-D26/D28</f>
        <v>-0.007579368173265063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231</v>
      </c>
      <c r="C34" s="5"/>
      <c r="D34" s="166" t="s">
        <v>232</v>
      </c>
      <c r="E34" s="168" t="s">
        <v>233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234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94">
        <f>+Summary!E19</f>
        <v>41879</v>
      </c>
      <c r="D40" s="194"/>
      <c r="E40" s="194"/>
      <c r="F40" s="194"/>
      <c r="G40" s="194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97" t="s">
        <v>150</v>
      </c>
      <c r="D42" s="197"/>
      <c r="E42" s="197"/>
      <c r="F42" s="197"/>
      <c r="G42" s="197"/>
    </row>
    <row r="43" spans="2:7" ht="12.75">
      <c r="B43" s="5"/>
      <c r="C43" s="212" t="s">
        <v>26</v>
      </c>
      <c r="D43" s="213"/>
      <c r="E43" s="213"/>
      <c r="F43" s="213"/>
      <c r="G43" s="213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97" t="str">
        <f>Input!D6</f>
        <v>Director, Regulatory Services</v>
      </c>
      <c r="D45" s="197"/>
      <c r="E45" s="197"/>
      <c r="F45" s="197"/>
      <c r="G45" s="197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94">
        <f>Summary!$E$30</f>
        <v>41869</v>
      </c>
      <c r="D47" s="194"/>
      <c r="E47" s="194"/>
      <c r="F47" s="194"/>
      <c r="G47" s="194"/>
    </row>
    <row r="50" spans="2:6" ht="13.5">
      <c r="B50" s="215"/>
      <c r="C50" s="216"/>
      <c r="D50" s="217"/>
      <c r="E50" s="216"/>
      <c r="F50" s="216"/>
    </row>
    <row r="51" spans="2:6" ht="12.75">
      <c r="B51" s="216"/>
      <c r="C51" s="214"/>
      <c r="D51" s="214"/>
      <c r="E51" s="214"/>
      <c r="F51" s="214"/>
    </row>
    <row r="52" spans="2:6" ht="12.75">
      <c r="B52" s="214"/>
      <c r="C52" s="214"/>
      <c r="D52" s="214"/>
      <c r="E52" s="214"/>
      <c r="F52" s="214"/>
    </row>
    <row r="53" spans="2:6" ht="12.75">
      <c r="B53" s="214"/>
      <c r="C53" s="214"/>
      <c r="D53" s="214"/>
      <c r="E53" s="214"/>
      <c r="F53" s="214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23" sqref="D23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22" t="str">
        <f>Summary!$E$6</f>
        <v>July 2014</v>
      </c>
      <c r="E7" s="222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23077383</v>
      </c>
      <c r="E11" s="14"/>
      <c r="F11" s="31">
        <f>Input!D34</f>
        <v>-15030</v>
      </c>
      <c r="G11" s="14"/>
      <c r="H11" s="31">
        <f>D11+F11</f>
        <v>23062353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23077383</v>
      </c>
      <c r="E15" s="15"/>
      <c r="F15" s="15">
        <f>SUM(F11:F13)</f>
        <v>-15030</v>
      </c>
      <c r="G15" s="15"/>
      <c r="H15" s="15">
        <f>SUM(D15+F15)</f>
        <v>23062353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15852291</v>
      </c>
      <c r="E19" s="14"/>
      <c r="F19" s="31">
        <f>Input!D38</f>
        <v>202870</v>
      </c>
      <c r="G19" s="14"/>
      <c r="H19" s="31">
        <f>D19+F19</f>
        <v>16055161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-349172</v>
      </c>
      <c r="E23" s="15"/>
      <c r="F23" s="15">
        <v>0</v>
      </c>
      <c r="G23" s="15"/>
      <c r="H23" s="15">
        <f>SUM(D23:F23)</f>
        <v>-349172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15503119</v>
      </c>
      <c r="E25" s="15"/>
      <c r="F25" s="15">
        <f>SUM(F19:F23)</f>
        <v>202870</v>
      </c>
      <c r="G25" s="15"/>
      <c r="H25" s="15">
        <f>SUM(H19:H23)</f>
        <v>15705989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150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7574264</v>
      </c>
      <c r="E28" s="15"/>
      <c r="F28" s="44">
        <f>SUM(F15-F25)</f>
        <v>-217900</v>
      </c>
      <c r="G28" s="27"/>
      <c r="H28" s="44">
        <f>SUM(H15-H25)</f>
        <v>7356364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194</v>
      </c>
    </row>
    <row r="3" spans="3:5" ht="12.75">
      <c r="C3" s="190" t="s">
        <v>195</v>
      </c>
      <c r="D3" s="191"/>
      <c r="E3" s="191"/>
    </row>
    <row r="4" spans="3:5" ht="12.75">
      <c r="C4" s="190" t="s">
        <v>196</v>
      </c>
      <c r="D4" s="191"/>
      <c r="E4" s="191"/>
    </row>
    <row r="5" spans="3:5" ht="12.75">
      <c r="C5" s="192" t="s">
        <v>197</v>
      </c>
      <c r="D5" s="193"/>
      <c r="E5" s="193"/>
    </row>
    <row r="6" spans="3:5" ht="12.75">
      <c r="C6" s="118"/>
      <c r="D6" s="119"/>
      <c r="E6" s="119"/>
    </row>
    <row r="7" spans="3:10" ht="12.75">
      <c r="C7" s="120"/>
      <c r="E7" s="121" t="s">
        <v>198</v>
      </c>
      <c r="H7" s="121" t="s">
        <v>198</v>
      </c>
      <c r="J7" s="121" t="s">
        <v>198</v>
      </c>
    </row>
    <row r="8" spans="1:10" ht="13.5" thickBot="1">
      <c r="A8" s="122"/>
      <c r="B8" s="122"/>
      <c r="C8" s="122"/>
      <c r="D8" s="122"/>
      <c r="E8" s="121" t="s">
        <v>199</v>
      </c>
      <c r="F8" s="122"/>
      <c r="G8" s="122"/>
      <c r="H8" s="121" t="s">
        <v>200</v>
      </c>
      <c r="J8" s="121" t="s">
        <v>201</v>
      </c>
    </row>
    <row r="9" spans="1:10" ht="90.75" thickBot="1">
      <c r="A9" s="122"/>
      <c r="B9" s="123"/>
      <c r="C9" s="124" t="s">
        <v>202</v>
      </c>
      <c r="D9" s="125"/>
      <c r="E9" s="126" t="s">
        <v>203</v>
      </c>
      <c r="F9" s="127"/>
      <c r="G9" s="122"/>
      <c r="H9" s="128" t="s">
        <v>204</v>
      </c>
      <c r="J9" s="128" t="s">
        <v>204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205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206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207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208</v>
      </c>
      <c r="D14" s="130"/>
      <c r="E14" s="156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209</v>
      </c>
      <c r="D15" s="130"/>
      <c r="E15" s="156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210</v>
      </c>
      <c r="D16" s="139"/>
      <c r="E16" s="156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58" t="s">
        <v>211</v>
      </c>
      <c r="D17" s="139"/>
      <c r="E17" s="160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61" t="s">
        <v>212</v>
      </c>
      <c r="D18" s="162"/>
      <c r="E18" s="156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213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214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215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216</v>
      </c>
      <c r="D22" s="159"/>
      <c r="E22" s="156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217</v>
      </c>
      <c r="F23" s="140"/>
      <c r="H23" s="142" t="s">
        <v>217</v>
      </c>
      <c r="J23" s="142" t="s">
        <v>217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218</v>
      </c>
      <c r="F25" s="140"/>
      <c r="H25" s="142" t="s">
        <v>218</v>
      </c>
      <c r="J25" s="142" t="s">
        <v>218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219</v>
      </c>
      <c r="E28" s="4" t="s">
        <v>220</v>
      </c>
      <c r="H28" s="4" t="s">
        <v>221</v>
      </c>
      <c r="J28" s="4" t="s">
        <v>222</v>
      </c>
    </row>
    <row r="29" ht="12.75">
      <c r="E29" s="116"/>
    </row>
    <row r="30" spans="3:10" ht="12.75">
      <c r="C30" t="s">
        <v>223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224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225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27.57421875" style="0" customWidth="1"/>
    <col min="11" max="11" width="12.8515625" style="0" customWidth="1"/>
  </cols>
  <sheetData>
    <row r="4" spans="1:4" ht="12.75">
      <c r="A4" t="s">
        <v>164</v>
      </c>
      <c r="D4" s="157">
        <v>41869</v>
      </c>
    </row>
    <row r="6" spans="1:4" ht="12.75">
      <c r="A6" t="s">
        <v>163</v>
      </c>
      <c r="D6" s="154" t="s">
        <v>237</v>
      </c>
    </row>
    <row r="8" spans="1:4" ht="12.75">
      <c r="A8" t="s">
        <v>162</v>
      </c>
      <c r="D8" s="157">
        <v>41879</v>
      </c>
    </row>
    <row r="9" ht="12.75" customHeight="1"/>
    <row r="10" spans="1:10" ht="12.75">
      <c r="A10" t="s">
        <v>165</v>
      </c>
      <c r="D10" s="163" t="s">
        <v>240</v>
      </c>
      <c r="J10" s="98" t="s">
        <v>150</v>
      </c>
    </row>
    <row r="11" spans="4:10" ht="12.75">
      <c r="D11" s="164"/>
      <c r="J11" s="98"/>
    </row>
    <row r="12" spans="1:10" ht="12.75">
      <c r="A12" t="s">
        <v>168</v>
      </c>
      <c r="D12" s="163" t="s">
        <v>238</v>
      </c>
      <c r="F12" s="74" t="s">
        <v>150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July 2014</v>
      </c>
    </row>
    <row r="16" spans="1:9" ht="12.75">
      <c r="A16" t="s">
        <v>188</v>
      </c>
      <c r="B16" s="171"/>
      <c r="C16" s="171"/>
      <c r="D16" s="170">
        <f>10884261.52+13441461.39</f>
        <v>24325722.91</v>
      </c>
      <c r="I16" s="169"/>
    </row>
    <row r="17" spans="2:9" ht="12.75">
      <c r="B17" s="171"/>
      <c r="C17" s="171"/>
      <c r="D17" s="152"/>
      <c r="I17" s="169"/>
    </row>
    <row r="18" spans="1:9" ht="12.75">
      <c r="A18" t="s">
        <v>189</v>
      </c>
      <c r="B18" s="171"/>
      <c r="C18" s="171"/>
      <c r="D18" s="170">
        <f>150640.41+409708.17</f>
        <v>560348.58</v>
      </c>
      <c r="E18" s="171"/>
      <c r="I18" s="169"/>
    </row>
    <row r="19" spans="2:9" ht="12.75">
      <c r="B19" s="171"/>
      <c r="C19" s="171"/>
      <c r="D19" s="155"/>
      <c r="E19" s="171"/>
      <c r="I19" s="169"/>
    </row>
    <row r="20" spans="1:9" ht="12.75">
      <c r="A20" t="s">
        <v>149</v>
      </c>
      <c r="B20" s="171"/>
      <c r="C20" s="171"/>
      <c r="D20" s="177">
        <f>844046.67-90555.68</f>
        <v>753490.99</v>
      </c>
      <c r="E20" s="171"/>
      <c r="I20" s="169"/>
    </row>
    <row r="21" ht="12.75">
      <c r="I21" s="169"/>
    </row>
    <row r="22" spans="1:9" ht="12.75">
      <c r="A22" t="s">
        <v>151</v>
      </c>
      <c r="B22" s="171"/>
      <c r="C22" s="171"/>
      <c r="D22" s="170">
        <v>266000</v>
      </c>
      <c r="E22" s="97" t="s">
        <v>157</v>
      </c>
      <c r="I22" s="169"/>
    </row>
    <row r="23" spans="2:9" ht="12.75">
      <c r="B23" s="171"/>
      <c r="C23" s="171"/>
      <c r="D23" s="152"/>
      <c r="I23" s="169"/>
    </row>
    <row r="24" spans="1:9" ht="12.75">
      <c r="A24" t="s">
        <v>175</v>
      </c>
      <c r="B24" s="171"/>
      <c r="C24" s="171"/>
      <c r="D24" s="175">
        <v>0.03378</v>
      </c>
      <c r="E24" s="97" t="s">
        <v>183</v>
      </c>
      <c r="I24" s="169"/>
    </row>
    <row r="25" ht="12.75">
      <c r="I25" s="169"/>
    </row>
    <row r="26" spans="1:9" ht="12.75">
      <c r="A26" t="s">
        <v>152</v>
      </c>
      <c r="B26" s="171"/>
      <c r="C26" s="171"/>
      <c r="D26" s="170">
        <v>898247000</v>
      </c>
      <c r="E26" s="97" t="s">
        <v>157</v>
      </c>
      <c r="I26" s="169"/>
    </row>
    <row r="27" ht="12.75">
      <c r="I27" s="169"/>
    </row>
    <row r="28" spans="1:9" ht="12.75">
      <c r="A28" t="s">
        <v>43</v>
      </c>
      <c r="B28" s="171"/>
      <c r="C28" s="171"/>
      <c r="D28" s="170">
        <v>291278000</v>
      </c>
      <c r="E28" s="97" t="s">
        <v>157</v>
      </c>
      <c r="I28" s="169"/>
    </row>
    <row r="29" ht="12.75">
      <c r="I29" s="169"/>
    </row>
    <row r="30" spans="1:9" ht="12.75">
      <c r="A30" t="s">
        <v>176</v>
      </c>
      <c r="B30" s="171"/>
      <c r="C30" s="171"/>
      <c r="D30" s="170">
        <v>637582000</v>
      </c>
      <c r="E30" s="97" t="s">
        <v>157</v>
      </c>
      <c r="I30" s="169"/>
    </row>
    <row r="31" spans="2:9" ht="13.5" thickBot="1">
      <c r="B31" s="171"/>
      <c r="C31" s="171"/>
      <c r="D31" s="152"/>
      <c r="I31" s="169"/>
    </row>
    <row r="32" spans="1:11" ht="12.75">
      <c r="A32" s="182" t="s">
        <v>153</v>
      </c>
      <c r="B32" s="183"/>
      <c r="C32" s="183"/>
      <c r="D32" s="184">
        <v>23077383</v>
      </c>
      <c r="I32" s="169"/>
      <c r="K32" s="179"/>
    </row>
    <row r="33" spans="1:11" ht="12.75">
      <c r="A33" s="138"/>
      <c r="B33" s="55"/>
      <c r="C33" s="55"/>
      <c r="D33" s="185"/>
      <c r="I33" s="169"/>
      <c r="K33" s="179"/>
    </row>
    <row r="34" spans="1:11" ht="12.75">
      <c r="A34" s="138" t="s">
        <v>166</v>
      </c>
      <c r="B34" s="55"/>
      <c r="C34" s="55"/>
      <c r="D34" s="186">
        <v>-15030</v>
      </c>
      <c r="I34" s="169"/>
      <c r="K34" s="179"/>
    </row>
    <row r="35" spans="1:11" ht="12.75">
      <c r="A35" s="138"/>
      <c r="B35" s="55"/>
      <c r="C35" s="55"/>
      <c r="D35" s="185"/>
      <c r="I35" s="169"/>
      <c r="K35" s="179"/>
    </row>
    <row r="36" spans="1:11" ht="12.75">
      <c r="A36" s="138" t="s">
        <v>154</v>
      </c>
      <c r="B36" s="55"/>
      <c r="C36" s="55"/>
      <c r="D36" s="186">
        <v>15852291</v>
      </c>
      <c r="I36" s="169"/>
      <c r="K36" s="179"/>
    </row>
    <row r="37" spans="1:11" ht="12.75">
      <c r="A37" s="138"/>
      <c r="B37" s="55"/>
      <c r="C37" s="55"/>
      <c r="D37" s="185"/>
      <c r="I37" s="169"/>
      <c r="K37" s="179"/>
    </row>
    <row r="38" spans="1:11" ht="13.5" thickBot="1">
      <c r="A38" s="144" t="s">
        <v>167</v>
      </c>
      <c r="B38" s="145"/>
      <c r="C38" s="145"/>
      <c r="D38" s="187">
        <v>202870</v>
      </c>
      <c r="I38" s="169"/>
      <c r="K38" s="179"/>
    </row>
    <row r="39" spans="4:11" ht="12.75">
      <c r="D39" s="152"/>
      <c r="I39" s="169"/>
      <c r="K39" s="179"/>
    </row>
    <row r="40" spans="1:11" ht="12.75">
      <c r="A40" s="55" t="s">
        <v>155</v>
      </c>
      <c r="B40" s="55"/>
      <c r="C40" s="55"/>
      <c r="D40" s="188"/>
      <c r="I40" s="169"/>
      <c r="K40" s="179"/>
    </row>
    <row r="41" spans="1:11" ht="12.75">
      <c r="A41" s="55" t="s">
        <v>156</v>
      </c>
      <c r="B41" s="55"/>
      <c r="C41" s="55"/>
      <c r="D41" s="189">
        <v>-349172</v>
      </c>
      <c r="E41" s="97" t="s">
        <v>179</v>
      </c>
      <c r="I41" s="169"/>
      <c r="K41" s="179"/>
    </row>
    <row r="42" ht="11.25" customHeight="1">
      <c r="I42" s="169"/>
    </row>
    <row r="43" spans="1:9" ht="12.75">
      <c r="A43" t="s">
        <v>184</v>
      </c>
      <c r="B43" s="171"/>
      <c r="C43" s="171"/>
      <c r="D43" s="176">
        <v>616234</v>
      </c>
      <c r="I43" s="169"/>
    </row>
    <row r="44" ht="12.75">
      <c r="I44" s="169"/>
    </row>
    <row r="45" spans="1:9" ht="12.75">
      <c r="A45" t="s">
        <v>185</v>
      </c>
      <c r="B45" s="171"/>
      <c r="C45" s="171"/>
      <c r="D45" s="174">
        <v>0.00699</v>
      </c>
      <c r="E45" s="97" t="s">
        <v>179</v>
      </c>
      <c r="I45" s="169"/>
    </row>
    <row r="46" spans="1:9" ht="12.75">
      <c r="A46" s="108" t="str">
        <f>D10</f>
        <v>July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169</v>
      </c>
      <c r="B48" s="171"/>
      <c r="C48" s="171"/>
      <c r="D48" s="170">
        <v>515817995</v>
      </c>
      <c r="E48" s="97" t="s">
        <v>157</v>
      </c>
      <c r="I48" s="169"/>
    </row>
    <row r="49" spans="1:9" ht="12.75">
      <c r="A49" t="s">
        <v>170</v>
      </c>
      <c r="B49" s="171"/>
      <c r="C49" s="171"/>
      <c r="D49" s="155"/>
      <c r="I49" s="169"/>
    </row>
    <row r="50" ht="12.75">
      <c r="I50" s="169"/>
    </row>
    <row r="51" spans="1:9" ht="12.75">
      <c r="A51" t="s">
        <v>191</v>
      </c>
      <c r="B51" s="171"/>
      <c r="C51" s="171"/>
      <c r="D51" s="176">
        <v>481881000</v>
      </c>
      <c r="E51" s="97" t="s">
        <v>157</v>
      </c>
      <c r="I51" s="169"/>
    </row>
    <row r="52" spans="1:9" ht="12.75">
      <c r="A52" t="s">
        <v>227</v>
      </c>
      <c r="I52" s="169"/>
    </row>
    <row r="53" spans="1:9" ht="12.75">
      <c r="A53" s="108" t="str">
        <f>A46</f>
        <v>July 2014</v>
      </c>
      <c r="I53" s="169"/>
    </row>
    <row r="54" ht="12.75">
      <c r="I54" s="169"/>
    </row>
    <row r="55" ht="12.75">
      <c r="I55" s="169"/>
    </row>
    <row r="56" spans="1:9" ht="12.75">
      <c r="A56" t="s">
        <v>186</v>
      </c>
      <c r="B56" s="173" t="s">
        <v>178</v>
      </c>
      <c r="C56" s="171"/>
      <c r="D56" s="170">
        <f>1999200+5734200</f>
        <v>7733400</v>
      </c>
      <c r="E56" s="97" t="s">
        <v>157</v>
      </c>
      <c r="I56" s="169"/>
    </row>
    <row r="57" spans="1:9" ht="12.75">
      <c r="A57" t="s">
        <v>177</v>
      </c>
      <c r="E57" s="97"/>
      <c r="I57" s="169"/>
    </row>
    <row r="58" ht="12.75">
      <c r="I58" s="169"/>
    </row>
    <row r="59" spans="1:9" ht="12.75">
      <c r="A59" t="s">
        <v>182</v>
      </c>
      <c r="B59" s="173" t="s">
        <v>178</v>
      </c>
      <c r="C59" s="171"/>
      <c r="D59" s="170">
        <v>6690100</v>
      </c>
      <c r="E59" s="97" t="s">
        <v>157</v>
      </c>
      <c r="I59" s="169"/>
    </row>
    <row r="60" spans="1:9" ht="12.75">
      <c r="A60" t="s">
        <v>150</v>
      </c>
      <c r="I60" s="169"/>
    </row>
    <row r="61" ht="12.75">
      <c r="I61" s="169"/>
    </row>
    <row r="62" spans="1:9" ht="12.75">
      <c r="A62" s="112" t="str">
        <f>D12</f>
        <v>June 2014</v>
      </c>
      <c r="B62" s="99"/>
      <c r="D62" s="154"/>
      <c r="I62" s="169"/>
    </row>
    <row r="63" ht="12.75">
      <c r="I63" s="169"/>
    </row>
    <row r="64" spans="1:9" ht="12.75">
      <c r="A64" t="s">
        <v>171</v>
      </c>
      <c r="B64" s="171"/>
      <c r="C64" s="171"/>
      <c r="D64" s="170">
        <v>26080035.6</v>
      </c>
      <c r="I64" s="169"/>
    </row>
    <row r="65" spans="1:9" ht="12.75">
      <c r="A65" t="s">
        <v>172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173</v>
      </c>
      <c r="B67" s="171"/>
      <c r="C67" s="171"/>
      <c r="D67" s="170">
        <v>343115.35</v>
      </c>
      <c r="I67" s="169"/>
    </row>
    <row r="68" ht="12.75">
      <c r="I68" s="169"/>
    </row>
    <row r="69" spans="1:9" ht="12.75">
      <c r="A69" t="s">
        <v>192</v>
      </c>
      <c r="B69" s="171"/>
      <c r="C69" s="171"/>
      <c r="D69" s="170">
        <v>0</v>
      </c>
      <c r="I69" s="169"/>
    </row>
    <row r="70" spans="2:9" ht="12.75">
      <c r="B70" s="171"/>
      <c r="C70" s="171"/>
      <c r="D70" s="152"/>
      <c r="I70" s="169"/>
    </row>
    <row r="71" spans="1:9" ht="12.75">
      <c r="A71" t="s">
        <v>174</v>
      </c>
      <c r="B71" s="171"/>
      <c r="C71" s="171"/>
      <c r="D71" s="170">
        <v>8971787.59</v>
      </c>
      <c r="I71" s="169"/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16809854.27</v>
      </c>
      <c r="I73" s="169"/>
    </row>
    <row r="74" spans="2:9" ht="12.75">
      <c r="B74" s="171"/>
      <c r="C74" s="171"/>
      <c r="D74" s="152"/>
      <c r="I74" s="169"/>
    </row>
    <row r="75" spans="1:9" ht="12.75">
      <c r="A75" t="s">
        <v>180</v>
      </c>
      <c r="B75" s="171"/>
      <c r="C75" s="171"/>
      <c r="D75" s="170">
        <v>784026.38</v>
      </c>
      <c r="I75" s="169"/>
    </row>
    <row r="76" spans="2:9" ht="12.75">
      <c r="B76" s="171"/>
      <c r="C76" s="171"/>
      <c r="D76" s="152"/>
      <c r="I76" s="169"/>
    </row>
    <row r="77" spans="1:9" ht="12.75">
      <c r="A77" s="74" t="s">
        <v>181</v>
      </c>
      <c r="B77" s="171"/>
      <c r="C77" s="171"/>
      <c r="D77" s="170">
        <v>15290542</v>
      </c>
      <c r="I77" s="169"/>
    </row>
    <row r="78" spans="1:9" ht="12.75">
      <c r="A78" t="s">
        <v>187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193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>
        <v>0</v>
      </c>
      <c r="E81" t="s">
        <v>157</v>
      </c>
      <c r="I81" s="169"/>
    </row>
    <row r="82" spans="4:9" ht="12.75">
      <c r="D82" s="113"/>
      <c r="I82" s="169"/>
    </row>
    <row r="83" spans="1:9" ht="12.75">
      <c r="A83" t="s">
        <v>229</v>
      </c>
      <c r="B83" s="171"/>
      <c r="C83" s="171"/>
      <c r="D83" s="178">
        <v>0</v>
      </c>
      <c r="E83" t="s">
        <v>226</v>
      </c>
      <c r="I83" s="1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F10" sqref="F10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95" t="str">
        <f>Input!D10</f>
        <v>July 2014</v>
      </c>
      <c r="F6" s="196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0.007300000000000001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0.007300000000000001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94">
        <f>Input!D8</f>
        <v>41879</v>
      </c>
      <c r="F19" s="194"/>
      <c r="G19" s="194"/>
      <c r="H19" s="194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97"/>
      <c r="F23" s="197"/>
      <c r="G23" s="197"/>
      <c r="H23" s="197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97" t="str">
        <f>Input!D6</f>
        <v>Director, Regulatory Services</v>
      </c>
      <c r="F27" s="197"/>
      <c r="G27" s="197"/>
      <c r="H27" s="197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94">
        <f>Input!D4</f>
        <v>41869</v>
      </c>
      <c r="F30" s="194"/>
      <c r="G30" s="194"/>
      <c r="H30" s="194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B33" activeCellId="1" sqref="O48 B33"/>
      <selection pane="bottomLeft" activeCell="A55" sqref="A55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200"/>
      <c r="B7" s="200"/>
      <c r="C7" s="68" t="s">
        <v>130</v>
      </c>
      <c r="D7" s="196" t="str">
        <f>Summary!$E$6</f>
        <v>July 2014</v>
      </c>
      <c r="E7" s="196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2'!$I$45</f>
        <v>19049859.750000004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533564000</v>
      </c>
      <c r="D11" s="9" t="s">
        <v>15</v>
      </c>
      <c r="E11" s="103">
        <f>ROUND(C10/C11,5)</f>
        <v>0.0357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0.007300000000000001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94">
        <f>Summary!$E$19</f>
        <v>41879</v>
      </c>
      <c r="D23" s="199"/>
      <c r="E23" s="199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97" t="str">
        <f>Input!D6</f>
        <v>Director, Regulatory Services</v>
      </c>
      <c r="D31" s="201"/>
      <c r="E31" s="201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94">
        <f>Summary!$E$30</f>
        <v>41869</v>
      </c>
      <c r="D34" s="199"/>
      <c r="E34" s="199"/>
    </row>
    <row r="35" spans="1:5" ht="12.75">
      <c r="A35" s="5"/>
      <c r="B35" s="5"/>
      <c r="C35" s="12"/>
      <c r="D35" s="5"/>
      <c r="E35" s="5"/>
    </row>
    <row r="39" spans="1:6" ht="12.75">
      <c r="A39" s="198" t="s">
        <v>228</v>
      </c>
      <c r="B39" s="198"/>
      <c r="C39" s="198"/>
      <c r="D39" s="198"/>
      <c r="E39" s="198"/>
      <c r="F39" s="198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ySplit="6" topLeftCell="A7" activePane="bottomLeft" state="frozen"/>
      <selection pane="topLeft" activeCell="C10" sqref="C10"/>
      <selection pane="bottomLeft" activeCell="I41" sqref="I41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204"/>
      <c r="E5" s="205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96" t="str">
        <f>Summary!$E$6</f>
        <v>July 2014</v>
      </c>
      <c r="G6" s="206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24325722.91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560348.58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24886071.49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ROUND((G49*Input!D28),0)</f>
        <v>8071313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8071313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ROUND((G49*Input!D30),0)</f>
        <v>17667397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17667397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207" t="s">
        <v>50</v>
      </c>
      <c r="C27" s="203"/>
      <c r="D27" s="203"/>
      <c r="E27" s="5"/>
      <c r="F27" s="5"/>
      <c r="G27" s="5"/>
      <c r="H27" s="5"/>
      <c r="I27" s="44">
        <f>SUM(I15+I21-I23)</f>
        <v>15289987.489999998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94" t="str">
        <f>Input!D12</f>
        <v>June 2014</v>
      </c>
      <c r="E31" s="208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18585084.270000007</v>
      </c>
      <c r="F32" s="9" t="s">
        <v>87</v>
      </c>
      <c r="G32" s="60">
        <f>Input!D77</f>
        <v>15290542</v>
      </c>
      <c r="H32" s="9" t="s">
        <v>86</v>
      </c>
      <c r="I32" s="19">
        <f>SUM(E32-G32)</f>
        <v>3294542.270000007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190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288161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202" t="s">
        <v>91</v>
      </c>
      <c r="C39" s="203"/>
      <c r="D39" s="202"/>
      <c r="E39" s="202"/>
      <c r="F39" s="5"/>
      <c r="G39" s="5"/>
      <c r="H39" s="5"/>
      <c r="I39" s="60">
        <f>SUM(I27+I32-I36)</f>
        <v>18296368.760000005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10" ht="12.75">
      <c r="A41" s="12" t="s">
        <v>136</v>
      </c>
      <c r="B41" s="202" t="s">
        <v>137</v>
      </c>
      <c r="C41" s="202"/>
      <c r="D41" s="202"/>
      <c r="E41" s="202"/>
      <c r="F41" s="202"/>
      <c r="G41" s="11" t="str">
        <f>Summary!$E$6</f>
        <v>July 2014</v>
      </c>
      <c r="H41" s="5"/>
      <c r="I41" s="70">
        <f>Input!D20</f>
        <v>753490.99</v>
      </c>
      <c r="J41" s="180"/>
    </row>
    <row r="42" spans="1:9" ht="12.75">
      <c r="A42" s="12"/>
      <c r="B42" s="202" t="s">
        <v>138</v>
      </c>
      <c r="C42" s="202"/>
      <c r="D42" s="202"/>
      <c r="E42" s="202"/>
      <c r="F42" s="202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2.75">
      <c r="A44" s="12"/>
      <c r="B44" s="36"/>
      <c r="C44" s="36"/>
      <c r="D44" s="36"/>
      <c r="E44" s="36"/>
      <c r="F44" s="36"/>
      <c r="G44" s="21"/>
      <c r="H44" s="5"/>
      <c r="I44" s="5"/>
    </row>
    <row r="45" spans="1:9" ht="13.5" thickBot="1">
      <c r="A45" s="12" t="s">
        <v>139</v>
      </c>
      <c r="B45" s="202" t="s">
        <v>239</v>
      </c>
      <c r="C45" s="203"/>
      <c r="D45" s="203"/>
      <c r="E45" s="203"/>
      <c r="F45" s="203"/>
      <c r="G45" s="203"/>
      <c r="H45" s="203"/>
      <c r="I45" s="64">
        <f>SUM(I39+I41)</f>
        <v>19049859.750000004</v>
      </c>
    </row>
    <row r="46" spans="1:9" ht="13.5" thickTop="1">
      <c r="A46" s="12"/>
      <c r="B46" s="36"/>
      <c r="C46" s="36"/>
      <c r="D46" s="36"/>
      <c r="E46" s="36"/>
      <c r="F46" s="36"/>
      <c r="G46" s="21"/>
      <c r="H46" s="5"/>
      <c r="I46" s="5"/>
    </row>
    <row r="47" spans="1:9" ht="12.75" customHeight="1">
      <c r="A47" s="12"/>
      <c r="B47" s="9" t="s">
        <v>21</v>
      </c>
      <c r="C47" s="5" t="s">
        <v>236</v>
      </c>
      <c r="D47" s="5"/>
      <c r="E47" s="5"/>
      <c r="F47" s="5"/>
      <c r="G47" s="5"/>
      <c r="H47" s="5"/>
      <c r="I47" s="5"/>
    </row>
    <row r="48" spans="1:9" ht="12.75">
      <c r="A48" s="12"/>
      <c r="B48" s="5"/>
      <c r="C48" s="153" t="str">
        <f>Input!D10</f>
        <v>July 2014</v>
      </c>
      <c r="D48" s="9"/>
      <c r="E48" s="60">
        <f>I15</f>
        <v>24886071.49</v>
      </c>
      <c r="F48" s="5"/>
      <c r="G48" s="5"/>
      <c r="H48" s="5"/>
      <c r="I48" s="5"/>
    </row>
    <row r="49" spans="1:9" ht="12.75">
      <c r="A49" s="12"/>
      <c r="B49" s="5"/>
      <c r="C49" s="5"/>
      <c r="D49" s="5"/>
      <c r="E49" s="15">
        <f>Input!D26</f>
        <v>898247000</v>
      </c>
      <c r="F49" s="5"/>
      <c r="G49" s="16">
        <f>ROUND((E48/E49),5)</f>
        <v>0.02771</v>
      </c>
      <c r="H49" s="37" t="s">
        <v>111</v>
      </c>
      <c r="I49" s="5"/>
    </row>
    <row r="51" spans="1:10" ht="12.75">
      <c r="A51" s="106"/>
      <c r="B51" s="106"/>
      <c r="C51" s="107"/>
      <c r="D51" s="107"/>
      <c r="E51" s="107"/>
      <c r="F51" s="107"/>
      <c r="G51" s="107"/>
      <c r="H51" s="107"/>
      <c r="I51" s="107"/>
      <c r="J51" s="106"/>
    </row>
    <row r="52" spans="1:10" ht="12.75">
      <c r="A52" s="106"/>
      <c r="B52" s="181"/>
      <c r="C52" s="36"/>
      <c r="D52" s="107"/>
      <c r="E52" s="107"/>
      <c r="F52" s="107"/>
      <c r="G52" s="107"/>
      <c r="H52" s="107"/>
      <c r="I52" s="107"/>
      <c r="J52" s="63"/>
    </row>
    <row r="53" spans="1:10" ht="12.75">
      <c r="A53" s="106"/>
      <c r="C53" s="5"/>
      <c r="H53" s="107"/>
      <c r="I53" s="107"/>
      <c r="J53" s="63"/>
    </row>
    <row r="55" spans="2:3" ht="12.75">
      <c r="B55" s="181"/>
      <c r="C55" s="5"/>
    </row>
  </sheetData>
  <sheetProtection/>
  <mergeCells count="8">
    <mergeCell ref="B45:H45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200" t="s">
        <v>130</v>
      </c>
      <c r="E7" s="200"/>
      <c r="F7" s="8"/>
      <c r="G7" s="196" t="str">
        <f>Summary!$E$6</f>
        <v>July 2014</v>
      </c>
      <c r="H7" s="196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898247000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291278000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1189525000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637582000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18379000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655961000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533564000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209">
        <f>Input!D22</f>
        <v>266000</v>
      </c>
      <c r="F37" s="210"/>
      <c r="G37" s="210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C10" sqref="C10"/>
      <selection pane="bottomLeft" activeCell="C10" sqref="C10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200" t="s">
        <v>130</v>
      </c>
      <c r="D7" s="200"/>
      <c r="E7" s="8"/>
      <c r="F7" s="211" t="str">
        <f>Summary!$E$6</f>
        <v>July 2014</v>
      </c>
      <c r="G7" s="211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0.00699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515817995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3605568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481881000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6690100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475190900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3321584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283984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533564000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525830600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1.01471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288161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June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26080035.6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343115.35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0</v>
      </c>
      <c r="E18" s="9" t="s">
        <v>37</v>
      </c>
      <c r="F18" s="151">
        <f>Input!D85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207" t="s">
        <v>131</v>
      </c>
      <c r="F21" s="207"/>
      <c r="G21" s="207"/>
      <c r="H21" s="5"/>
      <c r="I21" s="19">
        <f>SUM(I13:I18)</f>
        <v>26423150.950000003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8971787.59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150</v>
      </c>
      <c r="J26" s="5"/>
    </row>
    <row r="27" spans="1:10" ht="12.75" customHeight="1">
      <c r="A27" s="9"/>
      <c r="B27" s="18"/>
      <c r="C27" s="22" t="s">
        <v>36</v>
      </c>
      <c r="D27" s="80">
        <f>D18</f>
        <v>0</v>
      </c>
      <c r="E27" s="9" t="s">
        <v>37</v>
      </c>
      <c r="F27" s="151">
        <f>Input!D83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207" t="s">
        <v>131</v>
      </c>
      <c r="F29" s="207"/>
      <c r="G29" s="207"/>
      <c r="H29" s="5"/>
      <c r="I29" s="19">
        <f>SUM(I25-I27)</f>
        <v>8971787.59</v>
      </c>
      <c r="J29" s="5"/>
      <c r="L29" t="s">
        <v>150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16809854.27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207" t="s">
        <v>144</v>
      </c>
      <c r="C35" s="203"/>
      <c r="D35" s="203"/>
      <c r="E35" s="203"/>
      <c r="F35" s="203"/>
      <c r="G35" s="203"/>
      <c r="H35" s="5"/>
      <c r="I35" s="60">
        <f>SUM(I21+I29-I32)</f>
        <v>18585084.270000007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207" t="s">
        <v>140</v>
      </c>
      <c r="C37" s="203"/>
      <c r="D37" s="203"/>
      <c r="E37" s="203"/>
      <c r="F37" s="203"/>
      <c r="G37" s="109" t="str">
        <f>'FAC-Page 2'!$D$31</f>
        <v>June 2014</v>
      </c>
      <c r="H37" s="5"/>
      <c r="I37" s="70">
        <f>Input!D75</f>
        <v>784026.38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207" t="s">
        <v>142</v>
      </c>
      <c r="C39" s="203"/>
      <c r="D39" s="203"/>
      <c r="E39" s="203"/>
      <c r="F39" s="203"/>
      <c r="G39" s="203"/>
      <c r="H39" s="5"/>
      <c r="I39" s="44">
        <f>SUM(I35+I37)</f>
        <v>19369110.650000006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2014-08-18T16:39:05Z</cp:lastPrinted>
  <dcterms:created xsi:type="dcterms:W3CDTF">2004-09-28T13:24:13Z</dcterms:created>
  <dcterms:modified xsi:type="dcterms:W3CDTF">2014-08-18T16:50:33Z</dcterms:modified>
  <cp:category/>
  <cp:version/>
  <cp:contentType/>
  <cp:contentStatus/>
</cp:coreProperties>
</file>