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<sst xmlns="http://schemas.openxmlformats.org/spreadsheetml/2006/main" count="9622" uniqueCount="185">
  <si>
    <t xml:space="preserve"> </t>
  </si>
  <si>
    <t>KENTUCKY POWER COMPANY</t>
  </si>
  <si>
    <t>SYSTEM SALES TRACKER</t>
  </si>
  <si>
    <t>November 2012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</si>
  <si>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</si>
  <si>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</si>
  <si>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</si>
  <si>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</si>
  <si>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</si>
  <si>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</si>
  <si>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</si>
  <si>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</si>
  <si>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</si>
  <si>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</si>
  <si>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</si>
  <si>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( L )</t>
  </si>
  <si>
    <t>( M )</t>
  </si>
  <si>
    <t>( N )</t>
  </si>
  <si>
    <t>( O )</t>
  </si>
  <si>
    <t>( P )</t>
  </si>
  <si>
    <t>REVENUE</t>
  </si>
  <si>
    <t>COST</t>
  </si>
  <si>
    <t>NET</t>
  </si>
  <si>
    <t>4470002, 4470004,                 4470005, 4470028,                4470089, 4470103                      4470210, 4470211                             4470212</t>
  </si>
  <si>
    <t>Net</t>
  </si>
  <si>
    <t>4470026</t>
  </si>
  <si>
    <t>4470066</t>
  </si>
  <si>
    <t>4470097</t>
  </si>
  <si>
    <t>4470098</t>
  </si>
  <si>
    <t>4470100</t>
  </si>
  <si>
    <t>4470106</t>
  </si>
  <si>
    <t>4470107</t>
  </si>
  <si>
    <t>4470117</t>
  </si>
  <si>
    <t>4470124</t>
  </si>
  <si>
    <t>4470125</t>
  </si>
  <si>
    <t>4470126</t>
  </si>
  <si>
    <t>PRIOR MO.</t>
  </si>
  <si>
    <t>ACTUAL</t>
  </si>
  <si>
    <t>ESTIMATE</t>
  </si>
  <si>
    <t>Other Monthly Transactions</t>
  </si>
  <si>
    <t>Various                                  Journal IDs</t>
  </si>
  <si>
    <t>*</t>
  </si>
  <si>
    <t>CURR MO.</t>
  </si>
  <si>
    <t>ADJUSTMENT</t>
  </si>
  <si>
    <t>(From CA0044) =&gt;</t>
  </si>
  <si>
    <t>(From CA0080 - Dated EOM) =&gt;</t>
  </si>
  <si>
    <t xml:space="preserve">   CURR MO.</t>
  </si>
  <si>
    <t>TOTAL</t>
  </si>
  <si>
    <t>( R )</t>
  </si>
  <si>
    <t>( S )</t>
  </si>
  <si>
    <t>( T )</t>
  </si>
  <si>
    <t>( U )</t>
  </si>
  <si>
    <t>( V )</t>
  </si>
  <si>
    <t>( W )</t>
  </si>
  <si>
    <t>( X )</t>
  </si>
  <si>
    <t>( Y )</t>
  </si>
  <si>
    <t>( Z )</t>
  </si>
  <si>
    <t>( AA )</t>
  </si>
  <si>
    <t>( AB )</t>
  </si>
  <si>
    <t>( AC )</t>
  </si>
  <si>
    <t>( AD )</t>
  </si>
  <si>
    <t>( AE )</t>
  </si>
  <si>
    <t>( AF )</t>
  </si>
  <si>
    <t>( AG )</t>
  </si>
  <si>
    <t>Subtotal Physical Sales For Resale</t>
  </si>
  <si>
    <t>4470xxx</t>
  </si>
  <si>
    <t>4470167</t>
  </si>
  <si>
    <t>4470169</t>
  </si>
  <si>
    <t>4470170</t>
  </si>
  <si>
    <t>4470174</t>
  </si>
  <si>
    <t>4470204</t>
  </si>
  <si>
    <t>4470205</t>
  </si>
  <si>
    <t>4470206</t>
  </si>
  <si>
    <t>4470209</t>
  </si>
  <si>
    <t>4470214</t>
  </si>
  <si>
    <t>4470215</t>
  </si>
  <si>
    <t>4470216</t>
  </si>
  <si>
    <t>4470217</t>
  </si>
  <si>
    <t>ADJ.</t>
  </si>
  <si>
    <t>Total Current Month Estimate</t>
  </si>
  <si>
    <t>( AH )</t>
  </si>
  <si>
    <t>( AI )</t>
  </si>
  <si>
    <t>( AJ )</t>
  </si>
  <si>
    <t>( AK )</t>
  </si>
  <si>
    <t>( AL )</t>
  </si>
  <si>
    <t>( AM )</t>
  </si>
  <si>
    <t>( AN )</t>
  </si>
  <si>
    <t>( AO )</t>
  </si>
  <si>
    <t>( AP )</t>
  </si>
  <si>
    <t>( AQ )</t>
  </si>
  <si>
    <t>( AR )</t>
  </si>
  <si>
    <t>( AS )</t>
  </si>
  <si>
    <t>( AT )</t>
  </si>
  <si>
    <t>( AU )</t>
  </si>
  <si>
    <t>( AV )</t>
  </si>
  <si>
    <t>( AW )</t>
  </si>
  <si>
    <t>Total Physical Sales For Resale</t>
  </si>
  <si>
    <t>5550035</t>
  </si>
  <si>
    <t>5550038</t>
  </si>
  <si>
    <t>5550039</t>
  </si>
  <si>
    <t>5550044</t>
  </si>
  <si>
    <t>5550088</t>
  </si>
  <si>
    <t>5550099</t>
  </si>
  <si>
    <t>5550100</t>
  </si>
  <si>
    <t>5550107</t>
  </si>
  <si>
    <t>557XXXX</t>
  </si>
  <si>
    <t>5614000</t>
  </si>
  <si>
    <t>5614008</t>
  </si>
  <si>
    <t>5618000</t>
  </si>
  <si>
    <t>5757000</t>
  </si>
  <si>
    <t>Brokers</t>
  </si>
  <si>
    <t>Commissions</t>
  </si>
  <si>
    <t>Subtotal Non Physical Sales For Resale</t>
  </si>
  <si>
    <t>4470006</t>
  </si>
  <si>
    <t>4470010</t>
  </si>
  <si>
    <t>4470081</t>
  </si>
  <si>
    <t>4470082</t>
  </si>
  <si>
    <t>4470099</t>
  </si>
  <si>
    <t>4470109</t>
  </si>
  <si>
    <t>4470011</t>
  </si>
  <si>
    <t>4470112</t>
  </si>
  <si>
    <t>4470131</t>
  </si>
  <si>
    <t>Subtotal</t>
  </si>
  <si>
    <t>Total Non Physical Sales For Resale</t>
  </si>
  <si>
    <t>4470143</t>
  </si>
  <si>
    <t>4470144</t>
  </si>
  <si>
    <t>4470168</t>
  </si>
  <si>
    <t>4470007</t>
  </si>
  <si>
    <t>4470110</t>
  </si>
  <si>
    <t>4470111</t>
  </si>
  <si>
    <t>4470132</t>
  </si>
  <si>
    <t>4470XXX</t>
  </si>
  <si>
    <t>5550034</t>
  </si>
  <si>
    <t>5550045</t>
  </si>
  <si>
    <t>5570007</t>
  </si>
  <si>
    <t>RECONCILIATION TO QUERY</t>
  </si>
  <si>
    <t>TOTAL 44700XX Query</t>
  </si>
  <si>
    <t>Revenue</t>
  </si>
  <si>
    <t>Cost</t>
  </si>
  <si>
    <t xml:space="preserve">     LESS ASSOC:</t>
  </si>
  <si>
    <t>Adj.</t>
  </si>
  <si>
    <t>Est.</t>
  </si>
  <si>
    <t xml:space="preserve">     LESS S/S COST</t>
  </si>
  <si>
    <t>Adjustment (If Needed)</t>
  </si>
  <si>
    <t>-----------------</t>
  </si>
  <si>
    <t>SYS/SALES NET PROFIT/(LOSS)</t>
  </si>
  <si>
    <t>EST.</t>
  </si>
  <si>
    <t>DIFFERENCE</t>
  </si>
  <si>
    <t>==========</t>
  </si>
  <si>
    <t>December 2012</t>
  </si>
  <si>
    <t>January 2013</t>
  </si>
  <si>
    <t>February 2013</t>
  </si>
  <si>
    <t>March 2013</t>
  </si>
  <si>
    <t>April 2013</t>
  </si>
  <si>
    <t>May 2013</t>
  </si>
  <si>
    <t>4470220</t>
  </si>
  <si>
    <t>4470221</t>
  </si>
  <si>
    <t>4470222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</si>
  <si>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</si>
  <si>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</si>
  <si>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</si>
  <si>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</si>
  <si>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</si>
  <si>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</si>
  <si>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</si>
  <si>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</si>
  <si>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</si>
  <si>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</si>
  <si>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</si>
  <si>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</si>
  <si>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</si>
  <si>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</si>
  <si>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</si>
  <si>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</si>
  <si>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r>
      <t>Physical Sales</t>
    </r>
    <r>
      <rPr>
        <b/>
        <sz val="10"/>
        <rFont val="Arial"/>
        <family val="2"/>
      </rPr>
      <t xml:space="preserve"> - </t>
    </r>
    <r>
      <rPr>
        <b/>
        <sz val="10"/>
        <color indexed="20"/>
        <rFont val="Arial"/>
        <family val="2"/>
      </rPr>
      <t>Sales For Resale</t>
    </r>
  </si>
  <si>
    <r>
      <t>Adjustments to</t>
    </r>
    <r>
      <rPr>
        <b/>
        <sz val="6"/>
        <color indexed="12"/>
        <rFont val="Arial"/>
        <family val="2"/>
      </rPr>
      <t xml:space="preserve">                            Page 6</t>
    </r>
    <r>
      <rPr>
        <b/>
        <sz val="6"/>
        <color indexed="10"/>
        <rFont val="Arial"/>
        <family val="2"/>
      </rPr>
      <t xml:space="preserve">                                 of the </t>
    </r>
    <r>
      <rPr>
        <b/>
        <sz val="6"/>
        <color indexed="12"/>
        <rFont val="Arial"/>
        <family val="2"/>
      </rPr>
      <t xml:space="preserve">IPS                              </t>
    </r>
    <r>
      <rPr>
        <b/>
        <sz val="6"/>
        <color indexed="10"/>
        <rFont val="Arial"/>
        <family val="2"/>
      </rPr>
      <t xml:space="preserve"> (Bruce Roberts)</t>
    </r>
  </si>
  <si>
    <r>
      <t xml:space="preserve">   CURR MO.                                                        </t>
    </r>
    <r>
      <rPr>
        <b/>
        <sz val="6"/>
        <rFont val="Arial"/>
        <family val="2"/>
      </rPr>
      <t>(Adj to Page 6 - IPS) =&gt;</t>
    </r>
  </si>
  <si>
    <r>
      <t xml:space="preserve">ADJ. </t>
    </r>
    <r>
      <rPr>
        <b/>
        <sz val="6"/>
        <color indexed="10"/>
        <rFont val="Arial"/>
        <family val="2"/>
      </rPr>
      <t>(CA0048) =&gt;</t>
    </r>
  </si>
  <si>
    <r>
      <t xml:space="preserve">CSW DOLLAR TRNFR </t>
    </r>
    <r>
      <rPr>
        <b/>
        <sz val="10"/>
        <rFont val="Arial"/>
        <family val="2"/>
      </rPr>
      <t xml:space="preserve">ADJ                                              </t>
    </r>
  </si>
  <si>
    <r>
      <t xml:space="preserve">ADJ. </t>
    </r>
    <r>
      <rPr>
        <b/>
        <sz val="6"/>
        <color indexed="10"/>
        <rFont val="Arial"/>
        <family val="2"/>
      </rPr>
      <t>(CA0080 BOM &amp; CA0081) =&gt;</t>
    </r>
  </si>
  <si>
    <r>
      <t xml:space="preserve">Total Current Month Estimate                                              </t>
    </r>
    <r>
      <rPr>
        <b/>
        <sz val="6"/>
        <rFont val="Arial"/>
        <family val="2"/>
      </rPr>
      <t>(Adj to Page 6 - IPS) =&gt;</t>
    </r>
  </si>
  <si>
    <r>
      <t xml:space="preserve">CSW DOLLAR TRANSFER - </t>
    </r>
    <r>
      <rPr>
        <b/>
        <sz val="10"/>
        <rFont val="Arial"/>
        <family val="2"/>
      </rPr>
      <t>EST</t>
    </r>
  </si>
  <si>
    <r>
      <t xml:space="preserve">CSW DOLLAR TRNFR </t>
    </r>
    <r>
      <rPr>
        <b/>
        <sz val="10"/>
        <rFont val="Arial"/>
        <family val="2"/>
      </rPr>
      <t>ADJ</t>
    </r>
  </si>
  <si>
    <r>
      <t>Non Physical Sales</t>
    </r>
    <r>
      <rPr>
        <b/>
        <sz val="10"/>
        <rFont val="Arial"/>
        <family val="2"/>
      </rPr>
      <t xml:space="preserve"> - </t>
    </r>
    <r>
      <rPr>
        <b/>
        <sz val="10"/>
        <color indexed="20"/>
        <rFont val="Arial"/>
        <family val="2"/>
      </rPr>
      <t>Sales For Resale</t>
    </r>
  </si>
  <si>
    <t>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</si>
</sst>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6"/>
      <color indexed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20"/>
      <name val="Arial"/>
      <family val="2"/>
    </font>
    <font>
      <i/>
      <sz val="10"/>
      <name val="Arial"/>
      <family val="2"/>
    </font>
    <font>
      <b/>
      <sz val="6"/>
      <color indexed="2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3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7" fontId="7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49" fontId="3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wrapText="1"/>
    </xf>
    <xf numFmtId="37" fontId="3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37" fontId="4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wrapText="1"/>
    </xf>
    <xf numFmtId="3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left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37" fontId="6" fillId="0" borderId="0" xfId="52" applyNumberFormat="1" applyFont="1" applyAlignment="1" applyProtection="1">
      <alignment/>
      <protection/>
    </xf>
    <xf numFmtId="3" fontId="16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7" fontId="6" fillId="34" borderId="0" xfId="0" applyNumberFormat="1" applyFont="1" applyFill="1" applyAlignment="1">
      <alignment/>
    </xf>
    <xf numFmtId="37" fontId="0" fillId="35" borderId="0" xfId="0" applyNumberFormat="1" applyFill="1" applyAlignment="1">
      <alignment/>
    </xf>
    <xf numFmtId="37" fontId="0" fillId="36" borderId="0" xfId="0" applyNumberFormat="1" applyFill="1" applyAlignment="1">
      <alignment/>
    </xf>
    <xf numFmtId="49" fontId="9" fillId="0" borderId="0" xfId="0" applyNumberFormat="1" applyFont="1" applyAlignment="1">
      <alignment horizontal="center" wrapText="1"/>
    </xf>
    <xf numFmtId="37" fontId="19" fillId="0" borderId="0" xfId="0" applyNumberFormat="1" applyFont="1" applyAlignment="1">
      <alignment/>
    </xf>
    <xf numFmtId="37" fontId="6" fillId="0" borderId="0" xfId="0" applyNumberFormat="1" applyFont="1" applyFill="1" applyAlignment="1">
      <alignment/>
    </xf>
    <xf numFmtId="0" fontId="20" fillId="37" borderId="0" xfId="0" applyFont="1" applyFill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39" fontId="2" fillId="0" borderId="0" xfId="0" applyNumberFormat="1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34" borderId="0" xfId="0" applyFill="1" applyAlignment="1">
      <alignment/>
    </xf>
    <xf numFmtId="37" fontId="0" fillId="34" borderId="0" xfId="0" applyNumberFormat="1" applyFill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3" fontId="21" fillId="0" borderId="0" xfId="42" applyFont="1" applyAlignment="1">
      <alignment/>
    </xf>
    <xf numFmtId="164" fontId="21" fillId="0" borderId="0" xfId="42" applyNumberFormat="1" applyFont="1" applyAlignment="1">
      <alignment/>
    </xf>
    <xf numFmtId="37" fontId="6" fillId="4" borderId="0" xfId="0" applyNumberFormat="1" applyFont="1" applyFill="1" applyAlignment="1">
      <alignment/>
    </xf>
    <xf numFmtId="49" fontId="0" fillId="4" borderId="0" xfId="0" applyNumberFormat="1" applyFill="1" applyAlignment="1">
      <alignment horizontal="center"/>
    </xf>
    <xf numFmtId="37" fontId="6" fillId="38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 quotePrefix="1">
      <alignment horizontal="right"/>
    </xf>
    <xf numFmtId="49" fontId="3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39" fontId="8" fillId="0" borderId="0" xfId="0" applyNumberFormat="1" applyFont="1" applyAlignment="1">
      <alignment/>
    </xf>
    <xf numFmtId="0" fontId="0" fillId="39" borderId="0" xfId="0" applyFill="1" applyAlignment="1">
      <alignment/>
    </xf>
    <xf numFmtId="37" fontId="0" fillId="39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center" wrapText="1"/>
    </xf>
    <xf numFmtId="49" fontId="10" fillId="34" borderId="0" xfId="0" applyNumberFormat="1" applyFont="1" applyFill="1" applyAlignment="1">
      <alignment horizontal="left" wrapText="1"/>
    </xf>
    <xf numFmtId="49" fontId="13" fillId="0" borderId="0" xfId="0" applyNumberFormat="1" applyFont="1" applyAlignment="1">
      <alignment wrapText="1"/>
    </xf>
    <xf numFmtId="37" fontId="4" fillId="34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 wrapText="1"/>
    </xf>
    <xf numFmtId="37" fontId="7" fillId="4" borderId="0" xfId="0" applyNumberFormat="1" applyFont="1" applyFill="1" applyAlignment="1">
      <alignment/>
    </xf>
    <xf numFmtId="39" fontId="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26"/>
  <sheetViews>
    <sheetView tabSelected="1" zoomScalePageLayoutView="0" workbookViewId="0" topLeftCell="A85">
      <selection activeCell="J110" sqref="J110"/>
    </sheetView>
  </sheetViews>
  <sheetFormatPr defaultColWidth="9.140625" defaultRowHeight="15"/>
  <cols>
    <col min="1" max="1" width="4.00390625" style="0" bestFit="1" customWidth="1"/>
    <col min="2" max="2" width="22.7109375" style="86" customWidth="1"/>
    <col min="3" max="3" width="15.7109375" style="0" customWidth="1"/>
    <col min="4" max="4" width="14.421875" style="0" customWidth="1"/>
    <col min="5" max="5" width="2.28125" style="0" customWidth="1"/>
    <col min="6" max="6" width="13.00390625" style="86" customWidth="1"/>
    <col min="7" max="7" width="12.7109375" style="0" customWidth="1"/>
    <col min="8" max="8" width="2.28125" style="0" customWidth="1"/>
    <col min="9" max="9" width="12.7109375" style="0" customWidth="1"/>
    <col min="10" max="10" width="13.8515625" style="0" customWidth="1"/>
    <col min="11" max="11" width="12.7109375" style="0" customWidth="1"/>
    <col min="12" max="12" width="14.57421875" style="0" customWidth="1"/>
    <col min="13" max="13" width="13.7109375" style="0" bestFit="1" customWidth="1"/>
    <col min="14" max="14" width="13.8515625" style="0" customWidth="1"/>
    <col min="15" max="15" width="12.8515625" style="0" customWidth="1"/>
    <col min="16" max="16" width="2.28125" style="0" customWidth="1"/>
    <col min="17" max="17" width="12.7109375" style="0" customWidth="1"/>
    <col min="18" max="18" width="11.28125" style="0" customWidth="1"/>
    <col min="19" max="19" width="2.28125" style="0" customWidth="1"/>
    <col min="20" max="20" width="13.00390625" style="0" bestFit="1" customWidth="1"/>
    <col min="21" max="21" width="2.28125" style="0" customWidth="1"/>
    <col min="22" max="22" width="14.140625" style="0" customWidth="1"/>
    <col min="23" max="23" width="13.7109375" style="0" customWidth="1"/>
    <col min="24" max="24" width="14.00390625" style="0" bestFit="1" customWidth="1"/>
    <col min="25" max="25" width="2.28125" style="0" customWidth="1"/>
  </cols>
  <sheetData>
    <row r="1" spans="1:25" ht="1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6" ht="15">
      <c r="A2" s="4" t="s">
        <v>0</v>
      </c>
      <c r="B2" s="5"/>
      <c r="C2" s="6" t="s">
        <v>1</v>
      </c>
      <c r="F2"/>
    </row>
    <row r="3" spans="1:6" ht="15">
      <c r="A3" s="4"/>
      <c r="B3" s="5"/>
      <c r="C3" s="6" t="s">
        <v>2</v>
      </c>
      <c r="F3"/>
    </row>
    <row r="4" spans="1:6" ht="15">
      <c r="A4" s="4"/>
      <c r="B4" s="5"/>
      <c r="C4" s="7" t="s">
        <v>3</v>
      </c>
      <c r="F4"/>
    </row>
    <row r="5" spans="1:6" ht="15">
      <c r="A5" s="4"/>
      <c r="B5" s="5"/>
      <c r="C5" s="8"/>
      <c r="F5"/>
    </row>
    <row r="6" spans="1:25" ht="15">
      <c r="A6" s="4"/>
      <c r="B6" s="5"/>
      <c r="C6" s="9"/>
      <c r="D6" s="10" t="s">
        <v>4</v>
      </c>
      <c r="E6" s="10"/>
      <c r="F6" s="10" t="s">
        <v>5</v>
      </c>
      <c r="G6" s="10" t="s">
        <v>6</v>
      </c>
      <c r="H6" s="10"/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  <c r="P6" s="10"/>
      <c r="Q6" s="10" t="s">
        <v>14</v>
      </c>
      <c r="R6" s="10" t="s">
        <v>15</v>
      </c>
      <c r="S6" s="10"/>
      <c r="T6" s="10" t="s">
        <v>16</v>
      </c>
      <c r="U6" s="10"/>
      <c r="V6" s="10" t="s">
        <v>17</v>
      </c>
      <c r="W6" s="10" t="s">
        <v>18</v>
      </c>
      <c r="X6" s="10" t="s">
        <v>19</v>
      </c>
      <c r="Y6" s="10"/>
    </row>
    <row r="7" spans="1:24" ht="15">
      <c r="A7" s="4"/>
      <c r="B7" s="87" t="s">
        <v>174</v>
      </c>
      <c r="C7" s="5"/>
      <c r="D7" s="10" t="s">
        <v>20</v>
      </c>
      <c r="E7" s="10"/>
      <c r="F7" s="10" t="s">
        <v>21</v>
      </c>
      <c r="G7" s="10" t="s">
        <v>22</v>
      </c>
      <c r="I7" s="10" t="s">
        <v>20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Q7" s="10" t="s">
        <v>20</v>
      </c>
      <c r="R7" s="10" t="s">
        <v>20</v>
      </c>
      <c r="S7" s="10"/>
      <c r="T7" s="10" t="s">
        <v>20</v>
      </c>
      <c r="V7" s="10" t="s">
        <v>20</v>
      </c>
      <c r="W7" s="10" t="s">
        <v>20</v>
      </c>
      <c r="X7" s="10" t="s">
        <v>20</v>
      </c>
    </row>
    <row r="8" spans="1:24" ht="42.75">
      <c r="A8" s="4"/>
      <c r="B8" s="5"/>
      <c r="C8" s="11"/>
      <c r="D8" s="12" t="s">
        <v>23</v>
      </c>
      <c r="E8" s="13"/>
      <c r="F8" s="12" t="s">
        <v>175</v>
      </c>
      <c r="G8" s="13" t="s">
        <v>24</v>
      </c>
      <c r="I8" s="13" t="s">
        <v>25</v>
      </c>
      <c r="J8" s="8" t="s">
        <v>26</v>
      </c>
      <c r="K8" s="13" t="s">
        <v>27</v>
      </c>
      <c r="L8" s="13" t="s">
        <v>28</v>
      </c>
      <c r="M8" s="13" t="s">
        <v>29</v>
      </c>
      <c r="N8" s="13" t="s">
        <v>30</v>
      </c>
      <c r="O8" s="13" t="s">
        <v>31</v>
      </c>
      <c r="Q8" s="14">
        <v>4470115</v>
      </c>
      <c r="R8" s="13" t="s">
        <v>32</v>
      </c>
      <c r="S8" s="13"/>
      <c r="T8" s="14">
        <v>4470119</v>
      </c>
      <c r="V8" s="8" t="s">
        <v>33</v>
      </c>
      <c r="W8" s="8" t="s">
        <v>34</v>
      </c>
      <c r="X8" s="8" t="s">
        <v>35</v>
      </c>
    </row>
    <row r="9" spans="1:23" ht="15">
      <c r="A9" s="4"/>
      <c r="B9" s="5"/>
      <c r="C9" s="11"/>
      <c r="D9" s="13"/>
      <c r="E9" s="13"/>
      <c r="F9" s="13"/>
      <c r="G9" s="15"/>
      <c r="I9" s="13"/>
      <c r="J9" s="13"/>
      <c r="K9" s="13"/>
      <c r="L9" s="13"/>
      <c r="M9" s="13"/>
      <c r="N9" s="13"/>
      <c r="O9" s="13"/>
      <c r="Q9" s="14"/>
      <c r="R9" s="13"/>
      <c r="S9" s="14"/>
      <c r="T9" s="16"/>
      <c r="V9" s="14"/>
      <c r="W9" s="13"/>
    </row>
    <row r="10" spans="1:25" ht="15">
      <c r="A10" s="4">
        <v>1</v>
      </c>
      <c r="B10" s="5" t="s">
        <v>36</v>
      </c>
      <c r="C10" s="17" t="s">
        <v>37</v>
      </c>
      <c r="D10" s="18">
        <v>6389971</v>
      </c>
      <c r="E10" s="19"/>
      <c r="F10" s="20">
        <v>5548678</v>
      </c>
      <c r="G10" s="21">
        <f>+D10-F10</f>
        <v>841293</v>
      </c>
      <c r="H10" s="18"/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/>
      <c r="Q10" s="18">
        <v>0</v>
      </c>
      <c r="R10" s="18">
        <v>0</v>
      </c>
      <c r="S10" s="18"/>
      <c r="T10" s="18">
        <v>0</v>
      </c>
      <c r="U10" s="18"/>
      <c r="V10" s="18">
        <v>0</v>
      </c>
      <c r="W10" s="18">
        <v>0</v>
      </c>
      <c r="X10" s="18">
        <v>0</v>
      </c>
      <c r="Y10" s="18"/>
    </row>
    <row r="11" spans="1:25" ht="15">
      <c r="A11" s="4">
        <f>+A10+1</f>
        <v>2</v>
      </c>
      <c r="B11" s="5" t="s">
        <v>36</v>
      </c>
      <c r="C11" s="22" t="s">
        <v>38</v>
      </c>
      <c r="D11" s="18">
        <v>6385750</v>
      </c>
      <c r="E11" s="19"/>
      <c r="F11" s="23">
        <v>5407074</v>
      </c>
      <c r="G11" s="21">
        <f>+D11-F11</f>
        <v>978676</v>
      </c>
      <c r="H11" s="18"/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/>
      <c r="Q11" s="18">
        <v>0</v>
      </c>
      <c r="R11" s="18">
        <v>0</v>
      </c>
      <c r="S11" s="18"/>
      <c r="T11" s="18">
        <v>0</v>
      </c>
      <c r="U11" s="18"/>
      <c r="V11" s="18">
        <v>0</v>
      </c>
      <c r="W11" s="18">
        <v>0</v>
      </c>
      <c r="X11" s="18">
        <v>0</v>
      </c>
      <c r="Y11" s="18"/>
    </row>
    <row r="12" spans="1:25" ht="22.5">
      <c r="A12" s="4">
        <f>+A11+1</f>
        <v>3</v>
      </c>
      <c r="B12" s="24" t="s">
        <v>176</v>
      </c>
      <c r="C12" s="25" t="s">
        <v>177</v>
      </c>
      <c r="D12" s="18">
        <f>+D10-D11</f>
        <v>4221</v>
      </c>
      <c r="E12" s="19"/>
      <c r="F12" s="26">
        <f>+F10-F11</f>
        <v>141604</v>
      </c>
      <c r="G12" s="18">
        <f>+G10-G11</f>
        <v>-137383</v>
      </c>
      <c r="H12" s="18"/>
      <c r="I12" s="18">
        <f aca="true" t="shared" si="0" ref="I12:O12">+I10-I11</f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/>
      <c r="Q12" s="18">
        <f>+Q10-Q11</f>
        <v>0</v>
      </c>
      <c r="R12" s="18">
        <f>+R10-R11</f>
        <v>0</v>
      </c>
      <c r="S12" s="18"/>
      <c r="T12" s="18">
        <f>+T10-T11</f>
        <v>0</v>
      </c>
      <c r="U12" s="18"/>
      <c r="V12" s="18">
        <f>+V10-V11</f>
        <v>0</v>
      </c>
      <c r="W12" s="18">
        <f>+W10-W11</f>
        <v>0</v>
      </c>
      <c r="X12" s="18">
        <f>+X10-X11</f>
        <v>0</v>
      </c>
      <c r="Y12" s="18"/>
    </row>
    <row r="13" spans="1:25" ht="28.5">
      <c r="A13" s="4">
        <f>+A12+1</f>
        <v>4</v>
      </c>
      <c r="B13" s="88" t="s">
        <v>178</v>
      </c>
      <c r="C13" s="25" t="s">
        <v>179</v>
      </c>
      <c r="D13" s="18">
        <v>0</v>
      </c>
      <c r="E13" s="19"/>
      <c r="F13" s="26">
        <v>0</v>
      </c>
      <c r="G13" s="18">
        <f>+D13-F13</f>
        <v>0</v>
      </c>
      <c r="H13" s="18"/>
      <c r="I13" s="27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/>
      <c r="Q13" s="18">
        <v>0</v>
      </c>
      <c r="R13" s="18">
        <v>0</v>
      </c>
      <c r="S13" s="18"/>
      <c r="T13" s="18">
        <v>0</v>
      </c>
      <c r="U13" s="18"/>
      <c r="V13" s="18">
        <v>0</v>
      </c>
      <c r="W13" s="18">
        <v>0</v>
      </c>
      <c r="X13" s="18">
        <v>0</v>
      </c>
      <c r="Y13" s="18"/>
    </row>
    <row r="14" spans="1:25" ht="24.75">
      <c r="A14" s="4">
        <f>+A13+1</f>
        <v>5</v>
      </c>
      <c r="B14" s="89" t="s">
        <v>39</v>
      </c>
      <c r="C14" s="28" t="s">
        <v>40</v>
      </c>
      <c r="D14" s="27">
        <v>-63340</v>
      </c>
      <c r="E14" s="29"/>
      <c r="F14" s="30">
        <v>0</v>
      </c>
      <c r="G14" s="31">
        <f>+D14-F14</f>
        <v>-63340</v>
      </c>
      <c r="H14" s="18"/>
      <c r="I14" s="27">
        <v>0</v>
      </c>
      <c r="J14" s="27">
        <v>-1348</v>
      </c>
      <c r="K14" s="27">
        <v>0</v>
      </c>
      <c r="L14" s="27">
        <v>57028</v>
      </c>
      <c r="M14" s="18">
        <v>10582</v>
      </c>
      <c r="N14" s="27">
        <v>-399</v>
      </c>
      <c r="O14" s="18">
        <v>-1626</v>
      </c>
      <c r="P14" s="18"/>
      <c r="Q14" s="27">
        <v>-37489</v>
      </c>
      <c r="R14" s="27">
        <v>0</v>
      </c>
      <c r="S14" s="27"/>
      <c r="T14" s="27">
        <v>0</v>
      </c>
      <c r="U14" s="27"/>
      <c r="V14" s="27">
        <v>0</v>
      </c>
      <c r="W14" s="27">
        <v>0</v>
      </c>
      <c r="X14" s="27">
        <v>-80657</v>
      </c>
      <c r="Y14" s="18"/>
    </row>
    <row r="15" spans="1:25" ht="15">
      <c r="A15" s="6" t="s">
        <v>41</v>
      </c>
      <c r="B15" s="90"/>
      <c r="C15" s="11"/>
      <c r="D15" s="18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 t="s"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">
      <c r="A16" s="4">
        <f>+A14+1</f>
        <v>6</v>
      </c>
      <c r="B16" s="5" t="s">
        <v>42</v>
      </c>
      <c r="C16" s="22" t="s">
        <v>38</v>
      </c>
      <c r="D16" s="18">
        <v>5581701</v>
      </c>
      <c r="E16" s="19"/>
      <c r="F16" s="23">
        <v>4653751</v>
      </c>
      <c r="G16" s="18">
        <f>+D16-F16</f>
        <v>927950</v>
      </c>
      <c r="H16" s="18"/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/>
      <c r="Q16" s="18">
        <v>0</v>
      </c>
      <c r="R16" s="18">
        <v>0</v>
      </c>
      <c r="S16" s="18"/>
      <c r="T16" s="18">
        <v>0</v>
      </c>
      <c r="U16" s="18"/>
      <c r="V16" s="18">
        <v>0</v>
      </c>
      <c r="W16" s="18">
        <v>0</v>
      </c>
      <c r="X16" s="18">
        <v>0</v>
      </c>
      <c r="Y16" s="18"/>
    </row>
    <row r="17" spans="1:25" ht="15">
      <c r="A17" s="4">
        <f>+A16+1</f>
        <v>7</v>
      </c>
      <c r="B17" s="5" t="s">
        <v>43</v>
      </c>
      <c r="C17" s="11"/>
      <c r="D17" s="18">
        <v>353</v>
      </c>
      <c r="E17" s="19"/>
      <c r="F17" s="23">
        <v>351</v>
      </c>
      <c r="G17" s="18">
        <f>+D17-F17</f>
        <v>2</v>
      </c>
      <c r="H17" s="18"/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31">
        <v>0</v>
      </c>
      <c r="P17" s="18"/>
      <c r="Q17" s="18">
        <v>0</v>
      </c>
      <c r="R17" s="18">
        <v>0</v>
      </c>
      <c r="S17" s="18"/>
      <c r="T17" s="18">
        <v>0</v>
      </c>
      <c r="U17" s="18"/>
      <c r="V17" s="18">
        <v>0</v>
      </c>
      <c r="W17" s="18">
        <v>0</v>
      </c>
      <c r="X17" s="18">
        <v>0</v>
      </c>
      <c r="Y17" s="18"/>
    </row>
    <row r="18" spans="1:25" ht="35.25">
      <c r="A18" s="4">
        <f>+A17+1</f>
        <v>8</v>
      </c>
      <c r="B18" s="24" t="s">
        <v>180</v>
      </c>
      <c r="C18" s="32" t="s">
        <v>44</v>
      </c>
      <c r="D18" s="33">
        <f>+D16-D17</f>
        <v>5581348</v>
      </c>
      <c r="E18" s="34"/>
      <c r="F18" s="91">
        <f>+F16-F17</f>
        <v>4653400</v>
      </c>
      <c r="G18" s="18">
        <f>+G16-G17</f>
        <v>927948</v>
      </c>
      <c r="H18" s="18"/>
      <c r="I18" s="18">
        <f aca="true" t="shared" si="1" ref="I18:O18">+I16-I17</f>
        <v>0</v>
      </c>
      <c r="J18" s="18">
        <f t="shared" si="1"/>
        <v>0</v>
      </c>
      <c r="K18" s="18">
        <f t="shared" si="1"/>
        <v>0</v>
      </c>
      <c r="L18" s="18">
        <f t="shared" si="1"/>
        <v>0</v>
      </c>
      <c r="M18" s="18">
        <f t="shared" si="1"/>
        <v>0</v>
      </c>
      <c r="N18" s="18">
        <f t="shared" si="1"/>
        <v>0</v>
      </c>
      <c r="O18" s="18">
        <f t="shared" si="1"/>
        <v>0</v>
      </c>
      <c r="P18" s="18"/>
      <c r="Q18" s="18">
        <f>+Q16-Q17</f>
        <v>0</v>
      </c>
      <c r="R18" s="18">
        <f>+R16-R17</f>
        <v>0</v>
      </c>
      <c r="S18" s="18"/>
      <c r="T18" s="18">
        <f>+T16-T17</f>
        <v>0</v>
      </c>
      <c r="U18" s="18"/>
      <c r="V18" s="18">
        <f>+V16-V17</f>
        <v>0</v>
      </c>
      <c r="W18" s="18">
        <f>+W16-W17</f>
        <v>0</v>
      </c>
      <c r="X18" s="18">
        <f>+X16-X17</f>
        <v>0</v>
      </c>
      <c r="Y18" s="18"/>
    </row>
    <row r="19" spans="1:25" ht="28.5">
      <c r="A19" s="4">
        <f>+A18+1</f>
        <v>9</v>
      </c>
      <c r="B19" s="88" t="s">
        <v>181</v>
      </c>
      <c r="C19" s="35" t="s">
        <v>45</v>
      </c>
      <c r="D19" s="18">
        <v>0</v>
      </c>
      <c r="E19" s="19"/>
      <c r="F19" s="31">
        <v>0</v>
      </c>
      <c r="G19" s="31">
        <f>+D19-F19</f>
        <v>0</v>
      </c>
      <c r="H19" s="18"/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31">
        <v>0</v>
      </c>
      <c r="P19" s="18"/>
      <c r="Q19" s="18">
        <v>0</v>
      </c>
      <c r="R19" s="18">
        <v>0</v>
      </c>
      <c r="S19" s="18"/>
      <c r="T19" s="18">
        <v>0</v>
      </c>
      <c r="U19" s="18"/>
      <c r="V19" s="18">
        <v>0</v>
      </c>
      <c r="W19" s="18">
        <v>0</v>
      </c>
      <c r="X19" s="18">
        <v>0</v>
      </c>
      <c r="Y19" s="18"/>
    </row>
    <row r="20" spans="1:25" ht="15">
      <c r="A20" s="4">
        <f>+A19+1</f>
        <v>10</v>
      </c>
      <c r="B20" s="24" t="s">
        <v>46</v>
      </c>
      <c r="C20" s="11" t="s">
        <v>47</v>
      </c>
      <c r="D20" s="36">
        <f>+D12+D13+D14+D18+D19</f>
        <v>5522229</v>
      </c>
      <c r="E20" s="19"/>
      <c r="F20" s="36">
        <f>+F12+F13+F14+F18+F19</f>
        <v>4795004</v>
      </c>
      <c r="G20" s="18">
        <f>+G12+G13+G18+G19+G14</f>
        <v>727225</v>
      </c>
      <c r="H20" s="18"/>
      <c r="I20" s="18">
        <f aca="true" t="shared" si="2" ref="I20:O20">+I12+I13+I18+I19+I14</f>
        <v>0</v>
      </c>
      <c r="J20" s="21">
        <f t="shared" si="2"/>
        <v>-1348</v>
      </c>
      <c r="K20" s="18">
        <f t="shared" si="2"/>
        <v>0</v>
      </c>
      <c r="L20" s="18">
        <f t="shared" si="2"/>
        <v>57028</v>
      </c>
      <c r="M20" s="18">
        <f t="shared" si="2"/>
        <v>10582</v>
      </c>
      <c r="N20" s="18">
        <f t="shared" si="2"/>
        <v>-399</v>
      </c>
      <c r="O20" s="18">
        <f t="shared" si="2"/>
        <v>-1626</v>
      </c>
      <c r="P20" s="18"/>
      <c r="Q20" s="18">
        <f>+Q12+Q13+Q18+Q19+Q14</f>
        <v>-37489</v>
      </c>
      <c r="R20" s="18">
        <f>+R12+R13+R18+R19+R14</f>
        <v>0</v>
      </c>
      <c r="S20" s="18"/>
      <c r="T20" s="18">
        <f>+T12+T13+T18+T19+T14</f>
        <v>0</v>
      </c>
      <c r="U20" s="18"/>
      <c r="V20" s="18">
        <f>+V12+V13+V18+V19+V14</f>
        <v>0</v>
      </c>
      <c r="W20" s="18">
        <f>+W12+W13+W18+W19+W14</f>
        <v>0</v>
      </c>
      <c r="X20" s="18">
        <f>+X12+X13+X18+X19+X14</f>
        <v>-80657</v>
      </c>
      <c r="Y20" s="18"/>
    </row>
    <row r="21" spans="1:25" ht="15">
      <c r="A21" s="4"/>
      <c r="B21" s="24"/>
      <c r="C21" s="11"/>
      <c r="D21" s="18"/>
      <c r="E21" s="18"/>
      <c r="F21" s="3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">
      <c r="A22" s="4"/>
      <c r="B22" s="24"/>
      <c r="C22" s="37"/>
      <c r="D22" s="18">
        <f>474054+1297649+259282+3491244</f>
        <v>5522229</v>
      </c>
      <c r="E22" s="18"/>
      <c r="F22" s="3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">
      <c r="A23" s="4"/>
      <c r="B23" s="24"/>
      <c r="C23" s="11"/>
      <c r="D23" s="6" t="s">
        <v>48</v>
      </c>
      <c r="E23" s="6"/>
      <c r="F23" s="10" t="s">
        <v>49</v>
      </c>
      <c r="G23" s="10" t="s">
        <v>50</v>
      </c>
      <c r="I23" s="10" t="s">
        <v>51</v>
      </c>
      <c r="J23" s="10" t="s">
        <v>52</v>
      </c>
      <c r="K23" s="10" t="s">
        <v>53</v>
      </c>
      <c r="L23" s="10" t="s">
        <v>54</v>
      </c>
      <c r="M23" s="10" t="s">
        <v>55</v>
      </c>
      <c r="N23" s="10" t="s">
        <v>56</v>
      </c>
      <c r="O23" s="10" t="s">
        <v>57</v>
      </c>
      <c r="P23" s="18"/>
      <c r="Q23" s="10" t="s">
        <v>58</v>
      </c>
      <c r="R23" s="10" t="s">
        <v>59</v>
      </c>
      <c r="S23" s="10"/>
      <c r="T23" s="10" t="s">
        <v>60</v>
      </c>
      <c r="U23" s="18"/>
      <c r="V23" s="10" t="s">
        <v>61</v>
      </c>
      <c r="W23" s="10" t="s">
        <v>62</v>
      </c>
      <c r="X23" s="10" t="s">
        <v>63</v>
      </c>
      <c r="Y23" s="18"/>
    </row>
    <row r="24" spans="1:25" ht="15">
      <c r="A24" s="4"/>
      <c r="B24"/>
      <c r="C24" s="11"/>
      <c r="D24" s="10" t="s">
        <v>20</v>
      </c>
      <c r="E24" s="38"/>
      <c r="F24" s="10" t="s">
        <v>20</v>
      </c>
      <c r="G24" s="10" t="s">
        <v>20</v>
      </c>
      <c r="I24" s="10" t="s">
        <v>20</v>
      </c>
      <c r="J24" s="10" t="s">
        <v>20</v>
      </c>
      <c r="K24" s="10" t="s">
        <v>20</v>
      </c>
      <c r="L24" s="10" t="s">
        <v>20</v>
      </c>
      <c r="M24" s="10" t="s">
        <v>20</v>
      </c>
      <c r="N24" s="10" t="s">
        <v>20</v>
      </c>
      <c r="O24" s="10" t="s">
        <v>20</v>
      </c>
      <c r="P24" s="18"/>
      <c r="Q24" s="10" t="s">
        <v>20</v>
      </c>
      <c r="R24" s="10" t="s">
        <v>20</v>
      </c>
      <c r="S24" s="14"/>
      <c r="T24" s="10" t="s">
        <v>20</v>
      </c>
      <c r="U24" s="18"/>
      <c r="W24" s="39" t="s">
        <v>64</v>
      </c>
      <c r="Y24" s="18"/>
    </row>
    <row r="25" spans="1:25" ht="15">
      <c r="A25" s="4"/>
      <c r="B25" s="87" t="s">
        <v>174</v>
      </c>
      <c r="C25" s="11"/>
      <c r="D25" s="8" t="s">
        <v>65</v>
      </c>
      <c r="E25" s="6"/>
      <c r="F25" s="8" t="s">
        <v>66</v>
      </c>
      <c r="G25" s="8" t="s">
        <v>67</v>
      </c>
      <c r="H25" s="19"/>
      <c r="I25" s="8" t="s">
        <v>68</v>
      </c>
      <c r="J25" s="8" t="s">
        <v>69</v>
      </c>
      <c r="K25" s="8" t="s">
        <v>70</v>
      </c>
      <c r="L25" s="8" t="s">
        <v>71</v>
      </c>
      <c r="M25" s="8" t="s">
        <v>72</v>
      </c>
      <c r="N25" s="8" t="s">
        <v>73</v>
      </c>
      <c r="O25" s="8" t="s">
        <v>74</v>
      </c>
      <c r="P25" s="6"/>
      <c r="Q25" s="8" t="s">
        <v>75</v>
      </c>
      <c r="R25" s="8" t="s">
        <v>76</v>
      </c>
      <c r="S25" s="8"/>
      <c r="T25" s="8" t="s">
        <v>77</v>
      </c>
      <c r="U25" s="18"/>
      <c r="V25" s="10" t="s">
        <v>20</v>
      </c>
      <c r="W25" s="14" t="s">
        <v>21</v>
      </c>
      <c r="X25" s="10" t="s">
        <v>22</v>
      </c>
      <c r="Y25" s="18"/>
    </row>
    <row r="26" spans="1:8" ht="15">
      <c r="A26" s="4"/>
      <c r="B26" s="24"/>
      <c r="C26" s="11"/>
      <c r="E26" s="14"/>
      <c r="F26"/>
      <c r="H26" s="18"/>
    </row>
    <row r="27" spans="1:24" ht="15">
      <c r="A27" s="4">
        <f>+A20+1</f>
        <v>11</v>
      </c>
      <c r="B27" s="5" t="s">
        <v>36</v>
      </c>
      <c r="C27" s="17" t="s">
        <v>37</v>
      </c>
      <c r="D27" s="18">
        <v>0</v>
      </c>
      <c r="E27" s="18"/>
      <c r="F27" s="18">
        <v>0</v>
      </c>
      <c r="G27" s="18">
        <v>0</v>
      </c>
      <c r="I27" s="18">
        <v>546397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Q27" s="18">
        <v>0</v>
      </c>
      <c r="R27" s="18">
        <v>0</v>
      </c>
      <c r="S27" s="18"/>
      <c r="T27" s="18">
        <v>0</v>
      </c>
      <c r="V27" s="18">
        <f>+D10+I10+J10+K10+L10+M10+N10+O10+Q10+R10+T10+V10+W10+X10+D27+F27+G27+I27+J27+K27+L27+M27+N27+O27+Q27+R27+T27</f>
        <v>6936368</v>
      </c>
      <c r="W27" s="18">
        <f>+F10</f>
        <v>5548678</v>
      </c>
      <c r="X27" s="18">
        <f>+V27-W27</f>
        <v>1387690</v>
      </c>
    </row>
    <row r="28" spans="1:24" ht="15">
      <c r="A28" s="4">
        <f>+A27+1</f>
        <v>12</v>
      </c>
      <c r="B28" s="5" t="s">
        <v>36</v>
      </c>
      <c r="C28" s="22" t="s">
        <v>38</v>
      </c>
      <c r="D28" s="18">
        <v>0</v>
      </c>
      <c r="E28" s="18"/>
      <c r="F28" s="18">
        <v>0</v>
      </c>
      <c r="G28" s="18">
        <v>0</v>
      </c>
      <c r="I28" s="18">
        <v>547967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Q28" s="18">
        <v>0</v>
      </c>
      <c r="R28" s="18">
        <v>0</v>
      </c>
      <c r="S28" s="18"/>
      <c r="T28" s="18">
        <v>0</v>
      </c>
      <c r="V28" s="18">
        <f>+D11+I11+J11+K11+L11+M11+N11+O11+Q11+R11+T11+V11+W11+X11+D28+F28+G28+I28+J28+K28+L28+M28+N28+O28+Q28+R28+T28</f>
        <v>6933717</v>
      </c>
      <c r="W28" s="18">
        <f>+F11</f>
        <v>5407074</v>
      </c>
      <c r="X28" s="18">
        <f>+V28-W28</f>
        <v>1526643</v>
      </c>
    </row>
    <row r="29" spans="1:24" ht="15">
      <c r="A29" s="4">
        <f>+A28+1</f>
        <v>13</v>
      </c>
      <c r="B29" s="24" t="s">
        <v>46</v>
      </c>
      <c r="C29" s="40" t="s">
        <v>78</v>
      </c>
      <c r="D29" s="18">
        <f>+D27-D28</f>
        <v>0</v>
      </c>
      <c r="E29" s="18"/>
      <c r="F29" s="18">
        <f>+F27-F28</f>
        <v>0</v>
      </c>
      <c r="G29" s="18">
        <f>+G27-G28</f>
        <v>0</v>
      </c>
      <c r="I29" s="18">
        <f aca="true" t="shared" si="3" ref="I29:O29">+I27-I28</f>
        <v>-1570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18">
        <f t="shared" si="3"/>
        <v>0</v>
      </c>
      <c r="Q29" s="18">
        <f>+Q27-Q28</f>
        <v>0</v>
      </c>
      <c r="R29" s="18">
        <f>+R27-R28</f>
        <v>0</v>
      </c>
      <c r="S29" s="18"/>
      <c r="T29" s="18">
        <f>+T27-T28</f>
        <v>0</v>
      </c>
      <c r="V29" s="27">
        <f>+V27-V28</f>
        <v>2651</v>
      </c>
      <c r="W29" s="27">
        <f>+W27-W28</f>
        <v>141604</v>
      </c>
      <c r="X29" s="18">
        <f>+X27-X28</f>
        <v>-138953</v>
      </c>
    </row>
    <row r="30" spans="1:24" ht="28.5">
      <c r="A30" s="4">
        <f>+A29+1</f>
        <v>14</v>
      </c>
      <c r="B30" s="88" t="s">
        <v>182</v>
      </c>
      <c r="C30" s="11"/>
      <c r="D30" s="18">
        <v>0</v>
      </c>
      <c r="E30" s="18"/>
      <c r="F30" s="18">
        <v>0</v>
      </c>
      <c r="G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Q30" s="18">
        <v>0</v>
      </c>
      <c r="R30" s="18">
        <v>0</v>
      </c>
      <c r="S30" s="18"/>
      <c r="T30" s="18">
        <v>0</v>
      </c>
      <c r="V30" s="18">
        <f>+D13+I13+J13+K13+L13+M13+N13+O13+Q13+R13+T13+V13+W13+X13+D30+F30+G30+I30+J30+K30+L30+M30+N30+O30+Q30+R30+T30</f>
        <v>0</v>
      </c>
      <c r="W30" s="18">
        <f>+F13</f>
        <v>0</v>
      </c>
      <c r="X30" s="18">
        <f>+V30-W30</f>
        <v>0</v>
      </c>
    </row>
    <row r="31" spans="1:24" ht="24.75">
      <c r="A31" s="4">
        <f>+A30+1</f>
        <v>15</v>
      </c>
      <c r="B31" s="89" t="s">
        <v>39</v>
      </c>
      <c r="C31" s="40"/>
      <c r="D31" s="27">
        <v>0</v>
      </c>
      <c r="E31" s="18" t="s">
        <v>0</v>
      </c>
      <c r="F31" s="27">
        <v>0</v>
      </c>
      <c r="G31" s="27">
        <v>0</v>
      </c>
      <c r="H31" t="s">
        <v>0</v>
      </c>
      <c r="I31" s="27">
        <v>0</v>
      </c>
      <c r="J31" s="27">
        <v>24439</v>
      </c>
      <c r="K31" s="27">
        <v>0</v>
      </c>
      <c r="L31" s="27">
        <v>0</v>
      </c>
      <c r="M31" s="27">
        <v>41789</v>
      </c>
      <c r="N31" s="27">
        <v>-270537</v>
      </c>
      <c r="O31" s="27">
        <v>831</v>
      </c>
      <c r="Q31" s="27">
        <v>0</v>
      </c>
      <c r="R31" s="27">
        <v>0</v>
      </c>
      <c r="S31" s="27"/>
      <c r="T31" s="27">
        <v>0</v>
      </c>
      <c r="V31" s="18">
        <f>+D14+I14+J14+K14+L14+M14+N14+O14+Q14+R14+T14+V14+W14+X14+D31+F31+G31+I31+J31+K31+L31+M31+N31+O31+Q31+R31+T31</f>
        <v>-320727</v>
      </c>
      <c r="W31" s="18">
        <f>+F14</f>
        <v>0</v>
      </c>
      <c r="X31" s="18">
        <f>+V31-W31</f>
        <v>-320727</v>
      </c>
    </row>
    <row r="32" spans="1:24" ht="15">
      <c r="A32" s="6" t="s">
        <v>41</v>
      </c>
      <c r="B32" s="41"/>
      <c r="C32" s="40"/>
      <c r="D32" s="18"/>
      <c r="E32" s="18"/>
      <c r="F32" s="18"/>
      <c r="G32" s="18"/>
      <c r="I32" s="18"/>
      <c r="J32" s="18"/>
      <c r="K32" s="18"/>
      <c r="L32" s="18"/>
      <c r="M32" s="18"/>
      <c r="N32" s="18"/>
      <c r="O32" s="18"/>
      <c r="Q32" s="18"/>
      <c r="R32" s="18"/>
      <c r="S32" s="18"/>
      <c r="T32" s="18"/>
      <c r="V32" s="18"/>
      <c r="W32" s="18"/>
      <c r="X32" s="18"/>
    </row>
    <row r="33" spans="1:24" ht="15">
      <c r="A33" s="4">
        <f>+A31+1</f>
        <v>16</v>
      </c>
      <c r="B33" s="5" t="s">
        <v>42</v>
      </c>
      <c r="C33" s="22" t="s">
        <v>38</v>
      </c>
      <c r="D33" s="18">
        <v>0</v>
      </c>
      <c r="E33" s="18"/>
      <c r="F33" s="18">
        <v>0</v>
      </c>
      <c r="G33" s="18">
        <v>0</v>
      </c>
      <c r="I33" s="18">
        <v>526683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/>
      <c r="Q33" s="18">
        <v>0</v>
      </c>
      <c r="R33" s="18">
        <v>0</v>
      </c>
      <c r="S33" s="18"/>
      <c r="T33" s="18">
        <v>0</v>
      </c>
      <c r="U33" s="18"/>
      <c r="V33" s="18">
        <f>+D16+I16+J16+K16+L16+M16+N16+O16+Q16+R16+T16+V16+W16+X16+D33+F33+G33+I33+J33+K33+L33+M33+N33+O33+Q33+R33+T33</f>
        <v>6108384</v>
      </c>
      <c r="W33" s="18">
        <f>+F16</f>
        <v>4653751</v>
      </c>
      <c r="X33" s="18">
        <f>+V33-W33</f>
        <v>1454633</v>
      </c>
    </row>
    <row r="34" spans="1:24" ht="15">
      <c r="A34" s="4">
        <f>+A33+1</f>
        <v>17</v>
      </c>
      <c r="B34" s="5" t="s">
        <v>43</v>
      </c>
      <c r="C34" s="11"/>
      <c r="D34" s="18">
        <v>0</v>
      </c>
      <c r="E34" s="18"/>
      <c r="F34" s="18">
        <v>0</v>
      </c>
      <c r="G34" s="18">
        <v>0</v>
      </c>
      <c r="I34" s="27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/>
      <c r="Q34" s="18">
        <v>0</v>
      </c>
      <c r="R34" s="18">
        <v>0</v>
      </c>
      <c r="S34" s="18"/>
      <c r="T34" s="18">
        <v>0</v>
      </c>
      <c r="U34" s="18"/>
      <c r="V34" s="18">
        <f>+D17+I17+J17+K17+L17+M17+N17+O17+Q17+R17+T17+V17+W17+X17+D34+F34+G34+I34+J34+K34+L34+M34+N34+O34+Q34+R34+T34</f>
        <v>353</v>
      </c>
      <c r="W34" s="18">
        <f>+F17</f>
        <v>351</v>
      </c>
      <c r="X34" s="18">
        <f>+V34-W34</f>
        <v>2</v>
      </c>
    </row>
    <row r="35" spans="1:24" ht="26.25">
      <c r="A35" s="4">
        <f>+A34+1</f>
        <v>18</v>
      </c>
      <c r="B35" s="24" t="s">
        <v>79</v>
      </c>
      <c r="C35" s="11"/>
      <c r="D35" s="18">
        <f>+D33-D34</f>
        <v>0</v>
      </c>
      <c r="E35" s="18"/>
      <c r="F35" s="18">
        <f>+F33-F34</f>
        <v>0</v>
      </c>
      <c r="G35" s="18">
        <f>+G33-G34</f>
        <v>0</v>
      </c>
      <c r="I35" s="18">
        <f aca="true" t="shared" si="4" ref="I35:O35">+I33-I34</f>
        <v>526683</v>
      </c>
      <c r="J35" s="18">
        <f t="shared" si="4"/>
        <v>0</v>
      </c>
      <c r="K35" s="18">
        <f t="shared" si="4"/>
        <v>0</v>
      </c>
      <c r="L35" s="18">
        <f t="shared" si="4"/>
        <v>0</v>
      </c>
      <c r="M35" s="18">
        <f t="shared" si="4"/>
        <v>0</v>
      </c>
      <c r="N35" s="18">
        <f t="shared" si="4"/>
        <v>0</v>
      </c>
      <c r="O35" s="18">
        <f t="shared" si="4"/>
        <v>0</v>
      </c>
      <c r="P35" s="18"/>
      <c r="Q35" s="18">
        <f>+Q33-Q34</f>
        <v>0</v>
      </c>
      <c r="R35" s="18">
        <f>+R33-R34</f>
        <v>0</v>
      </c>
      <c r="S35" s="18"/>
      <c r="T35" s="18">
        <f>+T33-T34</f>
        <v>0</v>
      </c>
      <c r="U35" s="18"/>
      <c r="V35" s="27">
        <f>+V33-V34</f>
        <v>6108031</v>
      </c>
      <c r="W35" s="27">
        <f>+W33-W34</f>
        <v>4653400</v>
      </c>
      <c r="X35" s="18">
        <f>+X33-X34</f>
        <v>1454631</v>
      </c>
    </row>
    <row r="36" spans="1:24" ht="28.5">
      <c r="A36" s="4">
        <f>+A35+1</f>
        <v>19</v>
      </c>
      <c r="B36" s="88" t="s">
        <v>181</v>
      </c>
      <c r="C36" s="11"/>
      <c r="D36" s="18">
        <v>0</v>
      </c>
      <c r="E36" s="18"/>
      <c r="F36" s="18">
        <v>0</v>
      </c>
      <c r="G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/>
      <c r="Q36" s="18">
        <v>0</v>
      </c>
      <c r="R36" s="18">
        <v>0</v>
      </c>
      <c r="S36" s="18"/>
      <c r="T36" s="18">
        <v>0</v>
      </c>
      <c r="U36" s="18"/>
      <c r="V36" s="18">
        <f>+D19+I19+J19+K19+L19+M19+N19+O19+Q19+R19+T19+V19+W19+X19+D36+F36+G36+I36+J36+K36+L36+M36+N36+O36+Q36+R36+T36</f>
        <v>0</v>
      </c>
      <c r="W36" s="18">
        <f>+F19+K36+L36+M36+N36+O36+Q36+R36+T36</f>
        <v>0</v>
      </c>
      <c r="X36" s="18">
        <f>+V36-W36</f>
        <v>0</v>
      </c>
    </row>
    <row r="37" spans="1:24" ht="15">
      <c r="A37" s="4">
        <f>+A36+1</f>
        <v>20</v>
      </c>
      <c r="B37" s="24" t="s">
        <v>46</v>
      </c>
      <c r="C37" s="11" t="s">
        <v>47</v>
      </c>
      <c r="D37" s="18">
        <f>+D29+D30+D35+D36+D31</f>
        <v>0</v>
      </c>
      <c r="E37" s="18"/>
      <c r="F37" s="18">
        <f>+F29+F30+F35+F36+F31</f>
        <v>0</v>
      </c>
      <c r="G37" s="18">
        <f>+G29+G30+G35+G36+G31</f>
        <v>0</v>
      </c>
      <c r="I37" s="18">
        <f aca="true" t="shared" si="5" ref="I37:O37">+I29+I30+I35+I36+I31</f>
        <v>525113</v>
      </c>
      <c r="J37" s="18">
        <f t="shared" si="5"/>
        <v>24439</v>
      </c>
      <c r="K37" s="18">
        <f t="shared" si="5"/>
        <v>0</v>
      </c>
      <c r="L37" s="18">
        <f t="shared" si="5"/>
        <v>0</v>
      </c>
      <c r="M37" s="18">
        <f t="shared" si="5"/>
        <v>41789</v>
      </c>
      <c r="N37" s="18">
        <f t="shared" si="5"/>
        <v>-270537</v>
      </c>
      <c r="O37" s="18">
        <f t="shared" si="5"/>
        <v>831</v>
      </c>
      <c r="P37" s="42"/>
      <c r="Q37" s="18">
        <f>+Q29+Q30+Q35+Q36+Q31</f>
        <v>0</v>
      </c>
      <c r="R37" s="18">
        <f>+R29+R30+R35+R36+R31</f>
        <v>0</v>
      </c>
      <c r="S37" s="18"/>
      <c r="T37" s="18">
        <f>+T29+T30+T35+T36+T31</f>
        <v>0</v>
      </c>
      <c r="U37" s="42"/>
      <c r="V37" s="18">
        <f>SUM(V29,V31,V35,V36)</f>
        <v>5789955</v>
      </c>
      <c r="W37" s="18">
        <f>+W29+W30+W35+W36+W31</f>
        <v>4795004</v>
      </c>
      <c r="X37" s="18">
        <f>+X29+X30+X35+X36+X31</f>
        <v>994951</v>
      </c>
    </row>
    <row r="38" spans="1:24" ht="15">
      <c r="A38" s="4"/>
      <c r="B38" s="24"/>
      <c r="C38" s="11"/>
      <c r="D38" s="18"/>
      <c r="E38" s="18"/>
      <c r="F38" s="18"/>
      <c r="G38" s="18"/>
      <c r="I38" s="18"/>
      <c r="J38" s="18"/>
      <c r="K38" s="18"/>
      <c r="L38" s="18"/>
      <c r="M38" s="18"/>
      <c r="N38" s="18"/>
      <c r="O38" s="18"/>
      <c r="P38" s="42"/>
      <c r="Q38" s="18"/>
      <c r="R38" s="18"/>
      <c r="S38" s="18"/>
      <c r="T38" s="18"/>
      <c r="U38" s="42"/>
      <c r="V38" s="18"/>
      <c r="W38" s="18"/>
      <c r="X38" s="18"/>
    </row>
    <row r="39" spans="1:24" ht="15">
      <c r="A39" s="4"/>
      <c r="B39" s="24"/>
      <c r="C39" s="11"/>
      <c r="D39" s="18"/>
      <c r="E39" s="18"/>
      <c r="F39" s="18"/>
      <c r="G39" s="18"/>
      <c r="I39" s="18"/>
      <c r="J39" s="18"/>
      <c r="K39" s="18"/>
      <c r="L39" s="18"/>
      <c r="M39" s="18"/>
      <c r="N39" s="18"/>
      <c r="O39" s="18"/>
      <c r="P39" s="42"/>
      <c r="Q39" s="18"/>
      <c r="R39" s="18"/>
      <c r="S39" s="18"/>
      <c r="T39" s="18"/>
      <c r="U39" s="42"/>
      <c r="V39" s="18"/>
      <c r="W39" s="18"/>
      <c r="X39" s="18"/>
    </row>
    <row r="40" spans="1:24" ht="15">
      <c r="A40" s="4"/>
      <c r="B40" s="24"/>
      <c r="C40" s="11"/>
      <c r="D40" s="18"/>
      <c r="E40" s="18"/>
      <c r="F40" s="18"/>
      <c r="G40" s="18"/>
      <c r="I40" s="18"/>
      <c r="J40" s="18"/>
      <c r="K40" s="18"/>
      <c r="L40" s="18"/>
      <c r="M40" s="18"/>
      <c r="N40" s="18"/>
      <c r="O40" s="18"/>
      <c r="P40" s="42"/>
      <c r="Q40" s="18"/>
      <c r="R40" s="18"/>
      <c r="S40" s="18"/>
      <c r="T40" s="18"/>
      <c r="U40" s="42"/>
      <c r="V40" s="18"/>
      <c r="W40" s="18"/>
      <c r="X40" s="18"/>
    </row>
    <row r="41" spans="1:25" ht="15">
      <c r="A41" s="4"/>
      <c r="B41" s="24"/>
      <c r="C41" s="11"/>
      <c r="D41" s="10" t="s">
        <v>80</v>
      </c>
      <c r="E41" s="10"/>
      <c r="F41" s="10" t="s">
        <v>81</v>
      </c>
      <c r="G41" s="10" t="s">
        <v>82</v>
      </c>
      <c r="I41" s="10" t="s">
        <v>83</v>
      </c>
      <c r="J41" s="10" t="s">
        <v>84</v>
      </c>
      <c r="K41" s="10" t="s">
        <v>85</v>
      </c>
      <c r="L41" s="10" t="s">
        <v>86</v>
      </c>
      <c r="M41" s="43" t="s">
        <v>87</v>
      </c>
      <c r="N41" s="43" t="s">
        <v>88</v>
      </c>
      <c r="O41" s="44" t="s">
        <v>89</v>
      </c>
      <c r="P41" s="42"/>
      <c r="Q41" s="43" t="s">
        <v>90</v>
      </c>
      <c r="R41" s="43" t="s">
        <v>91</v>
      </c>
      <c r="S41" s="43"/>
      <c r="T41" s="43" t="s">
        <v>92</v>
      </c>
      <c r="U41" s="42"/>
      <c r="V41" s="43" t="s">
        <v>93</v>
      </c>
      <c r="W41" s="43" t="s">
        <v>94</v>
      </c>
      <c r="X41" s="43" t="s">
        <v>95</v>
      </c>
      <c r="Y41" s="18"/>
    </row>
    <row r="42" spans="1:25" ht="15">
      <c r="A42" s="4"/>
      <c r="B42"/>
      <c r="C42" s="11"/>
      <c r="D42" s="10" t="s">
        <v>20</v>
      </c>
      <c r="E42" s="38"/>
      <c r="F42" s="10" t="s">
        <v>20</v>
      </c>
      <c r="G42" s="10" t="s">
        <v>20</v>
      </c>
      <c r="I42" s="10" t="s">
        <v>20</v>
      </c>
      <c r="J42" s="10" t="s">
        <v>20</v>
      </c>
      <c r="K42" s="10" t="s">
        <v>20</v>
      </c>
      <c r="L42" s="10" t="s">
        <v>20</v>
      </c>
      <c r="M42" s="10" t="s">
        <v>20</v>
      </c>
      <c r="N42" s="10" t="s">
        <v>20</v>
      </c>
      <c r="O42" s="10" t="s">
        <v>20</v>
      </c>
      <c r="P42" s="18"/>
      <c r="Q42" s="10" t="s">
        <v>20</v>
      </c>
      <c r="R42" s="10" t="s">
        <v>20</v>
      </c>
      <c r="S42" s="14"/>
      <c r="T42" s="10" t="s">
        <v>20</v>
      </c>
      <c r="U42" s="18"/>
      <c r="W42" s="39" t="s">
        <v>96</v>
      </c>
      <c r="Y42" s="18"/>
    </row>
    <row r="43" spans="1:25" ht="15">
      <c r="A43" s="4"/>
      <c r="B43" s="87" t="s">
        <v>174</v>
      </c>
      <c r="C43" s="11"/>
      <c r="D43" s="45" t="s">
        <v>97</v>
      </c>
      <c r="E43" s="6"/>
      <c r="F43" s="45" t="s">
        <v>98</v>
      </c>
      <c r="G43" s="45" t="s">
        <v>99</v>
      </c>
      <c r="H43" s="19"/>
      <c r="I43" s="45" t="s">
        <v>100</v>
      </c>
      <c r="J43" s="45" t="s">
        <v>101</v>
      </c>
      <c r="K43" s="45" t="s">
        <v>102</v>
      </c>
      <c r="L43" s="45" t="s">
        <v>103</v>
      </c>
      <c r="M43" s="45" t="s">
        <v>104</v>
      </c>
      <c r="N43" s="45" t="s">
        <v>105</v>
      </c>
      <c r="O43" s="45" t="s">
        <v>106</v>
      </c>
      <c r="P43" s="6"/>
      <c r="Q43" s="45" t="s">
        <v>107</v>
      </c>
      <c r="R43" s="45" t="s">
        <v>108</v>
      </c>
      <c r="S43" s="45"/>
      <c r="T43" s="45" t="s">
        <v>109</v>
      </c>
      <c r="U43" s="18"/>
      <c r="V43" s="10" t="s">
        <v>20</v>
      </c>
      <c r="W43" s="10" t="s">
        <v>21</v>
      </c>
      <c r="X43" s="10" t="s">
        <v>22</v>
      </c>
      <c r="Y43" s="18"/>
    </row>
    <row r="44" spans="1:9" ht="15">
      <c r="A44" s="4"/>
      <c r="B44" s="24"/>
      <c r="C44" s="11"/>
      <c r="E44" s="14"/>
      <c r="F44"/>
      <c r="H44" s="18"/>
      <c r="I44" s="16"/>
    </row>
    <row r="45" spans="1:24" ht="15">
      <c r="A45" s="4">
        <f>+A38+1</f>
        <v>1</v>
      </c>
      <c r="B45" s="5" t="s">
        <v>36</v>
      </c>
      <c r="C45" s="17" t="s">
        <v>37</v>
      </c>
      <c r="D45" s="18">
        <v>0</v>
      </c>
      <c r="E45" s="18"/>
      <c r="F45" s="18">
        <v>0</v>
      </c>
      <c r="G45" s="18">
        <v>0</v>
      </c>
      <c r="I45" s="18">
        <v>0</v>
      </c>
      <c r="J45" s="18">
        <v>0</v>
      </c>
      <c r="K45" s="46">
        <v>-56261</v>
      </c>
      <c r="L45" s="18">
        <v>-2426</v>
      </c>
      <c r="M45" s="18">
        <v>0</v>
      </c>
      <c r="N45" s="18">
        <v>0</v>
      </c>
      <c r="O45" s="18">
        <v>0</v>
      </c>
      <c r="Q45" s="18">
        <v>0</v>
      </c>
      <c r="R45" s="18">
        <v>0</v>
      </c>
      <c r="S45" s="18"/>
      <c r="T45" s="18">
        <v>0</v>
      </c>
      <c r="V45" s="18">
        <f>+V27+D45+F45+G45+I45+J45+K45+L45+M45+N45+O45+Q45+R45+T45</f>
        <v>6877681</v>
      </c>
      <c r="W45" s="18">
        <f>+W27</f>
        <v>5548678</v>
      </c>
      <c r="X45" s="18">
        <f>+V45-W45</f>
        <v>1329003</v>
      </c>
    </row>
    <row r="46" spans="1:24" ht="15">
      <c r="A46" s="4">
        <f>+A45+1</f>
        <v>2</v>
      </c>
      <c r="B46" s="5" t="s">
        <v>36</v>
      </c>
      <c r="C46" s="22" t="s">
        <v>38</v>
      </c>
      <c r="D46" s="18">
        <v>0</v>
      </c>
      <c r="E46" s="18"/>
      <c r="F46" s="18">
        <v>0</v>
      </c>
      <c r="G46" s="18">
        <v>0</v>
      </c>
      <c r="I46" s="18">
        <v>0</v>
      </c>
      <c r="J46" s="18">
        <v>0</v>
      </c>
      <c r="K46" s="46">
        <v>-56246</v>
      </c>
      <c r="L46" s="18">
        <v>-2565</v>
      </c>
      <c r="M46" s="18">
        <v>0</v>
      </c>
      <c r="N46" s="18">
        <v>0</v>
      </c>
      <c r="O46" s="18">
        <v>0</v>
      </c>
      <c r="Q46" s="18">
        <v>0</v>
      </c>
      <c r="R46" s="18">
        <v>0</v>
      </c>
      <c r="S46" s="18"/>
      <c r="T46" s="18">
        <v>0</v>
      </c>
      <c r="V46" s="18">
        <f>+V28+D46+F46+G46+I46+J46+K46+L46+M46+N46+O46+Q46+R46+T46</f>
        <v>6874906</v>
      </c>
      <c r="W46" s="18">
        <f>+W28</f>
        <v>5407074</v>
      </c>
      <c r="X46" s="18">
        <f>+V46-W46</f>
        <v>1467832</v>
      </c>
    </row>
    <row r="47" spans="1:24" ht="15">
      <c r="A47" s="4">
        <f>+A46+1</f>
        <v>3</v>
      </c>
      <c r="B47" s="24" t="s">
        <v>46</v>
      </c>
      <c r="C47" s="40" t="s">
        <v>78</v>
      </c>
      <c r="D47" s="18">
        <f>+D45-D46</f>
        <v>0</v>
      </c>
      <c r="E47" s="18"/>
      <c r="F47" s="18">
        <f>+F45-F46</f>
        <v>0</v>
      </c>
      <c r="G47" s="18">
        <f>+G45-G46</f>
        <v>0</v>
      </c>
      <c r="I47" s="18">
        <f aca="true" t="shared" si="6" ref="I47:O47">+I45-I46</f>
        <v>0</v>
      </c>
      <c r="J47" s="18">
        <f t="shared" si="6"/>
        <v>0</v>
      </c>
      <c r="K47" s="18">
        <f t="shared" si="6"/>
        <v>-15</v>
      </c>
      <c r="L47" s="18">
        <f t="shared" si="6"/>
        <v>139</v>
      </c>
      <c r="M47" s="18">
        <f t="shared" si="6"/>
        <v>0</v>
      </c>
      <c r="N47" s="18">
        <f t="shared" si="6"/>
        <v>0</v>
      </c>
      <c r="O47" s="18">
        <f t="shared" si="6"/>
        <v>0</v>
      </c>
      <c r="Q47" s="18">
        <f>+Q45-Q46</f>
        <v>0</v>
      </c>
      <c r="R47" s="18">
        <f>+R45-R46</f>
        <v>0</v>
      </c>
      <c r="S47" s="18"/>
      <c r="T47" s="18">
        <f>+T45-T46</f>
        <v>0</v>
      </c>
      <c r="V47" s="27">
        <f>+V45-V46</f>
        <v>2775</v>
      </c>
      <c r="W47" s="27">
        <f>+W45-W46</f>
        <v>141604</v>
      </c>
      <c r="X47" s="18">
        <f>+X45-X46</f>
        <v>-138829</v>
      </c>
    </row>
    <row r="48" spans="1:24" ht="28.5">
      <c r="A48" s="4">
        <f>+A47+1</f>
        <v>4</v>
      </c>
      <c r="B48" s="88" t="s">
        <v>182</v>
      </c>
      <c r="C48" s="11"/>
      <c r="D48" s="18">
        <v>0</v>
      </c>
      <c r="E48" s="18"/>
      <c r="F48" s="18">
        <v>0</v>
      </c>
      <c r="G48" s="18">
        <v>0</v>
      </c>
      <c r="I48" s="18">
        <v>0</v>
      </c>
      <c r="J48" s="2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Q48" s="18">
        <v>0</v>
      </c>
      <c r="R48" s="18">
        <v>0</v>
      </c>
      <c r="S48" s="18"/>
      <c r="T48" s="18">
        <v>0</v>
      </c>
      <c r="V48" s="18">
        <f>+V30+D48+F48+G48+I48+J48+K48+L48+M48+N48+O48+Q48+R48+T48</f>
        <v>0</v>
      </c>
      <c r="W48" s="18">
        <f>+W30</f>
        <v>0</v>
      </c>
      <c r="X48" s="18">
        <f>+V48-W48</f>
        <v>0</v>
      </c>
    </row>
    <row r="49" spans="1:24" ht="24.75">
      <c r="A49" s="4">
        <f>+A48+1</f>
        <v>5</v>
      </c>
      <c r="B49" s="89" t="s">
        <v>39</v>
      </c>
      <c r="C49" s="40"/>
      <c r="D49" s="27">
        <v>0</v>
      </c>
      <c r="E49" s="18"/>
      <c r="F49" s="27">
        <v>0</v>
      </c>
      <c r="G49" s="27">
        <v>3122</v>
      </c>
      <c r="I49" s="27">
        <v>0</v>
      </c>
      <c r="J49" s="27">
        <v>0</v>
      </c>
      <c r="K49" s="18">
        <v>-429413</v>
      </c>
      <c r="L49" s="27">
        <v>0</v>
      </c>
      <c r="M49" s="27">
        <v>-26961</v>
      </c>
      <c r="N49" s="27">
        <v>0</v>
      </c>
      <c r="O49" s="27">
        <v>-4894</v>
      </c>
      <c r="Q49" s="27">
        <v>0</v>
      </c>
      <c r="R49" s="27">
        <v>-1352</v>
      </c>
      <c r="S49" s="27"/>
      <c r="T49" s="27">
        <v>-6897</v>
      </c>
      <c r="V49" s="18">
        <f>+V31+D49+F49+G49+I49+J49+K49+L49+M49+N49+O49+Q49+R49+T49</f>
        <v>-787122</v>
      </c>
      <c r="W49" s="18">
        <f>+W31</f>
        <v>0</v>
      </c>
      <c r="X49" s="18">
        <f>+V49-W49</f>
        <v>-787122</v>
      </c>
    </row>
    <row r="50" spans="1:24" ht="15">
      <c r="A50" s="6" t="s">
        <v>41</v>
      </c>
      <c r="B50" s="41"/>
      <c r="C50" s="40"/>
      <c r="D50" s="18"/>
      <c r="E50" s="18"/>
      <c r="F50" s="18"/>
      <c r="G50" s="18"/>
      <c r="I50" s="18"/>
      <c r="J50" s="18"/>
      <c r="L50" s="18"/>
      <c r="M50" s="18"/>
      <c r="N50" s="18"/>
      <c r="O50" s="18"/>
      <c r="Q50" s="18"/>
      <c r="R50" s="18"/>
      <c r="S50" s="18"/>
      <c r="T50" s="18"/>
      <c r="V50" s="18"/>
      <c r="W50" s="18"/>
      <c r="X50" s="18"/>
    </row>
    <row r="51" spans="1:24" ht="15">
      <c r="A51" s="4">
        <f>+A49+1</f>
        <v>6</v>
      </c>
      <c r="B51" s="5" t="s">
        <v>42</v>
      </c>
      <c r="C51" s="22" t="s">
        <v>38</v>
      </c>
      <c r="D51" s="18">
        <v>0</v>
      </c>
      <c r="E51" s="18"/>
      <c r="F51" s="18">
        <v>0</v>
      </c>
      <c r="G51" s="18">
        <v>0</v>
      </c>
      <c r="I51" s="18">
        <v>0</v>
      </c>
      <c r="J51" s="18">
        <v>0</v>
      </c>
      <c r="K51" s="46">
        <v>-36677</v>
      </c>
      <c r="L51" s="18">
        <v>-2536</v>
      </c>
      <c r="M51" s="18">
        <v>0</v>
      </c>
      <c r="N51" s="18">
        <v>0</v>
      </c>
      <c r="O51" s="18">
        <v>0</v>
      </c>
      <c r="P51" s="18"/>
      <c r="Q51" s="18">
        <v>0</v>
      </c>
      <c r="R51" s="18">
        <v>0</v>
      </c>
      <c r="S51" s="18"/>
      <c r="T51" s="18">
        <v>0</v>
      </c>
      <c r="U51" s="18"/>
      <c r="V51" s="18">
        <f>+V33+D51+F51+G51+I51+J51+K51+L51+M51+N51+O51+Q51+R51+T51</f>
        <v>6069171</v>
      </c>
      <c r="W51" s="18">
        <f>+W33</f>
        <v>4653751</v>
      </c>
      <c r="X51" s="18">
        <f>+V51-W51</f>
        <v>1415420</v>
      </c>
    </row>
    <row r="52" spans="1:24" ht="15">
      <c r="A52" s="4">
        <f>+A51+1</f>
        <v>7</v>
      </c>
      <c r="B52" s="5" t="s">
        <v>43</v>
      </c>
      <c r="C52" s="11"/>
      <c r="D52" s="18">
        <v>0</v>
      </c>
      <c r="E52" s="18"/>
      <c r="F52" s="18">
        <v>0</v>
      </c>
      <c r="G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/>
      <c r="Q52" s="18">
        <v>0</v>
      </c>
      <c r="R52" s="18">
        <v>0</v>
      </c>
      <c r="S52" s="18"/>
      <c r="T52" s="18">
        <v>0</v>
      </c>
      <c r="U52" s="18"/>
      <c r="V52" s="18">
        <f>+V34+D52+F52+G52+I52+J52+K52+L52+M52+N52+O52+Q52+R52+T52</f>
        <v>353</v>
      </c>
      <c r="W52" s="18">
        <f>+W34</f>
        <v>351</v>
      </c>
      <c r="X52" s="18">
        <f>+V52-W52</f>
        <v>2</v>
      </c>
    </row>
    <row r="53" spans="1:24" ht="26.25">
      <c r="A53" s="4">
        <f>+A52+1</f>
        <v>8</v>
      </c>
      <c r="B53" s="24" t="s">
        <v>79</v>
      </c>
      <c r="C53" s="11"/>
      <c r="D53" s="18">
        <f>+D51-D52</f>
        <v>0</v>
      </c>
      <c r="E53" s="18"/>
      <c r="F53" s="18">
        <f>+F51-F52</f>
        <v>0</v>
      </c>
      <c r="G53" s="18">
        <f>+G51-G52</f>
        <v>0</v>
      </c>
      <c r="I53" s="18">
        <f aca="true" t="shared" si="7" ref="I53:O53">+I51-I52</f>
        <v>0</v>
      </c>
      <c r="J53" s="18">
        <f t="shared" si="7"/>
        <v>0</v>
      </c>
      <c r="K53" s="18">
        <f t="shared" si="7"/>
        <v>-36677</v>
      </c>
      <c r="L53" s="18">
        <f t="shared" si="7"/>
        <v>-2536</v>
      </c>
      <c r="M53" s="18">
        <f t="shared" si="7"/>
        <v>0</v>
      </c>
      <c r="N53" s="18">
        <f t="shared" si="7"/>
        <v>0</v>
      </c>
      <c r="O53" s="18">
        <f t="shared" si="7"/>
        <v>0</v>
      </c>
      <c r="P53" s="18"/>
      <c r="Q53" s="18">
        <f>+Q51-Q52</f>
        <v>0</v>
      </c>
      <c r="R53" s="18">
        <f>+R51-R52</f>
        <v>0</v>
      </c>
      <c r="S53" s="18"/>
      <c r="T53" s="18">
        <f>+T51-T52</f>
        <v>0</v>
      </c>
      <c r="U53" s="18"/>
      <c r="V53" s="27">
        <f>+V51-V52</f>
        <v>6068818</v>
      </c>
      <c r="W53" s="27">
        <f>+W51-W52</f>
        <v>4653400</v>
      </c>
      <c r="X53" s="18">
        <f>+X51-X52</f>
        <v>1415418</v>
      </c>
    </row>
    <row r="54" spans="1:24" ht="28.5">
      <c r="A54" s="4">
        <f>+A53+1</f>
        <v>9</v>
      </c>
      <c r="B54" s="88" t="s">
        <v>181</v>
      </c>
      <c r="C54" s="11"/>
      <c r="D54" s="18">
        <v>0</v>
      </c>
      <c r="E54" s="18"/>
      <c r="F54" s="18">
        <v>0</v>
      </c>
      <c r="G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/>
      <c r="Q54" s="18">
        <v>0</v>
      </c>
      <c r="R54" s="18">
        <v>0</v>
      </c>
      <c r="S54" s="18"/>
      <c r="T54" s="18">
        <v>0</v>
      </c>
      <c r="U54" s="18"/>
      <c r="V54" s="18">
        <f>+V36+D54+F54+G54+I54+J54+K54+L54+M54+N54+O54+Q54+R54+T54</f>
        <v>0</v>
      </c>
      <c r="W54" s="18">
        <f>+W36</f>
        <v>0</v>
      </c>
      <c r="X54" s="18">
        <f>+V54-W54</f>
        <v>0</v>
      </c>
    </row>
    <row r="55" spans="1:24" ht="15">
      <c r="A55" s="4">
        <f>+A54+1</f>
        <v>10</v>
      </c>
      <c r="B55" s="24" t="s">
        <v>46</v>
      </c>
      <c r="C55" s="11" t="s">
        <v>47</v>
      </c>
      <c r="D55" s="18">
        <f>+D47+D48+D53+D54+D49</f>
        <v>0</v>
      </c>
      <c r="E55" s="18"/>
      <c r="F55" s="18">
        <f>+F47+F48+F53+F54+F49</f>
        <v>0</v>
      </c>
      <c r="G55" s="18">
        <f>+G47+G48+G53+G54+G49</f>
        <v>3122</v>
      </c>
      <c r="I55" s="18">
        <f aca="true" t="shared" si="8" ref="I55:O55">+I47+I48+I53+I54+I49</f>
        <v>0</v>
      </c>
      <c r="J55" s="18">
        <f t="shared" si="8"/>
        <v>0</v>
      </c>
      <c r="K55" s="18">
        <f t="shared" si="8"/>
        <v>-466105</v>
      </c>
      <c r="L55" s="18">
        <f t="shared" si="8"/>
        <v>-2397</v>
      </c>
      <c r="M55" s="18">
        <f t="shared" si="8"/>
        <v>-26961</v>
      </c>
      <c r="N55" s="18">
        <f t="shared" si="8"/>
        <v>0</v>
      </c>
      <c r="O55" s="18">
        <f t="shared" si="8"/>
        <v>-4894</v>
      </c>
      <c r="P55" s="42"/>
      <c r="Q55" s="18">
        <f>+Q47+Q48+Q53+Q54+Q49</f>
        <v>0</v>
      </c>
      <c r="R55" s="18">
        <f>+R47+R48+R53+R54+R49</f>
        <v>-1352</v>
      </c>
      <c r="S55" s="18"/>
      <c r="T55" s="18">
        <f>+T47+T48+T53+T54+T49</f>
        <v>-6897</v>
      </c>
      <c r="U55" s="42"/>
      <c r="V55" s="18">
        <f>+V47+V48+V53+V54+V49</f>
        <v>5284471</v>
      </c>
      <c r="W55" s="18">
        <f>+W47+W48+W53+W54+W49</f>
        <v>4795004</v>
      </c>
      <c r="X55" s="18">
        <f>+X47+X48+X53+X54+X49</f>
        <v>489467</v>
      </c>
    </row>
    <row r="56" spans="1:24" ht="15">
      <c r="A56" s="4"/>
      <c r="B56" s="24"/>
      <c r="C56" s="11"/>
      <c r="D56" s="18"/>
      <c r="E56" s="18"/>
      <c r="F56" s="18"/>
      <c r="G56" s="18"/>
      <c r="I56" s="18"/>
      <c r="J56" s="18"/>
      <c r="K56" s="18"/>
      <c r="L56" s="18"/>
      <c r="M56" s="18"/>
      <c r="N56" s="18"/>
      <c r="O56" s="18"/>
      <c r="P56" s="42"/>
      <c r="Q56" s="18"/>
      <c r="R56" s="18"/>
      <c r="S56" s="18"/>
      <c r="T56" s="18"/>
      <c r="U56" s="42"/>
      <c r="V56" s="18"/>
      <c r="W56" s="18"/>
      <c r="X56" s="18"/>
    </row>
    <row r="57" spans="1:24" ht="15">
      <c r="A57" s="4"/>
      <c r="B57" s="24"/>
      <c r="C57" s="11"/>
      <c r="D57" s="18"/>
      <c r="E57" s="18"/>
      <c r="F57" s="18"/>
      <c r="G57" s="18"/>
      <c r="I57" s="18"/>
      <c r="J57" s="18"/>
      <c r="K57" s="18"/>
      <c r="L57" s="18"/>
      <c r="M57" s="18"/>
      <c r="N57" s="18"/>
      <c r="O57" s="18"/>
      <c r="P57" s="42"/>
      <c r="Q57" s="18"/>
      <c r="R57" s="18"/>
      <c r="S57" s="18"/>
      <c r="T57" s="18"/>
      <c r="U57" s="42"/>
      <c r="V57" s="18"/>
      <c r="W57" s="18"/>
      <c r="X57" s="18"/>
    </row>
    <row r="58" spans="1:24" ht="15">
      <c r="A58" s="4"/>
      <c r="B58" s="24"/>
      <c r="C58" s="11"/>
      <c r="D58" s="18"/>
      <c r="E58" s="18"/>
      <c r="F58" s="18"/>
      <c r="G58" s="18"/>
      <c r="I58" s="18"/>
      <c r="J58" s="18"/>
      <c r="K58" s="18"/>
      <c r="L58" s="18"/>
      <c r="M58" s="18"/>
      <c r="N58" s="18"/>
      <c r="O58" s="18"/>
      <c r="P58" s="42"/>
      <c r="Q58" s="18"/>
      <c r="R58" s="18"/>
      <c r="S58" s="18"/>
      <c r="T58" s="18"/>
      <c r="U58" s="42"/>
      <c r="V58" s="18"/>
      <c r="W58" s="18"/>
      <c r="X58" s="18"/>
    </row>
    <row r="59" spans="1:24" ht="15">
      <c r="A59" s="4"/>
      <c r="B59" s="24"/>
      <c r="C59" s="11"/>
      <c r="D59" s="18"/>
      <c r="E59" s="18"/>
      <c r="F59" s="18"/>
      <c r="G59" s="18"/>
      <c r="I59" s="18"/>
      <c r="J59" s="18"/>
      <c r="K59" s="18"/>
      <c r="L59" s="18"/>
      <c r="M59" s="18"/>
      <c r="N59" s="18"/>
      <c r="O59" s="18"/>
      <c r="P59" s="42"/>
      <c r="Q59" s="18"/>
      <c r="R59" s="18"/>
      <c r="S59" s="18"/>
      <c r="T59" s="18"/>
      <c r="U59" s="42"/>
      <c r="V59" s="18"/>
      <c r="W59" s="18"/>
      <c r="X59" s="18"/>
    </row>
    <row r="60" spans="1:24" ht="15">
      <c r="A60" s="4"/>
      <c r="B60" s="24"/>
      <c r="C60" s="11"/>
      <c r="D60" s="18"/>
      <c r="E60" s="18"/>
      <c r="F60" s="18"/>
      <c r="G60" s="18"/>
      <c r="I60" s="18"/>
      <c r="J60" s="18"/>
      <c r="K60" s="18"/>
      <c r="L60" s="18"/>
      <c r="M60" s="18"/>
      <c r="N60" s="18"/>
      <c r="O60" s="18"/>
      <c r="P60" s="42"/>
      <c r="Q60" s="18"/>
      <c r="R60" s="18"/>
      <c r="S60" s="18"/>
      <c r="T60" s="18"/>
      <c r="U60" s="42"/>
      <c r="V60" s="18"/>
      <c r="W60" s="18"/>
      <c r="X60" s="18"/>
    </row>
    <row r="61" spans="1:24" ht="15">
      <c r="A61" s="4"/>
      <c r="B61" s="24"/>
      <c r="C61" s="11"/>
      <c r="D61" s="18"/>
      <c r="E61" s="18"/>
      <c r="F61" s="18"/>
      <c r="G61" s="18"/>
      <c r="I61" s="18"/>
      <c r="J61" s="18"/>
      <c r="K61" s="18"/>
      <c r="L61" s="18"/>
      <c r="M61" s="18"/>
      <c r="N61" s="18"/>
      <c r="O61" s="18"/>
      <c r="P61" s="42"/>
      <c r="Q61" s="18"/>
      <c r="R61" s="18"/>
      <c r="S61" s="18"/>
      <c r="T61" s="18"/>
      <c r="U61" s="42"/>
      <c r="V61" s="18"/>
      <c r="W61" s="18"/>
      <c r="X61" s="18"/>
    </row>
    <row r="62" spans="1:24" ht="15">
      <c r="A62" s="4"/>
      <c r="B62" s="24"/>
      <c r="C62" s="11"/>
      <c r="D62" s="18"/>
      <c r="E62" s="18"/>
      <c r="F62" s="18"/>
      <c r="G62" s="18"/>
      <c r="I62" s="18"/>
      <c r="J62" s="18"/>
      <c r="K62" s="18"/>
      <c r="L62" s="18"/>
      <c r="M62" s="18"/>
      <c r="N62" s="18"/>
      <c r="O62" s="18"/>
      <c r="P62" s="42"/>
      <c r="Q62" s="18"/>
      <c r="R62" s="18"/>
      <c r="S62" s="18"/>
      <c r="T62" s="18"/>
      <c r="U62" s="42"/>
      <c r="V62" s="18"/>
      <c r="W62" s="18"/>
      <c r="X62" s="18"/>
    </row>
    <row r="63" spans="1:24" ht="15">
      <c r="A63" s="4"/>
      <c r="B63" s="24"/>
      <c r="C63" s="11"/>
      <c r="D63" s="10" t="s">
        <v>4</v>
      </c>
      <c r="E63" s="10"/>
      <c r="F63" s="10" t="s">
        <v>5</v>
      </c>
      <c r="G63" s="10" t="s">
        <v>6</v>
      </c>
      <c r="H63" s="10"/>
      <c r="I63" s="10" t="s">
        <v>7</v>
      </c>
      <c r="J63" s="10" t="s">
        <v>8</v>
      </c>
      <c r="K63" s="10" t="s">
        <v>9</v>
      </c>
      <c r="L63" s="10" t="s">
        <v>10</v>
      </c>
      <c r="M63" s="10" t="s">
        <v>11</v>
      </c>
      <c r="N63" s="10" t="s">
        <v>12</v>
      </c>
      <c r="O63" s="10" t="s">
        <v>13</v>
      </c>
      <c r="P63" s="10"/>
      <c r="Q63" s="10" t="s">
        <v>14</v>
      </c>
      <c r="R63" s="10" t="s">
        <v>15</v>
      </c>
      <c r="S63" s="10"/>
      <c r="T63" s="10" t="s">
        <v>16</v>
      </c>
      <c r="U63" s="10"/>
      <c r="V63" s="10" t="s">
        <v>17</v>
      </c>
      <c r="W63" s="10" t="s">
        <v>18</v>
      </c>
      <c r="X63" s="10" t="s">
        <v>19</v>
      </c>
    </row>
    <row r="64" spans="1:23" ht="15">
      <c r="A64" s="4"/>
      <c r="B64" s="24"/>
      <c r="C64" s="11"/>
      <c r="D64" s="10" t="s">
        <v>20</v>
      </c>
      <c r="E64" s="10"/>
      <c r="F64" s="14" t="s">
        <v>21</v>
      </c>
      <c r="G64" s="10"/>
      <c r="I64" s="39" t="s">
        <v>110</v>
      </c>
      <c r="J64" s="47" t="s">
        <v>111</v>
      </c>
      <c r="K64" s="39"/>
      <c r="L64" s="10" t="s">
        <v>20</v>
      </c>
      <c r="M64" s="10" t="s">
        <v>20</v>
      </c>
      <c r="N64" s="10" t="s">
        <v>20</v>
      </c>
      <c r="O64" s="10" t="s">
        <v>20</v>
      </c>
      <c r="P64" s="42"/>
      <c r="Q64" s="10" t="s">
        <v>20</v>
      </c>
      <c r="R64" s="10" t="s">
        <v>20</v>
      </c>
      <c r="S64" s="48"/>
      <c r="T64" s="10" t="s">
        <v>20</v>
      </c>
      <c r="U64" s="42"/>
      <c r="W64" s="39" t="s">
        <v>112</v>
      </c>
    </row>
    <row r="65" spans="1:24" ht="15">
      <c r="A65" s="4"/>
      <c r="B65" s="87" t="s">
        <v>183</v>
      </c>
      <c r="C65" s="11"/>
      <c r="D65" s="8" t="s">
        <v>113</v>
      </c>
      <c r="E65" s="6"/>
      <c r="F65" s="6" t="s">
        <v>114</v>
      </c>
      <c r="G65" s="49" t="s">
        <v>22</v>
      </c>
      <c r="I65" s="8" t="s">
        <v>113</v>
      </c>
      <c r="J65" s="6" t="s">
        <v>114</v>
      </c>
      <c r="K65" s="49" t="s">
        <v>24</v>
      </c>
      <c r="L65" s="13" t="s">
        <v>115</v>
      </c>
      <c r="M65" s="13" t="s">
        <v>116</v>
      </c>
      <c r="N65" s="13" t="s">
        <v>117</v>
      </c>
      <c r="O65" s="13" t="s">
        <v>118</v>
      </c>
      <c r="P65" s="42"/>
      <c r="Q65" s="13" t="s">
        <v>119</v>
      </c>
      <c r="R65" s="13" t="s">
        <v>120</v>
      </c>
      <c r="T65" s="13" t="s">
        <v>121</v>
      </c>
      <c r="U65" s="42"/>
      <c r="V65" s="10" t="s">
        <v>20</v>
      </c>
      <c r="W65" s="10" t="s">
        <v>21</v>
      </c>
      <c r="X65" s="10" t="s">
        <v>22</v>
      </c>
    </row>
    <row r="66" spans="1:24" ht="15">
      <c r="A66" s="4"/>
      <c r="B66" s="24"/>
      <c r="C66" s="11"/>
      <c r="D66" s="18"/>
      <c r="E66" s="18"/>
      <c r="F66" s="18"/>
      <c r="G66" s="18"/>
      <c r="K66" s="42"/>
      <c r="L66" s="42"/>
      <c r="N66" s="42"/>
      <c r="O66" s="18"/>
      <c r="P66" s="42"/>
      <c r="U66" s="42"/>
      <c r="V66" s="18"/>
      <c r="W66" s="39" t="s">
        <v>122</v>
      </c>
      <c r="X66" s="18"/>
    </row>
    <row r="67" spans="1:24" ht="15">
      <c r="A67" s="4">
        <f>+A35+1</f>
        <v>19</v>
      </c>
      <c r="B67" s="5" t="s">
        <v>36</v>
      </c>
      <c r="C67" s="17" t="s">
        <v>37</v>
      </c>
      <c r="D67" s="18">
        <v>1389560</v>
      </c>
      <c r="E67" s="18" t="s">
        <v>0</v>
      </c>
      <c r="F67" s="18">
        <v>589259</v>
      </c>
      <c r="G67" s="18">
        <f>+D67-F67</f>
        <v>800301</v>
      </c>
      <c r="I67" s="18">
        <v>-533</v>
      </c>
      <c r="J67" s="18">
        <v>1198</v>
      </c>
      <c r="K67" s="36">
        <f>+I67-J67</f>
        <v>-1731</v>
      </c>
      <c r="L67" s="18">
        <v>0</v>
      </c>
      <c r="M67" s="18">
        <v>-266653</v>
      </c>
      <c r="N67" s="18">
        <v>17008</v>
      </c>
      <c r="O67" s="18">
        <v>0</v>
      </c>
      <c r="P67" s="42"/>
      <c r="Q67" s="31">
        <v>0</v>
      </c>
      <c r="R67" s="18">
        <v>0</v>
      </c>
      <c r="S67" s="18"/>
      <c r="T67" s="18">
        <v>0</v>
      </c>
      <c r="U67" s="42"/>
      <c r="V67" s="31">
        <f>+D67+I67+L67+M67+N67+O67+Q67+R67+T67</f>
        <v>1139382</v>
      </c>
      <c r="W67" s="18">
        <f>+F67+J67</f>
        <v>590457</v>
      </c>
      <c r="X67" s="18">
        <f>+V67-W67</f>
        <v>548925</v>
      </c>
    </row>
    <row r="68" spans="1:24" ht="15">
      <c r="A68" s="4">
        <f>+A67+1</f>
        <v>20</v>
      </c>
      <c r="B68" s="5" t="s">
        <v>36</v>
      </c>
      <c r="C68" s="22" t="s">
        <v>38</v>
      </c>
      <c r="D68" s="18">
        <v>1388695</v>
      </c>
      <c r="E68" s="18" t="s">
        <v>0</v>
      </c>
      <c r="F68" s="18">
        <v>583432</v>
      </c>
      <c r="G68" s="18">
        <f>+D68-F68</f>
        <v>805263</v>
      </c>
      <c r="I68" s="18">
        <v>-530</v>
      </c>
      <c r="J68" s="31">
        <v>1189</v>
      </c>
      <c r="K68" s="18">
        <v>-1707</v>
      </c>
      <c r="L68" s="18">
        <v>0</v>
      </c>
      <c r="M68" s="18">
        <v>-266664</v>
      </c>
      <c r="N68" s="18">
        <v>17008</v>
      </c>
      <c r="O68" s="18">
        <v>0</v>
      </c>
      <c r="P68" s="42"/>
      <c r="Q68" s="31">
        <v>0</v>
      </c>
      <c r="R68" s="18">
        <v>0</v>
      </c>
      <c r="S68" s="18"/>
      <c r="T68" s="18">
        <v>0</v>
      </c>
      <c r="U68" s="42"/>
      <c r="V68" s="31">
        <f>+D68+I68+L68+M68+N68+O68+Q68+R68+T68</f>
        <v>1138509</v>
      </c>
      <c r="W68" s="18">
        <f>+F68+J68</f>
        <v>584621</v>
      </c>
      <c r="X68" s="18">
        <f>+V68-W68</f>
        <v>553888</v>
      </c>
    </row>
    <row r="69" spans="1:24" ht="15">
      <c r="A69" s="4">
        <f>+A68+1</f>
        <v>21</v>
      </c>
      <c r="B69" s="24" t="s">
        <v>46</v>
      </c>
      <c r="C69" s="40" t="s">
        <v>78</v>
      </c>
      <c r="D69" s="18">
        <f>+D67-D68</f>
        <v>865</v>
      </c>
      <c r="E69" s="18"/>
      <c r="F69" s="18">
        <f>+F67-F68</f>
        <v>5827</v>
      </c>
      <c r="G69" s="18">
        <f>+G67-G68</f>
        <v>-4962</v>
      </c>
      <c r="I69" s="18">
        <f aca="true" t="shared" si="9" ref="I69:O69">+I67-I68</f>
        <v>-3</v>
      </c>
      <c r="J69" s="18">
        <f t="shared" si="9"/>
        <v>9</v>
      </c>
      <c r="K69" s="18">
        <f t="shared" si="9"/>
        <v>-24</v>
      </c>
      <c r="L69" s="18">
        <f t="shared" si="9"/>
        <v>0</v>
      </c>
      <c r="M69" s="18">
        <f t="shared" si="9"/>
        <v>11</v>
      </c>
      <c r="N69" s="18">
        <f t="shared" si="9"/>
        <v>0</v>
      </c>
      <c r="O69" s="18">
        <f t="shared" si="9"/>
        <v>0</v>
      </c>
      <c r="P69" s="42"/>
      <c r="Q69" s="18">
        <f>+Q67-Q68</f>
        <v>0</v>
      </c>
      <c r="R69" s="18">
        <f>+R67-R68</f>
        <v>0</v>
      </c>
      <c r="S69" s="18"/>
      <c r="T69" s="18">
        <f>+T67-T68</f>
        <v>0</v>
      </c>
      <c r="U69" s="42"/>
      <c r="V69" s="31">
        <f>+V67-V68</f>
        <v>873</v>
      </c>
      <c r="W69" s="31">
        <f>+W67-W68</f>
        <v>5836</v>
      </c>
      <c r="X69" s="18">
        <f>+X67-X68</f>
        <v>-4963</v>
      </c>
    </row>
    <row r="70" spans="1:24" ht="28.5">
      <c r="A70" s="4">
        <f>+A69+1</f>
        <v>22</v>
      </c>
      <c r="B70" s="88" t="s">
        <v>182</v>
      </c>
      <c r="C70" s="11"/>
      <c r="D70" s="18">
        <v>0</v>
      </c>
      <c r="E70" s="18"/>
      <c r="F70" s="18">
        <v>0</v>
      </c>
      <c r="G70" s="18">
        <f>+D70-F70</f>
        <v>0</v>
      </c>
      <c r="I70" s="18">
        <v>0</v>
      </c>
      <c r="J70" s="18">
        <v>0</v>
      </c>
      <c r="K70" s="18">
        <f>+I70-J70</f>
        <v>0</v>
      </c>
      <c r="L70" s="18">
        <v>0</v>
      </c>
      <c r="M70" s="18">
        <v>0</v>
      </c>
      <c r="N70" s="18">
        <f>+L70-M70</f>
        <v>0</v>
      </c>
      <c r="O70" s="18">
        <v>0</v>
      </c>
      <c r="P70" s="42"/>
      <c r="Q70" s="18">
        <v>0</v>
      </c>
      <c r="R70" s="18">
        <v>0</v>
      </c>
      <c r="S70" s="18"/>
      <c r="T70" s="18">
        <v>0</v>
      </c>
      <c r="U70" s="42"/>
      <c r="V70" s="31">
        <f>+D70+I70+L70+M70+N70+O70+Q70+R70+T70</f>
        <v>0</v>
      </c>
      <c r="W70" s="18">
        <f>+F70+J70</f>
        <v>0</v>
      </c>
      <c r="X70" s="18">
        <f>+V70-W70</f>
        <v>0</v>
      </c>
    </row>
    <row r="71" spans="1:24" ht="24.75">
      <c r="A71" s="4">
        <f>+A70+1</f>
        <v>23</v>
      </c>
      <c r="B71" s="89" t="s">
        <v>39</v>
      </c>
      <c r="C71" s="40"/>
      <c r="D71" s="27">
        <v>-4437</v>
      </c>
      <c r="E71" s="18" t="s">
        <v>0</v>
      </c>
      <c r="F71" s="27">
        <v>442093</v>
      </c>
      <c r="G71" s="18">
        <f>+D71-F71</f>
        <v>-446530</v>
      </c>
      <c r="I71" s="27">
        <v>0</v>
      </c>
      <c r="J71" s="27">
        <v>0</v>
      </c>
      <c r="K71" s="18">
        <f>+I71-J71</f>
        <v>0</v>
      </c>
      <c r="L71" s="18">
        <v>0</v>
      </c>
      <c r="M71" s="18">
        <v>-56172</v>
      </c>
      <c r="N71" s="18">
        <v>21462</v>
      </c>
      <c r="O71" s="27">
        <v>-9669</v>
      </c>
      <c r="P71" s="42"/>
      <c r="Q71" s="50">
        <v>0</v>
      </c>
      <c r="R71" s="21">
        <v>0</v>
      </c>
      <c r="S71" s="18"/>
      <c r="T71" s="18">
        <v>0</v>
      </c>
      <c r="U71" s="42"/>
      <c r="V71" s="31">
        <f>+D71+I71+M71+N71+L71+O71+Q71+R71+T71</f>
        <v>-48816</v>
      </c>
      <c r="W71" s="18">
        <f>+F71+J71</f>
        <v>442093</v>
      </c>
      <c r="X71" s="36">
        <f>+V71-W71</f>
        <v>-490909</v>
      </c>
    </row>
    <row r="72" spans="1:24" ht="15">
      <c r="A72" s="6" t="s">
        <v>41</v>
      </c>
      <c r="B72" s="41"/>
      <c r="C72" s="40"/>
      <c r="D72" s="18"/>
      <c r="E72" s="18"/>
      <c r="F72" s="18" t="s">
        <v>0</v>
      </c>
      <c r="G72" s="18"/>
      <c r="I72" s="18"/>
      <c r="J72" s="18"/>
      <c r="K72" s="18"/>
      <c r="L72" s="18"/>
      <c r="M72" s="18"/>
      <c r="N72" s="18"/>
      <c r="O72" s="18"/>
      <c r="P72" s="42"/>
      <c r="Q72" s="18"/>
      <c r="R72" s="18"/>
      <c r="S72" s="18"/>
      <c r="T72" s="18"/>
      <c r="U72" s="42"/>
      <c r="V72" s="30"/>
      <c r="W72" s="30"/>
      <c r="X72" s="36"/>
    </row>
    <row r="73" spans="1:24" ht="15">
      <c r="A73" s="4">
        <f>+A71+1</f>
        <v>24</v>
      </c>
      <c r="B73" s="5" t="s">
        <v>42</v>
      </c>
      <c r="C73" s="22" t="s">
        <v>38</v>
      </c>
      <c r="D73" s="18">
        <v>1327984</v>
      </c>
      <c r="E73" s="18" t="s">
        <v>0</v>
      </c>
      <c r="F73" s="18">
        <v>559792</v>
      </c>
      <c r="G73" s="18">
        <f>+D73-F73</f>
        <v>768192</v>
      </c>
      <c r="I73" s="18">
        <v>-712</v>
      </c>
      <c r="J73" s="26">
        <v>205</v>
      </c>
      <c r="K73" s="18">
        <f>+I73-J73</f>
        <v>-917</v>
      </c>
      <c r="L73" s="18">
        <v>1133</v>
      </c>
      <c r="M73" s="18">
        <v>-250664</v>
      </c>
      <c r="N73" s="18">
        <v>16467</v>
      </c>
      <c r="O73" s="18">
        <v>0</v>
      </c>
      <c r="P73" s="42"/>
      <c r="Q73" s="31">
        <v>0</v>
      </c>
      <c r="R73" s="18">
        <v>36593</v>
      </c>
      <c r="S73" s="18" t="s">
        <v>0</v>
      </c>
      <c r="T73" s="18">
        <v>-4</v>
      </c>
      <c r="U73" s="42"/>
      <c r="V73" s="31">
        <f>+D73+I73+L73+M73+N73+O73+Q73+R73+T73</f>
        <v>1130797</v>
      </c>
      <c r="W73" s="18">
        <f>+F73+J73</f>
        <v>559997</v>
      </c>
      <c r="X73" s="18">
        <f>+V73-W73</f>
        <v>570800</v>
      </c>
    </row>
    <row r="74" spans="1:24" ht="15">
      <c r="A74" s="4">
        <f>+A73+1</f>
        <v>25</v>
      </c>
      <c r="B74" s="5" t="s">
        <v>43</v>
      </c>
      <c r="C74" s="11"/>
      <c r="D74" s="18"/>
      <c r="E74" s="18"/>
      <c r="F74" s="18">
        <v>0</v>
      </c>
      <c r="G74" s="18">
        <f>+D74-F74</f>
        <v>0</v>
      </c>
      <c r="I74" s="18">
        <v>0</v>
      </c>
      <c r="J74" s="18">
        <v>0</v>
      </c>
      <c r="K74" s="18">
        <f>+I74-J74</f>
        <v>0</v>
      </c>
      <c r="L74" s="18">
        <v>0</v>
      </c>
      <c r="M74" s="18">
        <v>0</v>
      </c>
      <c r="N74" s="18">
        <f>+L74-M74</f>
        <v>0</v>
      </c>
      <c r="O74" s="18">
        <v>0</v>
      </c>
      <c r="P74" s="42"/>
      <c r="Q74" s="18">
        <v>0</v>
      </c>
      <c r="R74" s="18">
        <v>0</v>
      </c>
      <c r="S74" s="18"/>
      <c r="T74" s="18">
        <v>0</v>
      </c>
      <c r="U74" s="42"/>
      <c r="V74" s="31">
        <f>+D74+I74+L74+O74+Q74+R74+T74</f>
        <v>0</v>
      </c>
      <c r="W74" s="18">
        <f>+F74+J74+M74</f>
        <v>0</v>
      </c>
      <c r="X74" s="18">
        <f>+V74-W74</f>
        <v>0</v>
      </c>
    </row>
    <row r="75" spans="1:24" ht="26.25">
      <c r="A75" s="4">
        <f>+A74+1</f>
        <v>26</v>
      </c>
      <c r="B75" s="24" t="s">
        <v>79</v>
      </c>
      <c r="C75" s="11"/>
      <c r="D75" s="18">
        <f>+D73-D74</f>
        <v>1327984</v>
      </c>
      <c r="E75" s="18"/>
      <c r="F75" s="18">
        <f>+F73-F74</f>
        <v>559792</v>
      </c>
      <c r="G75" s="18">
        <f>+G73-G74</f>
        <v>768192</v>
      </c>
      <c r="I75" s="18">
        <f aca="true" t="shared" si="10" ref="I75:N75">+I73-I74</f>
        <v>-712</v>
      </c>
      <c r="J75" s="18">
        <f t="shared" si="10"/>
        <v>205</v>
      </c>
      <c r="K75" s="18">
        <f t="shared" si="10"/>
        <v>-917</v>
      </c>
      <c r="L75" s="18">
        <f t="shared" si="10"/>
        <v>1133</v>
      </c>
      <c r="M75" s="18">
        <f t="shared" si="10"/>
        <v>-250664</v>
      </c>
      <c r="N75" s="18">
        <f t="shared" si="10"/>
        <v>16467</v>
      </c>
      <c r="O75" s="18">
        <v>0</v>
      </c>
      <c r="P75" s="42"/>
      <c r="Q75" s="18">
        <f>+Q73-Q74</f>
        <v>0</v>
      </c>
      <c r="R75" s="18">
        <f>+R73-R74</f>
        <v>36593</v>
      </c>
      <c r="S75" s="18"/>
      <c r="T75" s="18">
        <f>+T73-T74</f>
        <v>-4</v>
      </c>
      <c r="U75" s="42"/>
      <c r="V75" s="27">
        <f>+V73-V74</f>
        <v>1130797</v>
      </c>
      <c r="W75" s="27">
        <f>+W73-W74</f>
        <v>559997</v>
      </c>
      <c r="X75" s="31">
        <f>+X73-X74</f>
        <v>570800</v>
      </c>
    </row>
    <row r="76" spans="1:24" ht="28.5">
      <c r="A76" s="4">
        <f>+A75+1</f>
        <v>27</v>
      </c>
      <c r="B76" s="88" t="s">
        <v>181</v>
      </c>
      <c r="C76" s="11"/>
      <c r="D76" s="18">
        <v>0</v>
      </c>
      <c r="E76" s="18"/>
      <c r="F76" s="18">
        <v>0</v>
      </c>
      <c r="G76" s="18">
        <f>+D76-F76</f>
        <v>0</v>
      </c>
      <c r="I76" s="18">
        <v>0</v>
      </c>
      <c r="J76" s="18">
        <v>0</v>
      </c>
      <c r="K76" s="18">
        <f>+I76-J76</f>
        <v>0</v>
      </c>
      <c r="L76" s="18">
        <v>0</v>
      </c>
      <c r="M76" s="18">
        <v>0</v>
      </c>
      <c r="N76" s="18">
        <f>+L76-M76</f>
        <v>0</v>
      </c>
      <c r="O76" s="18">
        <v>0</v>
      </c>
      <c r="P76" s="42"/>
      <c r="Q76" s="18">
        <v>0</v>
      </c>
      <c r="R76" s="18">
        <v>0</v>
      </c>
      <c r="S76" s="18"/>
      <c r="T76" s="18">
        <v>0</v>
      </c>
      <c r="U76" s="42"/>
      <c r="V76" s="31">
        <f>+D76+I76+L76+O76+Q76+R76+T76</f>
        <v>0</v>
      </c>
      <c r="W76" s="18">
        <f>+F76+J76+M76</f>
        <v>0</v>
      </c>
      <c r="X76" s="18">
        <f>+V76-W76</f>
        <v>0</v>
      </c>
    </row>
    <row r="77" spans="1:24" ht="15">
      <c r="A77" s="4">
        <f>+A76+1</f>
        <v>28</v>
      </c>
      <c r="B77" s="24" t="s">
        <v>46</v>
      </c>
      <c r="C77" s="11" t="s">
        <v>47</v>
      </c>
      <c r="D77" s="51">
        <f>+D69+D70+D75+D76+D71</f>
        <v>1324412</v>
      </c>
      <c r="E77" s="18"/>
      <c r="F77" s="52">
        <f>+F69+F70+F75+F76+F71</f>
        <v>1007712</v>
      </c>
      <c r="G77" s="18">
        <f>+G69+G70+G75+G76+G71</f>
        <v>316700</v>
      </c>
      <c r="I77" s="51">
        <f aca="true" t="shared" si="11" ref="I77:O77">+I69+I70+I75+I76+I71</f>
        <v>-715</v>
      </c>
      <c r="J77" s="52">
        <f t="shared" si="11"/>
        <v>214</v>
      </c>
      <c r="K77" s="18">
        <f t="shared" si="11"/>
        <v>-941</v>
      </c>
      <c r="L77" s="18">
        <f t="shared" si="11"/>
        <v>1133</v>
      </c>
      <c r="M77" s="18">
        <f t="shared" si="11"/>
        <v>-306825</v>
      </c>
      <c r="N77" s="18">
        <f t="shared" si="11"/>
        <v>37929</v>
      </c>
      <c r="O77" s="18">
        <f t="shared" si="11"/>
        <v>-9669</v>
      </c>
      <c r="P77" s="42"/>
      <c r="Q77" s="18">
        <f>+Q69+Q70+Q75+Q76+Q71</f>
        <v>0</v>
      </c>
      <c r="R77" s="18">
        <f>+R69+R70+R75+R76+R71</f>
        <v>36593</v>
      </c>
      <c r="S77" s="18"/>
      <c r="T77" s="18">
        <f>+T69+T70+T75+T76+T71</f>
        <v>-4</v>
      </c>
      <c r="U77" s="42"/>
      <c r="V77" s="18">
        <f>+V69+V70+V75+V76+V71</f>
        <v>1082854</v>
      </c>
      <c r="W77" s="18">
        <f>+W69+W70+W75+W76+W71</f>
        <v>1007926</v>
      </c>
      <c r="X77" s="18">
        <f>+X69+X70+X75+X76+X71</f>
        <v>74928</v>
      </c>
    </row>
    <row r="78" spans="1:24" ht="15">
      <c r="A78" s="4"/>
      <c r="B78" s="24"/>
      <c r="C78" s="11"/>
      <c r="D78" s="18"/>
      <c r="E78" s="18"/>
      <c r="F78" s="18"/>
      <c r="G78" s="18"/>
      <c r="I78" s="18"/>
      <c r="J78" s="18"/>
      <c r="K78" s="18"/>
      <c r="L78" s="18"/>
      <c r="M78" s="42"/>
      <c r="N78" s="42"/>
      <c r="O78" s="42"/>
      <c r="P78" s="42"/>
      <c r="Q78" s="42"/>
      <c r="U78" s="42"/>
      <c r="V78" s="18"/>
      <c r="W78" s="18"/>
      <c r="X78" s="18"/>
    </row>
    <row r="79" spans="1:24" ht="15">
      <c r="A79" s="4"/>
      <c r="B79" s="24"/>
      <c r="C79" s="11"/>
      <c r="D79" s="6" t="s">
        <v>48</v>
      </c>
      <c r="E79" s="6"/>
      <c r="F79" s="10" t="s">
        <v>49</v>
      </c>
      <c r="G79" s="10" t="s">
        <v>50</v>
      </c>
      <c r="I79" s="10" t="s">
        <v>51</v>
      </c>
      <c r="J79" s="10" t="s">
        <v>52</v>
      </c>
      <c r="K79" s="10" t="s">
        <v>53</v>
      </c>
      <c r="L79" s="10" t="s">
        <v>54</v>
      </c>
      <c r="M79" s="10" t="s">
        <v>55</v>
      </c>
      <c r="N79" s="10" t="s">
        <v>56</v>
      </c>
      <c r="O79" s="10" t="s">
        <v>57</v>
      </c>
      <c r="P79" s="18"/>
      <c r="Q79" s="10" t="s">
        <v>58</v>
      </c>
      <c r="R79" s="10" t="s">
        <v>59</v>
      </c>
      <c r="S79" s="10"/>
      <c r="T79" s="10" t="s">
        <v>60</v>
      </c>
      <c r="U79" s="18"/>
      <c r="V79" s="10" t="s">
        <v>61</v>
      </c>
      <c r="W79" s="10" t="s">
        <v>62</v>
      </c>
      <c r="X79" s="10" t="s">
        <v>63</v>
      </c>
    </row>
    <row r="80" spans="1:24" ht="15">
      <c r="A80" s="4"/>
      <c r="B80" s="24"/>
      <c r="C80" s="11"/>
      <c r="D80" s="14" t="s">
        <v>20</v>
      </c>
      <c r="E80" s="18"/>
      <c r="F80" s="14" t="s">
        <v>20</v>
      </c>
      <c r="G80" s="14" t="s">
        <v>20</v>
      </c>
      <c r="I80" s="14" t="s">
        <v>20</v>
      </c>
      <c r="J80" s="14" t="s">
        <v>21</v>
      </c>
      <c r="K80" s="14" t="s">
        <v>21</v>
      </c>
      <c r="L80" s="14" t="s">
        <v>21</v>
      </c>
      <c r="M80" s="14" t="s">
        <v>21</v>
      </c>
      <c r="N80" s="14" t="s">
        <v>21</v>
      </c>
      <c r="O80" s="14" t="s">
        <v>21</v>
      </c>
      <c r="P80" s="14"/>
      <c r="Q80" s="14" t="s">
        <v>21</v>
      </c>
      <c r="R80" s="14" t="s">
        <v>21</v>
      </c>
      <c r="T80" s="14" t="s">
        <v>21</v>
      </c>
      <c r="U80" s="42"/>
      <c r="V80" s="18"/>
      <c r="W80" s="39" t="s">
        <v>123</v>
      </c>
      <c r="X80" s="18"/>
    </row>
    <row r="81" spans="1:24" ht="15">
      <c r="A81" s="4"/>
      <c r="B81" s="87" t="s">
        <v>183</v>
      </c>
      <c r="C81" s="11"/>
      <c r="D81" s="53" t="s">
        <v>124</v>
      </c>
      <c r="E81" s="18"/>
      <c r="F81" s="53" t="s">
        <v>125</v>
      </c>
      <c r="G81" s="53" t="s">
        <v>126</v>
      </c>
      <c r="I81" s="53" t="s">
        <v>127</v>
      </c>
      <c r="J81" s="53" t="s">
        <v>128</v>
      </c>
      <c r="K81" s="53" t="s">
        <v>129</v>
      </c>
      <c r="L81" s="53" t="s">
        <v>130</v>
      </c>
      <c r="M81" s="53" t="s">
        <v>131</v>
      </c>
      <c r="N81" s="24" t="s">
        <v>132</v>
      </c>
      <c r="O81" s="24" t="s">
        <v>98</v>
      </c>
      <c r="P81" s="24"/>
      <c r="Q81" s="24" t="s">
        <v>99</v>
      </c>
      <c r="R81" s="24" t="s">
        <v>133</v>
      </c>
      <c r="S81" s="42"/>
      <c r="T81" s="24" t="s">
        <v>134</v>
      </c>
      <c r="U81" s="42"/>
      <c r="V81" s="10" t="s">
        <v>20</v>
      </c>
      <c r="W81" s="10" t="s">
        <v>21</v>
      </c>
      <c r="X81" s="10" t="s">
        <v>22</v>
      </c>
    </row>
    <row r="82" spans="1:24" ht="15">
      <c r="A82" s="4"/>
      <c r="B82" s="24"/>
      <c r="C82" s="11"/>
      <c r="D82" s="18"/>
      <c r="E82" s="18"/>
      <c r="F82" s="18"/>
      <c r="I82" s="18"/>
      <c r="J82" s="18"/>
      <c r="O82" s="42"/>
      <c r="P82" s="42"/>
      <c r="Q82" s="42"/>
      <c r="R82" s="42"/>
      <c r="S82" s="42"/>
      <c r="T82" s="42"/>
      <c r="U82" s="42"/>
      <c r="V82" s="18"/>
      <c r="W82" s="39"/>
      <c r="X82" s="18"/>
    </row>
    <row r="83" spans="1:24" ht="15">
      <c r="A83" s="4">
        <f>+A77+1</f>
        <v>29</v>
      </c>
      <c r="B83" s="5" t="s">
        <v>36</v>
      </c>
      <c r="C83" s="17" t="s">
        <v>37</v>
      </c>
      <c r="D83" s="18">
        <v>0</v>
      </c>
      <c r="E83" s="18"/>
      <c r="F83" s="18">
        <v>0</v>
      </c>
      <c r="G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/>
      <c r="Q83" s="18">
        <v>0</v>
      </c>
      <c r="R83" s="18">
        <v>0</v>
      </c>
      <c r="S83" s="42"/>
      <c r="T83" s="18">
        <v>0</v>
      </c>
      <c r="U83" s="42"/>
      <c r="V83" s="18">
        <f>+V67+D83+F83+G83+I83</f>
        <v>1139382</v>
      </c>
      <c r="W83" s="18">
        <f>+W67+J83+K83+L83+M83+N83+O83+Q83+R83+T83</f>
        <v>590457</v>
      </c>
      <c r="X83" s="18">
        <f>+V83-W83</f>
        <v>548925</v>
      </c>
    </row>
    <row r="84" spans="1:24" ht="15">
      <c r="A84" s="4">
        <f>+A83+1</f>
        <v>30</v>
      </c>
      <c r="B84" s="5" t="s">
        <v>36</v>
      </c>
      <c r="C84" s="22" t="s">
        <v>38</v>
      </c>
      <c r="D84" s="18">
        <v>0</v>
      </c>
      <c r="E84" s="18"/>
      <c r="F84" s="18">
        <v>0</v>
      </c>
      <c r="G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/>
      <c r="Q84" s="18">
        <v>0</v>
      </c>
      <c r="R84" s="18">
        <v>0</v>
      </c>
      <c r="S84" s="42"/>
      <c r="T84" s="18">
        <v>0</v>
      </c>
      <c r="U84" s="42"/>
      <c r="V84" s="18">
        <f>+V68+D84+F84+G84+I84</f>
        <v>1138509</v>
      </c>
      <c r="W84" s="18">
        <f>+W68+J84+K84+L84+M84+N84+O84+Q84+R84+T84</f>
        <v>584621</v>
      </c>
      <c r="X84" s="18">
        <f>+V84-W84</f>
        <v>553888</v>
      </c>
    </row>
    <row r="85" spans="1:24" ht="15">
      <c r="A85" s="4">
        <f>+A84+1</f>
        <v>31</v>
      </c>
      <c r="B85" s="24" t="s">
        <v>46</v>
      </c>
      <c r="C85" s="40" t="s">
        <v>78</v>
      </c>
      <c r="D85" s="18">
        <f>+D83-D84</f>
        <v>0</v>
      </c>
      <c r="E85" s="18"/>
      <c r="F85" s="18">
        <f>+F83-F84</f>
        <v>0</v>
      </c>
      <c r="G85" s="18">
        <f>+G83-G84</f>
        <v>0</v>
      </c>
      <c r="I85" s="18">
        <f aca="true" t="shared" si="12" ref="I85:O85">+I83-I84</f>
        <v>0</v>
      </c>
      <c r="J85" s="18">
        <f t="shared" si="12"/>
        <v>0</v>
      </c>
      <c r="K85" s="18">
        <f t="shared" si="12"/>
        <v>0</v>
      </c>
      <c r="L85" s="18">
        <f t="shared" si="12"/>
        <v>0</v>
      </c>
      <c r="M85" s="18">
        <f t="shared" si="12"/>
        <v>0</v>
      </c>
      <c r="N85" s="18">
        <f t="shared" si="12"/>
        <v>0</v>
      </c>
      <c r="O85" s="18">
        <f t="shared" si="12"/>
        <v>0</v>
      </c>
      <c r="P85" s="18"/>
      <c r="Q85" s="18">
        <f>+Q83-Q84</f>
        <v>0</v>
      </c>
      <c r="R85" s="18">
        <f>+R83-R84</f>
        <v>0</v>
      </c>
      <c r="S85" s="42"/>
      <c r="T85" s="18">
        <f>+T83-T84</f>
        <v>0</v>
      </c>
      <c r="U85" s="42"/>
      <c r="V85" s="27">
        <f>+V83-V84</f>
        <v>873</v>
      </c>
      <c r="W85" s="27">
        <f>+W83-W84</f>
        <v>5836</v>
      </c>
      <c r="X85" s="18">
        <f>+X83-X84</f>
        <v>-4963</v>
      </c>
    </row>
    <row r="86" spans="1:24" ht="28.5">
      <c r="A86" s="4">
        <f>+A85+1</f>
        <v>32</v>
      </c>
      <c r="B86" s="88" t="s">
        <v>182</v>
      </c>
      <c r="C86" s="11"/>
      <c r="D86" s="18">
        <v>0</v>
      </c>
      <c r="E86" s="18"/>
      <c r="F86" s="18">
        <v>0</v>
      </c>
      <c r="G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/>
      <c r="Q86" s="18">
        <v>0</v>
      </c>
      <c r="R86" s="18">
        <v>0</v>
      </c>
      <c r="S86" s="42"/>
      <c r="T86" s="18">
        <v>0</v>
      </c>
      <c r="U86" s="42"/>
      <c r="V86" s="18">
        <f>+V70+D86+F86+G86+I86</f>
        <v>0</v>
      </c>
      <c r="W86" s="18">
        <f>+W70+J86+K86+L86+M86+N86+O86+Q86+R86+T86</f>
        <v>0</v>
      </c>
      <c r="X86" s="18">
        <f>+V86-W86</f>
        <v>0</v>
      </c>
    </row>
    <row r="87" spans="1:24" ht="24.75">
      <c r="A87" s="4">
        <f>+A86+1</f>
        <v>33</v>
      </c>
      <c r="B87" s="89" t="s">
        <v>39</v>
      </c>
      <c r="C87" s="40"/>
      <c r="D87" s="27">
        <v>-31543</v>
      </c>
      <c r="E87" s="18"/>
      <c r="F87" s="27">
        <v>326</v>
      </c>
      <c r="G87" s="27">
        <v>-8938</v>
      </c>
      <c r="H87" t="s">
        <v>0</v>
      </c>
      <c r="I87" s="27">
        <v>0</v>
      </c>
      <c r="J87" s="27">
        <v>-30</v>
      </c>
      <c r="K87" s="27">
        <v>0</v>
      </c>
      <c r="L87" s="27">
        <v>0</v>
      </c>
      <c r="M87" s="18">
        <v>0</v>
      </c>
      <c r="N87" s="18">
        <v>0</v>
      </c>
      <c r="O87" s="18">
        <v>0</v>
      </c>
      <c r="P87" s="18"/>
      <c r="Q87" s="18">
        <v>0</v>
      </c>
      <c r="R87" s="18">
        <v>0</v>
      </c>
      <c r="S87" s="42"/>
      <c r="T87" s="18">
        <v>2467</v>
      </c>
      <c r="U87" s="42"/>
      <c r="V87" s="18">
        <f>+V71+D87+F87+G87+I87</f>
        <v>-88971</v>
      </c>
      <c r="W87" s="18">
        <f>+W71+J87+K87+L87+M87+N87+O87+Q87+R87+T87</f>
        <v>444530</v>
      </c>
      <c r="X87" s="36">
        <f>+V87-W87</f>
        <v>-533501</v>
      </c>
    </row>
    <row r="88" spans="1:24" ht="15">
      <c r="A88" s="6" t="s">
        <v>41</v>
      </c>
      <c r="B88" s="41"/>
      <c r="C88" s="40"/>
      <c r="D88" s="18"/>
      <c r="E88" s="18"/>
      <c r="F88" s="18"/>
      <c r="G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42"/>
      <c r="T88" s="18"/>
      <c r="U88" s="42"/>
      <c r="V88" s="18"/>
      <c r="W88" s="54"/>
      <c r="X88" s="36"/>
    </row>
    <row r="89" spans="1:24" ht="15">
      <c r="A89" s="4">
        <f>+A87+1</f>
        <v>34</v>
      </c>
      <c r="B89" s="5" t="s">
        <v>42</v>
      </c>
      <c r="C89" s="22" t="s">
        <v>38</v>
      </c>
      <c r="D89" s="18">
        <v>0</v>
      </c>
      <c r="E89" s="18"/>
      <c r="F89" s="18">
        <v>0</v>
      </c>
      <c r="G89" s="18">
        <v>0</v>
      </c>
      <c r="I89" s="18">
        <v>0</v>
      </c>
      <c r="J89" s="18">
        <v>0</v>
      </c>
      <c r="K89" s="18">
        <v>0</v>
      </c>
      <c r="L89" s="18"/>
      <c r="M89" s="18">
        <v>0</v>
      </c>
      <c r="N89" s="18">
        <v>0</v>
      </c>
      <c r="O89" s="18">
        <v>0</v>
      </c>
      <c r="P89" s="18"/>
      <c r="Q89" s="18">
        <v>0</v>
      </c>
      <c r="R89" s="18">
        <v>0</v>
      </c>
      <c r="S89" s="42"/>
      <c r="T89" s="18">
        <v>0</v>
      </c>
      <c r="U89" s="42"/>
      <c r="V89" s="18">
        <f>+V73+D89+F89+G89+I89</f>
        <v>1130797</v>
      </c>
      <c r="W89" s="18">
        <f>+W73+J89+K89+L89+M89+N89+O89+Q89+R89+T89</f>
        <v>559997</v>
      </c>
      <c r="X89" s="18">
        <f>+V89-W89</f>
        <v>570800</v>
      </c>
    </row>
    <row r="90" spans="1:24" ht="15">
      <c r="A90" s="4">
        <f>+A89+1</f>
        <v>35</v>
      </c>
      <c r="B90" s="5" t="s">
        <v>43</v>
      </c>
      <c r="C90" s="11"/>
      <c r="D90" s="18">
        <v>0</v>
      </c>
      <c r="E90" s="18"/>
      <c r="F90" s="18">
        <v>0</v>
      </c>
      <c r="G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/>
      <c r="Q90" s="18">
        <v>0</v>
      </c>
      <c r="R90" s="18">
        <v>0</v>
      </c>
      <c r="S90" s="42"/>
      <c r="T90" s="18">
        <v>0</v>
      </c>
      <c r="U90" s="42"/>
      <c r="V90" s="18">
        <f>+V74+D90+F90+G90+I90</f>
        <v>0</v>
      </c>
      <c r="W90" s="18">
        <f>+W74+J90+K90+L90+M90+N90+O90+Q90+R90+T90</f>
        <v>0</v>
      </c>
      <c r="X90" s="18">
        <f>+V90-W90</f>
        <v>0</v>
      </c>
    </row>
    <row r="91" spans="1:24" ht="26.25">
      <c r="A91" s="4">
        <f>+A90+1</f>
        <v>36</v>
      </c>
      <c r="B91" s="24" t="s">
        <v>79</v>
      </c>
      <c r="C91" s="11"/>
      <c r="D91" s="18">
        <f>+D89-D90</f>
        <v>0</v>
      </c>
      <c r="E91" s="18"/>
      <c r="F91" s="18">
        <f>+F89-F90</f>
        <v>0</v>
      </c>
      <c r="G91" s="18">
        <f>+G89-G90</f>
        <v>0</v>
      </c>
      <c r="I91" s="18">
        <f aca="true" t="shared" si="13" ref="I91:O91">+I89-I90</f>
        <v>0</v>
      </c>
      <c r="J91" s="18">
        <f t="shared" si="13"/>
        <v>0</v>
      </c>
      <c r="K91" s="18">
        <f t="shared" si="13"/>
        <v>0</v>
      </c>
      <c r="L91" s="18">
        <f t="shared" si="13"/>
        <v>0</v>
      </c>
      <c r="M91" s="18">
        <f t="shared" si="13"/>
        <v>0</v>
      </c>
      <c r="N91" s="18">
        <f t="shared" si="13"/>
        <v>0</v>
      </c>
      <c r="O91" s="18">
        <f t="shared" si="13"/>
        <v>0</v>
      </c>
      <c r="P91" s="18"/>
      <c r="Q91" s="18">
        <f>+Q89-Q90</f>
        <v>0</v>
      </c>
      <c r="R91" s="18">
        <f>+R89-R90</f>
        <v>0</v>
      </c>
      <c r="S91" s="42"/>
      <c r="T91" s="18">
        <f>+T89-T90</f>
        <v>0</v>
      </c>
      <c r="U91" s="42"/>
      <c r="V91" s="55">
        <f>+V89-V90</f>
        <v>1130797</v>
      </c>
      <c r="W91" s="55">
        <f>+W89-W90</f>
        <v>559997</v>
      </c>
      <c r="X91" s="31">
        <f>+X89-X90</f>
        <v>570800</v>
      </c>
    </row>
    <row r="92" spans="1:24" ht="28.5">
      <c r="A92" s="4">
        <f>+A91+1</f>
        <v>37</v>
      </c>
      <c r="B92" s="88" t="s">
        <v>181</v>
      </c>
      <c r="C92" s="11"/>
      <c r="D92" s="18">
        <v>0</v>
      </c>
      <c r="E92" s="18"/>
      <c r="F92" s="18">
        <v>0</v>
      </c>
      <c r="G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/>
      <c r="Q92" s="18">
        <v>0</v>
      </c>
      <c r="R92" s="18">
        <v>0</v>
      </c>
      <c r="S92" s="42"/>
      <c r="T92" s="18">
        <v>0</v>
      </c>
      <c r="U92" s="42"/>
      <c r="V92" s="18">
        <f>+V76+D92+F92+G92+I92</f>
        <v>0</v>
      </c>
      <c r="W92" s="18">
        <f>+W76+J92+K92+L92+M92+N92+O92+Q92+R92+T92</f>
        <v>0</v>
      </c>
      <c r="X92" s="18">
        <f>+V92-W92</f>
        <v>0</v>
      </c>
    </row>
    <row r="93" spans="1:24" ht="15">
      <c r="A93" s="4">
        <f>+A92+1</f>
        <v>38</v>
      </c>
      <c r="B93" s="24" t="s">
        <v>46</v>
      </c>
      <c r="C93" s="11" t="s">
        <v>47</v>
      </c>
      <c r="D93" s="18">
        <f>+D85+D86+D91+D92+D87</f>
        <v>-31543</v>
      </c>
      <c r="E93" s="18"/>
      <c r="F93" s="18">
        <f>+F85+F86+F91+F92+F87</f>
        <v>326</v>
      </c>
      <c r="G93" s="18">
        <f>+G85+G86+G91+G92+G87</f>
        <v>-8938</v>
      </c>
      <c r="I93" s="18">
        <f aca="true" t="shared" si="14" ref="I93:O93">+I85+I86+I91+I92+I87</f>
        <v>0</v>
      </c>
      <c r="J93" s="18">
        <f t="shared" si="14"/>
        <v>-30</v>
      </c>
      <c r="K93" s="18">
        <f t="shared" si="14"/>
        <v>0</v>
      </c>
      <c r="L93" s="18">
        <f t="shared" si="14"/>
        <v>0</v>
      </c>
      <c r="M93" s="18">
        <f t="shared" si="14"/>
        <v>0</v>
      </c>
      <c r="N93" s="18">
        <f t="shared" si="14"/>
        <v>0</v>
      </c>
      <c r="O93" s="18">
        <f t="shared" si="14"/>
        <v>0</v>
      </c>
      <c r="P93" s="18"/>
      <c r="Q93" s="18">
        <f>+Q85+Q86+Q91+Q92+Q87</f>
        <v>0</v>
      </c>
      <c r="R93" s="18">
        <f>+R85+R86+R91+R92+R87</f>
        <v>0</v>
      </c>
      <c r="S93" s="42"/>
      <c r="T93" s="18">
        <f>+T85+T86+T91+T92+T87</f>
        <v>2467</v>
      </c>
      <c r="U93" s="42"/>
      <c r="V93" s="18">
        <f>+V85+V86+V91+V92+V87</f>
        <v>1042699</v>
      </c>
      <c r="W93" s="18">
        <f>+W85+W86+W91+W92+W87</f>
        <v>1010363</v>
      </c>
      <c r="X93" s="18">
        <f>+X85+X86+X91+X92+X87</f>
        <v>32336</v>
      </c>
    </row>
    <row r="94" spans="1:24" ht="15">
      <c r="A94" s="4"/>
      <c r="B94" s="24"/>
      <c r="C94" s="11"/>
      <c r="D94" s="18"/>
      <c r="E94" s="18"/>
      <c r="F94" s="18"/>
      <c r="G94" s="18"/>
      <c r="N94" s="42"/>
      <c r="O94" s="42"/>
      <c r="P94" s="42"/>
      <c r="Q94" s="42"/>
      <c r="R94" s="42"/>
      <c r="S94" s="42"/>
      <c r="T94" s="42"/>
      <c r="U94" s="42"/>
      <c r="V94" s="18"/>
      <c r="W94" s="18"/>
      <c r="X94" s="18"/>
    </row>
    <row r="95" spans="1:24" ht="15">
      <c r="A95" s="4"/>
      <c r="B95" s="24"/>
      <c r="C95" s="11"/>
      <c r="D95" s="18"/>
      <c r="E95" s="18"/>
      <c r="F95" s="18"/>
      <c r="G95" s="18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18"/>
      <c r="W95" s="18"/>
      <c r="X95" s="18"/>
    </row>
    <row r="96" spans="1:24" ht="15">
      <c r="A96" s="4"/>
      <c r="B96" s="24"/>
      <c r="C96" s="11"/>
      <c r="D96" s="18"/>
      <c r="E96" s="18"/>
      <c r="F96" s="18"/>
      <c r="G96" s="18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18"/>
      <c r="W96" s="18"/>
      <c r="X96" s="18"/>
    </row>
    <row r="97" spans="1:24" ht="15">
      <c r="A97" s="4"/>
      <c r="B97" s="24"/>
      <c r="C97" s="11"/>
      <c r="D97" s="18"/>
      <c r="E97" s="18"/>
      <c r="F97" s="18"/>
      <c r="G97" s="18"/>
      <c r="H97" s="56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18"/>
      <c r="W97" s="18"/>
      <c r="X97" s="18"/>
    </row>
    <row r="98" spans="1:24" ht="15">
      <c r="A98" s="4"/>
      <c r="B98" s="24"/>
      <c r="C98" s="11"/>
      <c r="D98" s="18"/>
      <c r="E98" s="18"/>
      <c r="F98" s="18"/>
      <c r="G98" s="18"/>
      <c r="H98" s="56"/>
      <c r="I98" s="57" t="s">
        <v>135</v>
      </c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18"/>
      <c r="W98" s="18"/>
      <c r="X98" s="18"/>
    </row>
    <row r="99" spans="1:24" ht="15">
      <c r="A99" s="4"/>
      <c r="B99" s="24"/>
      <c r="C99" s="11"/>
      <c r="D99" s="18"/>
      <c r="E99" s="18"/>
      <c r="F99" s="18"/>
      <c r="G99" s="18"/>
      <c r="H99" s="56"/>
      <c r="I99" s="58"/>
      <c r="L99" s="42"/>
      <c r="T99" s="42"/>
      <c r="U99" s="42"/>
      <c r="V99" s="18"/>
      <c r="W99" s="18"/>
      <c r="X99" s="18"/>
    </row>
    <row r="100" spans="1:24" ht="15">
      <c r="A100" s="4"/>
      <c r="B100" s="24"/>
      <c r="C100" s="11"/>
      <c r="D100" s="18"/>
      <c r="E100" s="18"/>
      <c r="F100" s="18"/>
      <c r="G100" s="18"/>
      <c r="H100" s="56"/>
      <c r="I100" s="59" t="s">
        <v>136</v>
      </c>
      <c r="L100" s="18">
        <v>5812340</v>
      </c>
      <c r="T100" s="42"/>
      <c r="U100" s="42"/>
      <c r="V100" s="18"/>
      <c r="W100" s="18"/>
      <c r="X100" s="18"/>
    </row>
    <row r="101" spans="1:24" ht="15">
      <c r="A101" s="4"/>
      <c r="B101" s="24"/>
      <c r="C101" s="11"/>
      <c r="D101" s="18"/>
      <c r="E101" s="18"/>
      <c r="F101" s="18"/>
      <c r="G101" s="18"/>
      <c r="H101" s="56"/>
      <c r="I101" s="59"/>
      <c r="L101" s="18"/>
      <c r="T101" s="42"/>
      <c r="U101" s="42"/>
      <c r="V101" s="18"/>
      <c r="W101" s="18"/>
      <c r="X101" s="18"/>
    </row>
    <row r="102" spans="1:24" ht="15">
      <c r="A102" s="4"/>
      <c r="B102" s="24"/>
      <c r="C102" s="11"/>
      <c r="D102" s="44" t="s">
        <v>137</v>
      </c>
      <c r="E102" s="18"/>
      <c r="F102" s="10" t="s">
        <v>138</v>
      </c>
      <c r="G102" s="44" t="s">
        <v>24</v>
      </c>
      <c r="H102" s="56"/>
      <c r="I102" s="59" t="s">
        <v>139</v>
      </c>
      <c r="L102" s="18">
        <v>495532</v>
      </c>
      <c r="N102" s="6" t="s">
        <v>137</v>
      </c>
      <c r="O102" s="6" t="s">
        <v>137</v>
      </c>
      <c r="P102" s="42"/>
      <c r="Q102" s="6" t="s">
        <v>138</v>
      </c>
      <c r="R102" s="6" t="s">
        <v>138</v>
      </c>
      <c r="S102" s="6"/>
      <c r="T102" s="42"/>
      <c r="U102" s="42"/>
      <c r="V102" s="18"/>
      <c r="W102" s="18"/>
      <c r="X102" s="18"/>
    </row>
    <row r="103" spans="1:24" ht="15">
      <c r="A103" s="4"/>
      <c r="B103" s="24"/>
      <c r="C103" s="11"/>
      <c r="D103" s="18"/>
      <c r="E103" s="18"/>
      <c r="F103" s="18"/>
      <c r="G103" s="18"/>
      <c r="H103" s="56"/>
      <c r="I103" s="59"/>
      <c r="L103" s="18"/>
      <c r="N103" s="8" t="s">
        <v>140</v>
      </c>
      <c r="O103" s="49" t="s">
        <v>141</v>
      </c>
      <c r="P103" s="42"/>
      <c r="Q103" s="8" t="s">
        <v>140</v>
      </c>
      <c r="R103" s="49" t="s">
        <v>141</v>
      </c>
      <c r="S103" s="49"/>
      <c r="T103" s="42"/>
      <c r="U103" s="42"/>
      <c r="V103" s="18"/>
      <c r="W103" s="18"/>
      <c r="X103" s="18"/>
    </row>
    <row r="104" spans="1:24" ht="15">
      <c r="A104" s="4">
        <f>+A92+1</f>
        <v>38</v>
      </c>
      <c r="B104" s="5" t="s">
        <v>36</v>
      </c>
      <c r="C104" s="17" t="s">
        <v>37</v>
      </c>
      <c r="D104" s="31">
        <f>+V45+V83</f>
        <v>8017063</v>
      </c>
      <c r="E104" s="18"/>
      <c r="F104" s="31">
        <f>+W45+W83</f>
        <v>6139135</v>
      </c>
      <c r="G104" s="18">
        <f>+D104-F104</f>
        <v>1877928</v>
      </c>
      <c r="H104" s="56"/>
      <c r="I104" s="59" t="s">
        <v>142</v>
      </c>
      <c r="J104" s="18"/>
      <c r="K104" s="18"/>
      <c r="L104" s="36">
        <f>+F20</f>
        <v>4795004</v>
      </c>
      <c r="N104" s="60"/>
      <c r="O104" s="6"/>
      <c r="P104" s="42"/>
      <c r="Q104" s="61"/>
      <c r="R104" s="61"/>
      <c r="S104" s="61"/>
      <c r="T104" s="42"/>
      <c r="U104" s="42"/>
      <c r="V104" s="18"/>
      <c r="W104" s="18"/>
      <c r="X104" s="18"/>
    </row>
    <row r="105" spans="1:21" ht="15">
      <c r="A105" s="4">
        <f>+A104+1</f>
        <v>39</v>
      </c>
      <c r="B105" s="5" t="s">
        <v>36</v>
      </c>
      <c r="C105" s="22" t="s">
        <v>38</v>
      </c>
      <c r="D105" s="31">
        <f>+V46+V84</f>
        <v>8013415</v>
      </c>
      <c r="E105" s="18"/>
      <c r="F105" s="31">
        <f>+W46+W84</f>
        <v>5991695</v>
      </c>
      <c r="G105" s="18">
        <f>+D105-F105</f>
        <v>2021720</v>
      </c>
      <c r="H105" s="56"/>
      <c r="I105" s="58"/>
      <c r="J105" s="18"/>
      <c r="K105" s="18"/>
      <c r="L105" s="60"/>
      <c r="N105" s="62">
        <f>+D106</f>
        <v>3648</v>
      </c>
      <c r="O105" s="63">
        <f>+D112</f>
        <v>7199615</v>
      </c>
      <c r="P105" s="42"/>
      <c r="Q105" s="31">
        <f>+F12</f>
        <v>141604</v>
      </c>
      <c r="R105" s="31">
        <f>+F14</f>
        <v>0</v>
      </c>
      <c r="S105" s="31"/>
      <c r="T105" s="42"/>
      <c r="U105" s="42"/>
    </row>
    <row r="106" spans="1:25" ht="15">
      <c r="A106" s="4">
        <f>+A105+1</f>
        <v>40</v>
      </c>
      <c r="B106" s="24" t="s">
        <v>46</v>
      </c>
      <c r="C106" s="40" t="s">
        <v>78</v>
      </c>
      <c r="D106" s="26">
        <f>+D104-D105</f>
        <v>3648</v>
      </c>
      <c r="E106" s="18"/>
      <c r="F106" s="26">
        <f>+F104-F105</f>
        <v>147440</v>
      </c>
      <c r="G106" s="18">
        <f>+G104-G105</f>
        <v>-143792</v>
      </c>
      <c r="H106" s="56"/>
      <c r="I106" s="58" t="s">
        <v>143</v>
      </c>
      <c r="J106" s="18"/>
      <c r="K106" s="18"/>
      <c r="L106">
        <v>0</v>
      </c>
      <c r="N106" s="62">
        <f>+D107</f>
        <v>0</v>
      </c>
      <c r="O106" s="63">
        <f>+D113</f>
        <v>0</v>
      </c>
      <c r="P106" s="42"/>
      <c r="Q106" s="31">
        <f>+F13</f>
        <v>0</v>
      </c>
      <c r="R106" s="31">
        <f>+F18</f>
        <v>4653400</v>
      </c>
      <c r="S106" s="31"/>
      <c r="U106" s="18"/>
      <c r="V106" s="10" t="s">
        <v>20</v>
      </c>
      <c r="W106" s="10" t="s">
        <v>21</v>
      </c>
      <c r="X106" s="10" t="s">
        <v>22</v>
      </c>
      <c r="Y106" s="18"/>
    </row>
    <row r="107" spans="1:25" ht="28.5">
      <c r="A107" s="4">
        <f>+A106+1</f>
        <v>41</v>
      </c>
      <c r="B107" s="88" t="s">
        <v>182</v>
      </c>
      <c r="C107" s="11"/>
      <c r="D107" s="26">
        <f>+V48+V86</f>
        <v>0</v>
      </c>
      <c r="E107" s="26"/>
      <c r="F107" s="26">
        <f>+W48+W86</f>
        <v>0</v>
      </c>
      <c r="G107" s="18">
        <f>+D107-F107</f>
        <v>0</v>
      </c>
      <c r="H107" s="56"/>
      <c r="I107" s="58"/>
      <c r="J107" s="18"/>
      <c r="K107" s="18"/>
      <c r="L107" s="60" t="s">
        <v>144</v>
      </c>
      <c r="N107" s="62">
        <f>+F106</f>
        <v>147440</v>
      </c>
      <c r="O107" s="63">
        <f>+F112</f>
        <v>5213397</v>
      </c>
      <c r="P107" s="42"/>
      <c r="R107" s="31">
        <f>+F19</f>
        <v>0</v>
      </c>
      <c r="S107" s="31"/>
      <c r="U107" s="18"/>
      <c r="Y107" s="18"/>
    </row>
    <row r="108" spans="1:25" ht="24.75">
      <c r="A108" s="4">
        <f>+A107+1</f>
        <v>42</v>
      </c>
      <c r="B108" s="89" t="s">
        <v>39</v>
      </c>
      <c r="C108" s="40"/>
      <c r="D108" s="30">
        <f>+V49+V87</f>
        <v>-876093</v>
      </c>
      <c r="E108" s="30"/>
      <c r="F108" s="30">
        <f>+W49+W87</f>
        <v>444530</v>
      </c>
      <c r="G108" s="18">
        <f>+D108-F108</f>
        <v>-1320623</v>
      </c>
      <c r="H108" s="56"/>
      <c r="I108" s="64" t="s">
        <v>145</v>
      </c>
      <c r="J108" s="18"/>
      <c r="K108" s="18"/>
      <c r="L108" s="31">
        <f>+L100-L102-L104-L106</f>
        <v>521804</v>
      </c>
      <c r="N108" s="62">
        <f>+F107</f>
        <v>0</v>
      </c>
      <c r="O108" s="63">
        <f>+F113</f>
        <v>0</v>
      </c>
      <c r="P108" s="42"/>
      <c r="Q108" s="31"/>
      <c r="R108" s="31"/>
      <c r="S108" s="31"/>
      <c r="U108" s="65"/>
      <c r="V108" s="66"/>
      <c r="W108" s="66"/>
      <c r="X108" s="65"/>
      <c r="Y108" s="65"/>
    </row>
    <row r="109" spans="1:25" ht="15">
      <c r="A109" s="6" t="s">
        <v>41</v>
      </c>
      <c r="B109" s="41"/>
      <c r="C109" s="40"/>
      <c r="D109" s="18"/>
      <c r="E109" s="18"/>
      <c r="F109" s="18"/>
      <c r="G109" s="18"/>
      <c r="H109" s="56"/>
      <c r="I109" s="58"/>
      <c r="J109" s="18"/>
      <c r="K109" s="18"/>
      <c r="N109" s="62">
        <f>+F12</f>
        <v>141604</v>
      </c>
      <c r="O109" s="63">
        <f>+F18</f>
        <v>4653400</v>
      </c>
      <c r="P109" s="42"/>
      <c r="Q109" s="31"/>
      <c r="U109" s="65"/>
      <c r="V109" s="67"/>
      <c r="W109" s="67"/>
      <c r="X109" s="68"/>
      <c r="Y109" s="65"/>
    </row>
    <row r="110" spans="1:25" ht="15">
      <c r="A110" s="4">
        <f>+A108+1</f>
        <v>43</v>
      </c>
      <c r="B110" s="5" t="s">
        <v>42</v>
      </c>
      <c r="C110" s="22" t="s">
        <v>38</v>
      </c>
      <c r="D110" s="31">
        <f>+V51+V89</f>
        <v>7199968</v>
      </c>
      <c r="E110" s="18"/>
      <c r="F110" s="31">
        <f>+W51+W89</f>
        <v>5213748</v>
      </c>
      <c r="G110" s="18">
        <f>+D110-F110</f>
        <v>1986220</v>
      </c>
      <c r="H110" s="56"/>
      <c r="I110" s="59" t="s">
        <v>22</v>
      </c>
      <c r="J110" s="18"/>
      <c r="K110" s="18"/>
      <c r="L110" s="30">
        <f>+X115</f>
        <v>521803</v>
      </c>
      <c r="N110" s="62"/>
      <c r="O110" s="63">
        <f>+D108</f>
        <v>-876093</v>
      </c>
      <c r="P110" s="42"/>
      <c r="Q110" s="31"/>
      <c r="R110" s="31"/>
      <c r="S110" s="31"/>
      <c r="T110" s="69" t="s">
        <v>78</v>
      </c>
      <c r="U110" s="65"/>
      <c r="V110" s="26">
        <f>+D106+D107-F106-F107+F12</f>
        <v>-2188</v>
      </c>
      <c r="W110" s="26">
        <f>+F12+F13</f>
        <v>141604</v>
      </c>
      <c r="X110" s="26">
        <f>+V110-W110</f>
        <v>-143792</v>
      </c>
      <c r="Y110" s="65"/>
    </row>
    <row r="111" spans="1:25" ht="15">
      <c r="A111" s="4">
        <f>+A110+1</f>
        <v>44</v>
      </c>
      <c r="B111" s="5" t="s">
        <v>43</v>
      </c>
      <c r="C111" s="11"/>
      <c r="D111" s="31">
        <f>+V52+V90</f>
        <v>353</v>
      </c>
      <c r="E111" s="18"/>
      <c r="F111" s="31">
        <f>+W52+W90</f>
        <v>351</v>
      </c>
      <c r="G111" s="18">
        <f>+D111-F111</f>
        <v>2</v>
      </c>
      <c r="H111" s="56"/>
      <c r="I111" s="59"/>
      <c r="J111" s="18"/>
      <c r="K111" s="18"/>
      <c r="L111" s="60" t="s">
        <v>144</v>
      </c>
      <c r="O111" s="63">
        <f>+F108</f>
        <v>444530</v>
      </c>
      <c r="P111" s="42"/>
      <c r="Q111" s="31"/>
      <c r="R111" s="31"/>
      <c r="S111" s="31"/>
      <c r="T111" s="11" t="s">
        <v>146</v>
      </c>
      <c r="U111" s="65"/>
      <c r="V111" s="30">
        <f>+D112+D113-F112-F113+F18+D108-F108+F14</f>
        <v>5318995</v>
      </c>
      <c r="W111" s="30">
        <f>+F14+F18+F19</f>
        <v>4653400</v>
      </c>
      <c r="X111" s="30">
        <f>+V111-W111</f>
        <v>665595</v>
      </c>
      <c r="Y111" s="65"/>
    </row>
    <row r="112" spans="1:25" ht="26.25">
      <c r="A112" s="4">
        <f>+A111+1</f>
        <v>45</v>
      </c>
      <c r="B112" s="24" t="s">
        <v>79</v>
      </c>
      <c r="C112" s="11"/>
      <c r="D112" s="30">
        <f>+D110-D111</f>
        <v>7199615</v>
      </c>
      <c r="E112" s="18"/>
      <c r="F112" s="30">
        <f>+F110-F111</f>
        <v>5213397</v>
      </c>
      <c r="G112" s="18">
        <f>+G110-G111</f>
        <v>1986218</v>
      </c>
      <c r="H112" s="56"/>
      <c r="I112" s="58"/>
      <c r="J112" s="18"/>
      <c r="K112" s="18"/>
      <c r="N112" s="62"/>
      <c r="O112" s="63">
        <f>+F14</f>
        <v>0</v>
      </c>
      <c r="P112" s="42"/>
      <c r="Q112" s="31"/>
      <c r="R112" s="31"/>
      <c r="S112" s="31"/>
      <c r="T112" s="11"/>
      <c r="U112" s="65"/>
      <c r="V112" s="30"/>
      <c r="W112" s="30"/>
      <c r="X112" s="30"/>
      <c r="Y112" s="65"/>
    </row>
    <row r="113" spans="1:25" ht="28.5">
      <c r="A113" s="4">
        <f>+A112+1</f>
        <v>46</v>
      </c>
      <c r="B113" s="88" t="s">
        <v>181</v>
      </c>
      <c r="C113" s="11"/>
      <c r="D113" s="30">
        <f>+V54+V92</f>
        <v>0</v>
      </c>
      <c r="E113" s="30"/>
      <c r="F113" s="30">
        <f>+W54+W92</f>
        <v>0</v>
      </c>
      <c r="G113" s="18">
        <f>+D113-F113</f>
        <v>0</v>
      </c>
      <c r="H113" s="56"/>
      <c r="N113" s="62"/>
      <c r="O113" s="62"/>
      <c r="P113" s="42"/>
      <c r="Q113" s="31"/>
      <c r="R113" s="31"/>
      <c r="S113" s="31"/>
      <c r="T113" s="11"/>
      <c r="U113" s="65"/>
      <c r="V113" s="30"/>
      <c r="W113" s="30"/>
      <c r="X113" s="30"/>
      <c r="Y113" s="65"/>
    </row>
    <row r="114" spans="1:25" ht="15">
      <c r="A114" s="4">
        <f>+A113+1</f>
        <v>47</v>
      </c>
      <c r="B114" s="24" t="s">
        <v>46</v>
      </c>
      <c r="C114" s="11" t="s">
        <v>47</v>
      </c>
      <c r="D114" s="18">
        <f>+D106+D107+D112+D113+D108</f>
        <v>6327170</v>
      </c>
      <c r="E114" s="18"/>
      <c r="F114" s="18">
        <f>+F106+F107+F112+F113+F108</f>
        <v>5805367</v>
      </c>
      <c r="G114" s="18">
        <f>+G106+G107+G112+G113+G108</f>
        <v>521803</v>
      </c>
      <c r="H114" s="56"/>
      <c r="I114" s="59" t="s">
        <v>147</v>
      </c>
      <c r="J114" s="18"/>
      <c r="K114" s="18"/>
      <c r="L114" s="36">
        <f>+L108-L110</f>
        <v>1</v>
      </c>
      <c r="N114" s="70">
        <f>+N105+N106-N107-N108+N109</f>
        <v>-2188</v>
      </c>
      <c r="O114" s="71">
        <f>+O105+O106-O107-O108+O109+O110-O111+O112</f>
        <v>5318995</v>
      </c>
      <c r="P114" s="42"/>
      <c r="Q114" s="26">
        <f>SUM(Q105:Q106)</f>
        <v>141604</v>
      </c>
      <c r="R114" s="30">
        <f>SUM(R105:R108)</f>
        <v>4653400</v>
      </c>
      <c r="S114" s="30"/>
      <c r="T114" s="11"/>
      <c r="U114" s="65"/>
      <c r="V114" s="30"/>
      <c r="W114" s="30"/>
      <c r="X114" s="30"/>
      <c r="Y114" s="65"/>
    </row>
    <row r="115" spans="1:25" ht="15">
      <c r="A115" s="4"/>
      <c r="B115" s="24"/>
      <c r="C115" s="11"/>
      <c r="D115" s="18"/>
      <c r="E115" s="18"/>
      <c r="F115" s="18"/>
      <c r="G115" s="18"/>
      <c r="H115" s="56"/>
      <c r="L115" s="60" t="s">
        <v>148</v>
      </c>
      <c r="M115" s="42"/>
      <c r="N115" s="42"/>
      <c r="O115" s="42"/>
      <c r="P115" s="42"/>
      <c r="Q115" s="42"/>
      <c r="R115" s="42"/>
      <c r="S115" s="42"/>
      <c r="T115" s="10" t="s">
        <v>22</v>
      </c>
      <c r="U115" s="65"/>
      <c r="V115" s="36"/>
      <c r="W115" s="36"/>
      <c r="X115" s="36">
        <f>+X110+X111</f>
        <v>521803</v>
      </c>
      <c r="Y115" s="65"/>
    </row>
    <row r="116" spans="1:25" ht="15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6" ht="15">
      <c r="A117" s="4"/>
      <c r="B117"/>
      <c r="F117"/>
    </row>
    <row r="118" spans="1:6" ht="15">
      <c r="A118" s="4"/>
      <c r="B118"/>
      <c r="F118"/>
    </row>
    <row r="119" spans="1:6" ht="15">
      <c r="A119" s="4"/>
      <c r="B119"/>
      <c r="F119"/>
    </row>
    <row r="120" spans="1:6" ht="15">
      <c r="A120" s="4"/>
      <c r="B120"/>
      <c r="F120"/>
    </row>
    <row r="121" spans="1:25" ht="15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6" ht="15">
      <c r="A122" s="4" t="s">
        <v>0</v>
      </c>
      <c r="B122" s="5"/>
      <c r="C122" s="6" t="s">
        <v>1</v>
      </c>
      <c r="F122"/>
    </row>
    <row r="123" spans="1:6" ht="15">
      <c r="A123" s="4"/>
      <c r="B123" s="5"/>
      <c r="C123" s="6" t="s">
        <v>2</v>
      </c>
      <c r="F123"/>
    </row>
    <row r="124" spans="1:6" ht="15">
      <c r="A124" s="4"/>
      <c r="B124" s="5"/>
      <c r="C124" s="7" t="s">
        <v>149</v>
      </c>
      <c r="F124"/>
    </row>
    <row r="125" spans="1:6" ht="15">
      <c r="A125" s="4"/>
      <c r="B125" s="5"/>
      <c r="C125" s="8"/>
      <c r="F125"/>
    </row>
    <row r="126" spans="1:25" ht="15">
      <c r="A126" s="4"/>
      <c r="B126" s="5"/>
      <c r="C126" s="9"/>
      <c r="D126" s="10" t="s">
        <v>4</v>
      </c>
      <c r="E126" s="10"/>
      <c r="F126" s="10" t="s">
        <v>5</v>
      </c>
      <c r="G126" s="10" t="s">
        <v>6</v>
      </c>
      <c r="H126" s="10"/>
      <c r="I126" s="10" t="s">
        <v>7</v>
      </c>
      <c r="J126" s="10" t="s">
        <v>8</v>
      </c>
      <c r="K126" s="10" t="s">
        <v>9</v>
      </c>
      <c r="L126" s="10" t="s">
        <v>10</v>
      </c>
      <c r="M126" s="10" t="s">
        <v>11</v>
      </c>
      <c r="N126" s="10" t="s">
        <v>12</v>
      </c>
      <c r="O126" s="10" t="s">
        <v>13</v>
      </c>
      <c r="P126" s="10"/>
      <c r="Q126" s="10" t="s">
        <v>14</v>
      </c>
      <c r="R126" s="10" t="s">
        <v>15</v>
      </c>
      <c r="S126" s="10"/>
      <c r="T126" s="10" t="s">
        <v>16</v>
      </c>
      <c r="U126" s="10"/>
      <c r="V126" s="10" t="s">
        <v>17</v>
      </c>
      <c r="W126" s="10" t="s">
        <v>18</v>
      </c>
      <c r="X126" s="10" t="s">
        <v>19</v>
      </c>
      <c r="Y126" s="10"/>
    </row>
    <row r="127" spans="1:24" ht="15">
      <c r="A127" s="4"/>
      <c r="B127" s="87" t="s">
        <v>174</v>
      </c>
      <c r="C127" s="5"/>
      <c r="D127" s="10" t="s">
        <v>20</v>
      </c>
      <c r="E127" s="10"/>
      <c r="F127" s="10" t="s">
        <v>21</v>
      </c>
      <c r="G127" s="10" t="s">
        <v>22</v>
      </c>
      <c r="I127" s="10" t="s">
        <v>20</v>
      </c>
      <c r="J127" s="10" t="s">
        <v>20</v>
      </c>
      <c r="K127" s="10" t="s">
        <v>20</v>
      </c>
      <c r="L127" s="10" t="s">
        <v>20</v>
      </c>
      <c r="M127" s="10" t="s">
        <v>20</v>
      </c>
      <c r="N127" s="10" t="s">
        <v>20</v>
      </c>
      <c r="O127" s="10" t="s">
        <v>20</v>
      </c>
      <c r="Q127" s="10" t="s">
        <v>20</v>
      </c>
      <c r="R127" s="10" t="s">
        <v>20</v>
      </c>
      <c r="S127" s="10"/>
      <c r="T127" s="10" t="s">
        <v>20</v>
      </c>
      <c r="V127" s="10" t="s">
        <v>20</v>
      </c>
      <c r="W127" s="10" t="s">
        <v>20</v>
      </c>
      <c r="X127" s="10" t="s">
        <v>20</v>
      </c>
    </row>
    <row r="128" spans="1:24" ht="42.75">
      <c r="A128" s="4"/>
      <c r="B128" s="5"/>
      <c r="C128" s="11"/>
      <c r="D128" s="12" t="s">
        <v>23</v>
      </c>
      <c r="E128" s="13"/>
      <c r="F128" s="12" t="s">
        <v>175</v>
      </c>
      <c r="G128" s="13" t="s">
        <v>24</v>
      </c>
      <c r="I128" s="13" t="s">
        <v>25</v>
      </c>
      <c r="J128" s="8" t="s">
        <v>26</v>
      </c>
      <c r="K128" s="13" t="s">
        <v>27</v>
      </c>
      <c r="L128" s="13" t="s">
        <v>28</v>
      </c>
      <c r="M128" s="13" t="s">
        <v>29</v>
      </c>
      <c r="N128" s="13" t="s">
        <v>30</v>
      </c>
      <c r="O128" s="13" t="s">
        <v>31</v>
      </c>
      <c r="Q128" s="14">
        <v>4470115</v>
      </c>
      <c r="R128" s="13" t="s">
        <v>32</v>
      </c>
      <c r="S128" s="13"/>
      <c r="T128" s="14">
        <v>4470119</v>
      </c>
      <c r="V128" s="8" t="s">
        <v>33</v>
      </c>
      <c r="W128" s="8" t="s">
        <v>34</v>
      </c>
      <c r="X128" s="8" t="s">
        <v>35</v>
      </c>
    </row>
    <row r="129" spans="1:23" ht="15">
      <c r="A129" s="4"/>
      <c r="B129" s="5"/>
      <c r="C129" s="11"/>
      <c r="D129" s="13"/>
      <c r="E129" s="13"/>
      <c r="F129" s="13"/>
      <c r="G129" s="15"/>
      <c r="I129" s="13"/>
      <c r="J129" s="13"/>
      <c r="K129" s="13"/>
      <c r="L129" s="13"/>
      <c r="M129" s="13"/>
      <c r="N129" s="13"/>
      <c r="O129" s="13"/>
      <c r="Q129" s="14"/>
      <c r="R129" s="13"/>
      <c r="S129" s="14"/>
      <c r="T129" s="16"/>
      <c r="V129" s="14"/>
      <c r="W129" s="13"/>
    </row>
    <row r="130" spans="1:25" ht="15">
      <c r="A130" s="4">
        <v>1</v>
      </c>
      <c r="B130" s="5" t="s">
        <v>36</v>
      </c>
      <c r="C130" s="17" t="s">
        <v>37</v>
      </c>
      <c r="D130" s="18">
        <v>5578920</v>
      </c>
      <c r="E130" s="19"/>
      <c r="F130" s="20">
        <v>4669994</v>
      </c>
      <c r="G130" s="21">
        <f>+D130-F130</f>
        <v>908926</v>
      </c>
      <c r="H130" s="18"/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/>
      <c r="Q130" s="18">
        <v>0</v>
      </c>
      <c r="R130" s="18">
        <v>0</v>
      </c>
      <c r="S130" s="18"/>
      <c r="T130" s="18">
        <v>0</v>
      </c>
      <c r="U130" s="18"/>
      <c r="V130" s="18">
        <v>0</v>
      </c>
      <c r="W130" s="18">
        <v>0</v>
      </c>
      <c r="X130" s="18">
        <v>0</v>
      </c>
      <c r="Y130" s="18"/>
    </row>
    <row r="131" spans="1:25" ht="15">
      <c r="A131" s="4">
        <f>+A130+1</f>
        <v>2</v>
      </c>
      <c r="B131" s="5" t="s">
        <v>36</v>
      </c>
      <c r="C131" s="22" t="s">
        <v>38</v>
      </c>
      <c r="D131" s="18">
        <v>5581348</v>
      </c>
      <c r="E131" s="19"/>
      <c r="F131" s="23">
        <v>4653400</v>
      </c>
      <c r="G131" s="21">
        <f>+D131-F131</f>
        <v>927948</v>
      </c>
      <c r="H131" s="18"/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/>
      <c r="Q131" s="18">
        <v>0</v>
      </c>
      <c r="R131" s="18">
        <v>0</v>
      </c>
      <c r="S131" s="18"/>
      <c r="T131" s="18">
        <v>0</v>
      </c>
      <c r="U131" s="18"/>
      <c r="V131" s="18">
        <v>0</v>
      </c>
      <c r="W131" s="18">
        <v>0</v>
      </c>
      <c r="X131" s="18">
        <v>0</v>
      </c>
      <c r="Y131" s="18"/>
    </row>
    <row r="132" spans="1:25" ht="22.5">
      <c r="A132" s="4">
        <f>+A131+1</f>
        <v>3</v>
      </c>
      <c r="B132" s="24" t="s">
        <v>176</v>
      </c>
      <c r="C132" s="25" t="s">
        <v>177</v>
      </c>
      <c r="D132" s="18">
        <f>+D130-D131</f>
        <v>-2428</v>
      </c>
      <c r="E132" s="19"/>
      <c r="F132" s="26">
        <f>+F130-F131</f>
        <v>16594</v>
      </c>
      <c r="G132" s="18">
        <f>+G130-G131</f>
        <v>-19022</v>
      </c>
      <c r="H132" s="18"/>
      <c r="I132" s="18">
        <f aca="true" t="shared" si="15" ref="I132:O132">+I130-I131</f>
        <v>0</v>
      </c>
      <c r="J132" s="18">
        <f t="shared" si="15"/>
        <v>0</v>
      </c>
      <c r="K132" s="18">
        <f t="shared" si="15"/>
        <v>0</v>
      </c>
      <c r="L132" s="18">
        <f t="shared" si="15"/>
        <v>0</v>
      </c>
      <c r="M132" s="18">
        <f t="shared" si="15"/>
        <v>0</v>
      </c>
      <c r="N132" s="18">
        <f t="shared" si="15"/>
        <v>0</v>
      </c>
      <c r="O132" s="18">
        <f t="shared" si="15"/>
        <v>0</v>
      </c>
      <c r="P132" s="18"/>
      <c r="Q132" s="18">
        <f>+Q130-Q131</f>
        <v>0</v>
      </c>
      <c r="R132" s="18">
        <f>+R130-R131</f>
        <v>0</v>
      </c>
      <c r="S132" s="18"/>
      <c r="T132" s="18">
        <f>+T130-T131</f>
        <v>0</v>
      </c>
      <c r="U132" s="18"/>
      <c r="V132" s="18">
        <f>+V130-V131</f>
        <v>0</v>
      </c>
      <c r="W132" s="18">
        <f>+W130-W131</f>
        <v>0</v>
      </c>
      <c r="X132" s="18">
        <f>+X130-X131</f>
        <v>0</v>
      </c>
      <c r="Y132" s="18"/>
    </row>
    <row r="133" spans="1:25" ht="28.5">
      <c r="A133" s="4">
        <f>+A132+1</f>
        <v>4</v>
      </c>
      <c r="B133" s="88" t="s">
        <v>178</v>
      </c>
      <c r="C133" s="25" t="s">
        <v>179</v>
      </c>
      <c r="D133" s="18">
        <v>0</v>
      </c>
      <c r="E133" s="19"/>
      <c r="F133" s="26">
        <v>0</v>
      </c>
      <c r="G133" s="18">
        <f>+D133-F133</f>
        <v>0</v>
      </c>
      <c r="H133" s="18"/>
      <c r="I133" s="27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/>
      <c r="Q133" s="18">
        <v>0</v>
      </c>
      <c r="R133" s="18">
        <v>0</v>
      </c>
      <c r="S133" s="18"/>
      <c r="T133" s="18">
        <v>0</v>
      </c>
      <c r="U133" s="18"/>
      <c r="V133" s="18">
        <v>0</v>
      </c>
      <c r="W133" s="18">
        <v>0</v>
      </c>
      <c r="X133" s="18">
        <v>0</v>
      </c>
      <c r="Y133" s="18"/>
    </row>
    <row r="134" spans="1:25" ht="24.75">
      <c r="A134" s="4">
        <f>+A133+1</f>
        <v>5</v>
      </c>
      <c r="B134" s="89" t="s">
        <v>39</v>
      </c>
      <c r="C134" s="28" t="s">
        <v>40</v>
      </c>
      <c r="D134" s="27">
        <v>-21401</v>
      </c>
      <c r="E134" s="29"/>
      <c r="F134" s="30">
        <v>0</v>
      </c>
      <c r="G134" s="31">
        <f>+D134-F134</f>
        <v>-21401</v>
      </c>
      <c r="H134" s="18"/>
      <c r="I134" s="27">
        <v>0</v>
      </c>
      <c r="J134" s="27">
        <v>-154</v>
      </c>
      <c r="K134" s="27">
        <v>0</v>
      </c>
      <c r="L134" s="27">
        <v>160164</v>
      </c>
      <c r="M134" s="18">
        <v>17743</v>
      </c>
      <c r="N134" s="27">
        <v>-91</v>
      </c>
      <c r="O134" s="18">
        <v>-1641</v>
      </c>
      <c r="P134" s="18"/>
      <c r="Q134" s="27">
        <v>-180</v>
      </c>
      <c r="R134" s="27">
        <v>0</v>
      </c>
      <c r="S134" s="27"/>
      <c r="T134" s="27">
        <v>0</v>
      </c>
      <c r="U134" s="27"/>
      <c r="V134" s="27">
        <v>0</v>
      </c>
      <c r="W134" s="27">
        <v>0</v>
      </c>
      <c r="X134" s="27">
        <v>-88722</v>
      </c>
      <c r="Y134" s="18"/>
    </row>
    <row r="135" spans="1:25" ht="15">
      <c r="A135" s="6" t="s">
        <v>41</v>
      </c>
      <c r="B135" s="90"/>
      <c r="C135" s="11"/>
      <c r="D135" s="18"/>
      <c r="E135" s="19"/>
      <c r="F135" s="18"/>
      <c r="G135" s="18"/>
      <c r="H135" s="18"/>
      <c r="I135" s="18"/>
      <c r="J135" s="18"/>
      <c r="K135" s="18"/>
      <c r="L135" s="18"/>
      <c r="M135" s="18"/>
      <c r="N135" s="18"/>
      <c r="O135" s="18" t="s">
        <v>0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5">
      <c r="A136" s="4">
        <f>+A134+1</f>
        <v>6</v>
      </c>
      <c r="B136" s="5" t="s">
        <v>42</v>
      </c>
      <c r="C136" s="22" t="s">
        <v>38</v>
      </c>
      <c r="D136" s="18">
        <v>6850407</v>
      </c>
      <c r="E136" s="19"/>
      <c r="F136" s="23">
        <v>5782372</v>
      </c>
      <c r="G136" s="18">
        <f>+D136-F136</f>
        <v>1068035</v>
      </c>
      <c r="H136" s="18"/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/>
      <c r="Q136" s="18">
        <v>0</v>
      </c>
      <c r="R136" s="18">
        <v>0</v>
      </c>
      <c r="S136" s="18"/>
      <c r="T136" s="18">
        <v>0</v>
      </c>
      <c r="U136" s="18"/>
      <c r="V136" s="18">
        <v>0</v>
      </c>
      <c r="W136" s="18">
        <v>0</v>
      </c>
      <c r="X136" s="18">
        <v>0</v>
      </c>
      <c r="Y136" s="18"/>
    </row>
    <row r="137" spans="1:25" ht="15">
      <c r="A137" s="4">
        <f>+A136+1</f>
        <v>7</v>
      </c>
      <c r="B137" s="5" t="s">
        <v>43</v>
      </c>
      <c r="C137" s="11"/>
      <c r="D137" s="18">
        <v>3750</v>
      </c>
      <c r="E137" s="19"/>
      <c r="F137" s="23">
        <v>4117</v>
      </c>
      <c r="G137" s="18">
        <f>+D137-F137</f>
        <v>-367</v>
      </c>
      <c r="H137" s="18"/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31">
        <v>0</v>
      </c>
      <c r="P137" s="18"/>
      <c r="Q137" s="18">
        <v>0</v>
      </c>
      <c r="R137" s="18">
        <v>0</v>
      </c>
      <c r="S137" s="18"/>
      <c r="T137" s="18">
        <v>0</v>
      </c>
      <c r="U137" s="18"/>
      <c r="V137" s="18">
        <v>0</v>
      </c>
      <c r="W137" s="18">
        <v>0</v>
      </c>
      <c r="X137" s="18">
        <v>0</v>
      </c>
      <c r="Y137" s="18"/>
    </row>
    <row r="138" spans="1:25" ht="35.25">
      <c r="A138" s="4">
        <f>+A137+1</f>
        <v>8</v>
      </c>
      <c r="B138" s="24" t="s">
        <v>180</v>
      </c>
      <c r="C138" s="32" t="s">
        <v>44</v>
      </c>
      <c r="D138" s="33">
        <f>+D136-D137</f>
        <v>6846657</v>
      </c>
      <c r="E138" s="34"/>
      <c r="F138" s="91">
        <f>+F136-F137</f>
        <v>5778255</v>
      </c>
      <c r="G138" s="18">
        <f>+G136-G137</f>
        <v>1068402</v>
      </c>
      <c r="H138" s="18"/>
      <c r="I138" s="18">
        <f aca="true" t="shared" si="16" ref="I138:O138">+I136-I137</f>
        <v>0</v>
      </c>
      <c r="J138" s="18">
        <f t="shared" si="16"/>
        <v>0</v>
      </c>
      <c r="K138" s="18">
        <f t="shared" si="16"/>
        <v>0</v>
      </c>
      <c r="L138" s="18">
        <f t="shared" si="16"/>
        <v>0</v>
      </c>
      <c r="M138" s="18">
        <f t="shared" si="16"/>
        <v>0</v>
      </c>
      <c r="N138" s="18">
        <f t="shared" si="16"/>
        <v>0</v>
      </c>
      <c r="O138" s="18">
        <f t="shared" si="16"/>
        <v>0</v>
      </c>
      <c r="P138" s="18"/>
      <c r="Q138" s="18">
        <f>+Q136-Q137</f>
        <v>0</v>
      </c>
      <c r="R138" s="18">
        <f>+R136-R137</f>
        <v>0</v>
      </c>
      <c r="S138" s="18"/>
      <c r="T138" s="18">
        <f>+T136-T137</f>
        <v>0</v>
      </c>
      <c r="U138" s="18"/>
      <c r="V138" s="18">
        <f>+V136-V137</f>
        <v>0</v>
      </c>
      <c r="W138" s="18">
        <f>+W136-W137</f>
        <v>0</v>
      </c>
      <c r="X138" s="18">
        <f>+X136-X137</f>
        <v>0</v>
      </c>
      <c r="Y138" s="18"/>
    </row>
    <row r="139" spans="1:25" ht="28.5">
      <c r="A139" s="4">
        <f>+A138+1</f>
        <v>9</v>
      </c>
      <c r="B139" s="88" t="s">
        <v>181</v>
      </c>
      <c r="C139" s="35" t="s">
        <v>45</v>
      </c>
      <c r="D139" s="18">
        <v>0</v>
      </c>
      <c r="E139" s="19"/>
      <c r="F139" s="31">
        <v>0</v>
      </c>
      <c r="G139" s="31">
        <f>+D139-F139</f>
        <v>0</v>
      </c>
      <c r="H139" s="18"/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31">
        <v>0</v>
      </c>
      <c r="P139" s="18"/>
      <c r="Q139" s="18">
        <v>0</v>
      </c>
      <c r="R139" s="18">
        <v>0</v>
      </c>
      <c r="S139" s="18"/>
      <c r="T139" s="18">
        <v>0</v>
      </c>
      <c r="U139" s="18"/>
      <c r="V139" s="18">
        <v>0</v>
      </c>
      <c r="W139" s="18">
        <v>0</v>
      </c>
      <c r="X139" s="18">
        <v>0</v>
      </c>
      <c r="Y139" s="18"/>
    </row>
    <row r="140" spans="1:25" ht="15">
      <c r="A140" s="4">
        <f>+A139+1</f>
        <v>10</v>
      </c>
      <c r="B140" s="24" t="s">
        <v>46</v>
      </c>
      <c r="C140" s="11" t="s">
        <v>47</v>
      </c>
      <c r="D140" s="36">
        <f>+D132+D133+D134+D138+D139</f>
        <v>6822828</v>
      </c>
      <c r="E140" s="19"/>
      <c r="F140" s="36">
        <f>+F132+F133+F134+F138+F139</f>
        <v>5794849</v>
      </c>
      <c r="G140" s="18">
        <f>+G132+G133+G138+G139+G134</f>
        <v>1027979</v>
      </c>
      <c r="H140" s="18"/>
      <c r="I140" s="18">
        <f aca="true" t="shared" si="17" ref="I140:O140">+I132+I133+I138+I139+I134</f>
        <v>0</v>
      </c>
      <c r="J140" s="21">
        <f t="shared" si="17"/>
        <v>-154</v>
      </c>
      <c r="K140" s="18">
        <f t="shared" si="17"/>
        <v>0</v>
      </c>
      <c r="L140" s="18">
        <f t="shared" si="17"/>
        <v>160164</v>
      </c>
      <c r="M140" s="18">
        <f t="shared" si="17"/>
        <v>17743</v>
      </c>
      <c r="N140" s="18">
        <f t="shared" si="17"/>
        <v>-91</v>
      </c>
      <c r="O140" s="18">
        <f t="shared" si="17"/>
        <v>-1641</v>
      </c>
      <c r="P140" s="18"/>
      <c r="Q140" s="18">
        <f>+Q132+Q133+Q138+Q139+Q134</f>
        <v>-180</v>
      </c>
      <c r="R140" s="18">
        <f>+R132+R133+R138+R139+R134</f>
        <v>0</v>
      </c>
      <c r="S140" s="18"/>
      <c r="T140" s="18">
        <f>+T132+T133+T138+T139+T134</f>
        <v>0</v>
      </c>
      <c r="U140" s="18"/>
      <c r="V140" s="18">
        <f>+V132+V133+V138+V139+V134</f>
        <v>0</v>
      </c>
      <c r="W140" s="18">
        <f>+W132+W133+W138+W139+W134</f>
        <v>0</v>
      </c>
      <c r="X140" s="18">
        <f>+X132+X133+X138+X139+X134</f>
        <v>-88722</v>
      </c>
      <c r="Y140" s="18"/>
    </row>
    <row r="141" spans="1:25" ht="15">
      <c r="A141" s="4"/>
      <c r="B141" s="24"/>
      <c r="C141" s="11"/>
      <c r="D141" s="18"/>
      <c r="E141" s="18"/>
      <c r="F141" s="36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">
      <c r="A142" s="4"/>
      <c r="B142" s="24"/>
      <c r="C142" s="37"/>
      <c r="D142" s="18">
        <f>707695+993669+371831+4749633</f>
        <v>6822828</v>
      </c>
      <c r="E142" s="18"/>
      <c r="F142" s="36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">
      <c r="A143" s="4"/>
      <c r="B143" s="24"/>
      <c r="C143" s="11"/>
      <c r="D143" s="6" t="s">
        <v>48</v>
      </c>
      <c r="E143" s="6"/>
      <c r="F143" s="10" t="s">
        <v>49</v>
      </c>
      <c r="G143" s="10" t="s">
        <v>50</v>
      </c>
      <c r="I143" s="10" t="s">
        <v>51</v>
      </c>
      <c r="J143" s="10" t="s">
        <v>52</v>
      </c>
      <c r="K143" s="10" t="s">
        <v>53</v>
      </c>
      <c r="L143" s="10" t="s">
        <v>54</v>
      </c>
      <c r="M143" s="10" t="s">
        <v>55</v>
      </c>
      <c r="N143" s="10" t="s">
        <v>56</v>
      </c>
      <c r="O143" s="10" t="s">
        <v>57</v>
      </c>
      <c r="P143" s="18"/>
      <c r="Q143" s="10" t="s">
        <v>58</v>
      </c>
      <c r="R143" s="10" t="s">
        <v>59</v>
      </c>
      <c r="S143" s="10"/>
      <c r="T143" s="10" t="s">
        <v>60</v>
      </c>
      <c r="U143" s="18"/>
      <c r="V143" s="10" t="s">
        <v>61</v>
      </c>
      <c r="W143" s="10" t="s">
        <v>62</v>
      </c>
      <c r="X143" s="10" t="s">
        <v>63</v>
      </c>
      <c r="Y143" s="18"/>
    </row>
    <row r="144" spans="1:25" ht="15">
      <c r="A144" s="4"/>
      <c r="B144"/>
      <c r="C144" s="11"/>
      <c r="D144" s="10" t="s">
        <v>20</v>
      </c>
      <c r="E144" s="38"/>
      <c r="F144" s="10" t="s">
        <v>20</v>
      </c>
      <c r="G144" s="10" t="s">
        <v>20</v>
      </c>
      <c r="I144" s="10" t="s">
        <v>20</v>
      </c>
      <c r="J144" s="10" t="s">
        <v>20</v>
      </c>
      <c r="K144" s="10" t="s">
        <v>20</v>
      </c>
      <c r="L144" s="10" t="s">
        <v>20</v>
      </c>
      <c r="M144" s="10" t="s">
        <v>20</v>
      </c>
      <c r="N144" s="10" t="s">
        <v>20</v>
      </c>
      <c r="O144" s="10" t="s">
        <v>20</v>
      </c>
      <c r="P144" s="18"/>
      <c r="Q144" s="10" t="s">
        <v>20</v>
      </c>
      <c r="R144" s="10" t="s">
        <v>20</v>
      </c>
      <c r="S144" s="14"/>
      <c r="T144" s="10" t="s">
        <v>20</v>
      </c>
      <c r="U144" s="18"/>
      <c r="W144" s="39" t="s">
        <v>64</v>
      </c>
      <c r="Y144" s="18"/>
    </row>
    <row r="145" spans="1:25" ht="15">
      <c r="A145" s="4"/>
      <c r="B145" s="87" t="s">
        <v>174</v>
      </c>
      <c r="C145" s="11"/>
      <c r="D145" s="8" t="s">
        <v>65</v>
      </c>
      <c r="E145" s="6"/>
      <c r="F145" s="8" t="s">
        <v>66</v>
      </c>
      <c r="G145" s="8" t="s">
        <v>67</v>
      </c>
      <c r="H145" s="19"/>
      <c r="I145" s="8" t="s">
        <v>68</v>
      </c>
      <c r="J145" s="8" t="s">
        <v>69</v>
      </c>
      <c r="K145" s="8" t="s">
        <v>70</v>
      </c>
      <c r="L145" s="8" t="s">
        <v>71</v>
      </c>
      <c r="M145" s="8" t="s">
        <v>72</v>
      </c>
      <c r="N145" s="8" t="s">
        <v>73</v>
      </c>
      <c r="O145" s="8" t="s">
        <v>74</v>
      </c>
      <c r="P145" s="6"/>
      <c r="Q145" s="8" t="s">
        <v>75</v>
      </c>
      <c r="R145" s="8" t="s">
        <v>76</v>
      </c>
      <c r="S145" s="8"/>
      <c r="T145" s="8" t="s">
        <v>77</v>
      </c>
      <c r="U145" s="18"/>
      <c r="V145" s="10" t="s">
        <v>20</v>
      </c>
      <c r="W145" s="14" t="s">
        <v>21</v>
      </c>
      <c r="X145" s="10" t="s">
        <v>22</v>
      </c>
      <c r="Y145" s="18"/>
    </row>
    <row r="146" spans="1:8" ht="15">
      <c r="A146" s="4"/>
      <c r="B146" s="24"/>
      <c r="C146" s="11"/>
      <c r="E146" s="14"/>
      <c r="F146"/>
      <c r="H146" s="18"/>
    </row>
    <row r="147" spans="1:24" ht="15">
      <c r="A147" s="4">
        <f>+A140+1</f>
        <v>11</v>
      </c>
      <c r="B147" s="5" t="s">
        <v>36</v>
      </c>
      <c r="C147" s="17" t="s">
        <v>37</v>
      </c>
      <c r="D147" s="18">
        <v>0</v>
      </c>
      <c r="E147" s="18"/>
      <c r="F147" s="18">
        <v>0</v>
      </c>
      <c r="G147" s="18">
        <v>0</v>
      </c>
      <c r="I147" s="18">
        <v>526370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Q147" s="18">
        <v>0</v>
      </c>
      <c r="R147" s="18">
        <v>0</v>
      </c>
      <c r="S147" s="18"/>
      <c r="T147" s="18">
        <v>0</v>
      </c>
      <c r="V147" s="18">
        <f>+D130+I130+J130+K130+L130+M130+N130+O130+Q130+R130+T130+V130+W130+X130+D147+F147+G147+I147+J147+K147+L147+M147+N147+O147+Q147+R147+T147</f>
        <v>6105290</v>
      </c>
      <c r="W147" s="18">
        <f>+F130</f>
        <v>4669994</v>
      </c>
      <c r="X147" s="18">
        <f>+V147-W147</f>
        <v>1435296</v>
      </c>
    </row>
    <row r="148" spans="1:24" ht="15">
      <c r="A148" s="4">
        <f>+A147+1</f>
        <v>12</v>
      </c>
      <c r="B148" s="5" t="s">
        <v>36</v>
      </c>
      <c r="C148" s="22" t="s">
        <v>38</v>
      </c>
      <c r="D148" s="18">
        <v>0</v>
      </c>
      <c r="E148" s="18"/>
      <c r="F148" s="18">
        <v>0</v>
      </c>
      <c r="G148" s="18">
        <v>0</v>
      </c>
      <c r="I148" s="18">
        <v>526683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Q148" s="18">
        <v>0</v>
      </c>
      <c r="R148" s="18">
        <v>0</v>
      </c>
      <c r="S148" s="18"/>
      <c r="T148" s="18">
        <v>0</v>
      </c>
      <c r="V148" s="18">
        <f>+D131+I131+J131+K131+L131+M131+N131+O131+Q131+R131+T131+V131+W131+X131+D148+F148+G148+I148+J148+K148+L148+M148+N148+O148+Q148+R148+T148</f>
        <v>6108031</v>
      </c>
      <c r="W148" s="18">
        <f>+F131</f>
        <v>4653400</v>
      </c>
      <c r="X148" s="18">
        <f>+V148-W148</f>
        <v>1454631</v>
      </c>
    </row>
    <row r="149" spans="1:24" ht="15">
      <c r="A149" s="4">
        <f>+A148+1</f>
        <v>13</v>
      </c>
      <c r="B149" s="24" t="s">
        <v>46</v>
      </c>
      <c r="C149" s="40" t="s">
        <v>78</v>
      </c>
      <c r="D149" s="18">
        <f>+D147-D148</f>
        <v>0</v>
      </c>
      <c r="E149" s="18"/>
      <c r="F149" s="18">
        <f>+F147-F148</f>
        <v>0</v>
      </c>
      <c r="G149" s="18">
        <f>+G147-G148</f>
        <v>0</v>
      </c>
      <c r="I149" s="18">
        <f aca="true" t="shared" si="18" ref="I149:O149">+I147-I148</f>
        <v>-313</v>
      </c>
      <c r="J149" s="18">
        <f t="shared" si="18"/>
        <v>0</v>
      </c>
      <c r="K149" s="18">
        <f t="shared" si="18"/>
        <v>0</v>
      </c>
      <c r="L149" s="18">
        <f t="shared" si="18"/>
        <v>0</v>
      </c>
      <c r="M149" s="18">
        <f t="shared" si="18"/>
        <v>0</v>
      </c>
      <c r="N149" s="18">
        <f t="shared" si="18"/>
        <v>0</v>
      </c>
      <c r="O149" s="18">
        <f t="shared" si="18"/>
        <v>0</v>
      </c>
      <c r="Q149" s="18">
        <f>+Q147-Q148</f>
        <v>0</v>
      </c>
      <c r="R149" s="18">
        <f>+R147-R148</f>
        <v>0</v>
      </c>
      <c r="S149" s="18"/>
      <c r="T149" s="18">
        <f>+T147-T148</f>
        <v>0</v>
      </c>
      <c r="V149" s="27">
        <f>+V147-V148</f>
        <v>-2741</v>
      </c>
      <c r="W149" s="27">
        <f>+W147-W148</f>
        <v>16594</v>
      </c>
      <c r="X149" s="18">
        <f>+X147-X148</f>
        <v>-19335</v>
      </c>
    </row>
    <row r="150" spans="1:24" ht="28.5">
      <c r="A150" s="4">
        <f>+A149+1</f>
        <v>14</v>
      </c>
      <c r="B150" s="88" t="s">
        <v>182</v>
      </c>
      <c r="C150" s="11"/>
      <c r="D150" s="18">
        <v>0</v>
      </c>
      <c r="E150" s="18"/>
      <c r="F150" s="18">
        <v>0</v>
      </c>
      <c r="G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Q150" s="18">
        <v>0</v>
      </c>
      <c r="R150" s="18">
        <v>0</v>
      </c>
      <c r="S150" s="18"/>
      <c r="T150" s="18">
        <v>0</v>
      </c>
      <c r="V150" s="18">
        <f>+D133+I133+J133+K133+L133+M133+N133+O133+Q133+R133+T133+V133+W133+X133+D150+F150+G150+I150+J150+K150+L150+M150+N150+O150+Q150+R150+T150</f>
        <v>0</v>
      </c>
      <c r="W150" s="18">
        <f>+F133</f>
        <v>0</v>
      </c>
      <c r="X150" s="18">
        <f>+V150-W150</f>
        <v>0</v>
      </c>
    </row>
    <row r="151" spans="1:24" ht="24.75">
      <c r="A151" s="4">
        <f>+A150+1</f>
        <v>15</v>
      </c>
      <c r="B151" s="89" t="s">
        <v>39</v>
      </c>
      <c r="C151" s="40"/>
      <c r="D151" s="27">
        <v>0</v>
      </c>
      <c r="E151" s="18" t="s">
        <v>0</v>
      </c>
      <c r="F151" s="27">
        <v>0</v>
      </c>
      <c r="G151" s="27">
        <v>0</v>
      </c>
      <c r="H151" t="s">
        <v>0</v>
      </c>
      <c r="I151" s="27">
        <v>0</v>
      </c>
      <c r="J151" s="27">
        <v>22099</v>
      </c>
      <c r="K151" s="27">
        <v>0</v>
      </c>
      <c r="L151" s="27">
        <v>0</v>
      </c>
      <c r="M151" s="27">
        <v>62349</v>
      </c>
      <c r="N151" s="27">
        <v>-322333</v>
      </c>
      <c r="O151" s="27">
        <v>79</v>
      </c>
      <c r="Q151" s="27">
        <v>0</v>
      </c>
      <c r="R151" s="27">
        <v>0</v>
      </c>
      <c r="S151" s="27"/>
      <c r="T151" s="27">
        <v>0</v>
      </c>
      <c r="V151" s="18">
        <f>+D134+I134+J134+K134+L134+M134+N134+O134+Q134+R134+T134+V134+W134+X134+D151+F151+G151+I151+J151+K151+L151+M151+N151+O151+Q151+R151+T151</f>
        <v>-172088</v>
      </c>
      <c r="W151" s="18">
        <f>+F134</f>
        <v>0</v>
      </c>
      <c r="X151" s="18">
        <f>+V151-W151</f>
        <v>-172088</v>
      </c>
    </row>
    <row r="152" spans="1:24" ht="15">
      <c r="A152" s="6" t="s">
        <v>41</v>
      </c>
      <c r="B152" s="41"/>
      <c r="C152" s="40"/>
      <c r="D152" s="18"/>
      <c r="E152" s="18"/>
      <c r="F152" s="18"/>
      <c r="G152" s="18"/>
      <c r="I152" s="18"/>
      <c r="J152" s="18"/>
      <c r="K152" s="18"/>
      <c r="L152" s="18"/>
      <c r="M152" s="18"/>
      <c r="N152" s="18"/>
      <c r="O152" s="18"/>
      <c r="Q152" s="18"/>
      <c r="R152" s="18"/>
      <c r="S152" s="18"/>
      <c r="T152" s="18"/>
      <c r="V152" s="18"/>
      <c r="W152" s="18"/>
      <c r="X152" s="18"/>
    </row>
    <row r="153" spans="1:24" ht="15">
      <c r="A153" s="4">
        <f>+A151+1</f>
        <v>16</v>
      </c>
      <c r="B153" s="5" t="s">
        <v>42</v>
      </c>
      <c r="C153" s="22" t="s">
        <v>38</v>
      </c>
      <c r="D153" s="18">
        <v>0</v>
      </c>
      <c r="E153" s="18"/>
      <c r="F153" s="18">
        <v>0</v>
      </c>
      <c r="G153" s="18">
        <v>0</v>
      </c>
      <c r="I153" s="18">
        <v>597336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/>
      <c r="Q153" s="18">
        <v>0</v>
      </c>
      <c r="R153" s="18">
        <v>0</v>
      </c>
      <c r="S153" s="18"/>
      <c r="T153" s="18">
        <v>0</v>
      </c>
      <c r="U153" s="18"/>
      <c r="V153" s="18">
        <f>+D136+I136+J136+K136+L136+M136+N136+O136+Q136+R136+T136+V136+W136+X136+D153+F153+G153+I153+J153+K153+L153+M153+N153+O153+Q153+R153+T153</f>
        <v>7447743</v>
      </c>
      <c r="W153" s="18">
        <f>+F136</f>
        <v>5782372</v>
      </c>
      <c r="X153" s="18">
        <f>+V153-W153</f>
        <v>1665371</v>
      </c>
    </row>
    <row r="154" spans="1:24" ht="15">
      <c r="A154" s="4">
        <f>+A153+1</f>
        <v>17</v>
      </c>
      <c r="B154" s="5" t="s">
        <v>43</v>
      </c>
      <c r="C154" s="11"/>
      <c r="D154" s="18">
        <v>0</v>
      </c>
      <c r="E154" s="18"/>
      <c r="F154" s="18">
        <v>0</v>
      </c>
      <c r="G154" s="18">
        <v>0</v>
      </c>
      <c r="I154" s="27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/>
      <c r="Q154" s="18">
        <v>0</v>
      </c>
      <c r="R154" s="18">
        <v>0</v>
      </c>
      <c r="S154" s="18"/>
      <c r="T154" s="18">
        <v>0</v>
      </c>
      <c r="U154" s="18"/>
      <c r="V154" s="18">
        <f>+D137+I137+J137+K137+L137+M137+N137+O137+Q137+R137+T137+V137+W137+X137+D154+F154+G154+I154+J154+K154+L154+M154+N154+O154+Q154+R154+T154</f>
        <v>3750</v>
      </c>
      <c r="W154" s="18">
        <f>+F137</f>
        <v>4117</v>
      </c>
      <c r="X154" s="18">
        <f>+V154-W154</f>
        <v>-367</v>
      </c>
    </row>
    <row r="155" spans="1:24" ht="26.25">
      <c r="A155" s="4">
        <f>+A154+1</f>
        <v>18</v>
      </c>
      <c r="B155" s="24" t="s">
        <v>79</v>
      </c>
      <c r="C155" s="11"/>
      <c r="D155" s="18">
        <f>+D153-D154</f>
        <v>0</v>
      </c>
      <c r="E155" s="18"/>
      <c r="F155" s="18">
        <f>+F153-F154</f>
        <v>0</v>
      </c>
      <c r="G155" s="18">
        <f>+G153-G154</f>
        <v>0</v>
      </c>
      <c r="I155" s="18">
        <f aca="true" t="shared" si="19" ref="I155:O155">+I153-I154</f>
        <v>597336</v>
      </c>
      <c r="J155" s="18">
        <f t="shared" si="19"/>
        <v>0</v>
      </c>
      <c r="K155" s="18">
        <f t="shared" si="19"/>
        <v>0</v>
      </c>
      <c r="L155" s="18">
        <f t="shared" si="19"/>
        <v>0</v>
      </c>
      <c r="M155" s="18">
        <f t="shared" si="19"/>
        <v>0</v>
      </c>
      <c r="N155" s="18">
        <f t="shared" si="19"/>
        <v>0</v>
      </c>
      <c r="O155" s="18">
        <f t="shared" si="19"/>
        <v>0</v>
      </c>
      <c r="P155" s="18"/>
      <c r="Q155" s="18">
        <f>+Q153-Q154</f>
        <v>0</v>
      </c>
      <c r="R155" s="18">
        <f>+R153-R154</f>
        <v>0</v>
      </c>
      <c r="S155" s="18"/>
      <c r="T155" s="18">
        <f>+T153-T154</f>
        <v>0</v>
      </c>
      <c r="U155" s="18"/>
      <c r="V155" s="27">
        <f>+V153-V154</f>
        <v>7443993</v>
      </c>
      <c r="W155" s="27">
        <f>+W153-W154</f>
        <v>5778255</v>
      </c>
      <c r="X155" s="18">
        <f>+X153-X154</f>
        <v>1665738</v>
      </c>
    </row>
    <row r="156" spans="1:24" ht="28.5">
      <c r="A156" s="4">
        <f>+A155+1</f>
        <v>19</v>
      </c>
      <c r="B156" s="88" t="s">
        <v>181</v>
      </c>
      <c r="C156" s="11"/>
      <c r="D156" s="18">
        <v>0</v>
      </c>
      <c r="E156" s="18"/>
      <c r="F156" s="18">
        <v>0</v>
      </c>
      <c r="G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/>
      <c r="Q156" s="18">
        <v>0</v>
      </c>
      <c r="R156" s="18">
        <v>0</v>
      </c>
      <c r="S156" s="18"/>
      <c r="T156" s="18">
        <v>0</v>
      </c>
      <c r="U156" s="18"/>
      <c r="V156" s="18">
        <f>+D139+I139+J139+K139+L139+M139+N139+O139+Q139+R139+T139+V139+W139+X139+D156+F156+G156+I156+J156+K156+L156+M156+N156+O156+Q156+R156+T156</f>
        <v>0</v>
      </c>
      <c r="W156" s="18">
        <f>+F139+K156+L156+M156+N156+O156+Q156+R156+T156</f>
        <v>0</v>
      </c>
      <c r="X156" s="18">
        <f>+V156-W156</f>
        <v>0</v>
      </c>
    </row>
    <row r="157" spans="1:24" ht="15">
      <c r="A157" s="4">
        <f>+A156+1</f>
        <v>20</v>
      </c>
      <c r="B157" s="24" t="s">
        <v>46</v>
      </c>
      <c r="C157" s="11" t="s">
        <v>47</v>
      </c>
      <c r="D157" s="18">
        <f>+D149+D150+D155+D156+D151</f>
        <v>0</v>
      </c>
      <c r="E157" s="18"/>
      <c r="F157" s="18">
        <f>+F149+F150+F155+F156+F151</f>
        <v>0</v>
      </c>
      <c r="G157" s="18">
        <f>+G149+G150+G155+G156+G151</f>
        <v>0</v>
      </c>
      <c r="I157" s="18">
        <f aca="true" t="shared" si="20" ref="I157:O157">+I149+I150+I155+I156+I151</f>
        <v>597023</v>
      </c>
      <c r="J157" s="18">
        <f t="shared" si="20"/>
        <v>22099</v>
      </c>
      <c r="K157" s="18">
        <f t="shared" si="20"/>
        <v>0</v>
      </c>
      <c r="L157" s="18">
        <f t="shared" si="20"/>
        <v>0</v>
      </c>
      <c r="M157" s="18">
        <f t="shared" si="20"/>
        <v>62349</v>
      </c>
      <c r="N157" s="18">
        <f t="shared" si="20"/>
        <v>-322333</v>
      </c>
      <c r="O157" s="18">
        <f t="shared" si="20"/>
        <v>79</v>
      </c>
      <c r="P157" s="42"/>
      <c r="Q157" s="18">
        <f>+Q149+Q150+Q155+Q156+Q151</f>
        <v>0</v>
      </c>
      <c r="R157" s="18">
        <f>+R149+R150+R155+R156+R151</f>
        <v>0</v>
      </c>
      <c r="S157" s="18"/>
      <c r="T157" s="18">
        <f>+T149+T150+T155+T156+T151</f>
        <v>0</v>
      </c>
      <c r="U157" s="42"/>
      <c r="V157" s="18">
        <f>SUM(V149,V151,V155,V156)</f>
        <v>7269164</v>
      </c>
      <c r="W157" s="18">
        <f>+W149+W150+W155+W156+W151</f>
        <v>5794849</v>
      </c>
      <c r="X157" s="18">
        <f>+X149+X150+X155+X156+X151</f>
        <v>1474315</v>
      </c>
    </row>
    <row r="158" spans="1:24" ht="15">
      <c r="A158" s="4"/>
      <c r="B158" s="24"/>
      <c r="C158" s="11"/>
      <c r="D158" s="18"/>
      <c r="E158" s="18"/>
      <c r="F158" s="18"/>
      <c r="G158" s="18"/>
      <c r="I158" s="18"/>
      <c r="J158" s="18"/>
      <c r="K158" s="18"/>
      <c r="L158" s="18"/>
      <c r="M158" s="18"/>
      <c r="N158" s="18"/>
      <c r="O158" s="18"/>
      <c r="P158" s="42"/>
      <c r="Q158" s="18"/>
      <c r="R158" s="18"/>
      <c r="S158" s="18"/>
      <c r="T158" s="18"/>
      <c r="U158" s="42"/>
      <c r="V158" s="18"/>
      <c r="W158" s="18"/>
      <c r="X158" s="18"/>
    </row>
    <row r="159" spans="1:24" ht="15">
      <c r="A159" s="4"/>
      <c r="B159" s="24"/>
      <c r="C159" s="11"/>
      <c r="D159" s="18"/>
      <c r="E159" s="18"/>
      <c r="F159" s="18"/>
      <c r="G159" s="18"/>
      <c r="I159" s="18"/>
      <c r="J159" s="18"/>
      <c r="K159" s="18"/>
      <c r="L159" s="18"/>
      <c r="M159" s="18"/>
      <c r="N159" s="18"/>
      <c r="O159" s="18"/>
      <c r="P159" s="42"/>
      <c r="Q159" s="18"/>
      <c r="R159" s="18"/>
      <c r="S159" s="18"/>
      <c r="T159" s="18"/>
      <c r="U159" s="42"/>
      <c r="V159" s="18"/>
      <c r="W159" s="18"/>
      <c r="X159" s="18"/>
    </row>
    <row r="160" spans="1:24" ht="15">
      <c r="A160" s="4"/>
      <c r="B160" s="24"/>
      <c r="C160" s="11"/>
      <c r="D160" s="18"/>
      <c r="E160" s="18"/>
      <c r="F160" s="18"/>
      <c r="G160" s="18"/>
      <c r="I160" s="18"/>
      <c r="J160" s="18"/>
      <c r="K160" s="18"/>
      <c r="L160" s="18"/>
      <c r="M160" s="18"/>
      <c r="N160" s="18"/>
      <c r="O160" s="18"/>
      <c r="P160" s="42"/>
      <c r="Q160" s="18"/>
      <c r="R160" s="18"/>
      <c r="S160" s="18"/>
      <c r="T160" s="18"/>
      <c r="U160" s="42"/>
      <c r="V160" s="18"/>
      <c r="W160" s="18"/>
      <c r="X160" s="18"/>
    </row>
    <row r="161" spans="1:25" ht="15">
      <c r="A161" s="4"/>
      <c r="B161" s="24"/>
      <c r="C161" s="11"/>
      <c r="D161" s="10" t="s">
        <v>80</v>
      </c>
      <c r="E161" s="10"/>
      <c r="F161" s="10" t="s">
        <v>81</v>
      </c>
      <c r="G161" s="10" t="s">
        <v>82</v>
      </c>
      <c r="I161" s="10" t="s">
        <v>83</v>
      </c>
      <c r="J161" s="10" t="s">
        <v>84</v>
      </c>
      <c r="K161" s="10" t="s">
        <v>85</v>
      </c>
      <c r="L161" s="10" t="s">
        <v>86</v>
      </c>
      <c r="M161" s="43" t="s">
        <v>87</v>
      </c>
      <c r="N161" s="43" t="s">
        <v>88</v>
      </c>
      <c r="O161" s="44" t="s">
        <v>89</v>
      </c>
      <c r="P161" s="42"/>
      <c r="Q161" s="43" t="s">
        <v>90</v>
      </c>
      <c r="R161" s="43" t="s">
        <v>91</v>
      </c>
      <c r="S161" s="43"/>
      <c r="T161" s="43" t="s">
        <v>92</v>
      </c>
      <c r="U161" s="42"/>
      <c r="V161" s="43" t="s">
        <v>93</v>
      </c>
      <c r="W161" s="43" t="s">
        <v>94</v>
      </c>
      <c r="X161" s="43" t="s">
        <v>95</v>
      </c>
      <c r="Y161" s="18"/>
    </row>
    <row r="162" spans="1:25" ht="15">
      <c r="A162" s="4"/>
      <c r="B162"/>
      <c r="C162" s="11"/>
      <c r="D162" s="10" t="s">
        <v>20</v>
      </c>
      <c r="E162" s="38"/>
      <c r="F162" s="10" t="s">
        <v>20</v>
      </c>
      <c r="G162" s="10" t="s">
        <v>20</v>
      </c>
      <c r="I162" s="10" t="s">
        <v>20</v>
      </c>
      <c r="J162" s="10" t="s">
        <v>20</v>
      </c>
      <c r="K162" s="10" t="s">
        <v>20</v>
      </c>
      <c r="L162" s="10" t="s">
        <v>20</v>
      </c>
      <c r="M162" s="10" t="s">
        <v>20</v>
      </c>
      <c r="N162" s="10" t="s">
        <v>20</v>
      </c>
      <c r="O162" s="10" t="s">
        <v>20</v>
      </c>
      <c r="P162" s="18"/>
      <c r="Q162" s="10" t="s">
        <v>20</v>
      </c>
      <c r="R162" s="10" t="s">
        <v>20</v>
      </c>
      <c r="S162" s="14"/>
      <c r="T162" s="10" t="s">
        <v>20</v>
      </c>
      <c r="U162" s="18"/>
      <c r="W162" s="39" t="s">
        <v>96</v>
      </c>
      <c r="Y162" s="18"/>
    </row>
    <row r="163" spans="1:25" ht="15">
      <c r="A163" s="4"/>
      <c r="B163" s="87" t="s">
        <v>174</v>
      </c>
      <c r="C163" s="11"/>
      <c r="D163" s="45" t="s">
        <v>97</v>
      </c>
      <c r="E163" s="6"/>
      <c r="F163" s="45" t="s">
        <v>98</v>
      </c>
      <c r="G163" s="45" t="s">
        <v>99</v>
      </c>
      <c r="H163" s="19"/>
      <c r="I163" s="45" t="s">
        <v>100</v>
      </c>
      <c r="J163" s="45" t="s">
        <v>101</v>
      </c>
      <c r="K163" s="45" t="s">
        <v>102</v>
      </c>
      <c r="L163" s="45" t="s">
        <v>103</v>
      </c>
      <c r="M163" s="45" t="s">
        <v>104</v>
      </c>
      <c r="N163" s="45" t="s">
        <v>105</v>
      </c>
      <c r="O163" s="45" t="s">
        <v>106</v>
      </c>
      <c r="P163" s="6"/>
      <c r="Q163" s="45" t="s">
        <v>107</v>
      </c>
      <c r="R163" s="45" t="s">
        <v>108</v>
      </c>
      <c r="S163" s="45"/>
      <c r="T163" s="45" t="s">
        <v>109</v>
      </c>
      <c r="U163" s="18"/>
      <c r="V163" s="10" t="s">
        <v>20</v>
      </c>
      <c r="W163" s="10" t="s">
        <v>21</v>
      </c>
      <c r="X163" s="10" t="s">
        <v>22</v>
      </c>
      <c r="Y163" s="18"/>
    </row>
    <row r="164" spans="1:9" ht="15">
      <c r="A164" s="4"/>
      <c r="B164" s="24"/>
      <c r="C164" s="11"/>
      <c r="E164" s="14"/>
      <c r="F164"/>
      <c r="H164" s="18"/>
      <c r="I164" s="16"/>
    </row>
    <row r="165" spans="1:24" ht="15">
      <c r="A165" s="4">
        <f>+A158+1</f>
        <v>1</v>
      </c>
      <c r="B165" s="5" t="s">
        <v>36</v>
      </c>
      <c r="C165" s="17" t="s">
        <v>37</v>
      </c>
      <c r="D165" s="18">
        <v>0</v>
      </c>
      <c r="E165" s="18"/>
      <c r="F165" s="18">
        <v>0</v>
      </c>
      <c r="G165" s="18">
        <v>0</v>
      </c>
      <c r="I165" s="18">
        <v>0</v>
      </c>
      <c r="J165" s="18">
        <v>0</v>
      </c>
      <c r="K165" s="46">
        <v>-36740</v>
      </c>
      <c r="L165" s="18">
        <v>-2355</v>
      </c>
      <c r="M165" s="18">
        <v>0</v>
      </c>
      <c r="N165" s="18">
        <v>0</v>
      </c>
      <c r="O165" s="18">
        <v>0</v>
      </c>
      <c r="Q165" s="18">
        <v>0</v>
      </c>
      <c r="R165" s="18">
        <v>0</v>
      </c>
      <c r="S165" s="18"/>
      <c r="T165" s="18">
        <v>0</v>
      </c>
      <c r="V165" s="18">
        <f>+V147+D165+F165+G165+I165+J165+K165+L165+M165+N165+O165+Q165+R165+T165</f>
        <v>6066195</v>
      </c>
      <c r="W165" s="18">
        <f>+W147</f>
        <v>4669994</v>
      </c>
      <c r="X165" s="18">
        <f>+V165-W165</f>
        <v>1396201</v>
      </c>
    </row>
    <row r="166" spans="1:24" ht="15">
      <c r="A166" s="4">
        <f>+A165+1</f>
        <v>2</v>
      </c>
      <c r="B166" s="5" t="s">
        <v>36</v>
      </c>
      <c r="C166" s="22" t="s">
        <v>38</v>
      </c>
      <c r="D166" s="18">
        <v>0</v>
      </c>
      <c r="E166" s="18"/>
      <c r="F166" s="18">
        <v>0</v>
      </c>
      <c r="G166" s="18">
        <v>0</v>
      </c>
      <c r="I166" s="18">
        <v>0</v>
      </c>
      <c r="J166" s="18">
        <v>0</v>
      </c>
      <c r="K166" s="46">
        <v>-36677</v>
      </c>
      <c r="L166" s="18">
        <v>-2536</v>
      </c>
      <c r="M166" s="18">
        <v>0</v>
      </c>
      <c r="N166" s="18">
        <v>0</v>
      </c>
      <c r="O166" s="18">
        <v>0</v>
      </c>
      <c r="Q166" s="18">
        <v>0</v>
      </c>
      <c r="R166" s="18">
        <v>0</v>
      </c>
      <c r="S166" s="18"/>
      <c r="T166" s="18">
        <v>0</v>
      </c>
      <c r="V166" s="18">
        <f>+V148+D166+F166+G166+I166+J166+K166+L166+M166+N166+O166+Q166+R166+T166</f>
        <v>6068818</v>
      </c>
      <c r="W166" s="18">
        <f>+W148</f>
        <v>4653400</v>
      </c>
      <c r="X166" s="18">
        <f>+V166-W166</f>
        <v>1415418</v>
      </c>
    </row>
    <row r="167" spans="1:24" ht="15">
      <c r="A167" s="4">
        <f>+A166+1</f>
        <v>3</v>
      </c>
      <c r="B167" s="24" t="s">
        <v>46</v>
      </c>
      <c r="C167" s="40" t="s">
        <v>78</v>
      </c>
      <c r="D167" s="18">
        <f>+D165-D166</f>
        <v>0</v>
      </c>
      <c r="E167" s="18"/>
      <c r="F167" s="18">
        <f>+F165-F166</f>
        <v>0</v>
      </c>
      <c r="G167" s="18">
        <f>+G165-G166</f>
        <v>0</v>
      </c>
      <c r="I167" s="18">
        <f aca="true" t="shared" si="21" ref="I167:O167">+I165-I166</f>
        <v>0</v>
      </c>
      <c r="J167" s="18">
        <f t="shared" si="21"/>
        <v>0</v>
      </c>
      <c r="K167" s="18">
        <f t="shared" si="21"/>
        <v>-63</v>
      </c>
      <c r="L167" s="18">
        <f t="shared" si="21"/>
        <v>181</v>
      </c>
      <c r="M167" s="18">
        <f t="shared" si="21"/>
        <v>0</v>
      </c>
      <c r="N167" s="18">
        <f t="shared" si="21"/>
        <v>0</v>
      </c>
      <c r="O167" s="18">
        <f t="shared" si="21"/>
        <v>0</v>
      </c>
      <c r="Q167" s="18">
        <f>+Q165-Q166</f>
        <v>0</v>
      </c>
      <c r="R167" s="18">
        <f>+R165-R166</f>
        <v>0</v>
      </c>
      <c r="S167" s="18"/>
      <c r="T167" s="18">
        <f>+T165-T166</f>
        <v>0</v>
      </c>
      <c r="V167" s="27">
        <f>+V165-V166</f>
        <v>-2623</v>
      </c>
      <c r="W167" s="27">
        <f>+W165-W166</f>
        <v>16594</v>
      </c>
      <c r="X167" s="18">
        <f>+X165-X166</f>
        <v>-19217</v>
      </c>
    </row>
    <row r="168" spans="1:24" ht="28.5">
      <c r="A168" s="4">
        <f>+A167+1</f>
        <v>4</v>
      </c>
      <c r="B168" s="88" t="s">
        <v>182</v>
      </c>
      <c r="C168" s="11"/>
      <c r="D168" s="18">
        <v>0</v>
      </c>
      <c r="E168" s="18"/>
      <c r="F168" s="18">
        <v>0</v>
      </c>
      <c r="G168" s="18">
        <v>0</v>
      </c>
      <c r="I168" s="18">
        <v>0</v>
      </c>
      <c r="J168" s="27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Q168" s="18">
        <v>0</v>
      </c>
      <c r="R168" s="18">
        <v>0</v>
      </c>
      <c r="S168" s="18"/>
      <c r="T168" s="18">
        <v>0</v>
      </c>
      <c r="V168" s="18">
        <f>+V150+D168+F168+G168+I168+J168+K168+L168+M168+N168+O168+Q168+R168+T168</f>
        <v>0</v>
      </c>
      <c r="W168" s="18">
        <f>+W150</f>
        <v>0</v>
      </c>
      <c r="X168" s="18">
        <f>+V168-W168</f>
        <v>0</v>
      </c>
    </row>
    <row r="169" spans="1:24" ht="24.75">
      <c r="A169" s="4">
        <f>+A168+1</f>
        <v>5</v>
      </c>
      <c r="B169" s="89" t="s">
        <v>39</v>
      </c>
      <c r="C169" s="40"/>
      <c r="D169" s="27">
        <v>0</v>
      </c>
      <c r="E169" s="18"/>
      <c r="F169" s="27">
        <v>0</v>
      </c>
      <c r="G169" s="27">
        <v>-3386</v>
      </c>
      <c r="I169" s="27">
        <v>0</v>
      </c>
      <c r="J169" s="27">
        <v>0</v>
      </c>
      <c r="K169" s="18">
        <v>-367607</v>
      </c>
      <c r="L169" s="27">
        <v>0</v>
      </c>
      <c r="M169" s="27">
        <v>-26701</v>
      </c>
      <c r="N169" s="27">
        <v>0</v>
      </c>
      <c r="O169" s="27">
        <v>-7113</v>
      </c>
      <c r="Q169" s="27">
        <v>0</v>
      </c>
      <c r="R169" s="27">
        <v>-1498</v>
      </c>
      <c r="S169" s="27"/>
      <c r="T169" s="27">
        <v>-7105</v>
      </c>
      <c r="V169" s="18">
        <f>+V151+D169+F169+G169+I169+J169+K169+L169+M169+N169+O169+Q169+R169+T169</f>
        <v>-585498</v>
      </c>
      <c r="W169" s="18">
        <f>+W151</f>
        <v>0</v>
      </c>
      <c r="X169" s="18">
        <f>+V169-W169</f>
        <v>-585498</v>
      </c>
    </row>
    <row r="170" spans="1:24" ht="15">
      <c r="A170" s="6" t="s">
        <v>41</v>
      </c>
      <c r="B170" s="41"/>
      <c r="C170" s="40"/>
      <c r="D170" s="18"/>
      <c r="E170" s="18"/>
      <c r="F170" s="18"/>
      <c r="G170" s="18"/>
      <c r="I170" s="18"/>
      <c r="J170" s="18"/>
      <c r="L170" s="18"/>
      <c r="M170" s="18"/>
      <c r="N170" s="18"/>
      <c r="O170" s="18"/>
      <c r="Q170" s="18"/>
      <c r="R170" s="18"/>
      <c r="S170" s="18"/>
      <c r="T170" s="18"/>
      <c r="V170" s="18"/>
      <c r="W170" s="18"/>
      <c r="X170" s="18"/>
    </row>
    <row r="171" spans="1:24" ht="15">
      <c r="A171" s="4">
        <f>+A169+1</f>
        <v>6</v>
      </c>
      <c r="B171" s="5" t="s">
        <v>42</v>
      </c>
      <c r="C171" s="22" t="s">
        <v>38</v>
      </c>
      <c r="D171" s="18">
        <v>0</v>
      </c>
      <c r="E171" s="18"/>
      <c r="F171" s="18">
        <v>0</v>
      </c>
      <c r="G171" s="18">
        <v>0</v>
      </c>
      <c r="I171" s="18">
        <v>0</v>
      </c>
      <c r="J171" s="18">
        <v>0</v>
      </c>
      <c r="K171" s="46">
        <v>-83843</v>
      </c>
      <c r="L171" s="18">
        <v>-2623</v>
      </c>
      <c r="M171" s="18">
        <v>0</v>
      </c>
      <c r="N171" s="18">
        <v>0</v>
      </c>
      <c r="O171" s="18">
        <v>0</v>
      </c>
      <c r="P171" s="18"/>
      <c r="Q171" s="18">
        <v>0</v>
      </c>
      <c r="R171" s="18">
        <v>0</v>
      </c>
      <c r="S171" s="18"/>
      <c r="T171" s="18">
        <v>0</v>
      </c>
      <c r="U171" s="18"/>
      <c r="V171" s="18">
        <f>+V153+D171+F171+G171+I171+J171+K171+L171+M171+N171+O171+Q171+R171+T171</f>
        <v>7361277</v>
      </c>
      <c r="W171" s="18">
        <f>+W153</f>
        <v>5782372</v>
      </c>
      <c r="X171" s="18">
        <f>+V171-W171</f>
        <v>1578905</v>
      </c>
    </row>
    <row r="172" spans="1:24" ht="15">
      <c r="A172" s="4">
        <f>+A171+1</f>
        <v>7</v>
      </c>
      <c r="B172" s="5" t="s">
        <v>43</v>
      </c>
      <c r="C172" s="11"/>
      <c r="D172" s="18">
        <v>0</v>
      </c>
      <c r="E172" s="18"/>
      <c r="F172" s="18">
        <v>0</v>
      </c>
      <c r="G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/>
      <c r="Q172" s="18">
        <v>0</v>
      </c>
      <c r="R172" s="18">
        <v>0</v>
      </c>
      <c r="S172" s="18"/>
      <c r="T172" s="18">
        <v>0</v>
      </c>
      <c r="U172" s="18"/>
      <c r="V172" s="18">
        <f>+V154+D172+F172+G172+I172+J172+K172+L172+M172+N172+O172+Q172+R172+T172</f>
        <v>3750</v>
      </c>
      <c r="W172" s="18">
        <f>+W154</f>
        <v>4117</v>
      </c>
      <c r="X172" s="18">
        <f>+V172-W172</f>
        <v>-367</v>
      </c>
    </row>
    <row r="173" spans="1:24" ht="26.25">
      <c r="A173" s="4">
        <f>+A172+1</f>
        <v>8</v>
      </c>
      <c r="B173" s="24" t="s">
        <v>79</v>
      </c>
      <c r="C173" s="11"/>
      <c r="D173" s="18">
        <f>+D171-D172</f>
        <v>0</v>
      </c>
      <c r="E173" s="18"/>
      <c r="F173" s="18">
        <f>+F171-F172</f>
        <v>0</v>
      </c>
      <c r="G173" s="18">
        <f>+G171-G172</f>
        <v>0</v>
      </c>
      <c r="I173" s="18">
        <f aca="true" t="shared" si="22" ref="I173:O173">+I171-I172</f>
        <v>0</v>
      </c>
      <c r="J173" s="18">
        <f t="shared" si="22"/>
        <v>0</v>
      </c>
      <c r="K173" s="18">
        <f t="shared" si="22"/>
        <v>-83843</v>
      </c>
      <c r="L173" s="18">
        <f t="shared" si="22"/>
        <v>-2623</v>
      </c>
      <c r="M173" s="18">
        <f t="shared" si="22"/>
        <v>0</v>
      </c>
      <c r="N173" s="18">
        <f t="shared" si="22"/>
        <v>0</v>
      </c>
      <c r="O173" s="18">
        <f t="shared" si="22"/>
        <v>0</v>
      </c>
      <c r="P173" s="18"/>
      <c r="Q173" s="18">
        <f>+Q171-Q172</f>
        <v>0</v>
      </c>
      <c r="R173" s="18">
        <f>+R171-R172</f>
        <v>0</v>
      </c>
      <c r="S173" s="18"/>
      <c r="T173" s="18">
        <f>+T171-T172</f>
        <v>0</v>
      </c>
      <c r="U173" s="18"/>
      <c r="V173" s="27">
        <f>+V171-V172</f>
        <v>7357527</v>
      </c>
      <c r="W173" s="27">
        <f>+W171-W172</f>
        <v>5778255</v>
      </c>
      <c r="X173" s="18">
        <f>+X171-X172</f>
        <v>1579272</v>
      </c>
    </row>
    <row r="174" spans="1:24" ht="28.5">
      <c r="A174" s="4">
        <f>+A173+1</f>
        <v>9</v>
      </c>
      <c r="B174" s="88" t="s">
        <v>181</v>
      </c>
      <c r="C174" s="11"/>
      <c r="D174" s="18">
        <v>0</v>
      </c>
      <c r="E174" s="18"/>
      <c r="F174" s="18">
        <v>0</v>
      </c>
      <c r="G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/>
      <c r="Q174" s="18">
        <v>0</v>
      </c>
      <c r="R174" s="18">
        <v>0</v>
      </c>
      <c r="S174" s="18"/>
      <c r="T174" s="18">
        <v>0</v>
      </c>
      <c r="U174" s="18"/>
      <c r="V174" s="18">
        <f>+V156+D174+F174+G174+I174+J174+K174+L174+M174+N174+O174+Q174+R174+T174</f>
        <v>0</v>
      </c>
      <c r="W174" s="18">
        <f>+W156</f>
        <v>0</v>
      </c>
      <c r="X174" s="18">
        <f>+V174-W174</f>
        <v>0</v>
      </c>
    </row>
    <row r="175" spans="1:24" ht="15">
      <c r="A175" s="4">
        <f>+A174+1</f>
        <v>10</v>
      </c>
      <c r="B175" s="24" t="s">
        <v>46</v>
      </c>
      <c r="C175" s="11" t="s">
        <v>47</v>
      </c>
      <c r="D175" s="18">
        <f>+D167+D168+D173+D174+D169</f>
        <v>0</v>
      </c>
      <c r="E175" s="18"/>
      <c r="F175" s="18">
        <f>+F167+F168+F173+F174+F169</f>
        <v>0</v>
      </c>
      <c r="G175" s="18">
        <f>+G167+G168+G173+G174+G169</f>
        <v>-3386</v>
      </c>
      <c r="I175" s="18">
        <f aca="true" t="shared" si="23" ref="I175:O175">+I167+I168+I173+I174+I169</f>
        <v>0</v>
      </c>
      <c r="J175" s="18">
        <f t="shared" si="23"/>
        <v>0</v>
      </c>
      <c r="K175" s="18">
        <f t="shared" si="23"/>
        <v>-451513</v>
      </c>
      <c r="L175" s="18">
        <f t="shared" si="23"/>
        <v>-2442</v>
      </c>
      <c r="M175" s="18">
        <f t="shared" si="23"/>
        <v>-26701</v>
      </c>
      <c r="N175" s="18">
        <f t="shared" si="23"/>
        <v>0</v>
      </c>
      <c r="O175" s="18">
        <f t="shared" si="23"/>
        <v>-7113</v>
      </c>
      <c r="P175" s="42"/>
      <c r="Q175" s="18">
        <f>+Q167+Q168+Q173+Q174+Q169</f>
        <v>0</v>
      </c>
      <c r="R175" s="18">
        <f>+R167+R168+R173+R174+R169</f>
        <v>-1498</v>
      </c>
      <c r="S175" s="18"/>
      <c r="T175" s="18">
        <f>+T167+T168+T173+T174+T169</f>
        <v>-7105</v>
      </c>
      <c r="U175" s="42"/>
      <c r="V175" s="18">
        <f>+V167+V168+V173+V174+V169</f>
        <v>6769406</v>
      </c>
      <c r="W175" s="18">
        <f>+W167+W168+W173+W174+W169</f>
        <v>5794849</v>
      </c>
      <c r="X175" s="18">
        <f>+X167+X168+X173+X174+X169</f>
        <v>974557</v>
      </c>
    </row>
    <row r="176" spans="1:24" ht="15">
      <c r="A176" s="4"/>
      <c r="B176" s="24"/>
      <c r="C176" s="11"/>
      <c r="D176" s="18"/>
      <c r="E176" s="18"/>
      <c r="F176" s="18"/>
      <c r="G176" s="18"/>
      <c r="I176" s="18"/>
      <c r="J176" s="18"/>
      <c r="K176" s="18"/>
      <c r="L176" s="18"/>
      <c r="M176" s="18"/>
      <c r="N176" s="18"/>
      <c r="O176" s="18"/>
      <c r="P176" s="42"/>
      <c r="Q176" s="18"/>
      <c r="R176" s="18"/>
      <c r="S176" s="18"/>
      <c r="T176" s="18"/>
      <c r="U176" s="42"/>
      <c r="V176" s="18"/>
      <c r="W176" s="18"/>
      <c r="X176" s="18"/>
    </row>
    <row r="177" spans="1:24" ht="15">
      <c r="A177" s="4"/>
      <c r="B177" s="24"/>
      <c r="C177" s="11"/>
      <c r="D177" s="18"/>
      <c r="E177" s="18"/>
      <c r="F177" s="18"/>
      <c r="G177" s="18"/>
      <c r="I177" s="18"/>
      <c r="J177" s="18"/>
      <c r="K177" s="18"/>
      <c r="L177" s="18"/>
      <c r="M177" s="18"/>
      <c r="N177" s="18"/>
      <c r="O177" s="18"/>
      <c r="P177" s="42"/>
      <c r="Q177" s="18"/>
      <c r="R177" s="18"/>
      <c r="S177" s="18"/>
      <c r="T177" s="18"/>
      <c r="U177" s="42"/>
      <c r="V177" s="18"/>
      <c r="W177" s="18"/>
      <c r="X177" s="18"/>
    </row>
    <row r="178" spans="1:24" ht="15">
      <c r="A178" s="4"/>
      <c r="B178" s="24"/>
      <c r="C178" s="11"/>
      <c r="D178" s="18"/>
      <c r="E178" s="18"/>
      <c r="F178" s="18"/>
      <c r="G178" s="18"/>
      <c r="I178" s="18"/>
      <c r="J178" s="18"/>
      <c r="K178" s="18"/>
      <c r="L178" s="18"/>
      <c r="M178" s="18"/>
      <c r="N178" s="18"/>
      <c r="O178" s="18"/>
      <c r="P178" s="42"/>
      <c r="Q178" s="18"/>
      <c r="R178" s="18"/>
      <c r="S178" s="18"/>
      <c r="T178" s="18"/>
      <c r="U178" s="42"/>
      <c r="V178" s="18"/>
      <c r="W178" s="18"/>
      <c r="X178" s="18"/>
    </row>
    <row r="179" spans="1:24" ht="15">
      <c r="A179" s="4"/>
      <c r="B179" s="24"/>
      <c r="C179" s="11"/>
      <c r="D179" s="18"/>
      <c r="E179" s="18"/>
      <c r="F179" s="18"/>
      <c r="G179" s="18"/>
      <c r="I179" s="18"/>
      <c r="J179" s="18"/>
      <c r="K179" s="18"/>
      <c r="L179" s="18"/>
      <c r="M179" s="18"/>
      <c r="N179" s="18"/>
      <c r="O179" s="18"/>
      <c r="P179" s="42"/>
      <c r="Q179" s="18"/>
      <c r="R179" s="18"/>
      <c r="S179" s="18"/>
      <c r="T179" s="18"/>
      <c r="U179" s="42"/>
      <c r="V179" s="18"/>
      <c r="W179" s="18"/>
      <c r="X179" s="18"/>
    </row>
    <row r="180" spans="1:24" ht="15">
      <c r="A180" s="4"/>
      <c r="B180" s="24"/>
      <c r="C180" s="11"/>
      <c r="D180" s="18"/>
      <c r="E180" s="18"/>
      <c r="F180" s="18"/>
      <c r="G180" s="18"/>
      <c r="I180" s="18"/>
      <c r="J180" s="18"/>
      <c r="K180" s="18"/>
      <c r="L180" s="18"/>
      <c r="M180" s="18"/>
      <c r="N180" s="18"/>
      <c r="O180" s="18"/>
      <c r="P180" s="42"/>
      <c r="Q180" s="18"/>
      <c r="R180" s="18"/>
      <c r="S180" s="18"/>
      <c r="T180" s="18"/>
      <c r="U180" s="42"/>
      <c r="V180" s="18"/>
      <c r="W180" s="18"/>
      <c r="X180" s="18"/>
    </row>
    <row r="181" spans="1:24" ht="15">
      <c r="A181" s="4"/>
      <c r="B181" s="24"/>
      <c r="C181" s="11"/>
      <c r="D181" s="18"/>
      <c r="E181" s="18"/>
      <c r="F181" s="18"/>
      <c r="G181" s="18"/>
      <c r="I181" s="18"/>
      <c r="J181" s="18"/>
      <c r="K181" s="18"/>
      <c r="L181" s="18"/>
      <c r="M181" s="18"/>
      <c r="N181" s="18"/>
      <c r="O181" s="18"/>
      <c r="P181" s="42"/>
      <c r="Q181" s="18"/>
      <c r="R181" s="18"/>
      <c r="S181" s="18"/>
      <c r="T181" s="18"/>
      <c r="U181" s="42"/>
      <c r="V181" s="18"/>
      <c r="W181" s="18"/>
      <c r="X181" s="18"/>
    </row>
    <row r="182" spans="1:24" ht="15">
      <c r="A182" s="4"/>
      <c r="B182" s="24"/>
      <c r="C182" s="11"/>
      <c r="D182" s="18"/>
      <c r="E182" s="18"/>
      <c r="F182" s="18"/>
      <c r="G182" s="18"/>
      <c r="I182" s="18"/>
      <c r="J182" s="18"/>
      <c r="K182" s="18"/>
      <c r="L182" s="18"/>
      <c r="M182" s="18"/>
      <c r="N182" s="18"/>
      <c r="O182" s="18"/>
      <c r="P182" s="42"/>
      <c r="Q182" s="18"/>
      <c r="R182" s="18"/>
      <c r="S182" s="18"/>
      <c r="T182" s="18"/>
      <c r="U182" s="42"/>
      <c r="V182" s="18"/>
      <c r="W182" s="18"/>
      <c r="X182" s="18"/>
    </row>
    <row r="183" spans="1:24" ht="15">
      <c r="A183" s="4"/>
      <c r="B183" s="24"/>
      <c r="C183" s="11"/>
      <c r="D183" s="10" t="s">
        <v>4</v>
      </c>
      <c r="E183" s="10"/>
      <c r="F183" s="10" t="s">
        <v>5</v>
      </c>
      <c r="G183" s="10" t="s">
        <v>6</v>
      </c>
      <c r="H183" s="10"/>
      <c r="I183" s="10" t="s">
        <v>7</v>
      </c>
      <c r="J183" s="10" t="s">
        <v>8</v>
      </c>
      <c r="K183" s="10" t="s">
        <v>9</v>
      </c>
      <c r="L183" s="10" t="s">
        <v>10</v>
      </c>
      <c r="M183" s="10" t="s">
        <v>11</v>
      </c>
      <c r="N183" s="10" t="s">
        <v>12</v>
      </c>
      <c r="O183" s="10" t="s">
        <v>13</v>
      </c>
      <c r="P183" s="10"/>
      <c r="Q183" s="10" t="s">
        <v>14</v>
      </c>
      <c r="R183" s="10" t="s">
        <v>15</v>
      </c>
      <c r="S183" s="10"/>
      <c r="T183" s="10" t="s">
        <v>16</v>
      </c>
      <c r="U183" s="10"/>
      <c r="V183" s="10" t="s">
        <v>17</v>
      </c>
      <c r="W183" s="10" t="s">
        <v>18</v>
      </c>
      <c r="X183" s="10" t="s">
        <v>19</v>
      </c>
    </row>
    <row r="184" spans="1:23" ht="15">
      <c r="A184" s="4"/>
      <c r="B184" s="24"/>
      <c r="C184" s="11"/>
      <c r="D184" s="10" t="s">
        <v>20</v>
      </c>
      <c r="E184" s="10"/>
      <c r="F184" s="14" t="s">
        <v>21</v>
      </c>
      <c r="G184" s="10"/>
      <c r="I184" s="39" t="s">
        <v>110</v>
      </c>
      <c r="J184" s="47" t="s">
        <v>111</v>
      </c>
      <c r="K184" s="39"/>
      <c r="L184" s="10" t="s">
        <v>20</v>
      </c>
      <c r="M184" s="10" t="s">
        <v>20</v>
      </c>
      <c r="N184" s="10" t="s">
        <v>20</v>
      </c>
      <c r="O184" s="10" t="s">
        <v>20</v>
      </c>
      <c r="P184" s="42"/>
      <c r="Q184" s="10" t="s">
        <v>20</v>
      </c>
      <c r="R184" s="10" t="s">
        <v>20</v>
      </c>
      <c r="S184" s="48"/>
      <c r="T184" s="10" t="s">
        <v>20</v>
      </c>
      <c r="U184" s="42"/>
      <c r="W184" s="39" t="s">
        <v>112</v>
      </c>
    </row>
    <row r="185" spans="1:24" ht="15">
      <c r="A185" s="4"/>
      <c r="B185" s="87" t="s">
        <v>183</v>
      </c>
      <c r="C185" s="11"/>
      <c r="D185" s="8" t="s">
        <v>113</v>
      </c>
      <c r="E185" s="6"/>
      <c r="F185" s="6" t="s">
        <v>114</v>
      </c>
      <c r="G185" s="49" t="s">
        <v>22</v>
      </c>
      <c r="I185" s="8" t="s">
        <v>113</v>
      </c>
      <c r="J185" s="6" t="s">
        <v>114</v>
      </c>
      <c r="K185" s="49" t="s">
        <v>24</v>
      </c>
      <c r="L185" s="13" t="s">
        <v>115</v>
      </c>
      <c r="M185" s="13" t="s">
        <v>116</v>
      </c>
      <c r="N185" s="13" t="s">
        <v>117</v>
      </c>
      <c r="O185" s="13" t="s">
        <v>118</v>
      </c>
      <c r="P185" s="42"/>
      <c r="Q185" s="13" t="s">
        <v>119</v>
      </c>
      <c r="R185" s="13" t="s">
        <v>120</v>
      </c>
      <c r="T185" s="13" t="s">
        <v>121</v>
      </c>
      <c r="U185" s="42"/>
      <c r="V185" s="10" t="s">
        <v>20</v>
      </c>
      <c r="W185" s="10" t="s">
        <v>21</v>
      </c>
      <c r="X185" s="10" t="s">
        <v>22</v>
      </c>
    </row>
    <row r="186" spans="1:24" ht="15">
      <c r="A186" s="4"/>
      <c r="B186" s="24"/>
      <c r="C186" s="11"/>
      <c r="D186" s="18"/>
      <c r="E186" s="18"/>
      <c r="F186" s="18"/>
      <c r="G186" s="18"/>
      <c r="K186" s="42"/>
      <c r="L186" s="42"/>
      <c r="N186" s="42"/>
      <c r="O186" s="18"/>
      <c r="P186" s="42"/>
      <c r="U186" s="42"/>
      <c r="V186" s="18"/>
      <c r="W186" s="39" t="s">
        <v>122</v>
      </c>
      <c r="X186" s="18"/>
    </row>
    <row r="187" spans="1:24" ht="15">
      <c r="A187" s="4">
        <f>+A155+1</f>
        <v>19</v>
      </c>
      <c r="B187" s="5" t="s">
        <v>36</v>
      </c>
      <c r="C187" s="17" t="s">
        <v>37</v>
      </c>
      <c r="D187" s="18">
        <v>1323099</v>
      </c>
      <c r="E187" s="18" t="s">
        <v>0</v>
      </c>
      <c r="F187" s="18">
        <v>552776</v>
      </c>
      <c r="G187" s="18">
        <f>+D187-F187</f>
        <v>770323</v>
      </c>
      <c r="I187" s="18">
        <v>-712</v>
      </c>
      <c r="J187" s="18">
        <v>199</v>
      </c>
      <c r="K187" s="36">
        <f>+I187-J187</f>
        <v>-911</v>
      </c>
      <c r="L187" s="18">
        <v>0</v>
      </c>
      <c r="M187" s="18">
        <v>-250258</v>
      </c>
      <c r="N187" s="18">
        <v>16467</v>
      </c>
      <c r="O187" s="18">
        <v>0</v>
      </c>
      <c r="P187" s="42"/>
      <c r="Q187" s="31">
        <v>0</v>
      </c>
      <c r="R187" s="18">
        <v>0</v>
      </c>
      <c r="S187" s="18"/>
      <c r="T187" s="18">
        <v>0</v>
      </c>
      <c r="U187" s="42"/>
      <c r="V187" s="31">
        <f>+D187+I187+L187+M187+N187+O187+Q187+R187+T187</f>
        <v>1088596</v>
      </c>
      <c r="W187" s="18">
        <f>+F187+J187</f>
        <v>552975</v>
      </c>
      <c r="X187" s="18">
        <f>+V187-W187</f>
        <v>535621</v>
      </c>
    </row>
    <row r="188" spans="1:24" ht="15">
      <c r="A188" s="4">
        <f>+A187+1</f>
        <v>20</v>
      </c>
      <c r="B188" s="5" t="s">
        <v>36</v>
      </c>
      <c r="C188" s="22" t="s">
        <v>38</v>
      </c>
      <c r="D188" s="18">
        <v>1327984</v>
      </c>
      <c r="E188" s="18" t="s">
        <v>0</v>
      </c>
      <c r="F188" s="18">
        <v>559792</v>
      </c>
      <c r="G188" s="18">
        <f>+D188-F188</f>
        <v>768192</v>
      </c>
      <c r="I188" s="18">
        <v>-712</v>
      </c>
      <c r="J188" s="31">
        <v>205</v>
      </c>
      <c r="K188" s="18">
        <v>-1707</v>
      </c>
      <c r="L188" s="18">
        <v>0</v>
      </c>
      <c r="M188" s="18">
        <v>-250664</v>
      </c>
      <c r="N188" s="18">
        <v>16467</v>
      </c>
      <c r="O188" s="18">
        <v>0</v>
      </c>
      <c r="P188" s="42"/>
      <c r="Q188" s="31">
        <v>0</v>
      </c>
      <c r="R188" s="18">
        <v>0</v>
      </c>
      <c r="S188" s="18"/>
      <c r="T188" s="18">
        <v>0</v>
      </c>
      <c r="U188" s="42"/>
      <c r="V188" s="31">
        <f>+D188+I188+L188+M188+N188+O188+Q188+R188+T188</f>
        <v>1093075</v>
      </c>
      <c r="W188" s="18">
        <f>+F188+J188</f>
        <v>559997</v>
      </c>
      <c r="X188" s="18">
        <f>+V188-W188</f>
        <v>533078</v>
      </c>
    </row>
    <row r="189" spans="1:24" ht="15">
      <c r="A189" s="4">
        <f>+A188+1</f>
        <v>21</v>
      </c>
      <c r="B189" s="24" t="s">
        <v>46</v>
      </c>
      <c r="C189" s="40" t="s">
        <v>78</v>
      </c>
      <c r="D189" s="18">
        <f>+D187-D188</f>
        <v>-4885</v>
      </c>
      <c r="E189" s="18"/>
      <c r="F189" s="18">
        <f>+F187-F188</f>
        <v>-7016</v>
      </c>
      <c r="G189" s="18">
        <f>+G187-G188</f>
        <v>2131</v>
      </c>
      <c r="I189" s="18">
        <f aca="true" t="shared" si="24" ref="I189:O189">+I187-I188</f>
        <v>0</v>
      </c>
      <c r="J189" s="18">
        <f t="shared" si="24"/>
        <v>-6</v>
      </c>
      <c r="K189" s="18">
        <f t="shared" si="24"/>
        <v>796</v>
      </c>
      <c r="L189" s="18">
        <f t="shared" si="24"/>
        <v>0</v>
      </c>
      <c r="M189" s="18">
        <f t="shared" si="24"/>
        <v>406</v>
      </c>
      <c r="N189" s="18">
        <f t="shared" si="24"/>
        <v>0</v>
      </c>
      <c r="O189" s="18">
        <f t="shared" si="24"/>
        <v>0</v>
      </c>
      <c r="P189" s="42"/>
      <c r="Q189" s="18">
        <f>+Q187-Q188</f>
        <v>0</v>
      </c>
      <c r="R189" s="18">
        <f>+R187-R188</f>
        <v>0</v>
      </c>
      <c r="S189" s="18"/>
      <c r="T189" s="18">
        <f>+T187-T188</f>
        <v>0</v>
      </c>
      <c r="U189" s="42"/>
      <c r="V189" s="31">
        <f>+V187-V188</f>
        <v>-4479</v>
      </c>
      <c r="W189" s="31">
        <f>+W187-W188</f>
        <v>-7022</v>
      </c>
      <c r="X189" s="18">
        <f>+X187-X188</f>
        <v>2543</v>
      </c>
    </row>
    <row r="190" spans="1:24" ht="28.5">
      <c r="A190" s="4">
        <f>+A189+1</f>
        <v>22</v>
      </c>
      <c r="B190" s="88" t="s">
        <v>182</v>
      </c>
      <c r="C190" s="11"/>
      <c r="D190" s="18">
        <v>0</v>
      </c>
      <c r="E190" s="18"/>
      <c r="F190" s="18">
        <v>0</v>
      </c>
      <c r="G190" s="18">
        <f>+D190-F190</f>
        <v>0</v>
      </c>
      <c r="I190" s="18">
        <v>0</v>
      </c>
      <c r="J190" s="18">
        <v>0</v>
      </c>
      <c r="K190" s="18">
        <f>+I190-J190</f>
        <v>0</v>
      </c>
      <c r="L190" s="18">
        <v>0</v>
      </c>
      <c r="M190" s="18">
        <v>0</v>
      </c>
      <c r="N190" s="18">
        <f>+L190-M190</f>
        <v>0</v>
      </c>
      <c r="O190" s="18">
        <v>0</v>
      </c>
      <c r="P190" s="42"/>
      <c r="Q190" s="18">
        <v>0</v>
      </c>
      <c r="R190" s="18">
        <v>0</v>
      </c>
      <c r="S190" s="18"/>
      <c r="T190" s="18">
        <v>0</v>
      </c>
      <c r="U190" s="42"/>
      <c r="V190" s="31">
        <f>+D190+I190+L190+M190+N190+O190+Q190+R190+T190</f>
        <v>0</v>
      </c>
      <c r="W190" s="18">
        <f>+F190+J190</f>
        <v>0</v>
      </c>
      <c r="X190" s="18">
        <f>+V190-W190</f>
        <v>0</v>
      </c>
    </row>
    <row r="191" spans="1:24" ht="24.75">
      <c r="A191" s="4">
        <f>+A190+1</f>
        <v>23</v>
      </c>
      <c r="B191" s="89" t="s">
        <v>39</v>
      </c>
      <c r="C191" s="40"/>
      <c r="D191" s="27">
        <v>-6188</v>
      </c>
      <c r="E191" s="18" t="s">
        <v>0</v>
      </c>
      <c r="F191" s="27">
        <v>423935</v>
      </c>
      <c r="G191" s="18">
        <f>+D191-F191</f>
        <v>-430123</v>
      </c>
      <c r="I191" s="27">
        <v>0</v>
      </c>
      <c r="J191" s="27">
        <v>0</v>
      </c>
      <c r="K191" s="18">
        <f>+I191-J191</f>
        <v>0</v>
      </c>
      <c r="L191" s="18">
        <v>0</v>
      </c>
      <c r="M191" s="18">
        <v>-301193</v>
      </c>
      <c r="N191" s="18">
        <v>20393</v>
      </c>
      <c r="O191" s="27">
        <v>-15254</v>
      </c>
      <c r="P191" s="42"/>
      <c r="Q191" s="50">
        <v>0</v>
      </c>
      <c r="R191" s="21">
        <v>0</v>
      </c>
      <c r="S191" s="18"/>
      <c r="T191" s="18">
        <v>0</v>
      </c>
      <c r="U191" s="42"/>
      <c r="V191" s="31">
        <f>+D191+I191+M191+N191+L191+O191+Q191+R191+T191</f>
        <v>-302242</v>
      </c>
      <c r="W191" s="18">
        <f>+F191+J191</f>
        <v>423935</v>
      </c>
      <c r="X191" s="36">
        <f>+V191-W191</f>
        <v>-726177</v>
      </c>
    </row>
    <row r="192" spans="1:24" ht="15">
      <c r="A192" s="6" t="s">
        <v>41</v>
      </c>
      <c r="B192" s="41"/>
      <c r="C192" s="40"/>
      <c r="D192" s="18"/>
      <c r="E192" s="18"/>
      <c r="F192" s="18" t="s">
        <v>0</v>
      </c>
      <c r="G192" s="18"/>
      <c r="I192" s="18"/>
      <c r="J192" s="18"/>
      <c r="K192" s="18"/>
      <c r="L192" s="18"/>
      <c r="M192" s="18"/>
      <c r="N192" s="18"/>
      <c r="O192" s="18"/>
      <c r="P192" s="42"/>
      <c r="Q192" s="18"/>
      <c r="R192" s="18"/>
      <c r="S192" s="18"/>
      <c r="T192" s="18"/>
      <c r="U192" s="42"/>
      <c r="V192" s="30"/>
      <c r="W192" s="30"/>
      <c r="X192" s="36"/>
    </row>
    <row r="193" spans="1:24" ht="15">
      <c r="A193" s="4">
        <f>+A191+1</f>
        <v>24</v>
      </c>
      <c r="B193" s="5" t="s">
        <v>42</v>
      </c>
      <c r="C193" s="22" t="s">
        <v>38</v>
      </c>
      <c r="D193" s="18">
        <v>1352508</v>
      </c>
      <c r="E193" s="18" t="s">
        <v>0</v>
      </c>
      <c r="F193" s="18">
        <v>499197</v>
      </c>
      <c r="G193" s="18">
        <f>+D193-F193</f>
        <v>853311</v>
      </c>
      <c r="I193" s="18">
        <v>-7</v>
      </c>
      <c r="J193" s="26">
        <v>274</v>
      </c>
      <c r="K193" s="18">
        <f>+I193-J193</f>
        <v>-281</v>
      </c>
      <c r="L193" s="18">
        <v>38330</v>
      </c>
      <c r="M193" s="18">
        <v>-324285</v>
      </c>
      <c r="N193" s="18">
        <v>17036</v>
      </c>
      <c r="O193" s="18">
        <v>0</v>
      </c>
      <c r="P193" s="42"/>
      <c r="Q193" s="31">
        <v>0</v>
      </c>
      <c r="R193" s="18">
        <v>38301</v>
      </c>
      <c r="S193" s="18" t="s">
        <v>0</v>
      </c>
      <c r="T193" s="18">
        <v>-161</v>
      </c>
      <c r="U193" s="42"/>
      <c r="V193" s="31">
        <f>+D193+I193+L193+M193+N193+O193+Q193+R193+T193</f>
        <v>1121722</v>
      </c>
      <c r="W193" s="18">
        <f>+F193+J193</f>
        <v>499471</v>
      </c>
      <c r="X193" s="18">
        <f>+V193-W193</f>
        <v>622251</v>
      </c>
    </row>
    <row r="194" spans="1:24" ht="15">
      <c r="A194" s="4">
        <f>+A193+1</f>
        <v>25</v>
      </c>
      <c r="B194" s="5" t="s">
        <v>43</v>
      </c>
      <c r="C194" s="11"/>
      <c r="D194" s="18"/>
      <c r="E194" s="18"/>
      <c r="F194" s="18">
        <v>0</v>
      </c>
      <c r="G194" s="18">
        <f>+D194-F194</f>
        <v>0</v>
      </c>
      <c r="I194" s="18">
        <v>0</v>
      </c>
      <c r="J194" s="18">
        <v>0</v>
      </c>
      <c r="K194" s="18">
        <f>+I194-J194</f>
        <v>0</v>
      </c>
      <c r="L194" s="18">
        <v>0</v>
      </c>
      <c r="M194" s="18">
        <v>0</v>
      </c>
      <c r="N194" s="18">
        <f>+L194-M194</f>
        <v>0</v>
      </c>
      <c r="O194" s="18">
        <v>0</v>
      </c>
      <c r="P194" s="42"/>
      <c r="Q194" s="18">
        <v>0</v>
      </c>
      <c r="R194" s="18">
        <v>0</v>
      </c>
      <c r="S194" s="18"/>
      <c r="T194" s="18">
        <v>0</v>
      </c>
      <c r="U194" s="42"/>
      <c r="V194" s="31">
        <f>+D194+I194+L194+O194+Q194+R194+T194</f>
        <v>0</v>
      </c>
      <c r="W194" s="18">
        <f>+F194+J194+M194</f>
        <v>0</v>
      </c>
      <c r="X194" s="18">
        <f>+V194-W194</f>
        <v>0</v>
      </c>
    </row>
    <row r="195" spans="1:24" ht="26.25">
      <c r="A195" s="4">
        <f>+A194+1</f>
        <v>26</v>
      </c>
      <c r="B195" s="24" t="s">
        <v>79</v>
      </c>
      <c r="C195" s="11"/>
      <c r="D195" s="18">
        <f>+D193-D194</f>
        <v>1352508</v>
      </c>
      <c r="E195" s="18"/>
      <c r="F195" s="18">
        <f>+F193-F194</f>
        <v>499197</v>
      </c>
      <c r="G195" s="18">
        <f>+G193-G194</f>
        <v>853311</v>
      </c>
      <c r="I195" s="18">
        <f aca="true" t="shared" si="25" ref="I195:N195">+I193-I194</f>
        <v>-7</v>
      </c>
      <c r="J195" s="18">
        <f t="shared" si="25"/>
        <v>274</v>
      </c>
      <c r="K195" s="18">
        <f t="shared" si="25"/>
        <v>-281</v>
      </c>
      <c r="L195" s="18">
        <f t="shared" si="25"/>
        <v>38330</v>
      </c>
      <c r="M195" s="18">
        <f t="shared" si="25"/>
        <v>-324285</v>
      </c>
      <c r="N195" s="18">
        <f t="shared" si="25"/>
        <v>17036</v>
      </c>
      <c r="O195" s="18">
        <v>0</v>
      </c>
      <c r="P195" s="42"/>
      <c r="Q195" s="18">
        <f>+Q193-Q194</f>
        <v>0</v>
      </c>
      <c r="R195" s="18">
        <f>+R193-R194</f>
        <v>38301</v>
      </c>
      <c r="S195" s="18"/>
      <c r="T195" s="18">
        <f>+T193-T194</f>
        <v>-161</v>
      </c>
      <c r="U195" s="42"/>
      <c r="V195" s="27">
        <f>+V193-V194</f>
        <v>1121722</v>
      </c>
      <c r="W195" s="27">
        <f>+W193-W194</f>
        <v>499471</v>
      </c>
      <c r="X195" s="31">
        <f>+X193-X194</f>
        <v>622251</v>
      </c>
    </row>
    <row r="196" spans="1:24" ht="28.5">
      <c r="A196" s="4">
        <f>+A195+1</f>
        <v>27</v>
      </c>
      <c r="B196" s="88" t="s">
        <v>181</v>
      </c>
      <c r="C196" s="11"/>
      <c r="D196" s="18">
        <v>0</v>
      </c>
      <c r="E196" s="18"/>
      <c r="F196" s="18">
        <v>0</v>
      </c>
      <c r="G196" s="18">
        <f>+D196-F196</f>
        <v>0</v>
      </c>
      <c r="I196" s="18">
        <v>0</v>
      </c>
      <c r="J196" s="18">
        <v>0</v>
      </c>
      <c r="K196" s="18">
        <f>+I196-J196</f>
        <v>0</v>
      </c>
      <c r="L196" s="18">
        <v>0</v>
      </c>
      <c r="M196" s="18">
        <v>0</v>
      </c>
      <c r="N196" s="18">
        <f>+L196-M196</f>
        <v>0</v>
      </c>
      <c r="O196" s="18">
        <v>0</v>
      </c>
      <c r="P196" s="42"/>
      <c r="Q196" s="18">
        <v>0</v>
      </c>
      <c r="R196" s="18">
        <v>0</v>
      </c>
      <c r="S196" s="18"/>
      <c r="T196" s="18">
        <v>0</v>
      </c>
      <c r="U196" s="42"/>
      <c r="V196" s="31">
        <f>+D196+I196+L196+O196+Q196+R196+T196</f>
        <v>0</v>
      </c>
      <c r="W196" s="18">
        <f>+F196+J196+M196</f>
        <v>0</v>
      </c>
      <c r="X196" s="18">
        <f>+V196-W196</f>
        <v>0</v>
      </c>
    </row>
    <row r="197" spans="1:24" ht="15">
      <c r="A197" s="4">
        <f>+A196+1</f>
        <v>28</v>
      </c>
      <c r="B197" s="24" t="s">
        <v>46</v>
      </c>
      <c r="C197" s="11" t="s">
        <v>47</v>
      </c>
      <c r="D197" s="51">
        <f>+D189+D190+D195+D196+D191</f>
        <v>1341435</v>
      </c>
      <c r="E197" s="18"/>
      <c r="F197" s="52">
        <f>+F189+F190+F195+F196+F191</f>
        <v>916116</v>
      </c>
      <c r="G197" s="18">
        <f>+G189+G190+G195+G196+G191</f>
        <v>425319</v>
      </c>
      <c r="I197" s="51">
        <f aca="true" t="shared" si="26" ref="I197:O197">+I189+I190+I195+I196+I191</f>
        <v>-7</v>
      </c>
      <c r="J197" s="52">
        <f t="shared" si="26"/>
        <v>268</v>
      </c>
      <c r="K197" s="18">
        <f t="shared" si="26"/>
        <v>515</v>
      </c>
      <c r="L197" s="18">
        <f t="shared" si="26"/>
        <v>38330</v>
      </c>
      <c r="M197" s="18">
        <f t="shared" si="26"/>
        <v>-625072</v>
      </c>
      <c r="N197" s="18">
        <f t="shared" si="26"/>
        <v>37429</v>
      </c>
      <c r="O197" s="18">
        <f t="shared" si="26"/>
        <v>-15254</v>
      </c>
      <c r="P197" s="42"/>
      <c r="Q197" s="18">
        <f>+Q189+Q190+Q195+Q196+Q191</f>
        <v>0</v>
      </c>
      <c r="R197" s="18">
        <f>+R189+R190+R195+R196+R191</f>
        <v>38301</v>
      </c>
      <c r="S197" s="18"/>
      <c r="T197" s="18">
        <f>+T189+T190+T195+T196+T191</f>
        <v>-161</v>
      </c>
      <c r="U197" s="42"/>
      <c r="V197" s="18">
        <f>+V189+V190+V195+V196+V191</f>
        <v>815001</v>
      </c>
      <c r="W197" s="18">
        <f>+W189+W190+W195+W196+W191</f>
        <v>916384</v>
      </c>
      <c r="X197" s="18">
        <f>+X189+X190+X195+X196+X191</f>
        <v>-101383</v>
      </c>
    </row>
    <row r="198" spans="1:24" ht="15">
      <c r="A198" s="4"/>
      <c r="B198" s="24"/>
      <c r="C198" s="11"/>
      <c r="D198" s="18"/>
      <c r="E198" s="18"/>
      <c r="F198" s="18"/>
      <c r="G198" s="18"/>
      <c r="I198" s="18"/>
      <c r="J198" s="18"/>
      <c r="K198" s="18"/>
      <c r="L198" s="18"/>
      <c r="M198" s="42"/>
      <c r="N198" s="42"/>
      <c r="O198" s="42"/>
      <c r="P198" s="42"/>
      <c r="Q198" s="42"/>
      <c r="U198" s="42"/>
      <c r="V198" s="18"/>
      <c r="W198" s="18"/>
      <c r="X198" s="18"/>
    </row>
    <row r="199" spans="1:24" ht="15">
      <c r="A199" s="4"/>
      <c r="B199" s="24"/>
      <c r="C199" s="11"/>
      <c r="D199" s="6" t="s">
        <v>48</v>
      </c>
      <c r="E199" s="6"/>
      <c r="F199" s="10" t="s">
        <v>49</v>
      </c>
      <c r="G199" s="10" t="s">
        <v>50</v>
      </c>
      <c r="I199" s="10" t="s">
        <v>51</v>
      </c>
      <c r="J199" s="10" t="s">
        <v>52</v>
      </c>
      <c r="K199" s="10" t="s">
        <v>53</v>
      </c>
      <c r="L199" s="10" t="s">
        <v>54</v>
      </c>
      <c r="M199" s="10" t="s">
        <v>55</v>
      </c>
      <c r="N199" s="10" t="s">
        <v>56</v>
      </c>
      <c r="O199" s="10" t="s">
        <v>57</v>
      </c>
      <c r="P199" s="18"/>
      <c r="Q199" s="10" t="s">
        <v>58</v>
      </c>
      <c r="R199" s="10" t="s">
        <v>59</v>
      </c>
      <c r="S199" s="10"/>
      <c r="T199" s="10" t="s">
        <v>60</v>
      </c>
      <c r="U199" s="18"/>
      <c r="V199" s="10" t="s">
        <v>61</v>
      </c>
      <c r="W199" s="10" t="s">
        <v>62</v>
      </c>
      <c r="X199" s="10" t="s">
        <v>63</v>
      </c>
    </row>
    <row r="200" spans="1:24" ht="15">
      <c r="A200" s="4"/>
      <c r="B200" s="24"/>
      <c r="C200" s="11"/>
      <c r="D200" s="14" t="s">
        <v>20</v>
      </c>
      <c r="E200" s="18"/>
      <c r="F200" s="14" t="s">
        <v>20</v>
      </c>
      <c r="G200" s="14" t="s">
        <v>20</v>
      </c>
      <c r="I200" s="14" t="s">
        <v>20</v>
      </c>
      <c r="J200" s="14" t="s">
        <v>21</v>
      </c>
      <c r="K200" s="14" t="s">
        <v>21</v>
      </c>
      <c r="L200" s="14" t="s">
        <v>21</v>
      </c>
      <c r="M200" s="14" t="s">
        <v>21</v>
      </c>
      <c r="N200" s="14" t="s">
        <v>21</v>
      </c>
      <c r="O200" s="14" t="s">
        <v>21</v>
      </c>
      <c r="P200" s="14"/>
      <c r="Q200" s="14" t="s">
        <v>21</v>
      </c>
      <c r="R200" s="14" t="s">
        <v>21</v>
      </c>
      <c r="T200" s="14" t="s">
        <v>21</v>
      </c>
      <c r="U200" s="42"/>
      <c r="V200" s="18"/>
      <c r="W200" s="39" t="s">
        <v>123</v>
      </c>
      <c r="X200" s="18"/>
    </row>
    <row r="201" spans="1:24" ht="15">
      <c r="A201" s="4"/>
      <c r="B201" s="87" t="s">
        <v>183</v>
      </c>
      <c r="C201" s="11"/>
      <c r="D201" s="53" t="s">
        <v>124</v>
      </c>
      <c r="E201" s="18"/>
      <c r="F201" s="53" t="s">
        <v>125</v>
      </c>
      <c r="G201" s="53" t="s">
        <v>126</v>
      </c>
      <c r="I201" s="53" t="s">
        <v>127</v>
      </c>
      <c r="J201" s="53" t="s">
        <v>128</v>
      </c>
      <c r="K201" s="53" t="s">
        <v>129</v>
      </c>
      <c r="L201" s="53" t="s">
        <v>130</v>
      </c>
      <c r="M201" s="53" t="s">
        <v>131</v>
      </c>
      <c r="N201" s="24" t="s">
        <v>132</v>
      </c>
      <c r="O201" s="24" t="s">
        <v>98</v>
      </c>
      <c r="P201" s="24"/>
      <c r="Q201" s="24" t="s">
        <v>99</v>
      </c>
      <c r="R201" s="24" t="s">
        <v>133</v>
      </c>
      <c r="S201" s="42"/>
      <c r="T201" s="24" t="s">
        <v>134</v>
      </c>
      <c r="U201" s="42"/>
      <c r="V201" s="10" t="s">
        <v>20</v>
      </c>
      <c r="W201" s="10" t="s">
        <v>21</v>
      </c>
      <c r="X201" s="10" t="s">
        <v>22</v>
      </c>
    </row>
    <row r="202" spans="1:24" ht="15">
      <c r="A202" s="4"/>
      <c r="B202" s="24"/>
      <c r="C202" s="11"/>
      <c r="D202" s="18"/>
      <c r="E202" s="18"/>
      <c r="F202" s="18"/>
      <c r="I202" s="18"/>
      <c r="J202" s="18"/>
      <c r="O202" s="42"/>
      <c r="P202" s="42"/>
      <c r="Q202" s="42"/>
      <c r="R202" s="42"/>
      <c r="S202" s="42"/>
      <c r="T202" s="42"/>
      <c r="U202" s="42"/>
      <c r="V202" s="18"/>
      <c r="W202" s="39"/>
      <c r="X202" s="18"/>
    </row>
    <row r="203" spans="1:24" ht="15">
      <c r="A203" s="4">
        <f>+A197+1</f>
        <v>29</v>
      </c>
      <c r="B203" s="5" t="s">
        <v>36</v>
      </c>
      <c r="C203" s="17" t="s">
        <v>37</v>
      </c>
      <c r="D203" s="18">
        <v>0</v>
      </c>
      <c r="E203" s="18"/>
      <c r="F203" s="18">
        <v>0</v>
      </c>
      <c r="G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/>
      <c r="Q203" s="18">
        <v>0</v>
      </c>
      <c r="R203" s="18">
        <v>0</v>
      </c>
      <c r="S203" s="42"/>
      <c r="T203" s="18">
        <v>0</v>
      </c>
      <c r="U203" s="42"/>
      <c r="V203" s="18">
        <f>+V187+D203+F203+G203+I203</f>
        <v>1088596</v>
      </c>
      <c r="W203" s="18">
        <f>+W187+J203+K203+L203+M203+N203+O203+Q203+R203+T203</f>
        <v>552975</v>
      </c>
      <c r="X203" s="18">
        <f>+V203-W203</f>
        <v>535621</v>
      </c>
    </row>
    <row r="204" spans="1:24" ht="15">
      <c r="A204" s="4">
        <f>+A203+1</f>
        <v>30</v>
      </c>
      <c r="B204" s="5" t="s">
        <v>36</v>
      </c>
      <c r="C204" s="22" t="s">
        <v>38</v>
      </c>
      <c r="D204" s="18">
        <v>0</v>
      </c>
      <c r="E204" s="18"/>
      <c r="F204" s="18">
        <v>0</v>
      </c>
      <c r="G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/>
      <c r="Q204" s="18">
        <v>0</v>
      </c>
      <c r="R204" s="18">
        <v>0</v>
      </c>
      <c r="S204" s="42"/>
      <c r="T204" s="18">
        <v>0</v>
      </c>
      <c r="U204" s="42"/>
      <c r="V204" s="18">
        <f>+V188+D204+F204+G204+I204</f>
        <v>1093075</v>
      </c>
      <c r="W204" s="18">
        <f>+W188+J204+K204+L204+M204+N204+O204+Q204+R204+T204</f>
        <v>559997</v>
      </c>
      <c r="X204" s="18">
        <f>+V204-W204</f>
        <v>533078</v>
      </c>
    </row>
    <row r="205" spans="1:24" ht="15">
      <c r="A205" s="4">
        <f>+A204+1</f>
        <v>31</v>
      </c>
      <c r="B205" s="24" t="s">
        <v>46</v>
      </c>
      <c r="C205" s="40" t="s">
        <v>78</v>
      </c>
      <c r="D205" s="18">
        <f>+D203-D204</f>
        <v>0</v>
      </c>
      <c r="E205" s="18"/>
      <c r="F205" s="18">
        <f>+F203-F204</f>
        <v>0</v>
      </c>
      <c r="G205" s="18">
        <f>+G203-G204</f>
        <v>0</v>
      </c>
      <c r="I205" s="18">
        <f aca="true" t="shared" si="27" ref="I205:O205">+I203-I204</f>
        <v>0</v>
      </c>
      <c r="J205" s="18">
        <f t="shared" si="27"/>
        <v>0</v>
      </c>
      <c r="K205" s="18">
        <f t="shared" si="27"/>
        <v>0</v>
      </c>
      <c r="L205" s="18">
        <f t="shared" si="27"/>
        <v>0</v>
      </c>
      <c r="M205" s="18">
        <f t="shared" si="27"/>
        <v>0</v>
      </c>
      <c r="N205" s="18">
        <f t="shared" si="27"/>
        <v>0</v>
      </c>
      <c r="O205" s="18">
        <f t="shared" si="27"/>
        <v>0</v>
      </c>
      <c r="P205" s="18"/>
      <c r="Q205" s="18">
        <f>+Q203-Q204</f>
        <v>0</v>
      </c>
      <c r="R205" s="18">
        <f>+R203-R204</f>
        <v>0</v>
      </c>
      <c r="S205" s="42"/>
      <c r="T205" s="18">
        <f>+T203-T204</f>
        <v>0</v>
      </c>
      <c r="U205" s="42"/>
      <c r="V205" s="27">
        <f>+V203-V204</f>
        <v>-4479</v>
      </c>
      <c r="W205" s="27">
        <f>+W203-W204</f>
        <v>-7022</v>
      </c>
      <c r="X205" s="18">
        <f>+X203-X204</f>
        <v>2543</v>
      </c>
    </row>
    <row r="206" spans="1:24" ht="28.5">
      <c r="A206" s="4">
        <f>+A205+1</f>
        <v>32</v>
      </c>
      <c r="B206" s="88" t="s">
        <v>182</v>
      </c>
      <c r="C206" s="11"/>
      <c r="D206" s="18">
        <v>0</v>
      </c>
      <c r="E206" s="18"/>
      <c r="F206" s="18">
        <v>0</v>
      </c>
      <c r="G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/>
      <c r="Q206" s="18">
        <v>0</v>
      </c>
      <c r="R206" s="18">
        <v>0</v>
      </c>
      <c r="S206" s="42"/>
      <c r="T206" s="18">
        <v>0</v>
      </c>
      <c r="U206" s="42"/>
      <c r="V206" s="18">
        <f>+V190+D206+F206+G206+I206</f>
        <v>0</v>
      </c>
      <c r="W206" s="18">
        <f>+W190+J206+K206+L206+M206+N206+O206+Q206+R206+T206</f>
        <v>0</v>
      </c>
      <c r="X206" s="18">
        <f>+V206-W206</f>
        <v>0</v>
      </c>
    </row>
    <row r="207" spans="1:24" ht="24.75">
      <c r="A207" s="4">
        <f>+A206+1</f>
        <v>33</v>
      </c>
      <c r="B207" s="89" t="s">
        <v>39</v>
      </c>
      <c r="C207" s="40"/>
      <c r="D207" s="27">
        <v>48425</v>
      </c>
      <c r="E207" s="18"/>
      <c r="F207" s="27">
        <v>-1454</v>
      </c>
      <c r="G207" s="27">
        <v>0</v>
      </c>
      <c r="H207" t="s">
        <v>0</v>
      </c>
      <c r="I207" s="27">
        <v>0</v>
      </c>
      <c r="J207" s="27">
        <v>83</v>
      </c>
      <c r="K207" s="27">
        <v>0</v>
      </c>
      <c r="L207" s="27">
        <v>0</v>
      </c>
      <c r="M207" s="18">
        <v>0</v>
      </c>
      <c r="N207" s="18">
        <v>0</v>
      </c>
      <c r="O207" s="18">
        <v>0</v>
      </c>
      <c r="P207" s="18"/>
      <c r="Q207" s="18">
        <v>0</v>
      </c>
      <c r="R207" s="18">
        <v>0</v>
      </c>
      <c r="S207" s="42"/>
      <c r="T207" s="18">
        <v>98</v>
      </c>
      <c r="U207" s="42"/>
      <c r="V207" s="18">
        <f>+V191+D207+F207+G207+I207</f>
        <v>-255271</v>
      </c>
      <c r="W207" s="18">
        <f>+W191+J207+K207+L207+M207+N207+O207+Q207+R207+T207</f>
        <v>424116</v>
      </c>
      <c r="X207" s="36">
        <f>+V207-W207</f>
        <v>-679387</v>
      </c>
    </row>
    <row r="208" spans="1:24" ht="15">
      <c r="A208" s="6" t="s">
        <v>41</v>
      </c>
      <c r="B208" s="41"/>
      <c r="C208" s="40"/>
      <c r="D208" s="18"/>
      <c r="E208" s="18"/>
      <c r="F208" s="18"/>
      <c r="G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42"/>
      <c r="T208" s="18"/>
      <c r="U208" s="42"/>
      <c r="V208" s="18"/>
      <c r="W208" s="54"/>
      <c r="X208" s="36"/>
    </row>
    <row r="209" spans="1:24" ht="15">
      <c r="A209" s="4">
        <f>+A207+1</f>
        <v>34</v>
      </c>
      <c r="B209" s="5" t="s">
        <v>42</v>
      </c>
      <c r="C209" s="22" t="s">
        <v>38</v>
      </c>
      <c r="D209" s="18">
        <v>0</v>
      </c>
      <c r="E209" s="18"/>
      <c r="F209" s="18">
        <v>0</v>
      </c>
      <c r="G209" s="18">
        <v>0</v>
      </c>
      <c r="I209" s="18">
        <v>0</v>
      </c>
      <c r="J209" s="18">
        <v>0</v>
      </c>
      <c r="K209" s="18">
        <v>0</v>
      </c>
      <c r="L209" s="18"/>
      <c r="M209" s="18">
        <v>0</v>
      </c>
      <c r="N209" s="18">
        <v>0</v>
      </c>
      <c r="O209" s="18">
        <v>0</v>
      </c>
      <c r="P209" s="18"/>
      <c r="Q209" s="18">
        <v>0</v>
      </c>
      <c r="R209" s="18">
        <v>0</v>
      </c>
      <c r="S209" s="42"/>
      <c r="T209" s="18">
        <v>0</v>
      </c>
      <c r="U209" s="42"/>
      <c r="V209" s="18">
        <f>+V193+D209+F209+G209+I209</f>
        <v>1121722</v>
      </c>
      <c r="W209" s="18">
        <f>+W193+J209+K209+L209+M209+N209+O209+Q209+R209+T209</f>
        <v>499471</v>
      </c>
      <c r="X209" s="18">
        <f>+V209-W209</f>
        <v>622251</v>
      </c>
    </row>
    <row r="210" spans="1:24" ht="15">
      <c r="A210" s="4">
        <f>+A209+1</f>
        <v>35</v>
      </c>
      <c r="B210" s="5" t="s">
        <v>43</v>
      </c>
      <c r="C210" s="11"/>
      <c r="D210" s="18">
        <v>0</v>
      </c>
      <c r="E210" s="18"/>
      <c r="F210" s="18">
        <v>0</v>
      </c>
      <c r="G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/>
      <c r="Q210" s="18">
        <v>0</v>
      </c>
      <c r="R210" s="18">
        <v>0</v>
      </c>
      <c r="S210" s="42"/>
      <c r="T210" s="18">
        <v>0</v>
      </c>
      <c r="U210" s="42"/>
      <c r="V210" s="18">
        <f>+V194+D210+F210+G210+I210</f>
        <v>0</v>
      </c>
      <c r="W210" s="18">
        <f>+W194+J210+K210+L210+M210+N210+O210+Q210+R210+T210</f>
        <v>0</v>
      </c>
      <c r="X210" s="18">
        <f>+V210-W210</f>
        <v>0</v>
      </c>
    </row>
    <row r="211" spans="1:24" ht="26.25">
      <c r="A211" s="4">
        <f>+A210+1</f>
        <v>36</v>
      </c>
      <c r="B211" s="24" t="s">
        <v>79</v>
      </c>
      <c r="C211" s="11"/>
      <c r="D211" s="18">
        <f>+D209-D210</f>
        <v>0</v>
      </c>
      <c r="E211" s="18"/>
      <c r="F211" s="18">
        <f>+F209-F210</f>
        <v>0</v>
      </c>
      <c r="G211" s="18">
        <f>+G209-G210</f>
        <v>0</v>
      </c>
      <c r="I211" s="18">
        <f aca="true" t="shared" si="28" ref="I211:O211">+I209-I210</f>
        <v>0</v>
      </c>
      <c r="J211" s="18">
        <f t="shared" si="28"/>
        <v>0</v>
      </c>
      <c r="K211" s="18">
        <f t="shared" si="28"/>
        <v>0</v>
      </c>
      <c r="L211" s="18">
        <f t="shared" si="28"/>
        <v>0</v>
      </c>
      <c r="M211" s="18">
        <f t="shared" si="28"/>
        <v>0</v>
      </c>
      <c r="N211" s="18">
        <f t="shared" si="28"/>
        <v>0</v>
      </c>
      <c r="O211" s="18">
        <f t="shared" si="28"/>
        <v>0</v>
      </c>
      <c r="P211" s="18"/>
      <c r="Q211" s="18">
        <f>+Q209-Q210</f>
        <v>0</v>
      </c>
      <c r="R211" s="18">
        <f>+R209-R210</f>
        <v>0</v>
      </c>
      <c r="S211" s="42"/>
      <c r="T211" s="18">
        <f>+T209-T210</f>
        <v>0</v>
      </c>
      <c r="U211" s="42"/>
      <c r="V211" s="55">
        <f>+V209-V210</f>
        <v>1121722</v>
      </c>
      <c r="W211" s="55">
        <f>+W209-W210</f>
        <v>499471</v>
      </c>
      <c r="X211" s="31">
        <f>+X209-X210</f>
        <v>622251</v>
      </c>
    </row>
    <row r="212" spans="1:24" ht="28.5">
      <c r="A212" s="4">
        <f>+A211+1</f>
        <v>37</v>
      </c>
      <c r="B212" s="88" t="s">
        <v>181</v>
      </c>
      <c r="C212" s="11"/>
      <c r="D212" s="18">
        <v>0</v>
      </c>
      <c r="E212" s="18"/>
      <c r="F212" s="18">
        <v>0</v>
      </c>
      <c r="G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/>
      <c r="Q212" s="18">
        <v>0</v>
      </c>
      <c r="R212" s="18">
        <v>0</v>
      </c>
      <c r="S212" s="42"/>
      <c r="T212" s="18">
        <v>0</v>
      </c>
      <c r="U212" s="42"/>
      <c r="V212" s="18">
        <f>+V196+D212+F212+G212+I212</f>
        <v>0</v>
      </c>
      <c r="W212" s="18">
        <f>+W196+J212+K212+L212+M212+N212+O212+Q212+R212+T212</f>
        <v>0</v>
      </c>
      <c r="X212" s="18">
        <f>+V212-W212</f>
        <v>0</v>
      </c>
    </row>
    <row r="213" spans="1:24" ht="15">
      <c r="A213" s="4">
        <f>+A212+1</f>
        <v>38</v>
      </c>
      <c r="B213" s="24" t="s">
        <v>46</v>
      </c>
      <c r="C213" s="11" t="s">
        <v>47</v>
      </c>
      <c r="D213" s="18">
        <f>+D205+D206+D211+D212+D207</f>
        <v>48425</v>
      </c>
      <c r="E213" s="18"/>
      <c r="F213" s="18">
        <f>+F205+F206+F211+F212+F207</f>
        <v>-1454</v>
      </c>
      <c r="G213" s="18">
        <f>+G205+G206+G211+G212+G207</f>
        <v>0</v>
      </c>
      <c r="I213" s="18">
        <f aca="true" t="shared" si="29" ref="I213:O213">+I205+I206+I211+I212+I207</f>
        <v>0</v>
      </c>
      <c r="J213" s="18">
        <f t="shared" si="29"/>
        <v>83</v>
      </c>
      <c r="K213" s="18">
        <f t="shared" si="29"/>
        <v>0</v>
      </c>
      <c r="L213" s="18">
        <f t="shared" si="29"/>
        <v>0</v>
      </c>
      <c r="M213" s="18">
        <f t="shared" si="29"/>
        <v>0</v>
      </c>
      <c r="N213" s="18">
        <f t="shared" si="29"/>
        <v>0</v>
      </c>
      <c r="O213" s="18">
        <f t="shared" si="29"/>
        <v>0</v>
      </c>
      <c r="P213" s="18"/>
      <c r="Q213" s="18">
        <f>+Q205+Q206+Q211+Q212+Q207</f>
        <v>0</v>
      </c>
      <c r="R213" s="18">
        <f>+R205+R206+R211+R212+R207</f>
        <v>0</v>
      </c>
      <c r="S213" s="42"/>
      <c r="T213" s="18">
        <f>+T205+T206+T211+T212+T207</f>
        <v>98</v>
      </c>
      <c r="U213" s="42"/>
      <c r="V213" s="18">
        <f>+V205+V206+V211+V212+V207</f>
        <v>861972</v>
      </c>
      <c r="W213" s="18">
        <f>+W205+W206+W211+W212+W207</f>
        <v>916565</v>
      </c>
      <c r="X213" s="18">
        <f>+X205+X206+X211+X212+X207</f>
        <v>-54593</v>
      </c>
    </row>
    <row r="214" spans="1:24" ht="15">
      <c r="A214" s="4"/>
      <c r="B214" s="24"/>
      <c r="C214" s="11"/>
      <c r="D214" s="18"/>
      <c r="E214" s="18"/>
      <c r="F214" s="18"/>
      <c r="G214" s="18"/>
      <c r="N214" s="42"/>
      <c r="O214" s="42"/>
      <c r="P214" s="42"/>
      <c r="Q214" s="42"/>
      <c r="R214" s="42"/>
      <c r="S214" s="42"/>
      <c r="T214" s="42"/>
      <c r="U214" s="42"/>
      <c r="V214" s="18"/>
      <c r="W214" s="18"/>
      <c r="X214" s="18"/>
    </row>
    <row r="215" spans="1:24" ht="15">
      <c r="A215" s="4"/>
      <c r="B215" s="24"/>
      <c r="C215" s="11"/>
      <c r="D215" s="18"/>
      <c r="E215" s="18"/>
      <c r="F215" s="18"/>
      <c r="G215" s="18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18"/>
      <c r="W215" s="18"/>
      <c r="X215" s="18"/>
    </row>
    <row r="216" spans="1:24" ht="15">
      <c r="A216" s="4"/>
      <c r="B216" s="24"/>
      <c r="C216" s="11"/>
      <c r="D216" s="18"/>
      <c r="E216" s="18"/>
      <c r="F216" s="18"/>
      <c r="G216" s="18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18"/>
      <c r="W216" s="18"/>
      <c r="X216" s="18"/>
    </row>
    <row r="217" spans="1:24" ht="15">
      <c r="A217" s="4"/>
      <c r="B217" s="24"/>
      <c r="C217" s="11"/>
      <c r="D217" s="18"/>
      <c r="E217" s="18"/>
      <c r="F217" s="18"/>
      <c r="G217" s="18"/>
      <c r="H217" s="56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18"/>
      <c r="W217" s="18"/>
      <c r="X217" s="18"/>
    </row>
    <row r="218" spans="1:24" ht="15">
      <c r="A218" s="4"/>
      <c r="B218" s="24"/>
      <c r="C218" s="11"/>
      <c r="D218" s="18"/>
      <c r="E218" s="18"/>
      <c r="F218" s="18"/>
      <c r="G218" s="18"/>
      <c r="H218" s="56"/>
      <c r="I218" s="57" t="s">
        <v>135</v>
      </c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18"/>
      <c r="W218" s="18"/>
      <c r="X218" s="18"/>
    </row>
    <row r="219" spans="1:24" ht="15">
      <c r="A219" s="4"/>
      <c r="B219" s="24"/>
      <c r="C219" s="11"/>
      <c r="D219" s="18"/>
      <c r="E219" s="18"/>
      <c r="F219" s="18"/>
      <c r="G219" s="18"/>
      <c r="H219" s="56"/>
      <c r="I219" s="58"/>
      <c r="L219" s="42"/>
      <c r="T219" s="42"/>
      <c r="U219" s="42"/>
      <c r="V219" s="18"/>
      <c r="W219" s="18"/>
      <c r="X219" s="18"/>
    </row>
    <row r="220" spans="1:24" ht="15">
      <c r="A220" s="4"/>
      <c r="B220" s="24"/>
      <c r="C220" s="11"/>
      <c r="D220" s="18"/>
      <c r="E220" s="18"/>
      <c r="F220" s="18"/>
      <c r="G220" s="18"/>
      <c r="H220" s="56"/>
      <c r="I220" s="59" t="s">
        <v>136</v>
      </c>
      <c r="L220" s="18">
        <v>9188041</v>
      </c>
      <c r="T220" s="42"/>
      <c r="U220" s="42"/>
      <c r="V220" s="18"/>
      <c r="W220" s="18"/>
      <c r="X220" s="18"/>
    </row>
    <row r="221" spans="1:24" ht="15">
      <c r="A221" s="4"/>
      <c r="B221" s="24"/>
      <c r="C221" s="11"/>
      <c r="D221" s="18"/>
      <c r="E221" s="18"/>
      <c r="F221" s="18"/>
      <c r="G221" s="18"/>
      <c r="H221" s="56"/>
      <c r="I221" s="59"/>
      <c r="L221" s="18"/>
      <c r="T221" s="42"/>
      <c r="U221" s="42"/>
      <c r="V221" s="18"/>
      <c r="W221" s="18"/>
      <c r="X221" s="18"/>
    </row>
    <row r="222" spans="1:24" ht="15">
      <c r="A222" s="4"/>
      <c r="B222" s="24"/>
      <c r="C222" s="11"/>
      <c r="D222" s="44" t="s">
        <v>137</v>
      </c>
      <c r="E222" s="18"/>
      <c r="F222" s="10" t="s">
        <v>138</v>
      </c>
      <c r="G222" s="44" t="s">
        <v>24</v>
      </c>
      <c r="H222" s="56"/>
      <c r="I222" s="59" t="s">
        <v>139</v>
      </c>
      <c r="L222" s="18">
        <v>2473229</v>
      </c>
      <c r="N222" s="6" t="s">
        <v>137</v>
      </c>
      <c r="O222" s="6" t="s">
        <v>137</v>
      </c>
      <c r="P222" s="42"/>
      <c r="Q222" s="6" t="s">
        <v>138</v>
      </c>
      <c r="R222" s="6" t="s">
        <v>138</v>
      </c>
      <c r="S222" s="6"/>
      <c r="T222" s="42"/>
      <c r="U222" s="42"/>
      <c r="V222" s="18"/>
      <c r="W222" s="18"/>
      <c r="X222" s="18"/>
    </row>
    <row r="223" spans="1:24" ht="15">
      <c r="A223" s="4"/>
      <c r="B223" s="24"/>
      <c r="C223" s="11"/>
      <c r="D223" s="18"/>
      <c r="E223" s="18"/>
      <c r="F223" s="18"/>
      <c r="G223" s="18"/>
      <c r="H223" s="56"/>
      <c r="I223" s="59"/>
      <c r="L223" s="18"/>
      <c r="N223" s="8" t="s">
        <v>140</v>
      </c>
      <c r="O223" s="49" t="s">
        <v>141</v>
      </c>
      <c r="P223" s="42"/>
      <c r="Q223" s="8" t="s">
        <v>140</v>
      </c>
      <c r="R223" s="49" t="s">
        <v>141</v>
      </c>
      <c r="S223" s="49"/>
      <c r="T223" s="42"/>
      <c r="U223" s="42"/>
      <c r="V223" s="18"/>
      <c r="W223" s="18"/>
      <c r="X223" s="18"/>
    </row>
    <row r="224" spans="1:24" ht="15">
      <c r="A224" s="4">
        <f>+A212+1</f>
        <v>38</v>
      </c>
      <c r="B224" s="5" t="s">
        <v>36</v>
      </c>
      <c r="C224" s="17" t="s">
        <v>37</v>
      </c>
      <c r="D224" s="31">
        <f>+V165+V203</f>
        <v>7154791</v>
      </c>
      <c r="E224" s="18"/>
      <c r="F224" s="31">
        <f>+W165+W203</f>
        <v>5222969</v>
      </c>
      <c r="G224" s="18">
        <f>+D224-F224</f>
        <v>1931822</v>
      </c>
      <c r="H224" s="56"/>
      <c r="I224" s="59" t="s">
        <v>142</v>
      </c>
      <c r="J224" s="18"/>
      <c r="K224" s="18"/>
      <c r="L224" s="36">
        <f>+F140</f>
        <v>5794849</v>
      </c>
      <c r="N224" s="60"/>
      <c r="O224" s="6"/>
      <c r="P224" s="42"/>
      <c r="Q224" s="61"/>
      <c r="R224" s="61"/>
      <c r="S224" s="61"/>
      <c r="T224" s="42"/>
      <c r="U224" s="42"/>
      <c r="V224" s="18"/>
      <c r="W224" s="18"/>
      <c r="X224" s="18"/>
    </row>
    <row r="225" spans="1:21" ht="15">
      <c r="A225" s="4">
        <f>+A224+1</f>
        <v>39</v>
      </c>
      <c r="B225" s="5" t="s">
        <v>36</v>
      </c>
      <c r="C225" s="22" t="s">
        <v>38</v>
      </c>
      <c r="D225" s="31">
        <f>+V166+V204</f>
        <v>7161893</v>
      </c>
      <c r="E225" s="18"/>
      <c r="F225" s="31">
        <f>+W166+W204</f>
        <v>5213397</v>
      </c>
      <c r="G225" s="18">
        <f>+D225-F225</f>
        <v>1948496</v>
      </c>
      <c r="H225" s="56"/>
      <c r="I225" s="58"/>
      <c r="J225" s="18"/>
      <c r="K225" s="18"/>
      <c r="L225" s="60"/>
      <c r="N225" s="62">
        <f>+D226</f>
        <v>-7102</v>
      </c>
      <c r="O225" s="63">
        <f>+D232</f>
        <v>8479249</v>
      </c>
      <c r="P225" s="42"/>
      <c r="Q225" s="31">
        <f>+F132</f>
        <v>16594</v>
      </c>
      <c r="R225" s="31">
        <f>+F134</f>
        <v>0</v>
      </c>
      <c r="S225" s="31"/>
      <c r="T225" s="42"/>
      <c r="U225" s="42"/>
    </row>
    <row r="226" spans="1:25" ht="15">
      <c r="A226" s="4">
        <f>+A225+1</f>
        <v>40</v>
      </c>
      <c r="B226" s="24" t="s">
        <v>46</v>
      </c>
      <c r="C226" s="40" t="s">
        <v>78</v>
      </c>
      <c r="D226" s="26">
        <f>+D224-D225</f>
        <v>-7102</v>
      </c>
      <c r="E226" s="18"/>
      <c r="F226" s="26">
        <f>+F224-F225</f>
        <v>9572</v>
      </c>
      <c r="G226" s="18">
        <f>+G224-G225</f>
        <v>-16674</v>
      </c>
      <c r="H226" s="56"/>
      <c r="I226" s="58" t="s">
        <v>143</v>
      </c>
      <c r="J226" s="18"/>
      <c r="K226" s="18"/>
      <c r="L226">
        <v>0</v>
      </c>
      <c r="N226" s="62">
        <f>+D227</f>
        <v>0</v>
      </c>
      <c r="O226" s="63">
        <f>+D233</f>
        <v>0</v>
      </c>
      <c r="P226" s="42"/>
      <c r="Q226" s="31">
        <f>+F133</f>
        <v>0</v>
      </c>
      <c r="R226" s="31">
        <f>+F138</f>
        <v>5778255</v>
      </c>
      <c r="S226" s="31"/>
      <c r="U226" s="18"/>
      <c r="V226" s="10" t="s">
        <v>20</v>
      </c>
      <c r="W226" s="10" t="s">
        <v>21</v>
      </c>
      <c r="X226" s="10" t="s">
        <v>22</v>
      </c>
      <c r="Y226" s="18"/>
    </row>
    <row r="227" spans="1:25" ht="28.5">
      <c r="A227" s="4">
        <f>+A226+1</f>
        <v>41</v>
      </c>
      <c r="B227" s="88" t="s">
        <v>182</v>
      </c>
      <c r="C227" s="11"/>
      <c r="D227" s="26">
        <f>+V168+V206</f>
        <v>0</v>
      </c>
      <c r="E227" s="26"/>
      <c r="F227" s="26">
        <f>+W168+W206</f>
        <v>0</v>
      </c>
      <c r="G227" s="18">
        <f>+D227-F227</f>
        <v>0</v>
      </c>
      <c r="H227" s="56"/>
      <c r="I227" s="58"/>
      <c r="J227" s="18"/>
      <c r="K227" s="18"/>
      <c r="L227" s="60" t="s">
        <v>144</v>
      </c>
      <c r="N227" s="62">
        <f>+F226</f>
        <v>9572</v>
      </c>
      <c r="O227" s="63">
        <f>+F232</f>
        <v>6277726</v>
      </c>
      <c r="P227" s="42"/>
      <c r="R227" s="31">
        <f>+F139</f>
        <v>0</v>
      </c>
      <c r="S227" s="31"/>
      <c r="U227" s="18"/>
      <c r="Y227" s="18"/>
    </row>
    <row r="228" spans="1:25" ht="24.75">
      <c r="A228" s="4">
        <f>+A227+1</f>
        <v>42</v>
      </c>
      <c r="B228" s="89" t="s">
        <v>39</v>
      </c>
      <c r="C228" s="40"/>
      <c r="D228" s="30">
        <f>+V169+V207</f>
        <v>-840769</v>
      </c>
      <c r="E228" s="30"/>
      <c r="F228" s="30">
        <f>+W169+W207</f>
        <v>424116</v>
      </c>
      <c r="G228" s="18">
        <f>+D228-F228</f>
        <v>-1264885</v>
      </c>
      <c r="H228" s="56"/>
      <c r="I228" s="64" t="s">
        <v>145</v>
      </c>
      <c r="J228" s="18"/>
      <c r="K228" s="18"/>
      <c r="L228" s="31">
        <f>+L220-L222-L224-L226</f>
        <v>919963</v>
      </c>
      <c r="N228" s="62">
        <f>+F227</f>
        <v>0</v>
      </c>
      <c r="O228" s="63">
        <f>+F233</f>
        <v>0</v>
      </c>
      <c r="P228" s="42"/>
      <c r="Q228" s="31"/>
      <c r="R228" s="31"/>
      <c r="S228" s="31"/>
      <c r="U228" s="65"/>
      <c r="V228" s="66"/>
      <c r="W228" s="66"/>
      <c r="X228" s="65"/>
      <c r="Y228" s="65"/>
    </row>
    <row r="229" spans="1:25" ht="15">
      <c r="A229" s="6" t="s">
        <v>41</v>
      </c>
      <c r="B229" s="41"/>
      <c r="C229" s="40"/>
      <c r="D229" s="18"/>
      <c r="E229" s="18"/>
      <c r="F229" s="18"/>
      <c r="G229" s="18"/>
      <c r="H229" s="56"/>
      <c r="I229" s="58"/>
      <c r="J229" s="18"/>
      <c r="K229" s="18"/>
      <c r="N229" s="62">
        <f>+F132</f>
        <v>16594</v>
      </c>
      <c r="O229" s="63">
        <f>+F138</f>
        <v>5778255</v>
      </c>
      <c r="P229" s="42"/>
      <c r="Q229" s="31"/>
      <c r="U229" s="65"/>
      <c r="V229" s="67"/>
      <c r="W229" s="67"/>
      <c r="X229" s="68"/>
      <c r="Y229" s="65"/>
    </row>
    <row r="230" spans="1:25" ht="15">
      <c r="A230" s="4">
        <f>+A228+1</f>
        <v>43</v>
      </c>
      <c r="B230" s="5" t="s">
        <v>42</v>
      </c>
      <c r="C230" s="22" t="s">
        <v>38</v>
      </c>
      <c r="D230" s="31">
        <f>+V171+V209</f>
        <v>8482999</v>
      </c>
      <c r="E230" s="18"/>
      <c r="F230" s="31">
        <f>+W171+W209</f>
        <v>6281843</v>
      </c>
      <c r="G230" s="18">
        <f>+D230-F230</f>
        <v>2201156</v>
      </c>
      <c r="H230" s="56"/>
      <c r="I230" s="59" t="s">
        <v>22</v>
      </c>
      <c r="J230" s="18"/>
      <c r="K230" s="18"/>
      <c r="L230" s="30">
        <f>+X235</f>
        <v>919964</v>
      </c>
      <c r="N230" s="62"/>
      <c r="O230" s="63">
        <f>+D228</f>
        <v>-840769</v>
      </c>
      <c r="P230" s="42"/>
      <c r="Q230" s="31"/>
      <c r="R230" s="31"/>
      <c r="S230" s="31"/>
      <c r="T230" s="69" t="s">
        <v>78</v>
      </c>
      <c r="U230" s="65"/>
      <c r="V230" s="26">
        <f>+D226+D227-F226-F227+F132</f>
        <v>-80</v>
      </c>
      <c r="W230" s="26">
        <f>+F132+F133</f>
        <v>16594</v>
      </c>
      <c r="X230" s="26">
        <f>+V230-W230</f>
        <v>-16674</v>
      </c>
      <c r="Y230" s="65"/>
    </row>
    <row r="231" spans="1:25" ht="15">
      <c r="A231" s="4">
        <f>+A230+1</f>
        <v>44</v>
      </c>
      <c r="B231" s="5" t="s">
        <v>43</v>
      </c>
      <c r="C231" s="11"/>
      <c r="D231" s="31">
        <f>+V172+V210</f>
        <v>3750</v>
      </c>
      <c r="E231" s="18"/>
      <c r="F231" s="31">
        <f>+W172+W210</f>
        <v>4117</v>
      </c>
      <c r="G231" s="18">
        <f>+D231-F231</f>
        <v>-367</v>
      </c>
      <c r="H231" s="56"/>
      <c r="I231" s="59"/>
      <c r="J231" s="18"/>
      <c r="K231" s="18"/>
      <c r="L231" s="60" t="s">
        <v>144</v>
      </c>
      <c r="O231" s="63">
        <f>+F228</f>
        <v>424116</v>
      </c>
      <c r="P231" s="42"/>
      <c r="Q231" s="31"/>
      <c r="R231" s="31"/>
      <c r="S231" s="31"/>
      <c r="T231" s="11" t="s">
        <v>146</v>
      </c>
      <c r="U231" s="65"/>
      <c r="V231" s="30">
        <f>+D232+D233-F232-F233+F138+D228-F228+F134</f>
        <v>6714893</v>
      </c>
      <c r="W231" s="30">
        <f>+F134+F138+F139</f>
        <v>5778255</v>
      </c>
      <c r="X231" s="30">
        <f>+V231-W231</f>
        <v>936638</v>
      </c>
      <c r="Y231" s="65"/>
    </row>
    <row r="232" spans="1:25" ht="26.25">
      <c r="A232" s="4">
        <f>+A231+1</f>
        <v>45</v>
      </c>
      <c r="B232" s="24" t="s">
        <v>79</v>
      </c>
      <c r="C232" s="11"/>
      <c r="D232" s="30">
        <f>+D230-D231</f>
        <v>8479249</v>
      </c>
      <c r="E232" s="18"/>
      <c r="F232" s="30">
        <f>+F230-F231</f>
        <v>6277726</v>
      </c>
      <c r="G232" s="18">
        <f>+G230-G231</f>
        <v>2201523</v>
      </c>
      <c r="H232" s="56"/>
      <c r="I232" s="58"/>
      <c r="J232" s="18"/>
      <c r="K232" s="18"/>
      <c r="N232" s="62"/>
      <c r="O232" s="63">
        <f>+F134</f>
        <v>0</v>
      </c>
      <c r="P232" s="42"/>
      <c r="Q232" s="31"/>
      <c r="R232" s="31"/>
      <c r="S232" s="31"/>
      <c r="T232" s="11"/>
      <c r="U232" s="65"/>
      <c r="V232" s="30"/>
      <c r="W232" s="30"/>
      <c r="X232" s="30"/>
      <c r="Y232" s="65"/>
    </row>
    <row r="233" spans="1:25" ht="28.5">
      <c r="A233" s="4">
        <f>+A232+1</f>
        <v>46</v>
      </c>
      <c r="B233" s="88" t="s">
        <v>181</v>
      </c>
      <c r="C233" s="11"/>
      <c r="D233" s="30">
        <f>+V174+V212</f>
        <v>0</v>
      </c>
      <c r="E233" s="30"/>
      <c r="F233" s="30">
        <f>+W174+W212</f>
        <v>0</v>
      </c>
      <c r="G233" s="18">
        <f>+D233-F233</f>
        <v>0</v>
      </c>
      <c r="H233" s="56"/>
      <c r="N233" s="62"/>
      <c r="O233" s="62"/>
      <c r="P233" s="42"/>
      <c r="Q233" s="31"/>
      <c r="R233" s="31"/>
      <c r="S233" s="31"/>
      <c r="T233" s="11"/>
      <c r="U233" s="65"/>
      <c r="V233" s="30"/>
      <c r="W233" s="30"/>
      <c r="X233" s="30"/>
      <c r="Y233" s="65"/>
    </row>
    <row r="234" spans="1:25" ht="15">
      <c r="A234" s="4">
        <f>+A233+1</f>
        <v>47</v>
      </c>
      <c r="B234" s="24" t="s">
        <v>46</v>
      </c>
      <c r="C234" s="11" t="s">
        <v>47</v>
      </c>
      <c r="D234" s="18">
        <f>+D226+D227+D232+D233+D228</f>
        <v>7631378</v>
      </c>
      <c r="E234" s="18"/>
      <c r="F234" s="18">
        <f>+F226+F227+F232+F233+F228</f>
        <v>6711414</v>
      </c>
      <c r="G234" s="18">
        <f>+G226+G227+G232+G233+G228</f>
        <v>919964</v>
      </c>
      <c r="H234" s="56"/>
      <c r="I234" s="59" t="s">
        <v>147</v>
      </c>
      <c r="J234" s="18"/>
      <c r="K234" s="18"/>
      <c r="L234" s="36">
        <f>+L228-L230</f>
        <v>-1</v>
      </c>
      <c r="N234" s="70">
        <f>+N225+N226-N227-N228+N229</f>
        <v>-80</v>
      </c>
      <c r="O234" s="71">
        <f>+O225+O226-O227-O228+O229+O230-O231+O232</f>
        <v>6714893</v>
      </c>
      <c r="P234" s="42"/>
      <c r="Q234" s="26">
        <f>SUM(Q225:Q226)</f>
        <v>16594</v>
      </c>
      <c r="R234" s="30">
        <f>SUM(R225:R228)</f>
        <v>5778255</v>
      </c>
      <c r="S234" s="30"/>
      <c r="T234" s="11"/>
      <c r="U234" s="65"/>
      <c r="V234" s="30"/>
      <c r="W234" s="30"/>
      <c r="X234" s="30"/>
      <c r="Y234" s="65"/>
    </row>
    <row r="235" spans="1:25" ht="15">
      <c r="A235" s="4"/>
      <c r="B235" s="24"/>
      <c r="C235" s="11"/>
      <c r="D235" s="18"/>
      <c r="E235" s="18"/>
      <c r="F235" s="18"/>
      <c r="G235" s="18"/>
      <c r="H235" s="56"/>
      <c r="L235" s="60" t="s">
        <v>148</v>
      </c>
      <c r="M235" s="42"/>
      <c r="N235" s="42"/>
      <c r="O235" s="42"/>
      <c r="P235" s="42"/>
      <c r="Q235" s="42"/>
      <c r="R235" s="42"/>
      <c r="S235" s="42"/>
      <c r="T235" s="10" t="s">
        <v>22</v>
      </c>
      <c r="U235" s="65"/>
      <c r="V235" s="36"/>
      <c r="W235" s="36"/>
      <c r="X235" s="36">
        <f>+X230+X231</f>
        <v>919964</v>
      </c>
      <c r="Y235" s="65"/>
    </row>
    <row r="236" spans="1:25" ht="15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6" ht="15">
      <c r="A237" s="4"/>
      <c r="B237"/>
      <c r="F237"/>
    </row>
    <row r="238" spans="1:6" ht="15">
      <c r="A238" s="4"/>
      <c r="B238"/>
      <c r="F238"/>
    </row>
    <row r="239" spans="1:6" ht="15">
      <c r="A239" s="4"/>
      <c r="B239"/>
      <c r="F239"/>
    </row>
    <row r="240" spans="1:6" ht="15">
      <c r="A240" s="4"/>
      <c r="B240"/>
      <c r="F240"/>
    </row>
    <row r="241" spans="1:25" ht="15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6" ht="15">
      <c r="A242" s="4" t="s">
        <v>0</v>
      </c>
      <c r="B242" s="5"/>
      <c r="C242" s="6" t="s">
        <v>1</v>
      </c>
      <c r="F242"/>
    </row>
    <row r="243" spans="1:6" ht="15">
      <c r="A243" s="4"/>
      <c r="B243" s="5"/>
      <c r="C243" s="6" t="s">
        <v>2</v>
      </c>
      <c r="F243"/>
    </row>
    <row r="244" spans="1:6" ht="15">
      <c r="A244" s="4"/>
      <c r="B244" s="5"/>
      <c r="C244" s="7" t="s">
        <v>150</v>
      </c>
      <c r="F244"/>
    </row>
    <row r="245" spans="1:6" ht="15">
      <c r="A245" s="4"/>
      <c r="B245" s="5"/>
      <c r="C245" s="8"/>
      <c r="F245"/>
    </row>
    <row r="246" spans="1:25" ht="15">
      <c r="A246" s="4"/>
      <c r="B246" s="5"/>
      <c r="C246" s="9"/>
      <c r="D246" s="10" t="s">
        <v>4</v>
      </c>
      <c r="E246" s="10"/>
      <c r="F246" s="10" t="s">
        <v>5</v>
      </c>
      <c r="G246" s="10" t="s">
        <v>6</v>
      </c>
      <c r="H246" s="10"/>
      <c r="I246" s="10" t="s">
        <v>7</v>
      </c>
      <c r="J246" s="10" t="s">
        <v>8</v>
      </c>
      <c r="K246" s="10" t="s">
        <v>9</v>
      </c>
      <c r="L246" s="10" t="s">
        <v>10</v>
      </c>
      <c r="M246" s="10" t="s">
        <v>11</v>
      </c>
      <c r="N246" s="10" t="s">
        <v>12</v>
      </c>
      <c r="O246" s="10" t="s">
        <v>13</v>
      </c>
      <c r="P246" s="10"/>
      <c r="Q246" s="10" t="s">
        <v>14</v>
      </c>
      <c r="R246" s="10" t="s">
        <v>15</v>
      </c>
      <c r="S246" s="10"/>
      <c r="T246" s="10" t="s">
        <v>16</v>
      </c>
      <c r="U246" s="10"/>
      <c r="V246" s="10" t="s">
        <v>17</v>
      </c>
      <c r="W246" s="10" t="s">
        <v>18</v>
      </c>
      <c r="X246" s="10" t="s">
        <v>19</v>
      </c>
      <c r="Y246" s="10"/>
    </row>
    <row r="247" spans="1:24" ht="15">
      <c r="A247" s="4"/>
      <c r="B247" s="87" t="s">
        <v>174</v>
      </c>
      <c r="C247" s="5"/>
      <c r="D247" s="10" t="s">
        <v>20</v>
      </c>
      <c r="E247" s="10"/>
      <c r="F247" s="10" t="s">
        <v>21</v>
      </c>
      <c r="G247" s="10" t="s">
        <v>22</v>
      </c>
      <c r="I247" s="10" t="s">
        <v>20</v>
      </c>
      <c r="J247" s="10" t="s">
        <v>20</v>
      </c>
      <c r="K247" s="10" t="s">
        <v>20</v>
      </c>
      <c r="L247" s="10" t="s">
        <v>20</v>
      </c>
      <c r="M247" s="10" t="s">
        <v>20</v>
      </c>
      <c r="N247" s="10" t="s">
        <v>20</v>
      </c>
      <c r="O247" s="10" t="s">
        <v>20</v>
      </c>
      <c r="Q247" s="10" t="s">
        <v>20</v>
      </c>
      <c r="R247" s="10" t="s">
        <v>20</v>
      </c>
      <c r="S247" s="10"/>
      <c r="T247" s="10" t="s">
        <v>20</v>
      </c>
      <c r="V247" s="10" t="s">
        <v>20</v>
      </c>
      <c r="W247" s="10" t="s">
        <v>20</v>
      </c>
      <c r="X247" s="10" t="s">
        <v>20</v>
      </c>
    </row>
    <row r="248" spans="1:24" ht="42.75">
      <c r="A248" s="4"/>
      <c r="B248" s="5"/>
      <c r="C248" s="11"/>
      <c r="D248" s="12" t="s">
        <v>23</v>
      </c>
      <c r="E248" s="13"/>
      <c r="F248" s="12" t="s">
        <v>175</v>
      </c>
      <c r="G248" s="13" t="s">
        <v>24</v>
      </c>
      <c r="I248" s="13" t="s">
        <v>25</v>
      </c>
      <c r="J248" s="8" t="s">
        <v>26</v>
      </c>
      <c r="K248" s="13" t="s">
        <v>27</v>
      </c>
      <c r="L248" s="13" t="s">
        <v>28</v>
      </c>
      <c r="M248" s="13" t="s">
        <v>29</v>
      </c>
      <c r="N248" s="13" t="s">
        <v>30</v>
      </c>
      <c r="O248" s="13" t="s">
        <v>31</v>
      </c>
      <c r="Q248" s="14">
        <v>4470115</v>
      </c>
      <c r="R248" s="13" t="s">
        <v>32</v>
      </c>
      <c r="S248" s="13"/>
      <c r="T248" s="14">
        <v>4470119</v>
      </c>
      <c r="V248" s="8" t="s">
        <v>33</v>
      </c>
      <c r="W248" s="8" t="s">
        <v>34</v>
      </c>
      <c r="X248" s="8" t="s">
        <v>35</v>
      </c>
    </row>
    <row r="249" spans="1:23" ht="15">
      <c r="A249" s="4"/>
      <c r="B249" s="5"/>
      <c r="C249" s="11"/>
      <c r="D249" s="13"/>
      <c r="E249" s="13"/>
      <c r="F249" s="13"/>
      <c r="G249" s="15"/>
      <c r="I249" s="13"/>
      <c r="J249" s="13"/>
      <c r="K249" s="13"/>
      <c r="L249" s="13"/>
      <c r="M249" s="13"/>
      <c r="N249" s="13"/>
      <c r="O249" s="13"/>
      <c r="Q249" s="14"/>
      <c r="R249" s="13"/>
      <c r="S249" s="14"/>
      <c r="T249" s="16"/>
      <c r="V249" s="14"/>
      <c r="W249" s="13"/>
    </row>
    <row r="250" spans="1:25" ht="15">
      <c r="A250" s="4">
        <v>1</v>
      </c>
      <c r="B250" s="5" t="s">
        <v>36</v>
      </c>
      <c r="C250" s="17" t="s">
        <v>37</v>
      </c>
      <c r="D250" s="18">
        <v>6847015</v>
      </c>
      <c r="E250" s="19"/>
      <c r="F250" s="20">
        <v>5944236</v>
      </c>
      <c r="G250" s="21">
        <f>+D250-F250</f>
        <v>902779</v>
      </c>
      <c r="H250" s="18"/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/>
      <c r="Q250" s="18">
        <v>0</v>
      </c>
      <c r="R250" s="18">
        <v>0</v>
      </c>
      <c r="S250" s="18"/>
      <c r="T250" s="18">
        <v>0</v>
      </c>
      <c r="U250" s="18"/>
      <c r="V250" s="18">
        <v>0</v>
      </c>
      <c r="W250" s="18">
        <v>0</v>
      </c>
      <c r="X250" s="18">
        <v>0</v>
      </c>
      <c r="Y250" s="18"/>
    </row>
    <row r="251" spans="1:25" ht="15">
      <c r="A251" s="4">
        <f>+A250+1</f>
        <v>2</v>
      </c>
      <c r="B251" s="5" t="s">
        <v>36</v>
      </c>
      <c r="C251" s="22" t="s">
        <v>38</v>
      </c>
      <c r="D251" s="18">
        <v>6846657</v>
      </c>
      <c r="E251" s="19"/>
      <c r="F251" s="23">
        <v>5778255</v>
      </c>
      <c r="G251" s="21">
        <f>+D251-F251</f>
        <v>1068402</v>
      </c>
      <c r="H251" s="18"/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/>
      <c r="Q251" s="18">
        <v>0</v>
      </c>
      <c r="R251" s="18">
        <v>0</v>
      </c>
      <c r="S251" s="18"/>
      <c r="T251" s="18">
        <v>0</v>
      </c>
      <c r="U251" s="18"/>
      <c r="V251" s="18">
        <v>0</v>
      </c>
      <c r="W251" s="18">
        <v>0</v>
      </c>
      <c r="X251" s="18">
        <v>0</v>
      </c>
      <c r="Y251" s="18"/>
    </row>
    <row r="252" spans="1:25" ht="22.5">
      <c r="A252" s="4">
        <f>+A251+1</f>
        <v>3</v>
      </c>
      <c r="B252" s="24" t="s">
        <v>176</v>
      </c>
      <c r="C252" s="25" t="s">
        <v>177</v>
      </c>
      <c r="D252" s="18">
        <f>+D250-D251</f>
        <v>358</v>
      </c>
      <c r="E252" s="19"/>
      <c r="F252" s="26">
        <f>+F250-F251</f>
        <v>165981</v>
      </c>
      <c r="G252" s="18">
        <f>+G250-G251</f>
        <v>-165623</v>
      </c>
      <c r="H252" s="18"/>
      <c r="I252" s="18">
        <f aca="true" t="shared" si="30" ref="I252:O252">+I250-I251</f>
        <v>0</v>
      </c>
      <c r="J252" s="18">
        <f t="shared" si="30"/>
        <v>0</v>
      </c>
      <c r="K252" s="18">
        <f t="shared" si="30"/>
        <v>0</v>
      </c>
      <c r="L252" s="18">
        <f t="shared" si="30"/>
        <v>0</v>
      </c>
      <c r="M252" s="18">
        <f t="shared" si="30"/>
        <v>0</v>
      </c>
      <c r="N252" s="18">
        <f t="shared" si="30"/>
        <v>0</v>
      </c>
      <c r="O252" s="18">
        <f t="shared" si="30"/>
        <v>0</v>
      </c>
      <c r="P252" s="18"/>
      <c r="Q252" s="18">
        <f>+Q250-Q251</f>
        <v>0</v>
      </c>
      <c r="R252" s="18">
        <f>+R250-R251</f>
        <v>0</v>
      </c>
      <c r="S252" s="18"/>
      <c r="T252" s="18">
        <f>+T250-T251</f>
        <v>0</v>
      </c>
      <c r="U252" s="18"/>
      <c r="V252" s="18">
        <f>+V250-V251</f>
        <v>0</v>
      </c>
      <c r="W252" s="18">
        <f>+W250-W251</f>
        <v>0</v>
      </c>
      <c r="X252" s="18">
        <f>+X250-X251</f>
        <v>0</v>
      </c>
      <c r="Y252" s="18"/>
    </row>
    <row r="253" spans="1:25" ht="28.5">
      <c r="A253" s="4">
        <f>+A252+1</f>
        <v>4</v>
      </c>
      <c r="B253" s="88" t="s">
        <v>178</v>
      </c>
      <c r="C253" s="25" t="s">
        <v>179</v>
      </c>
      <c r="D253" s="18">
        <v>0</v>
      </c>
      <c r="E253" s="19"/>
      <c r="F253" s="26">
        <v>0</v>
      </c>
      <c r="G253" s="18">
        <f>+D253-F253</f>
        <v>0</v>
      </c>
      <c r="H253" s="18"/>
      <c r="I253" s="27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/>
      <c r="Q253" s="18">
        <v>0</v>
      </c>
      <c r="R253" s="18">
        <v>0</v>
      </c>
      <c r="S253" s="18"/>
      <c r="T253" s="18">
        <v>0</v>
      </c>
      <c r="U253" s="18"/>
      <c r="V253" s="18">
        <v>0</v>
      </c>
      <c r="W253" s="18">
        <v>0</v>
      </c>
      <c r="X253" s="18">
        <v>0</v>
      </c>
      <c r="Y253" s="18"/>
    </row>
    <row r="254" spans="1:25" ht="24.75">
      <c r="A254" s="4">
        <f>+A253+1</f>
        <v>5</v>
      </c>
      <c r="B254" s="89" t="s">
        <v>39</v>
      </c>
      <c r="C254" s="28" t="s">
        <v>40</v>
      </c>
      <c r="D254" s="27">
        <v>151984</v>
      </c>
      <c r="E254" s="29"/>
      <c r="F254" s="30">
        <v>0</v>
      </c>
      <c r="G254" s="31">
        <f>+D254-F254</f>
        <v>151984</v>
      </c>
      <c r="H254" s="18"/>
      <c r="I254" s="27">
        <v>0</v>
      </c>
      <c r="J254" s="27">
        <v>-33</v>
      </c>
      <c r="K254" s="27">
        <v>0</v>
      </c>
      <c r="L254" s="27">
        <v>171830</v>
      </c>
      <c r="M254" s="18">
        <v>13072</v>
      </c>
      <c r="N254" s="27">
        <v>-259</v>
      </c>
      <c r="O254" s="18">
        <v>-1501</v>
      </c>
      <c r="P254" s="18"/>
      <c r="Q254" s="27">
        <v>-2461</v>
      </c>
      <c r="R254" s="27">
        <v>0</v>
      </c>
      <c r="S254" s="27"/>
      <c r="T254" s="27">
        <v>0</v>
      </c>
      <c r="U254" s="27"/>
      <c r="V254" s="27">
        <v>0</v>
      </c>
      <c r="W254" s="27">
        <v>0</v>
      </c>
      <c r="X254" s="27">
        <v>-400394</v>
      </c>
      <c r="Y254" s="18"/>
    </row>
    <row r="255" spans="1:25" ht="15">
      <c r="A255" s="6" t="s">
        <v>41</v>
      </c>
      <c r="B255" s="90"/>
      <c r="C255" s="11"/>
      <c r="D255" s="18"/>
      <c r="E255" s="19"/>
      <c r="F255" s="18"/>
      <c r="G255" s="18"/>
      <c r="H255" s="18"/>
      <c r="I255" s="18"/>
      <c r="J255" s="18"/>
      <c r="K255" s="18"/>
      <c r="L255" s="18"/>
      <c r="M255" s="18"/>
      <c r="N255" s="18"/>
      <c r="O255" s="18" t="s">
        <v>0</v>
      </c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5">
      <c r="A256" s="4">
        <f>+A254+1</f>
        <v>6</v>
      </c>
      <c r="B256" s="5" t="s">
        <v>42</v>
      </c>
      <c r="C256" s="22" t="s">
        <v>38</v>
      </c>
      <c r="D256" s="18">
        <v>7259618</v>
      </c>
      <c r="E256" s="19"/>
      <c r="F256" s="23">
        <v>5960243</v>
      </c>
      <c r="G256" s="18">
        <f>+D256-F256</f>
        <v>1299375</v>
      </c>
      <c r="H256" s="18"/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/>
      <c r="Q256" s="18">
        <v>0</v>
      </c>
      <c r="R256" s="18">
        <v>0</v>
      </c>
      <c r="S256" s="18"/>
      <c r="T256" s="18">
        <v>0</v>
      </c>
      <c r="U256" s="18"/>
      <c r="V256" s="18">
        <v>0</v>
      </c>
      <c r="W256" s="18">
        <v>0</v>
      </c>
      <c r="X256" s="18">
        <v>0</v>
      </c>
      <c r="Y256" s="18"/>
    </row>
    <row r="257" spans="1:25" ht="15">
      <c r="A257" s="4">
        <f>+A256+1</f>
        <v>7</v>
      </c>
      <c r="B257" s="5" t="s">
        <v>43</v>
      </c>
      <c r="C257" s="11"/>
      <c r="D257" s="18">
        <v>6654</v>
      </c>
      <c r="E257" s="19"/>
      <c r="F257" s="23">
        <v>6885</v>
      </c>
      <c r="G257" s="18">
        <f>+D257-F257</f>
        <v>-231</v>
      </c>
      <c r="H257" s="18"/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31">
        <v>0</v>
      </c>
      <c r="P257" s="18"/>
      <c r="Q257" s="18">
        <v>0</v>
      </c>
      <c r="R257" s="18">
        <v>0</v>
      </c>
      <c r="S257" s="18"/>
      <c r="T257" s="18">
        <v>0</v>
      </c>
      <c r="U257" s="18"/>
      <c r="V257" s="18">
        <v>0</v>
      </c>
      <c r="W257" s="18">
        <v>0</v>
      </c>
      <c r="X257" s="18">
        <v>0</v>
      </c>
      <c r="Y257" s="18"/>
    </row>
    <row r="258" spans="1:25" ht="35.25">
      <c r="A258" s="4">
        <f>+A257+1</f>
        <v>8</v>
      </c>
      <c r="B258" s="24" t="s">
        <v>180</v>
      </c>
      <c r="C258" s="32" t="s">
        <v>44</v>
      </c>
      <c r="D258" s="33">
        <f>+D256-D257</f>
        <v>7252964</v>
      </c>
      <c r="E258" s="34"/>
      <c r="F258" s="91">
        <f>+F256-F257</f>
        <v>5953358</v>
      </c>
      <c r="G258" s="18">
        <f>+G256-G257</f>
        <v>1299606</v>
      </c>
      <c r="H258" s="18"/>
      <c r="I258" s="18">
        <f aca="true" t="shared" si="31" ref="I258:O258">+I256-I257</f>
        <v>0</v>
      </c>
      <c r="J258" s="18">
        <f t="shared" si="31"/>
        <v>0</v>
      </c>
      <c r="K258" s="18">
        <f t="shared" si="31"/>
        <v>0</v>
      </c>
      <c r="L258" s="18">
        <f t="shared" si="31"/>
        <v>0</v>
      </c>
      <c r="M258" s="18">
        <f t="shared" si="31"/>
        <v>0</v>
      </c>
      <c r="N258" s="18">
        <f t="shared" si="31"/>
        <v>0</v>
      </c>
      <c r="O258" s="18">
        <f t="shared" si="31"/>
        <v>0</v>
      </c>
      <c r="P258" s="18"/>
      <c r="Q258" s="18">
        <f>+Q256-Q257</f>
        <v>0</v>
      </c>
      <c r="R258" s="18">
        <f>+R256-R257</f>
        <v>0</v>
      </c>
      <c r="S258" s="18"/>
      <c r="T258" s="18">
        <f>+T256-T257</f>
        <v>0</v>
      </c>
      <c r="U258" s="18"/>
      <c r="V258" s="18">
        <f>+V256-V257</f>
        <v>0</v>
      </c>
      <c r="W258" s="18">
        <f>+W256-W257</f>
        <v>0</v>
      </c>
      <c r="X258" s="18">
        <f>+X256-X257</f>
        <v>0</v>
      </c>
      <c r="Y258" s="18"/>
    </row>
    <row r="259" spans="1:25" ht="28.5">
      <c r="A259" s="4">
        <f>+A258+1</f>
        <v>9</v>
      </c>
      <c r="B259" s="88" t="s">
        <v>181</v>
      </c>
      <c r="C259" s="35" t="s">
        <v>45</v>
      </c>
      <c r="D259" s="18">
        <v>0</v>
      </c>
      <c r="E259" s="19"/>
      <c r="F259" s="31">
        <v>0</v>
      </c>
      <c r="G259" s="31">
        <f>+D259-F259</f>
        <v>0</v>
      </c>
      <c r="H259" s="18"/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31">
        <v>0</v>
      </c>
      <c r="P259" s="18"/>
      <c r="Q259" s="18">
        <v>0</v>
      </c>
      <c r="R259" s="18">
        <v>0</v>
      </c>
      <c r="S259" s="18"/>
      <c r="T259" s="18">
        <v>0</v>
      </c>
      <c r="U259" s="18"/>
      <c r="V259" s="18">
        <v>0</v>
      </c>
      <c r="W259" s="18">
        <v>0</v>
      </c>
      <c r="X259" s="18">
        <v>0</v>
      </c>
      <c r="Y259" s="18"/>
    </row>
    <row r="260" spans="1:25" ht="15">
      <c r="A260" s="4">
        <f>+A259+1</f>
        <v>10</v>
      </c>
      <c r="B260" s="24" t="s">
        <v>46</v>
      </c>
      <c r="C260" s="11" t="s">
        <v>47</v>
      </c>
      <c r="D260" s="36">
        <f>+D252+D253+D254+D258+D259</f>
        <v>7405306</v>
      </c>
      <c r="E260" s="19"/>
      <c r="F260" s="36">
        <f>+F252+F253+F254+F258+F259</f>
        <v>6119339</v>
      </c>
      <c r="G260" s="18">
        <f>+G252+G253+G258+G259+G254</f>
        <v>1285967</v>
      </c>
      <c r="H260" s="18"/>
      <c r="I260" s="18">
        <f aca="true" t="shared" si="32" ref="I260:O260">+I252+I253+I258+I259+I254</f>
        <v>0</v>
      </c>
      <c r="J260" s="21">
        <f t="shared" si="32"/>
        <v>-33</v>
      </c>
      <c r="K260" s="18">
        <f t="shared" si="32"/>
        <v>0</v>
      </c>
      <c r="L260" s="18">
        <f t="shared" si="32"/>
        <v>171830</v>
      </c>
      <c r="M260" s="18">
        <f t="shared" si="32"/>
        <v>13072</v>
      </c>
      <c r="N260" s="18">
        <f t="shared" si="32"/>
        <v>-259</v>
      </c>
      <c r="O260" s="18">
        <f t="shared" si="32"/>
        <v>-1501</v>
      </c>
      <c r="P260" s="18"/>
      <c r="Q260" s="18">
        <f>+Q252+Q253+Q258+Q259+Q254</f>
        <v>-2461</v>
      </c>
      <c r="R260" s="18">
        <f>+R252+R253+R258+R259+R254</f>
        <v>0</v>
      </c>
      <c r="S260" s="18"/>
      <c r="T260" s="18">
        <f>+T252+T253+T258+T259+T254</f>
        <v>0</v>
      </c>
      <c r="U260" s="18"/>
      <c r="V260" s="18">
        <f>+V252+V253+V258+V259+V254</f>
        <v>0</v>
      </c>
      <c r="W260" s="18">
        <f>+W252+W253+W258+W259+W254</f>
        <v>0</v>
      </c>
      <c r="X260" s="18">
        <f>+X252+X253+X258+X259+X254</f>
        <v>-400394</v>
      </c>
      <c r="Y260" s="18"/>
    </row>
    <row r="261" spans="1:25" ht="15">
      <c r="A261" s="4"/>
      <c r="B261" s="24"/>
      <c r="C261" s="11"/>
      <c r="D261" s="18"/>
      <c r="E261" s="18"/>
      <c r="F261" s="3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5">
      <c r="A262" s="4"/>
      <c r="B262" s="24"/>
      <c r="C262" s="37"/>
      <c r="D262" s="18">
        <f>433180+256117+995721+5720288</f>
        <v>7405306</v>
      </c>
      <c r="E262" s="18"/>
      <c r="F262" s="3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5">
      <c r="A263" s="4"/>
      <c r="B263" s="24"/>
      <c r="C263" s="11"/>
      <c r="D263" s="6" t="s">
        <v>48</v>
      </c>
      <c r="E263" s="6"/>
      <c r="F263" s="10" t="s">
        <v>49</v>
      </c>
      <c r="G263" s="10" t="s">
        <v>50</v>
      </c>
      <c r="I263" s="10" t="s">
        <v>51</v>
      </c>
      <c r="J263" s="10" t="s">
        <v>52</v>
      </c>
      <c r="K263" s="10" t="s">
        <v>53</v>
      </c>
      <c r="L263" s="10" t="s">
        <v>54</v>
      </c>
      <c r="M263" s="10" t="s">
        <v>55</v>
      </c>
      <c r="N263" s="10" t="s">
        <v>56</v>
      </c>
      <c r="O263" s="10" t="s">
        <v>57</v>
      </c>
      <c r="P263" s="18"/>
      <c r="Q263" s="10" t="s">
        <v>58</v>
      </c>
      <c r="R263" s="10" t="s">
        <v>59</v>
      </c>
      <c r="S263" s="10"/>
      <c r="T263" s="10" t="s">
        <v>60</v>
      </c>
      <c r="U263" s="18"/>
      <c r="V263" s="10" t="s">
        <v>61</v>
      </c>
      <c r="W263" s="10" t="s">
        <v>62</v>
      </c>
      <c r="X263" s="10" t="s">
        <v>63</v>
      </c>
      <c r="Y263" s="18"/>
    </row>
    <row r="264" spans="1:25" ht="15">
      <c r="A264" s="4"/>
      <c r="B264"/>
      <c r="C264" s="11"/>
      <c r="D264" s="10" t="s">
        <v>20</v>
      </c>
      <c r="E264" s="38"/>
      <c r="F264" s="10" t="s">
        <v>20</v>
      </c>
      <c r="G264" s="10" t="s">
        <v>20</v>
      </c>
      <c r="I264" s="10" t="s">
        <v>20</v>
      </c>
      <c r="J264" s="10" t="s">
        <v>20</v>
      </c>
      <c r="K264" s="10" t="s">
        <v>20</v>
      </c>
      <c r="L264" s="10" t="s">
        <v>20</v>
      </c>
      <c r="M264" s="10" t="s">
        <v>20</v>
      </c>
      <c r="N264" s="10" t="s">
        <v>20</v>
      </c>
      <c r="O264" s="10" t="s">
        <v>20</v>
      </c>
      <c r="P264" s="18"/>
      <c r="Q264" s="10" t="s">
        <v>20</v>
      </c>
      <c r="R264" s="10" t="s">
        <v>20</v>
      </c>
      <c r="S264" s="14"/>
      <c r="T264" s="10" t="s">
        <v>20</v>
      </c>
      <c r="U264" s="18"/>
      <c r="W264" s="39" t="s">
        <v>64</v>
      </c>
      <c r="Y264" s="18"/>
    </row>
    <row r="265" spans="1:25" ht="15">
      <c r="A265" s="4"/>
      <c r="B265" s="87" t="s">
        <v>174</v>
      </c>
      <c r="C265" s="11"/>
      <c r="D265" s="8" t="s">
        <v>65</v>
      </c>
      <c r="E265" s="6"/>
      <c r="F265" s="8" t="s">
        <v>66</v>
      </c>
      <c r="G265" s="8" t="s">
        <v>67</v>
      </c>
      <c r="H265" s="19"/>
      <c r="I265" s="8" t="s">
        <v>68</v>
      </c>
      <c r="J265" s="8" t="s">
        <v>69</v>
      </c>
      <c r="K265" s="8" t="s">
        <v>70</v>
      </c>
      <c r="L265" s="8" t="s">
        <v>71</v>
      </c>
      <c r="M265" s="8" t="s">
        <v>72</v>
      </c>
      <c r="N265" s="8" t="s">
        <v>73</v>
      </c>
      <c r="O265" s="8" t="s">
        <v>74</v>
      </c>
      <c r="P265" s="6"/>
      <c r="Q265" s="8" t="s">
        <v>75</v>
      </c>
      <c r="R265" s="8" t="s">
        <v>76</v>
      </c>
      <c r="S265" s="8"/>
      <c r="T265" s="8" t="s">
        <v>77</v>
      </c>
      <c r="U265" s="18"/>
      <c r="V265" s="10" t="s">
        <v>20</v>
      </c>
      <c r="W265" s="14" t="s">
        <v>21</v>
      </c>
      <c r="X265" s="10" t="s">
        <v>22</v>
      </c>
      <c r="Y265" s="18"/>
    </row>
    <row r="266" spans="1:8" ht="15">
      <c r="A266" s="4"/>
      <c r="B266" s="24"/>
      <c r="C266" s="11"/>
      <c r="E266" s="14"/>
      <c r="F266"/>
      <c r="H266" s="18"/>
    </row>
    <row r="267" spans="1:24" ht="15">
      <c r="A267" s="4">
        <f>+A260+1</f>
        <v>11</v>
      </c>
      <c r="B267" s="5" t="s">
        <v>36</v>
      </c>
      <c r="C267" s="17" t="s">
        <v>37</v>
      </c>
      <c r="D267" s="18">
        <v>0</v>
      </c>
      <c r="E267" s="18"/>
      <c r="F267" s="18">
        <v>0</v>
      </c>
      <c r="G267" s="18">
        <v>0</v>
      </c>
      <c r="I267" s="18">
        <v>603962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Q267" s="18">
        <v>0</v>
      </c>
      <c r="R267" s="18">
        <v>0</v>
      </c>
      <c r="S267" s="18"/>
      <c r="T267" s="18">
        <v>0</v>
      </c>
      <c r="V267" s="18">
        <f>+D250+I250+J250+K250+L250+M250+N250+O250+Q250+R250+T250+V250+W250+X250+D267+F267+G267+I267+J267+K267+L267+M267+N267+O267+Q267+R267+T267</f>
        <v>7450977</v>
      </c>
      <c r="W267" s="18">
        <f>+F250</f>
        <v>5944236</v>
      </c>
      <c r="X267" s="18">
        <f>+V267-W267</f>
        <v>1506741</v>
      </c>
    </row>
    <row r="268" spans="1:24" ht="15">
      <c r="A268" s="4">
        <f>+A267+1</f>
        <v>12</v>
      </c>
      <c r="B268" s="5" t="s">
        <v>36</v>
      </c>
      <c r="C268" s="22" t="s">
        <v>38</v>
      </c>
      <c r="D268" s="18">
        <v>0</v>
      </c>
      <c r="E268" s="18"/>
      <c r="F268" s="18">
        <v>0</v>
      </c>
      <c r="G268" s="18">
        <v>0</v>
      </c>
      <c r="I268" s="18">
        <v>597336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Q268" s="18">
        <v>0</v>
      </c>
      <c r="R268" s="18">
        <v>0</v>
      </c>
      <c r="S268" s="18"/>
      <c r="T268" s="18">
        <v>0</v>
      </c>
      <c r="V268" s="18">
        <f>+D251+I251+J251+K251+L251+M251+N251+O251+Q251+R251+T251+V251+W251+X251+D268+F268+G268+I268+J268+K268+L268+M268+N268+O268+Q268+R268+T268</f>
        <v>7443993</v>
      </c>
      <c r="W268" s="18">
        <f>+F251</f>
        <v>5778255</v>
      </c>
      <c r="X268" s="18">
        <f>+V268-W268</f>
        <v>1665738</v>
      </c>
    </row>
    <row r="269" spans="1:24" ht="15">
      <c r="A269" s="4">
        <f>+A268+1</f>
        <v>13</v>
      </c>
      <c r="B269" s="24" t="s">
        <v>46</v>
      </c>
      <c r="C269" s="40" t="s">
        <v>78</v>
      </c>
      <c r="D269" s="18">
        <f>+D267-D268</f>
        <v>0</v>
      </c>
      <c r="E269" s="18"/>
      <c r="F269" s="18">
        <f>+F267-F268</f>
        <v>0</v>
      </c>
      <c r="G269" s="18">
        <f>+G267-G268</f>
        <v>0</v>
      </c>
      <c r="I269" s="18">
        <f aca="true" t="shared" si="33" ref="I269:O269">+I267-I268</f>
        <v>6626</v>
      </c>
      <c r="J269" s="18">
        <f t="shared" si="33"/>
        <v>0</v>
      </c>
      <c r="K269" s="18">
        <f t="shared" si="33"/>
        <v>0</v>
      </c>
      <c r="L269" s="18">
        <f t="shared" si="33"/>
        <v>0</v>
      </c>
      <c r="M269" s="18">
        <f t="shared" si="33"/>
        <v>0</v>
      </c>
      <c r="N269" s="18">
        <f t="shared" si="33"/>
        <v>0</v>
      </c>
      <c r="O269" s="18">
        <f t="shared" si="33"/>
        <v>0</v>
      </c>
      <c r="Q269" s="18">
        <f>+Q267-Q268</f>
        <v>0</v>
      </c>
      <c r="R269" s="18">
        <f>+R267-R268</f>
        <v>0</v>
      </c>
      <c r="S269" s="18"/>
      <c r="T269" s="18">
        <f>+T267-T268</f>
        <v>0</v>
      </c>
      <c r="V269" s="27">
        <f>+V267-V268</f>
        <v>6984</v>
      </c>
      <c r="W269" s="27">
        <f>+W267-W268</f>
        <v>165981</v>
      </c>
      <c r="X269" s="18">
        <f>+X267-X268</f>
        <v>-158997</v>
      </c>
    </row>
    <row r="270" spans="1:24" ht="28.5">
      <c r="A270" s="4">
        <f>+A269+1</f>
        <v>14</v>
      </c>
      <c r="B270" s="88" t="s">
        <v>182</v>
      </c>
      <c r="C270" s="11"/>
      <c r="D270" s="18">
        <v>0</v>
      </c>
      <c r="E270" s="18"/>
      <c r="F270" s="18">
        <v>0</v>
      </c>
      <c r="G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Q270" s="18">
        <v>0</v>
      </c>
      <c r="R270" s="18">
        <v>0</v>
      </c>
      <c r="S270" s="18"/>
      <c r="T270" s="18">
        <v>0</v>
      </c>
      <c r="V270" s="18">
        <f>+D253+I253+J253+K253+L253+M253+N253+O253+Q253+R253+T253+V253+W253+X253+D270+F270+G270+I270+J270+K270+L270+M270+N270+O270+Q270+R270+T270</f>
        <v>0</v>
      </c>
      <c r="W270" s="18">
        <f>+F253</f>
        <v>0</v>
      </c>
      <c r="X270" s="18">
        <f>+V270-W270</f>
        <v>0</v>
      </c>
    </row>
    <row r="271" spans="1:24" ht="24.75">
      <c r="A271" s="4">
        <f>+A270+1</f>
        <v>15</v>
      </c>
      <c r="B271" s="89" t="s">
        <v>39</v>
      </c>
      <c r="C271" s="40"/>
      <c r="D271" s="27">
        <v>0</v>
      </c>
      <c r="E271" s="18" t="s">
        <v>0</v>
      </c>
      <c r="F271" s="27">
        <v>0</v>
      </c>
      <c r="G271" s="27">
        <v>0</v>
      </c>
      <c r="H271" t="s">
        <v>0</v>
      </c>
      <c r="I271" s="27">
        <v>0</v>
      </c>
      <c r="J271" s="27">
        <v>40485</v>
      </c>
      <c r="K271" s="27">
        <v>0</v>
      </c>
      <c r="L271" s="27">
        <v>0</v>
      </c>
      <c r="M271" s="27">
        <v>90726</v>
      </c>
      <c r="N271" s="27">
        <v>-365932</v>
      </c>
      <c r="O271" s="27">
        <v>399</v>
      </c>
      <c r="Q271" s="27">
        <v>0</v>
      </c>
      <c r="R271" s="27">
        <v>0</v>
      </c>
      <c r="S271" s="27"/>
      <c r="T271" s="27">
        <v>0</v>
      </c>
      <c r="V271" s="18">
        <f>+D254+I254+J254+K254+L254+M254+N254+O254+Q254+R254+T254+V254+W254+X254+D271+F271+G271+I271+J271+K271+L271+M271+N271+O271+Q271+R271+T271</f>
        <v>-302084</v>
      </c>
      <c r="W271" s="18">
        <f>+F254</f>
        <v>0</v>
      </c>
      <c r="X271" s="18">
        <f>+V271-W271</f>
        <v>-302084</v>
      </c>
    </row>
    <row r="272" spans="1:24" ht="15">
      <c r="A272" s="6" t="s">
        <v>41</v>
      </c>
      <c r="B272" s="41"/>
      <c r="C272" s="40"/>
      <c r="D272" s="18"/>
      <c r="E272" s="18"/>
      <c r="F272" s="18"/>
      <c r="G272" s="18"/>
      <c r="I272" s="18"/>
      <c r="J272" s="18"/>
      <c r="K272" s="18"/>
      <c r="L272" s="18"/>
      <c r="M272" s="18"/>
      <c r="N272" s="18"/>
      <c r="O272" s="18"/>
      <c r="Q272" s="18"/>
      <c r="R272" s="18"/>
      <c r="S272" s="18"/>
      <c r="T272" s="18"/>
      <c r="V272" s="18"/>
      <c r="W272" s="18"/>
      <c r="X272" s="18"/>
    </row>
    <row r="273" spans="1:24" ht="15">
      <c r="A273" s="4">
        <f>+A271+1</f>
        <v>16</v>
      </c>
      <c r="B273" s="5" t="s">
        <v>42</v>
      </c>
      <c r="C273" s="22" t="s">
        <v>38</v>
      </c>
      <c r="D273" s="18">
        <v>0</v>
      </c>
      <c r="E273" s="18"/>
      <c r="F273" s="18">
        <v>0</v>
      </c>
      <c r="G273" s="18">
        <v>0</v>
      </c>
      <c r="I273" s="18">
        <v>654944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/>
      <c r="Q273" s="18">
        <v>0</v>
      </c>
      <c r="R273" s="18">
        <v>0</v>
      </c>
      <c r="S273" s="18"/>
      <c r="T273" s="18">
        <v>0</v>
      </c>
      <c r="U273" s="18"/>
      <c r="V273" s="18">
        <f>+D256+I256+J256+K256+L256+M256+N256+O256+Q256+R256+T256+V256+W256+X256+D273+F273+G273+I273+J273+K273+L273+M273+N273+O273+Q273+R273+T273</f>
        <v>7914562</v>
      </c>
      <c r="W273" s="18">
        <f>+F256</f>
        <v>5960243</v>
      </c>
      <c r="X273" s="18">
        <f>+V273-W273</f>
        <v>1954319</v>
      </c>
    </row>
    <row r="274" spans="1:24" ht="15">
      <c r="A274" s="4">
        <f>+A273+1</f>
        <v>17</v>
      </c>
      <c r="B274" s="5" t="s">
        <v>43</v>
      </c>
      <c r="C274" s="11"/>
      <c r="D274" s="18">
        <v>0</v>
      </c>
      <c r="E274" s="18"/>
      <c r="F274" s="18">
        <v>0</v>
      </c>
      <c r="G274" s="18">
        <v>0</v>
      </c>
      <c r="I274" s="27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/>
      <c r="Q274" s="18">
        <v>0</v>
      </c>
      <c r="R274" s="18">
        <v>0</v>
      </c>
      <c r="S274" s="18"/>
      <c r="T274" s="18">
        <v>0</v>
      </c>
      <c r="U274" s="18"/>
      <c r="V274" s="18">
        <f>+D257+I257+J257+K257+L257+M257+N257+O257+Q257+R257+T257+V257+W257+X257+D274+F274+G274+I274+J274+K274+L274+M274+N274+O274+Q274+R274+T274</f>
        <v>6654</v>
      </c>
      <c r="W274" s="18">
        <f>+F257</f>
        <v>6885</v>
      </c>
      <c r="X274" s="18">
        <f>+V274-W274</f>
        <v>-231</v>
      </c>
    </row>
    <row r="275" spans="1:24" ht="26.25">
      <c r="A275" s="4">
        <f>+A274+1</f>
        <v>18</v>
      </c>
      <c r="B275" s="24" t="s">
        <v>79</v>
      </c>
      <c r="C275" s="11"/>
      <c r="D275" s="18">
        <f>+D273-D274</f>
        <v>0</v>
      </c>
      <c r="E275" s="18"/>
      <c r="F275" s="18">
        <f>+F273-F274</f>
        <v>0</v>
      </c>
      <c r="G275" s="18">
        <f>+G273-G274</f>
        <v>0</v>
      </c>
      <c r="I275" s="18">
        <f aca="true" t="shared" si="34" ref="I275:O275">+I273-I274</f>
        <v>654944</v>
      </c>
      <c r="J275" s="18">
        <f t="shared" si="34"/>
        <v>0</v>
      </c>
      <c r="K275" s="18">
        <f t="shared" si="34"/>
        <v>0</v>
      </c>
      <c r="L275" s="18">
        <f t="shared" si="34"/>
        <v>0</v>
      </c>
      <c r="M275" s="18">
        <f t="shared" si="34"/>
        <v>0</v>
      </c>
      <c r="N275" s="18">
        <f t="shared" si="34"/>
        <v>0</v>
      </c>
      <c r="O275" s="18">
        <f t="shared" si="34"/>
        <v>0</v>
      </c>
      <c r="P275" s="18"/>
      <c r="Q275" s="18">
        <f>+Q273-Q274</f>
        <v>0</v>
      </c>
      <c r="R275" s="18">
        <f>+R273-R274</f>
        <v>0</v>
      </c>
      <c r="S275" s="18"/>
      <c r="T275" s="18">
        <f>+T273-T274</f>
        <v>0</v>
      </c>
      <c r="U275" s="18"/>
      <c r="V275" s="27">
        <f>+V273-V274</f>
        <v>7907908</v>
      </c>
      <c r="W275" s="27">
        <f>+W273-W274</f>
        <v>5953358</v>
      </c>
      <c r="X275" s="18">
        <f>+X273-X274</f>
        <v>1954550</v>
      </c>
    </row>
    <row r="276" spans="1:24" ht="28.5">
      <c r="A276" s="4">
        <f>+A275+1</f>
        <v>19</v>
      </c>
      <c r="B276" s="88" t="s">
        <v>181</v>
      </c>
      <c r="C276" s="11"/>
      <c r="D276" s="18">
        <v>0</v>
      </c>
      <c r="E276" s="18"/>
      <c r="F276" s="18">
        <v>0</v>
      </c>
      <c r="G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/>
      <c r="Q276" s="18">
        <v>0</v>
      </c>
      <c r="R276" s="18">
        <v>0</v>
      </c>
      <c r="S276" s="18"/>
      <c r="T276" s="18">
        <v>0</v>
      </c>
      <c r="U276" s="18"/>
      <c r="V276" s="18">
        <f>+D259+I259+J259+K259+L259+M259+N259+O259+Q259+R259+T259+V259+W259+X259+D276+F276+G276+I276+J276+K276+L276+M276+N276+O276+Q276+R276+T276</f>
        <v>0</v>
      </c>
      <c r="W276" s="18">
        <f>+F259+K276+L276+M276+N276+O276+Q276+R276+T276</f>
        <v>0</v>
      </c>
      <c r="X276" s="18">
        <f>+V276-W276</f>
        <v>0</v>
      </c>
    </row>
    <row r="277" spans="1:24" ht="15">
      <c r="A277" s="4">
        <f>+A276+1</f>
        <v>20</v>
      </c>
      <c r="B277" s="24" t="s">
        <v>46</v>
      </c>
      <c r="C277" s="11" t="s">
        <v>47</v>
      </c>
      <c r="D277" s="18">
        <f>+D269+D270+D275+D276+D271</f>
        <v>0</v>
      </c>
      <c r="E277" s="18"/>
      <c r="F277" s="18">
        <f>+F269+F270+F275+F276+F271</f>
        <v>0</v>
      </c>
      <c r="G277" s="18">
        <f>+G269+G270+G275+G276+G271</f>
        <v>0</v>
      </c>
      <c r="I277" s="18">
        <f aca="true" t="shared" si="35" ref="I277:O277">+I269+I270+I275+I276+I271</f>
        <v>661570</v>
      </c>
      <c r="J277" s="18">
        <f t="shared" si="35"/>
        <v>40485</v>
      </c>
      <c r="K277" s="18">
        <f t="shared" si="35"/>
        <v>0</v>
      </c>
      <c r="L277" s="18">
        <f t="shared" si="35"/>
        <v>0</v>
      </c>
      <c r="M277" s="18">
        <f t="shared" si="35"/>
        <v>90726</v>
      </c>
      <c r="N277" s="18">
        <f t="shared" si="35"/>
        <v>-365932</v>
      </c>
      <c r="O277" s="18">
        <f t="shared" si="35"/>
        <v>399</v>
      </c>
      <c r="P277" s="42"/>
      <c r="Q277" s="18">
        <f>+Q269+Q270+Q275+Q276+Q271</f>
        <v>0</v>
      </c>
      <c r="R277" s="18">
        <f>+R269+R270+R275+R276+R271</f>
        <v>0</v>
      </c>
      <c r="S277" s="18"/>
      <c r="T277" s="18">
        <f>+T269+T270+T275+T276+T271</f>
        <v>0</v>
      </c>
      <c r="U277" s="42"/>
      <c r="V277" s="18">
        <f>SUM(V269,V271,V275,V276)</f>
        <v>7612808</v>
      </c>
      <c r="W277" s="18">
        <f>+W269+W270+W275+W276+W271</f>
        <v>6119339</v>
      </c>
      <c r="X277" s="18">
        <f>+X269+X270+X275+X276+X271</f>
        <v>1493469</v>
      </c>
    </row>
    <row r="278" spans="1:24" ht="15">
      <c r="A278" s="4"/>
      <c r="B278" s="24"/>
      <c r="C278" s="11"/>
      <c r="D278" s="18"/>
      <c r="E278" s="18"/>
      <c r="F278" s="18"/>
      <c r="G278" s="18"/>
      <c r="I278" s="18"/>
      <c r="J278" s="18"/>
      <c r="K278" s="18"/>
      <c r="L278" s="18"/>
      <c r="M278" s="18"/>
      <c r="N278" s="18"/>
      <c r="O278" s="18"/>
      <c r="P278" s="42"/>
      <c r="Q278" s="18"/>
      <c r="R278" s="18"/>
      <c r="S278" s="18"/>
      <c r="T278" s="18"/>
      <c r="U278" s="42"/>
      <c r="V278" s="18"/>
      <c r="W278" s="18"/>
      <c r="X278" s="18"/>
    </row>
    <row r="279" spans="1:24" ht="15">
      <c r="A279" s="4"/>
      <c r="B279" s="24"/>
      <c r="C279" s="11"/>
      <c r="D279" s="18"/>
      <c r="E279" s="18"/>
      <c r="F279" s="18"/>
      <c r="G279" s="18"/>
      <c r="I279" s="18"/>
      <c r="J279" s="18"/>
      <c r="K279" s="18"/>
      <c r="L279" s="18"/>
      <c r="M279" s="18"/>
      <c r="N279" s="18"/>
      <c r="O279" s="18"/>
      <c r="P279" s="42"/>
      <c r="Q279" s="18"/>
      <c r="R279" s="18"/>
      <c r="S279" s="18"/>
      <c r="T279" s="18"/>
      <c r="U279" s="42"/>
      <c r="V279" s="18"/>
      <c r="W279" s="18"/>
      <c r="X279" s="18"/>
    </row>
    <row r="280" spans="1:24" ht="15">
      <c r="A280" s="4"/>
      <c r="B280" s="24"/>
      <c r="C280" s="11"/>
      <c r="D280" s="18"/>
      <c r="E280" s="18"/>
      <c r="F280" s="18"/>
      <c r="G280" s="18"/>
      <c r="I280" s="18"/>
      <c r="J280" s="18"/>
      <c r="K280" s="18"/>
      <c r="L280" s="18"/>
      <c r="M280" s="18"/>
      <c r="N280" s="18"/>
      <c r="O280" s="18"/>
      <c r="P280" s="42"/>
      <c r="Q280" s="18"/>
      <c r="R280" s="18"/>
      <c r="S280" s="18"/>
      <c r="T280" s="18"/>
      <c r="U280" s="42"/>
      <c r="V280" s="18"/>
      <c r="W280" s="18"/>
      <c r="X280" s="18"/>
    </row>
    <row r="281" spans="1:25" ht="15">
      <c r="A281" s="4"/>
      <c r="B281" s="24"/>
      <c r="C281" s="11"/>
      <c r="D281" s="10" t="s">
        <v>80</v>
      </c>
      <c r="E281" s="10"/>
      <c r="F281" s="10" t="s">
        <v>81</v>
      </c>
      <c r="G281" s="10" t="s">
        <v>82</v>
      </c>
      <c r="I281" s="10" t="s">
        <v>83</v>
      </c>
      <c r="J281" s="10" t="s">
        <v>84</v>
      </c>
      <c r="K281" s="10" t="s">
        <v>85</v>
      </c>
      <c r="L281" s="10" t="s">
        <v>86</v>
      </c>
      <c r="M281" s="43" t="s">
        <v>87</v>
      </c>
      <c r="N281" s="43" t="s">
        <v>88</v>
      </c>
      <c r="O281" s="44" t="s">
        <v>89</v>
      </c>
      <c r="P281" s="42"/>
      <c r="Q281" s="43" t="s">
        <v>90</v>
      </c>
      <c r="R281" s="43" t="s">
        <v>91</v>
      </c>
      <c r="S281" s="43"/>
      <c r="T281" s="43" t="s">
        <v>92</v>
      </c>
      <c r="U281" s="42"/>
      <c r="V281" s="43" t="s">
        <v>93</v>
      </c>
      <c r="W281" s="43" t="s">
        <v>94</v>
      </c>
      <c r="X281" s="43" t="s">
        <v>95</v>
      </c>
      <c r="Y281" s="18"/>
    </row>
    <row r="282" spans="1:25" ht="15">
      <c r="A282" s="4"/>
      <c r="B282"/>
      <c r="C282" s="11"/>
      <c r="D282" s="10" t="s">
        <v>20</v>
      </c>
      <c r="E282" s="38"/>
      <c r="F282" s="10" t="s">
        <v>20</v>
      </c>
      <c r="G282" s="10" t="s">
        <v>20</v>
      </c>
      <c r="I282" s="10" t="s">
        <v>20</v>
      </c>
      <c r="J282" s="10" t="s">
        <v>20</v>
      </c>
      <c r="K282" s="10" t="s">
        <v>20</v>
      </c>
      <c r="L282" s="10" t="s">
        <v>20</v>
      </c>
      <c r="M282" s="10" t="s">
        <v>20</v>
      </c>
      <c r="N282" s="10" t="s">
        <v>20</v>
      </c>
      <c r="O282" s="10" t="s">
        <v>20</v>
      </c>
      <c r="P282" s="18"/>
      <c r="Q282" s="10" t="s">
        <v>20</v>
      </c>
      <c r="R282" s="10" t="s">
        <v>20</v>
      </c>
      <c r="S282" s="14"/>
      <c r="T282" s="10" t="s">
        <v>20</v>
      </c>
      <c r="U282" s="18"/>
      <c r="W282" s="39" t="s">
        <v>96</v>
      </c>
      <c r="Y282" s="18"/>
    </row>
    <row r="283" spans="1:25" ht="15">
      <c r="A283" s="4"/>
      <c r="B283" s="87" t="s">
        <v>174</v>
      </c>
      <c r="C283" s="11"/>
      <c r="D283" s="45" t="s">
        <v>97</v>
      </c>
      <c r="E283" s="6"/>
      <c r="F283" s="45" t="s">
        <v>98</v>
      </c>
      <c r="G283" s="45" t="s">
        <v>99</v>
      </c>
      <c r="H283" s="19"/>
      <c r="I283" s="45" t="s">
        <v>100</v>
      </c>
      <c r="J283" s="45" t="s">
        <v>101</v>
      </c>
      <c r="K283" s="45" t="s">
        <v>102</v>
      </c>
      <c r="L283" s="45" t="s">
        <v>103</v>
      </c>
      <c r="M283" s="45" t="s">
        <v>104</v>
      </c>
      <c r="N283" s="45" t="s">
        <v>105</v>
      </c>
      <c r="O283" s="45" t="s">
        <v>106</v>
      </c>
      <c r="P283" s="6"/>
      <c r="Q283" s="45" t="s">
        <v>107</v>
      </c>
      <c r="R283" s="45" t="s">
        <v>108</v>
      </c>
      <c r="S283" s="45"/>
      <c r="T283" s="45" t="s">
        <v>109</v>
      </c>
      <c r="U283" s="18"/>
      <c r="V283" s="10" t="s">
        <v>20</v>
      </c>
      <c r="W283" s="10" t="s">
        <v>21</v>
      </c>
      <c r="X283" s="10" t="s">
        <v>22</v>
      </c>
      <c r="Y283" s="18"/>
    </row>
    <row r="284" spans="1:9" ht="15">
      <c r="A284" s="4"/>
      <c r="B284" s="24"/>
      <c r="C284" s="11"/>
      <c r="E284" s="14"/>
      <c r="F284"/>
      <c r="H284" s="18"/>
      <c r="I284" s="16"/>
    </row>
    <row r="285" spans="1:24" ht="15">
      <c r="A285" s="4">
        <f>+A278+1</f>
        <v>1</v>
      </c>
      <c r="B285" s="5" t="s">
        <v>36</v>
      </c>
      <c r="C285" s="17" t="s">
        <v>37</v>
      </c>
      <c r="D285" s="18">
        <v>0</v>
      </c>
      <c r="E285" s="18"/>
      <c r="F285" s="18">
        <v>0</v>
      </c>
      <c r="G285" s="18">
        <v>0</v>
      </c>
      <c r="I285" s="18">
        <v>0</v>
      </c>
      <c r="J285" s="18">
        <v>0</v>
      </c>
      <c r="K285" s="46">
        <v>-83843</v>
      </c>
      <c r="L285" s="18">
        <v>-2545</v>
      </c>
      <c r="M285" s="18">
        <v>0</v>
      </c>
      <c r="N285" s="18">
        <v>0</v>
      </c>
      <c r="O285" s="18">
        <v>0</v>
      </c>
      <c r="Q285" s="18">
        <v>0</v>
      </c>
      <c r="R285" s="18">
        <v>0</v>
      </c>
      <c r="S285" s="18"/>
      <c r="T285" s="18">
        <v>0</v>
      </c>
      <c r="V285" s="18">
        <f>+V267+D285+F285+G285+I285+J285+K285+L285+M285+N285+O285+Q285+R285+T285</f>
        <v>7364589</v>
      </c>
      <c r="W285" s="18">
        <f>+W267</f>
        <v>5944236</v>
      </c>
      <c r="X285" s="18">
        <f>+V285-W285</f>
        <v>1420353</v>
      </c>
    </row>
    <row r="286" spans="1:24" ht="15">
      <c r="A286" s="4">
        <f>+A285+1</f>
        <v>2</v>
      </c>
      <c r="B286" s="5" t="s">
        <v>36</v>
      </c>
      <c r="C286" s="22" t="s">
        <v>38</v>
      </c>
      <c r="D286" s="18">
        <v>0</v>
      </c>
      <c r="E286" s="18"/>
      <c r="F286" s="18">
        <v>0</v>
      </c>
      <c r="G286" s="18">
        <v>0</v>
      </c>
      <c r="I286" s="18">
        <v>0</v>
      </c>
      <c r="J286" s="18">
        <v>0</v>
      </c>
      <c r="K286" s="46">
        <v>-83843</v>
      </c>
      <c r="L286" s="18">
        <v>-2623</v>
      </c>
      <c r="M286" s="18">
        <v>0</v>
      </c>
      <c r="N286" s="18">
        <v>0</v>
      </c>
      <c r="O286" s="18">
        <v>0</v>
      </c>
      <c r="Q286" s="18">
        <v>0</v>
      </c>
      <c r="R286" s="18">
        <v>0</v>
      </c>
      <c r="S286" s="18"/>
      <c r="T286" s="18">
        <v>0</v>
      </c>
      <c r="V286" s="18">
        <f>+V268+D286+F286+G286+I286+J286+K286+L286+M286+N286+O286+Q286+R286+T286</f>
        <v>7357527</v>
      </c>
      <c r="W286" s="18">
        <f>+W268</f>
        <v>5778255</v>
      </c>
      <c r="X286" s="18">
        <f>+V286-W286</f>
        <v>1579272</v>
      </c>
    </row>
    <row r="287" spans="1:24" ht="15">
      <c r="A287" s="4">
        <f>+A286+1</f>
        <v>3</v>
      </c>
      <c r="B287" s="24" t="s">
        <v>46</v>
      </c>
      <c r="C287" s="40" t="s">
        <v>78</v>
      </c>
      <c r="D287" s="18">
        <f>+D285-D286</f>
        <v>0</v>
      </c>
      <c r="E287" s="18"/>
      <c r="F287" s="18">
        <f>+F285-F286</f>
        <v>0</v>
      </c>
      <c r="G287" s="18">
        <f>+G285-G286</f>
        <v>0</v>
      </c>
      <c r="I287" s="18">
        <f aca="true" t="shared" si="36" ref="I287:O287">+I285-I286</f>
        <v>0</v>
      </c>
      <c r="J287" s="18">
        <f t="shared" si="36"/>
        <v>0</v>
      </c>
      <c r="K287" s="18">
        <f t="shared" si="36"/>
        <v>0</v>
      </c>
      <c r="L287" s="18">
        <f t="shared" si="36"/>
        <v>78</v>
      </c>
      <c r="M287" s="18">
        <f t="shared" si="36"/>
        <v>0</v>
      </c>
      <c r="N287" s="18">
        <f t="shared" si="36"/>
        <v>0</v>
      </c>
      <c r="O287" s="18">
        <f t="shared" si="36"/>
        <v>0</v>
      </c>
      <c r="Q287" s="18">
        <f>+Q285-Q286</f>
        <v>0</v>
      </c>
      <c r="R287" s="18">
        <f>+R285-R286</f>
        <v>0</v>
      </c>
      <c r="S287" s="18"/>
      <c r="T287" s="18">
        <f>+T285-T286</f>
        <v>0</v>
      </c>
      <c r="V287" s="27">
        <f>+V285-V286</f>
        <v>7062</v>
      </c>
      <c r="W287" s="27">
        <f>+W285-W286</f>
        <v>165981</v>
      </c>
      <c r="X287" s="18">
        <f>+X285-X286</f>
        <v>-158919</v>
      </c>
    </row>
    <row r="288" spans="1:24" ht="28.5">
      <c r="A288" s="4">
        <f>+A287+1</f>
        <v>4</v>
      </c>
      <c r="B288" s="88" t="s">
        <v>182</v>
      </c>
      <c r="C288" s="11"/>
      <c r="D288" s="18">
        <v>0</v>
      </c>
      <c r="E288" s="18"/>
      <c r="F288" s="18">
        <v>0</v>
      </c>
      <c r="G288" s="18">
        <v>0</v>
      </c>
      <c r="I288" s="18">
        <v>0</v>
      </c>
      <c r="J288" s="27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Q288" s="18">
        <v>0</v>
      </c>
      <c r="R288" s="18">
        <v>0</v>
      </c>
      <c r="S288" s="18"/>
      <c r="T288" s="18">
        <v>0</v>
      </c>
      <c r="V288" s="18">
        <f>+V270+D288+F288+G288+I288+J288+K288+L288+M288+N288+O288+Q288+R288+T288</f>
        <v>0</v>
      </c>
      <c r="W288" s="18">
        <f>+W270</f>
        <v>0</v>
      </c>
      <c r="X288" s="18">
        <f>+V288-W288</f>
        <v>0</v>
      </c>
    </row>
    <row r="289" spans="1:24" ht="24.75">
      <c r="A289" s="4">
        <f>+A288+1</f>
        <v>5</v>
      </c>
      <c r="B289" s="89" t="s">
        <v>39</v>
      </c>
      <c r="C289" s="40"/>
      <c r="D289" s="27">
        <v>0</v>
      </c>
      <c r="E289" s="18"/>
      <c r="F289" s="27">
        <v>0</v>
      </c>
      <c r="G289" s="27">
        <v>-1613</v>
      </c>
      <c r="I289" s="27">
        <v>0</v>
      </c>
      <c r="J289" s="27">
        <v>0</v>
      </c>
      <c r="K289" s="18">
        <v>-504764</v>
      </c>
      <c r="L289" s="27">
        <v>0</v>
      </c>
      <c r="M289" s="27">
        <v>-24949</v>
      </c>
      <c r="N289" s="27">
        <v>0</v>
      </c>
      <c r="O289" s="27">
        <v>2224</v>
      </c>
      <c r="Q289" s="27">
        <v>0</v>
      </c>
      <c r="R289" s="27">
        <v>-926</v>
      </c>
      <c r="S289" s="27"/>
      <c r="T289" s="27">
        <v>1346</v>
      </c>
      <c r="V289" s="18">
        <f>+V271+D289+F289+G289+I289+J289+K289+L289+M289+N289+O289+Q289+R289+T289</f>
        <v>-830766</v>
      </c>
      <c r="W289" s="18">
        <f>+W271</f>
        <v>0</v>
      </c>
      <c r="X289" s="18">
        <f>+V289-W289</f>
        <v>-830766</v>
      </c>
    </row>
    <row r="290" spans="1:24" ht="15">
      <c r="A290" s="6" t="s">
        <v>41</v>
      </c>
      <c r="B290" s="41"/>
      <c r="C290" s="40"/>
      <c r="D290" s="18"/>
      <c r="E290" s="18"/>
      <c r="F290" s="18"/>
      <c r="G290" s="18"/>
      <c r="I290" s="18"/>
      <c r="J290" s="18"/>
      <c r="L290" s="18"/>
      <c r="M290" s="18"/>
      <c r="N290" s="18"/>
      <c r="O290" s="18"/>
      <c r="Q290" s="18"/>
      <c r="R290" s="18"/>
      <c r="S290" s="18"/>
      <c r="T290" s="18"/>
      <c r="V290" s="18"/>
      <c r="W290" s="18"/>
      <c r="X290" s="18"/>
    </row>
    <row r="291" spans="1:24" ht="15">
      <c r="A291" s="4">
        <f>+A289+1</f>
        <v>6</v>
      </c>
      <c r="B291" s="5" t="s">
        <v>42</v>
      </c>
      <c r="C291" s="22" t="s">
        <v>38</v>
      </c>
      <c r="D291" s="18">
        <v>0</v>
      </c>
      <c r="E291" s="18"/>
      <c r="F291" s="18">
        <v>0</v>
      </c>
      <c r="G291" s="18">
        <v>0</v>
      </c>
      <c r="I291" s="18">
        <v>0</v>
      </c>
      <c r="J291" s="18">
        <v>0</v>
      </c>
      <c r="K291" s="46">
        <v>-9605</v>
      </c>
      <c r="L291" s="18">
        <v>-6618</v>
      </c>
      <c r="M291" s="18">
        <v>0</v>
      </c>
      <c r="N291" s="18">
        <v>0</v>
      </c>
      <c r="O291" s="18">
        <v>0</v>
      </c>
      <c r="P291" s="18"/>
      <c r="Q291" s="18">
        <v>0</v>
      </c>
      <c r="R291" s="18">
        <v>0</v>
      </c>
      <c r="S291" s="18"/>
      <c r="T291" s="18">
        <v>0</v>
      </c>
      <c r="U291" s="18"/>
      <c r="V291" s="18">
        <f>+V273+D291+F291+G291+I291+J291+K291+L291+M291+N291+O291+Q291+R291+T291</f>
        <v>7898339</v>
      </c>
      <c r="W291" s="18">
        <f>+W273</f>
        <v>5960243</v>
      </c>
      <c r="X291" s="18">
        <f>+V291-W291</f>
        <v>1938096</v>
      </c>
    </row>
    <row r="292" spans="1:24" ht="15">
      <c r="A292" s="4">
        <f>+A291+1</f>
        <v>7</v>
      </c>
      <c r="B292" s="5" t="s">
        <v>43</v>
      </c>
      <c r="C292" s="11"/>
      <c r="D292" s="18">
        <v>0</v>
      </c>
      <c r="E292" s="18"/>
      <c r="F292" s="18">
        <v>0</v>
      </c>
      <c r="G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/>
      <c r="Q292" s="18">
        <v>0</v>
      </c>
      <c r="R292" s="18">
        <v>0</v>
      </c>
      <c r="S292" s="18"/>
      <c r="T292" s="18">
        <v>0</v>
      </c>
      <c r="U292" s="18"/>
      <c r="V292" s="18">
        <f>+V274+D292+F292+G292+I292+J292+K292+L292+M292+N292+O292+Q292+R292+T292</f>
        <v>6654</v>
      </c>
      <c r="W292" s="18">
        <f>+W274</f>
        <v>6885</v>
      </c>
      <c r="X292" s="18">
        <f>+V292-W292</f>
        <v>-231</v>
      </c>
    </row>
    <row r="293" spans="1:24" ht="26.25">
      <c r="A293" s="4">
        <f>+A292+1</f>
        <v>8</v>
      </c>
      <c r="B293" s="24" t="s">
        <v>79</v>
      </c>
      <c r="C293" s="11"/>
      <c r="D293" s="18">
        <f>+D291-D292</f>
        <v>0</v>
      </c>
      <c r="E293" s="18"/>
      <c r="F293" s="18">
        <f>+F291-F292</f>
        <v>0</v>
      </c>
      <c r="G293" s="18">
        <f>+G291-G292</f>
        <v>0</v>
      </c>
      <c r="I293" s="18">
        <f aca="true" t="shared" si="37" ref="I293:O293">+I291-I292</f>
        <v>0</v>
      </c>
      <c r="J293" s="18">
        <f t="shared" si="37"/>
        <v>0</v>
      </c>
      <c r="K293" s="18">
        <f t="shared" si="37"/>
        <v>-9605</v>
      </c>
      <c r="L293" s="18">
        <f t="shared" si="37"/>
        <v>-6618</v>
      </c>
      <c r="M293" s="18">
        <f t="shared" si="37"/>
        <v>0</v>
      </c>
      <c r="N293" s="18">
        <f t="shared" si="37"/>
        <v>0</v>
      </c>
      <c r="O293" s="18">
        <f t="shared" si="37"/>
        <v>0</v>
      </c>
      <c r="P293" s="18"/>
      <c r="Q293" s="18">
        <f>+Q291-Q292</f>
        <v>0</v>
      </c>
      <c r="R293" s="18">
        <f>+R291-R292</f>
        <v>0</v>
      </c>
      <c r="S293" s="18"/>
      <c r="T293" s="18">
        <f>+T291-T292</f>
        <v>0</v>
      </c>
      <c r="U293" s="18"/>
      <c r="V293" s="27">
        <f>+V291-V292</f>
        <v>7891685</v>
      </c>
      <c r="W293" s="27">
        <f>+W291-W292</f>
        <v>5953358</v>
      </c>
      <c r="X293" s="18">
        <f>+X291-X292</f>
        <v>1938327</v>
      </c>
    </row>
    <row r="294" spans="1:24" ht="28.5">
      <c r="A294" s="4">
        <f>+A293+1</f>
        <v>9</v>
      </c>
      <c r="B294" s="88" t="s">
        <v>181</v>
      </c>
      <c r="C294" s="11"/>
      <c r="D294" s="18">
        <v>0</v>
      </c>
      <c r="E294" s="18"/>
      <c r="F294" s="18">
        <v>0</v>
      </c>
      <c r="G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/>
      <c r="Q294" s="18">
        <v>0</v>
      </c>
      <c r="R294" s="18">
        <v>0</v>
      </c>
      <c r="S294" s="18"/>
      <c r="T294" s="18">
        <v>0</v>
      </c>
      <c r="U294" s="18"/>
      <c r="V294" s="18">
        <f>+V276+D294+F294+G294+I294+J294+K294+L294+M294+N294+O294+Q294+R294+T294</f>
        <v>0</v>
      </c>
      <c r="W294" s="18">
        <f>+W276</f>
        <v>0</v>
      </c>
      <c r="X294" s="18">
        <f>+V294-W294</f>
        <v>0</v>
      </c>
    </row>
    <row r="295" spans="1:24" ht="15">
      <c r="A295" s="4">
        <f>+A294+1</f>
        <v>10</v>
      </c>
      <c r="B295" s="24" t="s">
        <v>46</v>
      </c>
      <c r="C295" s="11" t="s">
        <v>47</v>
      </c>
      <c r="D295" s="18">
        <f>+D287+D288+D293+D294+D289</f>
        <v>0</v>
      </c>
      <c r="E295" s="18"/>
      <c r="F295" s="18">
        <f>+F287+F288+F293+F294+F289</f>
        <v>0</v>
      </c>
      <c r="G295" s="18">
        <f>+G287+G288+G293+G294+G289</f>
        <v>-1613</v>
      </c>
      <c r="I295" s="18">
        <f aca="true" t="shared" si="38" ref="I295:O295">+I287+I288+I293+I294+I289</f>
        <v>0</v>
      </c>
      <c r="J295" s="18">
        <f t="shared" si="38"/>
        <v>0</v>
      </c>
      <c r="K295" s="18">
        <f t="shared" si="38"/>
        <v>-514369</v>
      </c>
      <c r="L295" s="18">
        <f t="shared" si="38"/>
        <v>-6540</v>
      </c>
      <c r="M295" s="18">
        <f t="shared" si="38"/>
        <v>-24949</v>
      </c>
      <c r="N295" s="18">
        <f t="shared" si="38"/>
        <v>0</v>
      </c>
      <c r="O295" s="18">
        <f t="shared" si="38"/>
        <v>2224</v>
      </c>
      <c r="P295" s="42"/>
      <c r="Q295" s="18">
        <f>+Q287+Q288+Q293+Q294+Q289</f>
        <v>0</v>
      </c>
      <c r="R295" s="18">
        <f>+R287+R288+R293+R294+R289</f>
        <v>-926</v>
      </c>
      <c r="S295" s="18"/>
      <c r="T295" s="18">
        <f>+T287+T288+T293+T294+T289</f>
        <v>1346</v>
      </c>
      <c r="U295" s="42"/>
      <c r="V295" s="18">
        <f>+V287+V288+V293+V294+V289</f>
        <v>7067981</v>
      </c>
      <c r="W295" s="18">
        <f>+W287+W288+W293+W294+W289</f>
        <v>6119339</v>
      </c>
      <c r="X295" s="18">
        <f>+X287+X288+X293+X294+X289</f>
        <v>948642</v>
      </c>
    </row>
    <row r="296" spans="1:24" ht="15">
      <c r="A296" s="4"/>
      <c r="B296" s="24"/>
      <c r="C296" s="11"/>
      <c r="D296" s="18"/>
      <c r="E296" s="18"/>
      <c r="F296" s="18"/>
      <c r="G296" s="18"/>
      <c r="I296" s="18"/>
      <c r="J296" s="18"/>
      <c r="K296" s="18"/>
      <c r="L296" s="18"/>
      <c r="M296" s="18"/>
      <c r="N296" s="18"/>
      <c r="O296" s="18"/>
      <c r="P296" s="42"/>
      <c r="Q296" s="18"/>
      <c r="R296" s="18"/>
      <c r="S296" s="18"/>
      <c r="T296" s="18"/>
      <c r="U296" s="42"/>
      <c r="V296" s="18"/>
      <c r="W296" s="18"/>
      <c r="X296" s="18"/>
    </row>
    <row r="297" spans="1:24" ht="15">
      <c r="A297" s="4"/>
      <c r="B297" s="24"/>
      <c r="C297" s="11"/>
      <c r="D297" s="18"/>
      <c r="E297" s="18"/>
      <c r="F297" s="18"/>
      <c r="G297" s="18"/>
      <c r="I297" s="18"/>
      <c r="J297" s="18"/>
      <c r="K297" s="18"/>
      <c r="L297" s="18"/>
      <c r="M297" s="18"/>
      <c r="N297" s="18"/>
      <c r="O297" s="18"/>
      <c r="P297" s="42"/>
      <c r="Q297" s="18"/>
      <c r="R297" s="18"/>
      <c r="S297" s="18"/>
      <c r="T297" s="18"/>
      <c r="U297" s="42"/>
      <c r="V297" s="18"/>
      <c r="W297" s="18"/>
      <c r="X297" s="18"/>
    </row>
    <row r="298" spans="1:24" ht="15">
      <c r="A298" s="4"/>
      <c r="B298" s="24"/>
      <c r="C298" s="11"/>
      <c r="D298" s="18"/>
      <c r="E298" s="18"/>
      <c r="F298" s="18"/>
      <c r="G298" s="18"/>
      <c r="I298" s="18"/>
      <c r="J298" s="18"/>
      <c r="K298" s="18"/>
      <c r="L298" s="18"/>
      <c r="M298" s="18"/>
      <c r="N298" s="18"/>
      <c r="O298" s="18"/>
      <c r="P298" s="42"/>
      <c r="Q298" s="18"/>
      <c r="R298" s="18"/>
      <c r="S298" s="18"/>
      <c r="T298" s="18"/>
      <c r="U298" s="42"/>
      <c r="V298" s="18"/>
      <c r="W298" s="18"/>
      <c r="X298" s="18"/>
    </row>
    <row r="299" spans="1:24" ht="15">
      <c r="A299" s="4"/>
      <c r="B299" s="24"/>
      <c r="C299" s="11"/>
      <c r="D299" s="18"/>
      <c r="E299" s="18"/>
      <c r="F299" s="18"/>
      <c r="G299" s="18"/>
      <c r="I299" s="18"/>
      <c r="J299" s="18"/>
      <c r="K299" s="18"/>
      <c r="L299" s="18"/>
      <c r="M299" s="18"/>
      <c r="N299" s="18"/>
      <c r="O299" s="18"/>
      <c r="P299" s="42"/>
      <c r="Q299" s="18"/>
      <c r="R299" s="18"/>
      <c r="S299" s="18"/>
      <c r="T299" s="18"/>
      <c r="U299" s="42"/>
      <c r="V299" s="18"/>
      <c r="W299" s="18"/>
      <c r="X299" s="18"/>
    </row>
    <row r="300" spans="1:24" ht="15">
      <c r="A300" s="4"/>
      <c r="B300" s="24"/>
      <c r="C300" s="11"/>
      <c r="D300" s="18"/>
      <c r="E300" s="18"/>
      <c r="F300" s="18"/>
      <c r="G300" s="18"/>
      <c r="I300" s="18"/>
      <c r="J300" s="18"/>
      <c r="K300" s="18"/>
      <c r="L300" s="18"/>
      <c r="M300" s="18"/>
      <c r="N300" s="18"/>
      <c r="O300" s="18"/>
      <c r="P300" s="42"/>
      <c r="Q300" s="18"/>
      <c r="R300" s="18"/>
      <c r="S300" s="18"/>
      <c r="T300" s="18"/>
      <c r="U300" s="42"/>
      <c r="V300" s="18"/>
      <c r="W300" s="18"/>
      <c r="X300" s="18"/>
    </row>
    <row r="301" spans="1:24" ht="15">
      <c r="A301" s="4"/>
      <c r="B301" s="24"/>
      <c r="C301" s="11"/>
      <c r="D301" s="18"/>
      <c r="E301" s="18"/>
      <c r="F301" s="18"/>
      <c r="G301" s="18"/>
      <c r="I301" s="18"/>
      <c r="J301" s="18"/>
      <c r="K301" s="18"/>
      <c r="L301" s="18"/>
      <c r="M301" s="18"/>
      <c r="N301" s="18"/>
      <c r="O301" s="18"/>
      <c r="P301" s="42"/>
      <c r="Q301" s="18"/>
      <c r="R301" s="18"/>
      <c r="S301" s="18"/>
      <c r="T301" s="18"/>
      <c r="U301" s="42"/>
      <c r="V301" s="18"/>
      <c r="W301" s="18"/>
      <c r="X301" s="18"/>
    </row>
    <row r="302" spans="1:24" ht="15">
      <c r="A302" s="4"/>
      <c r="B302" s="24"/>
      <c r="C302" s="11"/>
      <c r="D302" s="18"/>
      <c r="E302" s="18"/>
      <c r="F302" s="18"/>
      <c r="G302" s="18"/>
      <c r="I302" s="18"/>
      <c r="J302" s="18"/>
      <c r="K302" s="18"/>
      <c r="L302" s="18"/>
      <c r="M302" s="18"/>
      <c r="N302" s="18"/>
      <c r="O302" s="18"/>
      <c r="P302" s="42"/>
      <c r="Q302" s="18"/>
      <c r="R302" s="18"/>
      <c r="S302" s="18"/>
      <c r="T302" s="18"/>
      <c r="U302" s="42"/>
      <c r="V302" s="18"/>
      <c r="W302" s="18"/>
      <c r="X302" s="18"/>
    </row>
    <row r="303" spans="1:24" ht="15">
      <c r="A303" s="4"/>
      <c r="B303" s="24"/>
      <c r="C303" s="11"/>
      <c r="D303" s="10" t="s">
        <v>4</v>
      </c>
      <c r="E303" s="10"/>
      <c r="F303" s="10" t="s">
        <v>5</v>
      </c>
      <c r="G303" s="10" t="s">
        <v>6</v>
      </c>
      <c r="H303" s="10"/>
      <c r="I303" s="10" t="s">
        <v>7</v>
      </c>
      <c r="J303" s="10" t="s">
        <v>8</v>
      </c>
      <c r="K303" s="10" t="s">
        <v>9</v>
      </c>
      <c r="L303" s="10" t="s">
        <v>10</v>
      </c>
      <c r="M303" s="10" t="s">
        <v>11</v>
      </c>
      <c r="N303" s="10" t="s">
        <v>12</v>
      </c>
      <c r="O303" s="10" t="s">
        <v>13</v>
      </c>
      <c r="P303" s="10"/>
      <c r="Q303" s="10" t="s">
        <v>14</v>
      </c>
      <c r="R303" s="10" t="s">
        <v>15</v>
      </c>
      <c r="S303" s="10"/>
      <c r="T303" s="10" t="s">
        <v>16</v>
      </c>
      <c r="U303" s="10"/>
      <c r="V303" s="10" t="s">
        <v>17</v>
      </c>
      <c r="W303" s="10" t="s">
        <v>18</v>
      </c>
      <c r="X303" s="10" t="s">
        <v>19</v>
      </c>
    </row>
    <row r="304" spans="1:23" ht="15">
      <c r="A304" s="4"/>
      <c r="B304" s="24"/>
      <c r="C304" s="11"/>
      <c r="D304" s="10" t="s">
        <v>20</v>
      </c>
      <c r="E304" s="10"/>
      <c r="F304" s="14" t="s">
        <v>21</v>
      </c>
      <c r="G304" s="10"/>
      <c r="I304" s="39" t="s">
        <v>110</v>
      </c>
      <c r="J304" s="47" t="s">
        <v>111</v>
      </c>
      <c r="K304" s="39"/>
      <c r="L304" s="10" t="s">
        <v>20</v>
      </c>
      <c r="M304" s="10" t="s">
        <v>20</v>
      </c>
      <c r="N304" s="10" t="s">
        <v>20</v>
      </c>
      <c r="O304" s="10" t="s">
        <v>20</v>
      </c>
      <c r="P304" s="42"/>
      <c r="Q304" s="10" t="s">
        <v>20</v>
      </c>
      <c r="R304" s="10" t="s">
        <v>20</v>
      </c>
      <c r="S304" s="48"/>
      <c r="T304" s="10" t="s">
        <v>20</v>
      </c>
      <c r="U304" s="42"/>
      <c r="W304" s="39" t="s">
        <v>112</v>
      </c>
    </row>
    <row r="305" spans="1:24" ht="15">
      <c r="A305" s="4"/>
      <c r="B305" s="87" t="s">
        <v>183</v>
      </c>
      <c r="C305" s="11"/>
      <c r="D305" s="8" t="s">
        <v>113</v>
      </c>
      <c r="E305" s="6"/>
      <c r="F305" s="6" t="s">
        <v>114</v>
      </c>
      <c r="G305" s="49" t="s">
        <v>22</v>
      </c>
      <c r="I305" s="8" t="s">
        <v>113</v>
      </c>
      <c r="J305" s="6" t="s">
        <v>114</v>
      </c>
      <c r="K305" s="49" t="s">
        <v>24</v>
      </c>
      <c r="L305" s="13" t="s">
        <v>115</v>
      </c>
      <c r="M305" s="13" t="s">
        <v>116</v>
      </c>
      <c r="N305" s="13" t="s">
        <v>117</v>
      </c>
      <c r="O305" s="13" t="s">
        <v>118</v>
      </c>
      <c r="P305" s="42"/>
      <c r="Q305" s="13" t="s">
        <v>119</v>
      </c>
      <c r="R305" s="13" t="s">
        <v>120</v>
      </c>
      <c r="T305" s="13" t="s">
        <v>121</v>
      </c>
      <c r="U305" s="42"/>
      <c r="V305" s="10" t="s">
        <v>20</v>
      </c>
      <c r="W305" s="10" t="s">
        <v>21</v>
      </c>
      <c r="X305" s="10" t="s">
        <v>22</v>
      </c>
    </row>
    <row r="306" spans="1:24" ht="15">
      <c r="A306" s="4"/>
      <c r="B306" s="24"/>
      <c r="C306" s="11"/>
      <c r="D306" s="18"/>
      <c r="E306" s="18"/>
      <c r="F306" s="18"/>
      <c r="G306" s="18"/>
      <c r="K306" s="42"/>
      <c r="L306" s="42"/>
      <c r="N306" s="42"/>
      <c r="O306" s="18"/>
      <c r="P306" s="42"/>
      <c r="U306" s="42"/>
      <c r="V306" s="18"/>
      <c r="W306" s="39" t="s">
        <v>122</v>
      </c>
      <c r="X306" s="18"/>
    </row>
    <row r="307" spans="1:24" ht="15">
      <c r="A307" s="4">
        <f>+A275+1</f>
        <v>19</v>
      </c>
      <c r="B307" s="5" t="s">
        <v>36</v>
      </c>
      <c r="C307" s="17" t="s">
        <v>37</v>
      </c>
      <c r="D307" s="18">
        <v>1363071</v>
      </c>
      <c r="E307" s="18" t="s">
        <v>0</v>
      </c>
      <c r="F307" s="18">
        <v>509961</v>
      </c>
      <c r="G307" s="18">
        <f>+D307-F307</f>
        <v>853110</v>
      </c>
      <c r="I307" s="18">
        <v>-7</v>
      </c>
      <c r="J307" s="18">
        <v>310</v>
      </c>
      <c r="K307" s="36">
        <f>+I307-J307</f>
        <v>-317</v>
      </c>
      <c r="L307" s="18">
        <v>0</v>
      </c>
      <c r="M307" s="18">
        <v>-324285</v>
      </c>
      <c r="N307" s="18">
        <v>17035</v>
      </c>
      <c r="O307" s="18">
        <v>0</v>
      </c>
      <c r="P307" s="42"/>
      <c r="Q307" s="31">
        <v>0</v>
      </c>
      <c r="R307" s="18">
        <v>0</v>
      </c>
      <c r="S307" s="18"/>
      <c r="T307" s="18">
        <v>0</v>
      </c>
      <c r="U307" s="42"/>
      <c r="V307" s="31">
        <f>+D307+I307+L307+M307+N307+O307+Q307+R307+T307</f>
        <v>1055814</v>
      </c>
      <c r="W307" s="18">
        <f>+F307+J307</f>
        <v>510271</v>
      </c>
      <c r="X307" s="18">
        <f>+V307-W307</f>
        <v>545543</v>
      </c>
    </row>
    <row r="308" spans="1:24" ht="15">
      <c r="A308" s="4">
        <f>+A307+1</f>
        <v>20</v>
      </c>
      <c r="B308" s="5" t="s">
        <v>36</v>
      </c>
      <c r="C308" s="22" t="s">
        <v>38</v>
      </c>
      <c r="D308" s="18">
        <v>1352508</v>
      </c>
      <c r="E308" s="18" t="s">
        <v>0</v>
      </c>
      <c r="F308" s="18">
        <v>499197</v>
      </c>
      <c r="G308" s="18">
        <f>+D308-F308</f>
        <v>853311</v>
      </c>
      <c r="I308" s="18">
        <v>-7</v>
      </c>
      <c r="J308" s="31">
        <v>274</v>
      </c>
      <c r="K308" s="18">
        <v>-1707</v>
      </c>
      <c r="L308" s="18">
        <v>0</v>
      </c>
      <c r="M308" s="18">
        <v>-324285</v>
      </c>
      <c r="N308" s="18">
        <v>17036</v>
      </c>
      <c r="O308" s="18">
        <v>0</v>
      </c>
      <c r="P308" s="42"/>
      <c r="Q308" s="31">
        <v>0</v>
      </c>
      <c r="R308" s="18">
        <v>0</v>
      </c>
      <c r="S308" s="18"/>
      <c r="T308" s="18">
        <v>0</v>
      </c>
      <c r="U308" s="42"/>
      <c r="V308" s="31">
        <f>+D308+I308+L308+M308+N308+O308+Q308+R308+T308</f>
        <v>1045252</v>
      </c>
      <c r="W308" s="18">
        <f>+F308+J308</f>
        <v>499471</v>
      </c>
      <c r="X308" s="18">
        <f>+V308-W308</f>
        <v>545781</v>
      </c>
    </row>
    <row r="309" spans="1:24" ht="15">
      <c r="A309" s="4">
        <f>+A308+1</f>
        <v>21</v>
      </c>
      <c r="B309" s="24" t="s">
        <v>46</v>
      </c>
      <c r="C309" s="40" t="s">
        <v>78</v>
      </c>
      <c r="D309" s="18">
        <f>+D307-D308</f>
        <v>10563</v>
      </c>
      <c r="E309" s="18"/>
      <c r="F309" s="18">
        <f>+F307-F308</f>
        <v>10764</v>
      </c>
      <c r="G309" s="18">
        <f>+G307-G308</f>
        <v>-201</v>
      </c>
      <c r="I309" s="18">
        <f aca="true" t="shared" si="39" ref="I309:O309">+I307-I308</f>
        <v>0</v>
      </c>
      <c r="J309" s="18">
        <f t="shared" si="39"/>
        <v>36</v>
      </c>
      <c r="K309" s="18">
        <f t="shared" si="39"/>
        <v>1390</v>
      </c>
      <c r="L309" s="18">
        <f t="shared" si="39"/>
        <v>0</v>
      </c>
      <c r="M309" s="18">
        <f t="shared" si="39"/>
        <v>0</v>
      </c>
      <c r="N309" s="18">
        <f t="shared" si="39"/>
        <v>-1</v>
      </c>
      <c r="O309" s="18">
        <f t="shared" si="39"/>
        <v>0</v>
      </c>
      <c r="P309" s="42"/>
      <c r="Q309" s="18">
        <f>+Q307-Q308</f>
        <v>0</v>
      </c>
      <c r="R309" s="18">
        <f>+R307-R308</f>
        <v>0</v>
      </c>
      <c r="S309" s="18"/>
      <c r="T309" s="18">
        <f>+T307-T308</f>
        <v>0</v>
      </c>
      <c r="U309" s="42"/>
      <c r="V309" s="31">
        <f>+V307-V308</f>
        <v>10562</v>
      </c>
      <c r="W309" s="31">
        <f>+W307-W308</f>
        <v>10800</v>
      </c>
      <c r="X309" s="18">
        <f>+X307-X308</f>
        <v>-238</v>
      </c>
    </row>
    <row r="310" spans="1:24" ht="28.5">
      <c r="A310" s="4">
        <f>+A309+1</f>
        <v>22</v>
      </c>
      <c r="B310" s="88" t="s">
        <v>182</v>
      </c>
      <c r="C310" s="11"/>
      <c r="D310" s="18">
        <v>0</v>
      </c>
      <c r="E310" s="18"/>
      <c r="F310" s="18">
        <v>0</v>
      </c>
      <c r="G310" s="18">
        <f>+D310-F310</f>
        <v>0</v>
      </c>
      <c r="I310" s="18">
        <v>0</v>
      </c>
      <c r="J310" s="18">
        <v>0</v>
      </c>
      <c r="K310" s="18">
        <f>+I310-J310</f>
        <v>0</v>
      </c>
      <c r="L310" s="18">
        <v>0</v>
      </c>
      <c r="M310" s="18">
        <v>0</v>
      </c>
      <c r="N310" s="18">
        <f>+L310-M310</f>
        <v>0</v>
      </c>
      <c r="O310" s="18">
        <v>0</v>
      </c>
      <c r="P310" s="42"/>
      <c r="Q310" s="18">
        <v>0</v>
      </c>
      <c r="R310" s="18">
        <v>0</v>
      </c>
      <c r="S310" s="18"/>
      <c r="T310" s="18">
        <v>0</v>
      </c>
      <c r="U310" s="42"/>
      <c r="V310" s="31">
        <f>+D310+I310+L310+M310+N310+O310+Q310+R310+T310</f>
        <v>0</v>
      </c>
      <c r="W310" s="18">
        <f>+F310+J310</f>
        <v>0</v>
      </c>
      <c r="X310" s="18">
        <f>+V310-W310</f>
        <v>0</v>
      </c>
    </row>
    <row r="311" spans="1:24" ht="24.75">
      <c r="A311" s="4">
        <f>+A310+1</f>
        <v>23</v>
      </c>
      <c r="B311" s="89" t="s">
        <v>39</v>
      </c>
      <c r="C311" s="40"/>
      <c r="D311" s="27">
        <v>2387</v>
      </c>
      <c r="E311" s="18" t="s">
        <v>0</v>
      </c>
      <c r="F311" s="27">
        <v>424723</v>
      </c>
      <c r="G311" s="18">
        <f>+D311-F311</f>
        <v>-422336</v>
      </c>
      <c r="I311" s="27">
        <v>0</v>
      </c>
      <c r="J311" s="27">
        <v>0</v>
      </c>
      <c r="K311" s="18">
        <f>+I311-J311</f>
        <v>0</v>
      </c>
      <c r="L311" s="18">
        <v>0</v>
      </c>
      <c r="M311" s="18">
        <v>-89391</v>
      </c>
      <c r="N311" s="18">
        <v>19967</v>
      </c>
      <c r="O311" s="27">
        <v>-19730</v>
      </c>
      <c r="P311" s="42"/>
      <c r="Q311" s="50">
        <v>0</v>
      </c>
      <c r="R311" s="21">
        <v>0</v>
      </c>
      <c r="S311" s="18"/>
      <c r="T311" s="18">
        <v>0</v>
      </c>
      <c r="U311" s="42"/>
      <c r="V311" s="31">
        <f>+D311+I311+M311+N311+L311+O311+Q311+R311+T311</f>
        <v>-86767</v>
      </c>
      <c r="W311" s="18">
        <f>+F311+J311</f>
        <v>424723</v>
      </c>
      <c r="X311" s="36">
        <f>+V311-W311</f>
        <v>-511490</v>
      </c>
    </row>
    <row r="312" spans="1:24" ht="15">
      <c r="A312" s="6" t="s">
        <v>41</v>
      </c>
      <c r="B312" s="41"/>
      <c r="C312" s="40"/>
      <c r="D312" s="18"/>
      <c r="E312" s="18"/>
      <c r="F312" s="18" t="s">
        <v>0</v>
      </c>
      <c r="G312" s="18"/>
      <c r="I312" s="18"/>
      <c r="J312" s="18"/>
      <c r="K312" s="18"/>
      <c r="L312" s="18"/>
      <c r="M312" s="18"/>
      <c r="N312" s="18"/>
      <c r="O312" s="18"/>
      <c r="P312" s="42"/>
      <c r="Q312" s="18"/>
      <c r="R312" s="18"/>
      <c r="S312" s="18"/>
      <c r="T312" s="18"/>
      <c r="U312" s="42"/>
      <c r="V312" s="30"/>
      <c r="W312" s="30"/>
      <c r="X312" s="36"/>
    </row>
    <row r="313" spans="1:24" ht="15">
      <c r="A313" s="4">
        <f>+A311+1</f>
        <v>24</v>
      </c>
      <c r="B313" s="5" t="s">
        <v>42</v>
      </c>
      <c r="C313" s="22" t="s">
        <v>38</v>
      </c>
      <c r="D313" s="18">
        <v>1328429</v>
      </c>
      <c r="E313" s="18" t="s">
        <v>0</v>
      </c>
      <c r="F313" s="18">
        <v>371402</v>
      </c>
      <c r="G313" s="18">
        <f>+D313-F313</f>
        <v>957027</v>
      </c>
      <c r="I313" s="18">
        <v>-10</v>
      </c>
      <c r="J313" s="26">
        <v>2011</v>
      </c>
      <c r="K313" s="18">
        <f>+I313-J313</f>
        <v>-2021</v>
      </c>
      <c r="L313" s="18">
        <v>34591</v>
      </c>
      <c r="M313" s="18">
        <v>-266482</v>
      </c>
      <c r="N313" s="18">
        <v>17056</v>
      </c>
      <c r="O313" s="18">
        <v>0</v>
      </c>
      <c r="P313" s="42"/>
      <c r="Q313" s="31">
        <v>0</v>
      </c>
      <c r="R313" s="18">
        <v>-2035</v>
      </c>
      <c r="S313" s="18" t="s">
        <v>0</v>
      </c>
      <c r="T313" s="18">
        <v>-4</v>
      </c>
      <c r="U313" s="42"/>
      <c r="V313" s="31">
        <f>+D313+I313+L313+M313+N313+O313+Q313+R313+T313</f>
        <v>1111545</v>
      </c>
      <c r="W313" s="18">
        <f>+F313+J313</f>
        <v>373413</v>
      </c>
      <c r="X313" s="18">
        <f>+V313-W313</f>
        <v>738132</v>
      </c>
    </row>
    <row r="314" spans="1:24" ht="15">
      <c r="A314" s="4">
        <f>+A313+1</f>
        <v>25</v>
      </c>
      <c r="B314" s="5" t="s">
        <v>43</v>
      </c>
      <c r="C314" s="11"/>
      <c r="D314" s="18"/>
      <c r="E314" s="18"/>
      <c r="F314" s="18">
        <v>0</v>
      </c>
      <c r="G314" s="18">
        <f>+D314-F314</f>
        <v>0</v>
      </c>
      <c r="I314" s="18">
        <v>0</v>
      </c>
      <c r="J314" s="18">
        <v>0</v>
      </c>
      <c r="K314" s="18">
        <f>+I314-J314</f>
        <v>0</v>
      </c>
      <c r="L314" s="18">
        <v>0</v>
      </c>
      <c r="M314" s="18">
        <v>0</v>
      </c>
      <c r="N314" s="18">
        <f>+L314-M314</f>
        <v>0</v>
      </c>
      <c r="O314" s="18">
        <v>0</v>
      </c>
      <c r="P314" s="42"/>
      <c r="Q314" s="18">
        <v>0</v>
      </c>
      <c r="R314" s="18">
        <v>0</v>
      </c>
      <c r="S314" s="18"/>
      <c r="T314" s="18">
        <v>0</v>
      </c>
      <c r="U314" s="42"/>
      <c r="V314" s="31">
        <f>+D314+I314+L314+O314+Q314+R314+T314</f>
        <v>0</v>
      </c>
      <c r="W314" s="18">
        <f>+F314+J314+M314</f>
        <v>0</v>
      </c>
      <c r="X314" s="18">
        <f>+V314-W314</f>
        <v>0</v>
      </c>
    </row>
    <row r="315" spans="1:24" ht="26.25">
      <c r="A315" s="4">
        <f>+A314+1</f>
        <v>26</v>
      </c>
      <c r="B315" s="24" t="s">
        <v>79</v>
      </c>
      <c r="C315" s="11"/>
      <c r="D315" s="18">
        <f>+D313-D314</f>
        <v>1328429</v>
      </c>
      <c r="E315" s="18"/>
      <c r="F315" s="18">
        <f>+F313-F314</f>
        <v>371402</v>
      </c>
      <c r="G315" s="18">
        <f>+G313-G314</f>
        <v>957027</v>
      </c>
      <c r="I315" s="18">
        <f aca="true" t="shared" si="40" ref="I315:N315">+I313-I314</f>
        <v>-10</v>
      </c>
      <c r="J315" s="18">
        <f t="shared" si="40"/>
        <v>2011</v>
      </c>
      <c r="K315" s="18">
        <f t="shared" si="40"/>
        <v>-2021</v>
      </c>
      <c r="L315" s="18">
        <f t="shared" si="40"/>
        <v>34591</v>
      </c>
      <c r="M315" s="18">
        <f t="shared" si="40"/>
        <v>-266482</v>
      </c>
      <c r="N315" s="18">
        <f t="shared" si="40"/>
        <v>17056</v>
      </c>
      <c r="O315" s="18">
        <v>0</v>
      </c>
      <c r="P315" s="42"/>
      <c r="Q315" s="18">
        <f>+Q313-Q314</f>
        <v>0</v>
      </c>
      <c r="R315" s="18">
        <f>+R313-R314</f>
        <v>-2035</v>
      </c>
      <c r="S315" s="18"/>
      <c r="T315" s="18">
        <f>+T313-T314</f>
        <v>-4</v>
      </c>
      <c r="U315" s="42"/>
      <c r="V315" s="27">
        <f>+V313-V314</f>
        <v>1111545</v>
      </c>
      <c r="W315" s="27">
        <f>+W313-W314</f>
        <v>373413</v>
      </c>
      <c r="X315" s="31">
        <f>+X313-X314</f>
        <v>738132</v>
      </c>
    </row>
    <row r="316" spans="1:24" ht="28.5">
      <c r="A316" s="4">
        <f>+A315+1</f>
        <v>27</v>
      </c>
      <c r="B316" s="88" t="s">
        <v>181</v>
      </c>
      <c r="C316" s="11"/>
      <c r="D316" s="18">
        <v>0</v>
      </c>
      <c r="E316" s="18"/>
      <c r="F316" s="18">
        <v>0</v>
      </c>
      <c r="G316" s="18">
        <f>+D316-F316</f>
        <v>0</v>
      </c>
      <c r="I316" s="18">
        <v>0</v>
      </c>
      <c r="J316" s="18">
        <v>0</v>
      </c>
      <c r="K316" s="18">
        <f>+I316-J316</f>
        <v>0</v>
      </c>
      <c r="L316" s="18">
        <v>0</v>
      </c>
      <c r="M316" s="18">
        <v>0</v>
      </c>
      <c r="N316" s="18">
        <f>+L316-M316</f>
        <v>0</v>
      </c>
      <c r="O316" s="18">
        <v>0</v>
      </c>
      <c r="P316" s="42"/>
      <c r="Q316" s="18">
        <v>0</v>
      </c>
      <c r="R316" s="18">
        <v>0</v>
      </c>
      <c r="S316" s="18"/>
      <c r="T316" s="18">
        <v>0</v>
      </c>
      <c r="U316" s="42"/>
      <c r="V316" s="31">
        <f>+D316+I316+L316+O316+Q316+R316+T316</f>
        <v>0</v>
      </c>
      <c r="W316" s="18">
        <f>+F316+J316+M316</f>
        <v>0</v>
      </c>
      <c r="X316" s="18">
        <f>+V316-W316</f>
        <v>0</v>
      </c>
    </row>
    <row r="317" spans="1:24" ht="15">
      <c r="A317" s="4">
        <f>+A316+1</f>
        <v>28</v>
      </c>
      <c r="B317" s="24" t="s">
        <v>46</v>
      </c>
      <c r="C317" s="11" t="s">
        <v>47</v>
      </c>
      <c r="D317" s="51">
        <f>+D309+D310+D315+D316+D311</f>
        <v>1341379</v>
      </c>
      <c r="E317" s="18"/>
      <c r="F317" s="52">
        <f>+F309+F310+F315+F316+F311</f>
        <v>806889</v>
      </c>
      <c r="G317" s="18">
        <f>+G309+G310+G315+G316+G311</f>
        <v>534490</v>
      </c>
      <c r="I317" s="51">
        <f aca="true" t="shared" si="41" ref="I317:O317">+I309+I310+I315+I316+I311</f>
        <v>-10</v>
      </c>
      <c r="J317" s="52">
        <f t="shared" si="41"/>
        <v>2047</v>
      </c>
      <c r="K317" s="18">
        <f t="shared" si="41"/>
        <v>-631</v>
      </c>
      <c r="L317" s="18">
        <f t="shared" si="41"/>
        <v>34591</v>
      </c>
      <c r="M317" s="18">
        <f t="shared" si="41"/>
        <v>-355873</v>
      </c>
      <c r="N317" s="18">
        <f t="shared" si="41"/>
        <v>37022</v>
      </c>
      <c r="O317" s="18">
        <f t="shared" si="41"/>
        <v>-19730</v>
      </c>
      <c r="P317" s="42"/>
      <c r="Q317" s="18">
        <f>+Q309+Q310+Q315+Q316+Q311</f>
        <v>0</v>
      </c>
      <c r="R317" s="18">
        <f>+R309+R310+R315+R316+R311</f>
        <v>-2035</v>
      </c>
      <c r="S317" s="18"/>
      <c r="T317" s="18">
        <f>+T309+T310+T315+T316+T311</f>
        <v>-4</v>
      </c>
      <c r="U317" s="42"/>
      <c r="V317" s="18">
        <f>+V309+V310+V315+V316+V311</f>
        <v>1035340</v>
      </c>
      <c r="W317" s="18">
        <f>+W309+W310+W315+W316+W311</f>
        <v>808936</v>
      </c>
      <c r="X317" s="18">
        <f>+X309+X310+X315+X316+X311</f>
        <v>226404</v>
      </c>
    </row>
    <row r="318" spans="1:24" ht="15">
      <c r="A318" s="4"/>
      <c r="B318" s="24"/>
      <c r="C318" s="11"/>
      <c r="D318" s="18"/>
      <c r="E318" s="18"/>
      <c r="F318" s="18"/>
      <c r="G318" s="18"/>
      <c r="I318" s="18"/>
      <c r="J318" s="18"/>
      <c r="K318" s="18"/>
      <c r="L318" s="18"/>
      <c r="M318" s="42"/>
      <c r="N318" s="42"/>
      <c r="O318" s="42"/>
      <c r="P318" s="42"/>
      <c r="Q318" s="42"/>
      <c r="U318" s="42"/>
      <c r="V318" s="18"/>
      <c r="W318" s="18"/>
      <c r="X318" s="18"/>
    </row>
    <row r="319" spans="1:24" ht="15">
      <c r="A319" s="4"/>
      <c r="B319" s="24"/>
      <c r="C319" s="11"/>
      <c r="D319" s="6" t="s">
        <v>48</v>
      </c>
      <c r="E319" s="6"/>
      <c r="F319" s="10" t="s">
        <v>49</v>
      </c>
      <c r="G319" s="10" t="s">
        <v>50</v>
      </c>
      <c r="I319" s="10" t="s">
        <v>51</v>
      </c>
      <c r="J319" s="10" t="s">
        <v>52</v>
      </c>
      <c r="K319" s="10" t="s">
        <v>53</v>
      </c>
      <c r="L319" s="10" t="s">
        <v>54</v>
      </c>
      <c r="M319" s="10" t="s">
        <v>55</v>
      </c>
      <c r="N319" s="10" t="s">
        <v>56</v>
      </c>
      <c r="O319" s="10" t="s">
        <v>57</v>
      </c>
      <c r="P319" s="18"/>
      <c r="Q319" s="10" t="s">
        <v>58</v>
      </c>
      <c r="R319" s="10" t="s">
        <v>59</v>
      </c>
      <c r="S319" s="10"/>
      <c r="T319" s="10" t="s">
        <v>60</v>
      </c>
      <c r="U319" s="18"/>
      <c r="V319" s="10" t="s">
        <v>61</v>
      </c>
      <c r="W319" s="10" t="s">
        <v>62</v>
      </c>
      <c r="X319" s="10" t="s">
        <v>63</v>
      </c>
    </row>
    <row r="320" spans="1:24" ht="15">
      <c r="A320" s="4"/>
      <c r="B320" s="24"/>
      <c r="C320" s="11"/>
      <c r="D320" s="14" t="s">
        <v>20</v>
      </c>
      <c r="E320" s="18"/>
      <c r="F320" s="14" t="s">
        <v>20</v>
      </c>
      <c r="G320" s="14" t="s">
        <v>20</v>
      </c>
      <c r="I320" s="14" t="s">
        <v>20</v>
      </c>
      <c r="J320" s="14" t="s">
        <v>21</v>
      </c>
      <c r="K320" s="14" t="s">
        <v>21</v>
      </c>
      <c r="L320" s="14" t="s">
        <v>21</v>
      </c>
      <c r="M320" s="14" t="s">
        <v>21</v>
      </c>
      <c r="N320" s="14" t="s">
        <v>21</v>
      </c>
      <c r="O320" s="14" t="s">
        <v>21</v>
      </c>
      <c r="P320" s="14"/>
      <c r="Q320" s="14" t="s">
        <v>21</v>
      </c>
      <c r="R320" s="14" t="s">
        <v>21</v>
      </c>
      <c r="T320" s="14" t="s">
        <v>21</v>
      </c>
      <c r="U320" s="42"/>
      <c r="V320" s="18"/>
      <c r="W320" s="39" t="s">
        <v>123</v>
      </c>
      <c r="X320" s="18"/>
    </row>
    <row r="321" spans="1:24" ht="15">
      <c r="A321" s="4"/>
      <c r="B321" s="87" t="s">
        <v>183</v>
      </c>
      <c r="C321" s="11"/>
      <c r="D321" s="53" t="s">
        <v>124</v>
      </c>
      <c r="E321" s="18"/>
      <c r="F321" s="53" t="s">
        <v>125</v>
      </c>
      <c r="G321" s="53" t="s">
        <v>126</v>
      </c>
      <c r="I321" s="53" t="s">
        <v>127</v>
      </c>
      <c r="J321" s="53" t="s">
        <v>128</v>
      </c>
      <c r="K321" s="53" t="s">
        <v>129</v>
      </c>
      <c r="L321" s="53" t="s">
        <v>130</v>
      </c>
      <c r="M321" s="53" t="s">
        <v>131</v>
      </c>
      <c r="N321" s="24" t="s">
        <v>132</v>
      </c>
      <c r="O321" s="24" t="s">
        <v>98</v>
      </c>
      <c r="P321" s="24"/>
      <c r="Q321" s="24" t="s">
        <v>99</v>
      </c>
      <c r="R321" s="24" t="s">
        <v>133</v>
      </c>
      <c r="S321" s="42"/>
      <c r="T321" s="24" t="s">
        <v>134</v>
      </c>
      <c r="U321" s="42"/>
      <c r="V321" s="10" t="s">
        <v>20</v>
      </c>
      <c r="W321" s="10" t="s">
        <v>21</v>
      </c>
      <c r="X321" s="10" t="s">
        <v>22</v>
      </c>
    </row>
    <row r="322" spans="1:24" ht="15">
      <c r="A322" s="4"/>
      <c r="B322" s="24"/>
      <c r="C322" s="11"/>
      <c r="D322" s="18"/>
      <c r="E322" s="18"/>
      <c r="F322" s="18"/>
      <c r="I322" s="18"/>
      <c r="J322" s="18"/>
      <c r="O322" s="42"/>
      <c r="P322" s="42"/>
      <c r="Q322" s="42"/>
      <c r="R322" s="42"/>
      <c r="S322" s="42"/>
      <c r="T322" s="42"/>
      <c r="U322" s="42"/>
      <c r="V322" s="18"/>
      <c r="W322" s="39"/>
      <c r="X322" s="18"/>
    </row>
    <row r="323" spans="1:24" ht="15">
      <c r="A323" s="4">
        <f>+A317+1</f>
        <v>29</v>
      </c>
      <c r="B323" s="5" t="s">
        <v>36</v>
      </c>
      <c r="C323" s="17" t="s">
        <v>37</v>
      </c>
      <c r="D323" s="18">
        <v>0</v>
      </c>
      <c r="E323" s="18"/>
      <c r="F323" s="18">
        <v>0</v>
      </c>
      <c r="G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/>
      <c r="Q323" s="18">
        <v>0</v>
      </c>
      <c r="R323" s="18">
        <v>0</v>
      </c>
      <c r="S323" s="42"/>
      <c r="T323" s="18">
        <v>0</v>
      </c>
      <c r="U323" s="42"/>
      <c r="V323" s="18">
        <f>+V307+D323+F323+G323+I323</f>
        <v>1055814</v>
      </c>
      <c r="W323" s="18">
        <f>+W307+J323+K323+L323+M323+N323+O323+Q323+R323+T323</f>
        <v>510271</v>
      </c>
      <c r="X323" s="18">
        <f>+V323-W323</f>
        <v>545543</v>
      </c>
    </row>
    <row r="324" spans="1:24" ht="15">
      <c r="A324" s="4">
        <f>+A323+1</f>
        <v>30</v>
      </c>
      <c r="B324" s="5" t="s">
        <v>36</v>
      </c>
      <c r="C324" s="22" t="s">
        <v>38</v>
      </c>
      <c r="D324" s="18">
        <v>0</v>
      </c>
      <c r="E324" s="18"/>
      <c r="F324" s="18">
        <v>0</v>
      </c>
      <c r="G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/>
      <c r="Q324" s="18">
        <v>0</v>
      </c>
      <c r="R324" s="18">
        <v>0</v>
      </c>
      <c r="S324" s="42"/>
      <c r="T324" s="18">
        <v>0</v>
      </c>
      <c r="U324" s="42"/>
      <c r="V324" s="18">
        <f>+V308+D324+F324+G324+I324</f>
        <v>1045252</v>
      </c>
      <c r="W324" s="18">
        <f>+W308+J324+K324+L324+M324+N324+O324+Q324+R324+T324</f>
        <v>499471</v>
      </c>
      <c r="X324" s="18">
        <f>+V324-W324</f>
        <v>545781</v>
      </c>
    </row>
    <row r="325" spans="1:24" ht="15">
      <c r="A325" s="4">
        <f>+A324+1</f>
        <v>31</v>
      </c>
      <c r="B325" s="24" t="s">
        <v>46</v>
      </c>
      <c r="C325" s="40" t="s">
        <v>78</v>
      </c>
      <c r="D325" s="18">
        <f>+D323-D324</f>
        <v>0</v>
      </c>
      <c r="E325" s="18"/>
      <c r="F325" s="18">
        <f>+F323-F324</f>
        <v>0</v>
      </c>
      <c r="G325" s="18">
        <f>+G323-G324</f>
        <v>0</v>
      </c>
      <c r="I325" s="18">
        <f aca="true" t="shared" si="42" ref="I325:O325">+I323-I324</f>
        <v>0</v>
      </c>
      <c r="J325" s="18">
        <f t="shared" si="42"/>
        <v>0</v>
      </c>
      <c r="K325" s="18">
        <f t="shared" si="42"/>
        <v>0</v>
      </c>
      <c r="L325" s="18">
        <f t="shared" si="42"/>
        <v>0</v>
      </c>
      <c r="M325" s="18">
        <f t="shared" si="42"/>
        <v>0</v>
      </c>
      <c r="N325" s="18">
        <f t="shared" si="42"/>
        <v>0</v>
      </c>
      <c r="O325" s="18">
        <f t="shared" si="42"/>
        <v>0</v>
      </c>
      <c r="P325" s="18"/>
      <c r="Q325" s="18">
        <f>+Q323-Q324</f>
        <v>0</v>
      </c>
      <c r="R325" s="18">
        <f>+R323-R324</f>
        <v>0</v>
      </c>
      <c r="S325" s="42"/>
      <c r="T325" s="18">
        <f>+T323-T324</f>
        <v>0</v>
      </c>
      <c r="U325" s="42"/>
      <c r="V325" s="27">
        <f>+V323-V324</f>
        <v>10562</v>
      </c>
      <c r="W325" s="27">
        <f>+W323-W324</f>
        <v>10800</v>
      </c>
      <c r="X325" s="18">
        <f>+X323-X324</f>
        <v>-238</v>
      </c>
    </row>
    <row r="326" spans="1:24" ht="28.5">
      <c r="A326" s="4">
        <f>+A325+1</f>
        <v>32</v>
      </c>
      <c r="B326" s="88" t="s">
        <v>182</v>
      </c>
      <c r="C326" s="11"/>
      <c r="D326" s="18">
        <v>0</v>
      </c>
      <c r="E326" s="18"/>
      <c r="F326" s="18">
        <v>0</v>
      </c>
      <c r="G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/>
      <c r="Q326" s="18">
        <v>0</v>
      </c>
      <c r="R326" s="18">
        <v>0</v>
      </c>
      <c r="S326" s="42"/>
      <c r="T326" s="18">
        <v>0</v>
      </c>
      <c r="U326" s="42"/>
      <c r="V326" s="18">
        <f>+V310+D326+F326+G326+I326</f>
        <v>0</v>
      </c>
      <c r="W326" s="18">
        <f>+W310+J326+K326+L326+M326+N326+O326+Q326+R326+T326</f>
        <v>0</v>
      </c>
      <c r="X326" s="18">
        <f>+V326-W326</f>
        <v>0</v>
      </c>
    </row>
    <row r="327" spans="1:24" ht="24.75">
      <c r="A327" s="4">
        <f>+A326+1</f>
        <v>33</v>
      </c>
      <c r="B327" s="89" t="s">
        <v>39</v>
      </c>
      <c r="C327" s="40"/>
      <c r="D327" s="27">
        <v>-6840</v>
      </c>
      <c r="E327" s="18"/>
      <c r="F327" s="27">
        <v>421</v>
      </c>
      <c r="G327" s="27">
        <v>0</v>
      </c>
      <c r="H327" t="s">
        <v>0</v>
      </c>
      <c r="I327" s="27">
        <v>0</v>
      </c>
      <c r="J327" s="27">
        <v>32</v>
      </c>
      <c r="K327" s="27">
        <v>0</v>
      </c>
      <c r="L327" s="27">
        <v>0</v>
      </c>
      <c r="M327" s="18">
        <v>0</v>
      </c>
      <c r="N327" s="18">
        <v>0</v>
      </c>
      <c r="O327" s="18">
        <v>0</v>
      </c>
      <c r="P327" s="18"/>
      <c r="Q327" s="18">
        <v>0</v>
      </c>
      <c r="R327" s="18">
        <v>0</v>
      </c>
      <c r="S327" s="42"/>
      <c r="T327" s="18">
        <v>7</v>
      </c>
      <c r="U327" s="42"/>
      <c r="V327" s="18">
        <f>+V311+D327+F327+G327+I327</f>
        <v>-93186</v>
      </c>
      <c r="W327" s="18">
        <f>+W311+J327+K327+L327+M327+N327+O327+Q327+R327+T327</f>
        <v>424762</v>
      </c>
      <c r="X327" s="36">
        <f>+V327-W327</f>
        <v>-517948</v>
      </c>
    </row>
    <row r="328" spans="1:24" ht="15">
      <c r="A328" s="6" t="s">
        <v>41</v>
      </c>
      <c r="B328" s="41"/>
      <c r="C328" s="40"/>
      <c r="D328" s="18"/>
      <c r="E328" s="18"/>
      <c r="F328" s="18"/>
      <c r="G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42"/>
      <c r="T328" s="18"/>
      <c r="U328" s="42"/>
      <c r="V328" s="18"/>
      <c r="W328" s="54"/>
      <c r="X328" s="36"/>
    </row>
    <row r="329" spans="1:24" ht="15">
      <c r="A329" s="4">
        <f>+A327+1</f>
        <v>34</v>
      </c>
      <c r="B329" s="5" t="s">
        <v>42</v>
      </c>
      <c r="C329" s="22" t="s">
        <v>38</v>
      </c>
      <c r="D329" s="18">
        <v>0</v>
      </c>
      <c r="E329" s="18"/>
      <c r="F329" s="18">
        <v>0</v>
      </c>
      <c r="G329" s="18">
        <v>0</v>
      </c>
      <c r="I329" s="18">
        <v>0</v>
      </c>
      <c r="J329" s="18">
        <v>0</v>
      </c>
      <c r="K329" s="18">
        <v>0</v>
      </c>
      <c r="L329" s="18"/>
      <c r="M329" s="18">
        <v>0</v>
      </c>
      <c r="N329" s="18">
        <v>0</v>
      </c>
      <c r="O329" s="18">
        <v>0</v>
      </c>
      <c r="P329" s="18"/>
      <c r="Q329" s="18">
        <v>0</v>
      </c>
      <c r="R329" s="18">
        <v>0</v>
      </c>
      <c r="S329" s="42"/>
      <c r="T329" s="18">
        <v>0</v>
      </c>
      <c r="U329" s="42"/>
      <c r="V329" s="18">
        <f>+V313+D329+F329+G329+I329</f>
        <v>1111545</v>
      </c>
      <c r="W329" s="18">
        <f>+W313+J329+K329+L329+M329+N329+O329+Q329+R329+T329</f>
        <v>373413</v>
      </c>
      <c r="X329" s="18">
        <f>+V329-W329</f>
        <v>738132</v>
      </c>
    </row>
    <row r="330" spans="1:24" ht="15">
      <c r="A330" s="4">
        <f>+A329+1</f>
        <v>35</v>
      </c>
      <c r="B330" s="5" t="s">
        <v>43</v>
      </c>
      <c r="C330" s="11"/>
      <c r="D330" s="18">
        <v>0</v>
      </c>
      <c r="E330" s="18"/>
      <c r="F330" s="18">
        <v>0</v>
      </c>
      <c r="G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/>
      <c r="Q330" s="18">
        <v>0</v>
      </c>
      <c r="R330" s="18">
        <v>0</v>
      </c>
      <c r="S330" s="42"/>
      <c r="T330" s="18">
        <v>0</v>
      </c>
      <c r="U330" s="42"/>
      <c r="V330" s="18">
        <f>+V314+D330+F330+G330+I330</f>
        <v>0</v>
      </c>
      <c r="W330" s="18">
        <f>+W314+J330+K330+L330+M330+N330+O330+Q330+R330+T330</f>
        <v>0</v>
      </c>
      <c r="X330" s="18">
        <f>+V330-W330</f>
        <v>0</v>
      </c>
    </row>
    <row r="331" spans="1:24" ht="26.25">
      <c r="A331" s="4">
        <f>+A330+1</f>
        <v>36</v>
      </c>
      <c r="B331" s="24" t="s">
        <v>79</v>
      </c>
      <c r="C331" s="11"/>
      <c r="D331" s="18">
        <f>+D329-D330</f>
        <v>0</v>
      </c>
      <c r="E331" s="18"/>
      <c r="F331" s="18">
        <f>+F329-F330</f>
        <v>0</v>
      </c>
      <c r="G331" s="18">
        <f>+G329-G330</f>
        <v>0</v>
      </c>
      <c r="I331" s="18">
        <f aca="true" t="shared" si="43" ref="I331:O331">+I329-I330</f>
        <v>0</v>
      </c>
      <c r="J331" s="18">
        <f t="shared" si="43"/>
        <v>0</v>
      </c>
      <c r="K331" s="18">
        <f t="shared" si="43"/>
        <v>0</v>
      </c>
      <c r="L331" s="18">
        <f t="shared" si="43"/>
        <v>0</v>
      </c>
      <c r="M331" s="18">
        <f t="shared" si="43"/>
        <v>0</v>
      </c>
      <c r="N331" s="18">
        <f t="shared" si="43"/>
        <v>0</v>
      </c>
      <c r="O331" s="18">
        <f t="shared" si="43"/>
        <v>0</v>
      </c>
      <c r="P331" s="18"/>
      <c r="Q331" s="18">
        <f>+Q329-Q330</f>
        <v>0</v>
      </c>
      <c r="R331" s="18">
        <f>+R329-R330</f>
        <v>0</v>
      </c>
      <c r="S331" s="42"/>
      <c r="T331" s="18">
        <f>+T329-T330</f>
        <v>0</v>
      </c>
      <c r="U331" s="42"/>
      <c r="V331" s="55">
        <f>+V329-V330</f>
        <v>1111545</v>
      </c>
      <c r="W331" s="55">
        <f>+W329-W330</f>
        <v>373413</v>
      </c>
      <c r="X331" s="31">
        <f>+X329-X330</f>
        <v>738132</v>
      </c>
    </row>
    <row r="332" spans="1:24" ht="28.5">
      <c r="A332" s="4">
        <f>+A331+1</f>
        <v>37</v>
      </c>
      <c r="B332" s="88" t="s">
        <v>181</v>
      </c>
      <c r="C332" s="11"/>
      <c r="D332" s="18">
        <v>0</v>
      </c>
      <c r="E332" s="18"/>
      <c r="F332" s="18">
        <v>0</v>
      </c>
      <c r="G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/>
      <c r="Q332" s="18">
        <v>0</v>
      </c>
      <c r="R332" s="18">
        <v>0</v>
      </c>
      <c r="S332" s="42"/>
      <c r="T332" s="18">
        <v>0</v>
      </c>
      <c r="U332" s="42"/>
      <c r="V332" s="18">
        <f>+V316+D332+F332+G332+I332</f>
        <v>0</v>
      </c>
      <c r="W332" s="18">
        <f>+W316+J332+K332+L332+M332+N332+O332+Q332+R332+T332</f>
        <v>0</v>
      </c>
      <c r="X332" s="18">
        <f>+V332-W332</f>
        <v>0</v>
      </c>
    </row>
    <row r="333" spans="1:24" ht="15">
      <c r="A333" s="4">
        <f>+A332+1</f>
        <v>38</v>
      </c>
      <c r="B333" s="24" t="s">
        <v>46</v>
      </c>
      <c r="C333" s="11" t="s">
        <v>47</v>
      </c>
      <c r="D333" s="18">
        <f>+D325+D326+D331+D332+D327</f>
        <v>-6840</v>
      </c>
      <c r="E333" s="18"/>
      <c r="F333" s="18">
        <f>+F325+F326+F331+F332+F327</f>
        <v>421</v>
      </c>
      <c r="G333" s="18">
        <f>+G325+G326+G331+G332+G327</f>
        <v>0</v>
      </c>
      <c r="I333" s="18">
        <f aca="true" t="shared" si="44" ref="I333:O333">+I325+I326+I331+I332+I327</f>
        <v>0</v>
      </c>
      <c r="J333" s="18">
        <f t="shared" si="44"/>
        <v>32</v>
      </c>
      <c r="K333" s="18">
        <f t="shared" si="44"/>
        <v>0</v>
      </c>
      <c r="L333" s="18">
        <f t="shared" si="44"/>
        <v>0</v>
      </c>
      <c r="M333" s="18">
        <f t="shared" si="44"/>
        <v>0</v>
      </c>
      <c r="N333" s="18">
        <f t="shared" si="44"/>
        <v>0</v>
      </c>
      <c r="O333" s="18">
        <f t="shared" si="44"/>
        <v>0</v>
      </c>
      <c r="P333" s="18"/>
      <c r="Q333" s="18">
        <f>+Q325+Q326+Q331+Q332+Q327</f>
        <v>0</v>
      </c>
      <c r="R333" s="18">
        <f>+R325+R326+R331+R332+R327</f>
        <v>0</v>
      </c>
      <c r="S333" s="42"/>
      <c r="T333" s="18">
        <f>+T325+T326+T331+T332+T327</f>
        <v>7</v>
      </c>
      <c r="U333" s="42"/>
      <c r="V333" s="18">
        <f>+V325+V326+V331+V332+V327</f>
        <v>1028921</v>
      </c>
      <c r="W333" s="18">
        <f>+W325+W326+W331+W332+W327</f>
        <v>808975</v>
      </c>
      <c r="X333" s="18">
        <f>+X325+X326+X331+X332+X327</f>
        <v>219946</v>
      </c>
    </row>
    <row r="334" spans="1:24" ht="15">
      <c r="A334" s="4"/>
      <c r="B334" s="24"/>
      <c r="C334" s="11"/>
      <c r="D334" s="18"/>
      <c r="E334" s="18"/>
      <c r="F334" s="18"/>
      <c r="G334" s="18"/>
      <c r="N334" s="42"/>
      <c r="O334" s="42"/>
      <c r="P334" s="42"/>
      <c r="Q334" s="42"/>
      <c r="R334" s="42"/>
      <c r="S334" s="42"/>
      <c r="T334" s="42"/>
      <c r="U334" s="42"/>
      <c r="V334" s="18"/>
      <c r="W334" s="18"/>
      <c r="X334" s="18"/>
    </row>
    <row r="335" spans="1:24" ht="15">
      <c r="A335" s="4"/>
      <c r="B335" s="24"/>
      <c r="C335" s="11"/>
      <c r="D335" s="18"/>
      <c r="E335" s="18"/>
      <c r="F335" s="18"/>
      <c r="G335" s="18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18"/>
      <c r="W335" s="18"/>
      <c r="X335" s="18"/>
    </row>
    <row r="336" spans="1:24" ht="15">
      <c r="A336" s="4"/>
      <c r="B336" s="24"/>
      <c r="C336" s="11"/>
      <c r="D336" s="18"/>
      <c r="E336" s="18"/>
      <c r="F336" s="18"/>
      <c r="G336" s="18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18"/>
      <c r="W336" s="18"/>
      <c r="X336" s="18"/>
    </row>
    <row r="337" spans="1:24" ht="15">
      <c r="A337" s="4"/>
      <c r="B337" s="24"/>
      <c r="C337" s="11"/>
      <c r="D337" s="18"/>
      <c r="E337" s="18"/>
      <c r="F337" s="18"/>
      <c r="G337" s="18"/>
      <c r="H337" s="56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18"/>
      <c r="W337" s="18"/>
      <c r="X337" s="18"/>
    </row>
    <row r="338" spans="1:24" ht="15">
      <c r="A338" s="4"/>
      <c r="B338" s="24"/>
      <c r="C338" s="11"/>
      <c r="D338" s="18"/>
      <c r="E338" s="18"/>
      <c r="F338" s="18"/>
      <c r="G338" s="18"/>
      <c r="H338" s="56"/>
      <c r="I338" s="57" t="s">
        <v>135</v>
      </c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18"/>
      <c r="W338" s="18"/>
      <c r="X338" s="18"/>
    </row>
    <row r="339" spans="1:24" ht="15">
      <c r="A339" s="4"/>
      <c r="B339" s="24"/>
      <c r="C339" s="11"/>
      <c r="D339" s="18"/>
      <c r="E339" s="18"/>
      <c r="F339" s="18"/>
      <c r="G339" s="18"/>
      <c r="H339" s="56"/>
      <c r="I339" s="58"/>
      <c r="L339" s="42"/>
      <c r="T339" s="42"/>
      <c r="U339" s="42"/>
      <c r="V339" s="18"/>
      <c r="W339" s="18"/>
      <c r="X339" s="18"/>
    </row>
    <row r="340" spans="1:24" ht="15">
      <c r="A340" s="4"/>
      <c r="B340" s="24"/>
      <c r="C340" s="11"/>
      <c r="D340" s="18"/>
      <c r="E340" s="18"/>
      <c r="F340" s="18"/>
      <c r="G340" s="18"/>
      <c r="H340" s="56"/>
      <c r="I340" s="59" t="s">
        <v>136</v>
      </c>
      <c r="L340" s="18">
        <v>11946613</v>
      </c>
      <c r="T340" s="42"/>
      <c r="U340" s="42"/>
      <c r="V340" s="18"/>
      <c r="W340" s="18"/>
      <c r="X340" s="18"/>
    </row>
    <row r="341" spans="1:24" ht="15">
      <c r="A341" s="4"/>
      <c r="B341" s="24"/>
      <c r="C341" s="11"/>
      <c r="D341" s="18"/>
      <c r="E341" s="18"/>
      <c r="F341" s="18"/>
      <c r="G341" s="18"/>
      <c r="H341" s="56"/>
      <c r="I341" s="59"/>
      <c r="L341" s="18"/>
      <c r="T341" s="42"/>
      <c r="U341" s="42"/>
      <c r="V341" s="18"/>
      <c r="W341" s="18"/>
      <c r="X341" s="18"/>
    </row>
    <row r="342" spans="1:24" ht="15">
      <c r="A342" s="4"/>
      <c r="B342" s="24"/>
      <c r="C342" s="11"/>
      <c r="D342" s="44" t="s">
        <v>137</v>
      </c>
      <c r="E342" s="18"/>
      <c r="F342" s="10" t="s">
        <v>138</v>
      </c>
      <c r="G342" s="44" t="s">
        <v>24</v>
      </c>
      <c r="H342" s="56"/>
      <c r="I342" s="59" t="s">
        <v>139</v>
      </c>
      <c r="L342" s="18">
        <v>4658686</v>
      </c>
      <c r="N342" s="6" t="s">
        <v>137</v>
      </c>
      <c r="O342" s="6" t="s">
        <v>137</v>
      </c>
      <c r="P342" s="42"/>
      <c r="Q342" s="6" t="s">
        <v>138</v>
      </c>
      <c r="R342" s="6" t="s">
        <v>138</v>
      </c>
      <c r="S342" s="6"/>
      <c r="T342" s="42"/>
      <c r="U342" s="42"/>
      <c r="V342" s="18"/>
      <c r="W342" s="18"/>
      <c r="X342" s="18"/>
    </row>
    <row r="343" spans="1:24" ht="15">
      <c r="A343" s="4"/>
      <c r="B343" s="24"/>
      <c r="C343" s="11"/>
      <c r="D343" s="18"/>
      <c r="E343" s="18"/>
      <c r="F343" s="18"/>
      <c r="G343" s="18"/>
      <c r="H343" s="56"/>
      <c r="I343" s="59"/>
      <c r="L343" s="18"/>
      <c r="N343" s="8" t="s">
        <v>140</v>
      </c>
      <c r="O343" s="49" t="s">
        <v>141</v>
      </c>
      <c r="P343" s="42"/>
      <c r="Q343" s="8" t="s">
        <v>140</v>
      </c>
      <c r="R343" s="49" t="s">
        <v>141</v>
      </c>
      <c r="S343" s="49"/>
      <c r="T343" s="42"/>
      <c r="U343" s="42"/>
      <c r="V343" s="18"/>
      <c r="W343" s="18"/>
      <c r="X343" s="18"/>
    </row>
    <row r="344" spans="1:24" ht="15">
      <c r="A344" s="4">
        <f>+A332+1</f>
        <v>38</v>
      </c>
      <c r="B344" s="5" t="s">
        <v>36</v>
      </c>
      <c r="C344" s="17" t="s">
        <v>37</v>
      </c>
      <c r="D344" s="31">
        <f>+V285+V323</f>
        <v>8420403</v>
      </c>
      <c r="E344" s="18"/>
      <c r="F344" s="31">
        <f>+W285+W323</f>
        <v>6454507</v>
      </c>
      <c r="G344" s="18">
        <f>+D344-F344</f>
        <v>1965896</v>
      </c>
      <c r="H344" s="56"/>
      <c r="I344" s="59" t="s">
        <v>142</v>
      </c>
      <c r="J344" s="18"/>
      <c r="K344" s="18"/>
      <c r="L344" s="36">
        <f>+F260</f>
        <v>6119339</v>
      </c>
      <c r="N344" s="60"/>
      <c r="O344" s="6"/>
      <c r="P344" s="42"/>
      <c r="Q344" s="61"/>
      <c r="R344" s="61"/>
      <c r="S344" s="61"/>
      <c r="T344" s="42"/>
      <c r="U344" s="42"/>
      <c r="V344" s="18"/>
      <c r="W344" s="18"/>
      <c r="X344" s="18"/>
    </row>
    <row r="345" spans="1:21" ht="15">
      <c r="A345" s="4">
        <f>+A344+1</f>
        <v>39</v>
      </c>
      <c r="B345" s="5" t="s">
        <v>36</v>
      </c>
      <c r="C345" s="22" t="s">
        <v>38</v>
      </c>
      <c r="D345" s="31">
        <f>+V286+V324</f>
        <v>8402779</v>
      </c>
      <c r="E345" s="18"/>
      <c r="F345" s="31">
        <f>+W286+W324</f>
        <v>6277726</v>
      </c>
      <c r="G345" s="18">
        <f>+D345-F345</f>
        <v>2125053</v>
      </c>
      <c r="H345" s="56"/>
      <c r="I345" s="58"/>
      <c r="J345" s="18"/>
      <c r="K345" s="18"/>
      <c r="L345" s="60"/>
      <c r="N345" s="62">
        <f>+D346</f>
        <v>17624</v>
      </c>
      <c r="O345" s="63">
        <f>+D352</f>
        <v>9003230</v>
      </c>
      <c r="P345" s="42"/>
      <c r="Q345" s="31">
        <f>+F252</f>
        <v>165981</v>
      </c>
      <c r="R345" s="31">
        <f>+F254</f>
        <v>0</v>
      </c>
      <c r="S345" s="31"/>
      <c r="T345" s="42"/>
      <c r="U345" s="42"/>
    </row>
    <row r="346" spans="1:25" ht="15">
      <c r="A346" s="4">
        <f>+A345+1</f>
        <v>40</v>
      </c>
      <c r="B346" s="24" t="s">
        <v>46</v>
      </c>
      <c r="C346" s="40" t="s">
        <v>78</v>
      </c>
      <c r="D346" s="26">
        <f>+D344-D345</f>
        <v>17624</v>
      </c>
      <c r="E346" s="18"/>
      <c r="F346" s="26">
        <f>+F344-F345</f>
        <v>176781</v>
      </c>
      <c r="G346" s="18">
        <f>+G344-G345</f>
        <v>-159157</v>
      </c>
      <c r="H346" s="56"/>
      <c r="I346" s="58" t="s">
        <v>143</v>
      </c>
      <c r="J346" s="18"/>
      <c r="K346" s="18"/>
      <c r="L346">
        <v>0</v>
      </c>
      <c r="N346" s="62">
        <f>+D347</f>
        <v>0</v>
      </c>
      <c r="O346" s="63">
        <f>+D353</f>
        <v>0</v>
      </c>
      <c r="P346" s="42"/>
      <c r="Q346" s="31">
        <f>+F253</f>
        <v>0</v>
      </c>
      <c r="R346" s="31">
        <f>+F258</f>
        <v>5953358</v>
      </c>
      <c r="S346" s="31"/>
      <c r="U346" s="18"/>
      <c r="V346" s="10" t="s">
        <v>20</v>
      </c>
      <c r="W346" s="10" t="s">
        <v>21</v>
      </c>
      <c r="X346" s="10" t="s">
        <v>22</v>
      </c>
      <c r="Y346" s="18"/>
    </row>
    <row r="347" spans="1:25" ht="28.5">
      <c r="A347" s="4">
        <f>+A346+1</f>
        <v>41</v>
      </c>
      <c r="B347" s="88" t="s">
        <v>182</v>
      </c>
      <c r="C347" s="11"/>
      <c r="D347" s="26">
        <f>+V288+V326</f>
        <v>0</v>
      </c>
      <c r="E347" s="26"/>
      <c r="F347" s="26">
        <f>+W288+W326</f>
        <v>0</v>
      </c>
      <c r="G347" s="18">
        <f>+D347-F347</f>
        <v>0</v>
      </c>
      <c r="H347" s="56"/>
      <c r="I347" s="58"/>
      <c r="J347" s="18"/>
      <c r="K347" s="18"/>
      <c r="L347" s="60" t="s">
        <v>144</v>
      </c>
      <c r="N347" s="62">
        <f>+F346</f>
        <v>176781</v>
      </c>
      <c r="O347" s="63">
        <f>+F352</f>
        <v>6326771</v>
      </c>
      <c r="P347" s="42"/>
      <c r="R347" s="31">
        <f>+F259</f>
        <v>0</v>
      </c>
      <c r="S347" s="31"/>
      <c r="U347" s="18"/>
      <c r="Y347" s="18"/>
    </row>
    <row r="348" spans="1:25" ht="24.75">
      <c r="A348" s="4">
        <f>+A347+1</f>
        <v>42</v>
      </c>
      <c r="B348" s="89" t="s">
        <v>39</v>
      </c>
      <c r="C348" s="40"/>
      <c r="D348" s="30">
        <f>+V289+V327</f>
        <v>-923952</v>
      </c>
      <c r="E348" s="30"/>
      <c r="F348" s="30">
        <f>+W289+W327</f>
        <v>424762</v>
      </c>
      <c r="G348" s="18">
        <f>+D348-F348</f>
        <v>-1348714</v>
      </c>
      <c r="H348" s="56"/>
      <c r="I348" s="64" t="s">
        <v>145</v>
      </c>
      <c r="J348" s="18"/>
      <c r="K348" s="18"/>
      <c r="L348" s="31">
        <f>+L340-L342-L344-L346</f>
        <v>1168588</v>
      </c>
      <c r="N348" s="62">
        <f>+F347</f>
        <v>0</v>
      </c>
      <c r="O348" s="63">
        <f>+F353</f>
        <v>0</v>
      </c>
      <c r="P348" s="42"/>
      <c r="Q348" s="31"/>
      <c r="R348" s="31"/>
      <c r="S348" s="31"/>
      <c r="U348" s="65"/>
      <c r="V348" s="66"/>
      <c r="W348" s="66"/>
      <c r="X348" s="65"/>
      <c r="Y348" s="65"/>
    </row>
    <row r="349" spans="1:25" ht="15">
      <c r="A349" s="6" t="s">
        <v>41</v>
      </c>
      <c r="B349" s="41"/>
      <c r="C349" s="40"/>
      <c r="D349" s="18"/>
      <c r="E349" s="18"/>
      <c r="F349" s="18"/>
      <c r="G349" s="18"/>
      <c r="H349" s="56"/>
      <c r="I349" s="58"/>
      <c r="J349" s="18"/>
      <c r="K349" s="18"/>
      <c r="N349" s="62">
        <f>+F252</f>
        <v>165981</v>
      </c>
      <c r="O349" s="63">
        <f>+F258</f>
        <v>5953358</v>
      </c>
      <c r="P349" s="42"/>
      <c r="Q349" s="31"/>
      <c r="U349" s="65"/>
      <c r="V349" s="67"/>
      <c r="W349" s="67"/>
      <c r="X349" s="68"/>
      <c r="Y349" s="65"/>
    </row>
    <row r="350" spans="1:25" ht="15">
      <c r="A350" s="4">
        <f>+A348+1</f>
        <v>43</v>
      </c>
      <c r="B350" s="5" t="s">
        <v>42</v>
      </c>
      <c r="C350" s="22" t="s">
        <v>38</v>
      </c>
      <c r="D350" s="31">
        <f>+V291+V329</f>
        <v>9009884</v>
      </c>
      <c r="E350" s="18"/>
      <c r="F350" s="31">
        <f>+W291+W329</f>
        <v>6333656</v>
      </c>
      <c r="G350" s="18">
        <f>+D350-F350</f>
        <v>2676228</v>
      </c>
      <c r="H350" s="56"/>
      <c r="I350" s="59" t="s">
        <v>22</v>
      </c>
      <c r="J350" s="18"/>
      <c r="K350" s="18"/>
      <c r="L350" s="30">
        <f>+X355</f>
        <v>1168588</v>
      </c>
      <c r="N350" s="62"/>
      <c r="O350" s="63">
        <f>+D348</f>
        <v>-923952</v>
      </c>
      <c r="P350" s="42"/>
      <c r="Q350" s="31"/>
      <c r="R350" s="31"/>
      <c r="S350" s="31"/>
      <c r="T350" s="69" t="s">
        <v>78</v>
      </c>
      <c r="U350" s="65"/>
      <c r="V350" s="26">
        <f>+D346+D347-F346-F347+F252</f>
        <v>6824</v>
      </c>
      <c r="W350" s="26">
        <f>+F252+F253</f>
        <v>165981</v>
      </c>
      <c r="X350" s="26">
        <f>+V350-W350</f>
        <v>-159157</v>
      </c>
      <c r="Y350" s="65"/>
    </row>
    <row r="351" spans="1:25" ht="15">
      <c r="A351" s="4">
        <f>+A350+1</f>
        <v>44</v>
      </c>
      <c r="B351" s="5" t="s">
        <v>43</v>
      </c>
      <c r="C351" s="11"/>
      <c r="D351" s="31">
        <f>+V292+V330</f>
        <v>6654</v>
      </c>
      <c r="E351" s="18"/>
      <c r="F351" s="31">
        <f>+W292+W330</f>
        <v>6885</v>
      </c>
      <c r="G351" s="18">
        <f>+D351-F351</f>
        <v>-231</v>
      </c>
      <c r="H351" s="56"/>
      <c r="I351" s="59"/>
      <c r="J351" s="18"/>
      <c r="K351" s="18"/>
      <c r="L351" s="60" t="s">
        <v>144</v>
      </c>
      <c r="O351" s="63">
        <f>+F348</f>
        <v>424762</v>
      </c>
      <c r="P351" s="42"/>
      <c r="Q351" s="31"/>
      <c r="R351" s="31"/>
      <c r="S351" s="31"/>
      <c r="T351" s="11" t="s">
        <v>146</v>
      </c>
      <c r="U351" s="65"/>
      <c r="V351" s="30">
        <f>+D352+D353-F352-F353+F258+D348-F348+F254</f>
        <v>7281103</v>
      </c>
      <c r="W351" s="30">
        <f>+F254+F258+F259</f>
        <v>5953358</v>
      </c>
      <c r="X351" s="30">
        <f>+V351-W351</f>
        <v>1327745</v>
      </c>
      <c r="Y351" s="65"/>
    </row>
    <row r="352" spans="1:25" ht="26.25">
      <c r="A352" s="4">
        <f>+A351+1</f>
        <v>45</v>
      </c>
      <c r="B352" s="24" t="s">
        <v>79</v>
      </c>
      <c r="C352" s="11"/>
      <c r="D352" s="30">
        <f>+D350-D351</f>
        <v>9003230</v>
      </c>
      <c r="E352" s="18"/>
      <c r="F352" s="30">
        <f>+F350-F351</f>
        <v>6326771</v>
      </c>
      <c r="G352" s="18">
        <f>+G350-G351</f>
        <v>2676459</v>
      </c>
      <c r="H352" s="56"/>
      <c r="I352" s="58"/>
      <c r="J352" s="18"/>
      <c r="K352" s="18"/>
      <c r="N352" s="62"/>
      <c r="O352" s="63">
        <f>+F254</f>
        <v>0</v>
      </c>
      <c r="P352" s="42"/>
      <c r="Q352" s="31"/>
      <c r="R352" s="31"/>
      <c r="S352" s="31"/>
      <c r="T352" s="11"/>
      <c r="U352" s="65"/>
      <c r="V352" s="30"/>
      <c r="W352" s="30"/>
      <c r="X352" s="30"/>
      <c r="Y352" s="65"/>
    </row>
    <row r="353" spans="1:25" ht="28.5">
      <c r="A353" s="4">
        <f>+A352+1</f>
        <v>46</v>
      </c>
      <c r="B353" s="88" t="s">
        <v>181</v>
      </c>
      <c r="C353" s="11"/>
      <c r="D353" s="30">
        <f>+V294+V332</f>
        <v>0</v>
      </c>
      <c r="E353" s="30"/>
      <c r="F353" s="30">
        <f>+W294+W332</f>
        <v>0</v>
      </c>
      <c r="G353" s="18">
        <f>+D353-F353</f>
        <v>0</v>
      </c>
      <c r="H353" s="56"/>
      <c r="N353" s="62"/>
      <c r="O353" s="62"/>
      <c r="P353" s="42"/>
      <c r="Q353" s="31"/>
      <c r="R353" s="31"/>
      <c r="S353" s="31"/>
      <c r="T353" s="11"/>
      <c r="U353" s="65"/>
      <c r="V353" s="30"/>
      <c r="W353" s="30"/>
      <c r="X353" s="30"/>
      <c r="Y353" s="65"/>
    </row>
    <row r="354" spans="1:25" ht="15">
      <c r="A354" s="4">
        <f>+A353+1</f>
        <v>47</v>
      </c>
      <c r="B354" s="24" t="s">
        <v>46</v>
      </c>
      <c r="C354" s="11" t="s">
        <v>47</v>
      </c>
      <c r="D354" s="18">
        <f>+D346+D347+D352+D353+D348</f>
        <v>8096902</v>
      </c>
      <c r="E354" s="18"/>
      <c r="F354" s="18">
        <f>+F346+F347+F352+F353+F348</f>
        <v>6928314</v>
      </c>
      <c r="G354" s="18">
        <f>+G346+G347+G352+G353+G348</f>
        <v>1168588</v>
      </c>
      <c r="H354" s="56"/>
      <c r="I354" s="59" t="s">
        <v>147</v>
      </c>
      <c r="J354" s="18"/>
      <c r="K354" s="18"/>
      <c r="L354" s="36">
        <f>+L348-L350</f>
        <v>0</v>
      </c>
      <c r="N354" s="70">
        <f>+N345+N346-N347-N348+N349</f>
        <v>6824</v>
      </c>
      <c r="O354" s="71">
        <f>+O345+O346-O347-O348+O349+O350-O351+O352</f>
        <v>7281103</v>
      </c>
      <c r="P354" s="42"/>
      <c r="Q354" s="26">
        <f>SUM(Q345:Q346)</f>
        <v>165981</v>
      </c>
      <c r="R354" s="30">
        <f>SUM(R345:R348)</f>
        <v>5953358</v>
      </c>
      <c r="S354" s="30"/>
      <c r="T354" s="11"/>
      <c r="U354" s="65"/>
      <c r="V354" s="30"/>
      <c r="W354" s="30"/>
      <c r="X354" s="30"/>
      <c r="Y354" s="65"/>
    </row>
    <row r="355" spans="1:25" ht="15">
      <c r="A355" s="4"/>
      <c r="B355" s="24"/>
      <c r="C355" s="11"/>
      <c r="D355" s="18"/>
      <c r="E355" s="18"/>
      <c r="F355" s="18"/>
      <c r="G355" s="18"/>
      <c r="H355" s="56"/>
      <c r="L355" s="60" t="s">
        <v>148</v>
      </c>
      <c r="M355" s="42"/>
      <c r="N355" s="42"/>
      <c r="O355" s="42"/>
      <c r="P355" s="42"/>
      <c r="Q355" s="42"/>
      <c r="R355" s="42"/>
      <c r="S355" s="42"/>
      <c r="T355" s="10" t="s">
        <v>22</v>
      </c>
      <c r="U355" s="65"/>
      <c r="V355" s="36"/>
      <c r="W355" s="36"/>
      <c r="X355" s="36">
        <f>+X350+X351</f>
        <v>1168588</v>
      </c>
      <c r="Y355" s="65"/>
    </row>
    <row r="356" spans="1:25" ht="15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6" ht="15">
      <c r="A357" s="4"/>
      <c r="B357"/>
      <c r="F357"/>
    </row>
    <row r="358" spans="1:6" ht="15">
      <c r="A358" s="4"/>
      <c r="B358"/>
      <c r="F358"/>
    </row>
    <row r="359" spans="1:6" ht="15">
      <c r="A359" s="4"/>
      <c r="B359"/>
      <c r="F359"/>
    </row>
    <row r="360" spans="1:6" ht="15">
      <c r="A360" s="4"/>
      <c r="B360"/>
      <c r="F360"/>
    </row>
    <row r="361" spans="1:25" ht="15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6" ht="15">
      <c r="A362" s="4" t="s">
        <v>0</v>
      </c>
      <c r="B362" s="5"/>
      <c r="C362" s="6" t="s">
        <v>1</v>
      </c>
      <c r="F362"/>
    </row>
    <row r="363" spans="1:6" ht="15">
      <c r="A363" s="4"/>
      <c r="B363" s="5"/>
      <c r="C363" s="6" t="s">
        <v>2</v>
      </c>
      <c r="F363"/>
    </row>
    <row r="364" spans="1:6" ht="15">
      <c r="A364" s="4"/>
      <c r="B364" s="5"/>
      <c r="C364" s="7" t="s">
        <v>151</v>
      </c>
      <c r="F364"/>
    </row>
    <row r="365" spans="1:6" ht="15">
      <c r="A365" s="4"/>
      <c r="B365" s="5"/>
      <c r="C365" s="8"/>
      <c r="F365"/>
    </row>
    <row r="366" spans="1:25" ht="15">
      <c r="A366" s="4"/>
      <c r="B366" s="5"/>
      <c r="C366" s="9"/>
      <c r="D366" s="10" t="s">
        <v>4</v>
      </c>
      <c r="E366" s="10"/>
      <c r="F366" s="10" t="s">
        <v>5</v>
      </c>
      <c r="G366" s="10" t="s">
        <v>6</v>
      </c>
      <c r="H366" s="10"/>
      <c r="I366" s="10" t="s">
        <v>7</v>
      </c>
      <c r="J366" s="10" t="s">
        <v>8</v>
      </c>
      <c r="K366" s="10" t="s">
        <v>9</v>
      </c>
      <c r="L366" s="10" t="s">
        <v>10</v>
      </c>
      <c r="M366" s="10" t="s">
        <v>11</v>
      </c>
      <c r="N366" s="10" t="s">
        <v>12</v>
      </c>
      <c r="O366" s="10" t="s">
        <v>13</v>
      </c>
      <c r="P366" s="10"/>
      <c r="Q366" s="10" t="s">
        <v>14</v>
      </c>
      <c r="R366" s="10" t="s">
        <v>15</v>
      </c>
      <c r="S366" s="10"/>
      <c r="T366" s="10" t="s">
        <v>16</v>
      </c>
      <c r="U366" s="10"/>
      <c r="V366" s="10" t="s">
        <v>17</v>
      </c>
      <c r="W366" s="10" t="s">
        <v>18</v>
      </c>
      <c r="X366" s="10" t="s">
        <v>19</v>
      </c>
      <c r="Y366" s="10"/>
    </row>
    <row r="367" spans="1:24" ht="15">
      <c r="A367" s="4"/>
      <c r="B367" s="87" t="s">
        <v>174</v>
      </c>
      <c r="C367" s="5"/>
      <c r="D367" s="10" t="s">
        <v>20</v>
      </c>
      <c r="E367" s="10"/>
      <c r="F367" s="10" t="s">
        <v>21</v>
      </c>
      <c r="G367" s="10" t="s">
        <v>22</v>
      </c>
      <c r="I367" s="10" t="s">
        <v>20</v>
      </c>
      <c r="J367" s="10" t="s">
        <v>20</v>
      </c>
      <c r="K367" s="10" t="s">
        <v>20</v>
      </c>
      <c r="L367" s="10" t="s">
        <v>20</v>
      </c>
      <c r="M367" s="10" t="s">
        <v>20</v>
      </c>
      <c r="N367" s="10" t="s">
        <v>20</v>
      </c>
      <c r="O367" s="10" t="s">
        <v>20</v>
      </c>
      <c r="Q367" s="10" t="s">
        <v>20</v>
      </c>
      <c r="R367" s="10" t="s">
        <v>20</v>
      </c>
      <c r="S367" s="10"/>
      <c r="T367" s="10" t="s">
        <v>20</v>
      </c>
      <c r="V367" s="10" t="s">
        <v>20</v>
      </c>
      <c r="W367" s="10" t="s">
        <v>20</v>
      </c>
      <c r="X367" s="10" t="s">
        <v>20</v>
      </c>
    </row>
    <row r="368" spans="1:24" ht="42.75">
      <c r="A368" s="4"/>
      <c r="B368" s="5"/>
      <c r="C368" s="11"/>
      <c r="D368" s="12" t="s">
        <v>23</v>
      </c>
      <c r="E368" s="13"/>
      <c r="F368" s="12" t="s">
        <v>175</v>
      </c>
      <c r="G368" s="13" t="s">
        <v>24</v>
      </c>
      <c r="I368" s="13" t="s">
        <v>25</v>
      </c>
      <c r="J368" s="8" t="s">
        <v>26</v>
      </c>
      <c r="K368" s="13" t="s">
        <v>27</v>
      </c>
      <c r="L368" s="13" t="s">
        <v>28</v>
      </c>
      <c r="M368" s="13" t="s">
        <v>29</v>
      </c>
      <c r="N368" s="13" t="s">
        <v>30</v>
      </c>
      <c r="O368" s="13" t="s">
        <v>31</v>
      </c>
      <c r="Q368" s="14">
        <v>4470115</v>
      </c>
      <c r="R368" s="13" t="s">
        <v>32</v>
      </c>
      <c r="S368" s="13"/>
      <c r="T368" s="14">
        <v>4470119</v>
      </c>
      <c r="V368" s="8" t="s">
        <v>33</v>
      </c>
      <c r="W368" s="8" t="s">
        <v>34</v>
      </c>
      <c r="X368" s="8" t="s">
        <v>35</v>
      </c>
    </row>
    <row r="369" spans="1:23" ht="15">
      <c r="A369" s="4"/>
      <c r="B369" s="5"/>
      <c r="C369" s="11"/>
      <c r="D369" s="13"/>
      <c r="E369" s="13"/>
      <c r="F369" s="13"/>
      <c r="G369" s="15"/>
      <c r="I369" s="13"/>
      <c r="J369" s="13"/>
      <c r="K369" s="13"/>
      <c r="L369" s="13"/>
      <c r="M369" s="13"/>
      <c r="N369" s="13"/>
      <c r="O369" s="13"/>
      <c r="Q369" s="14"/>
      <c r="R369" s="13"/>
      <c r="S369" s="14"/>
      <c r="T369" s="16"/>
      <c r="V369" s="14"/>
      <c r="W369" s="13"/>
    </row>
    <row r="370" spans="1:25" ht="15">
      <c r="A370" s="4">
        <v>1</v>
      </c>
      <c r="B370" s="5" t="s">
        <v>36</v>
      </c>
      <c r="C370" s="17" t="s">
        <v>37</v>
      </c>
      <c r="D370" s="18">
        <v>7237378</v>
      </c>
      <c r="E370" s="19"/>
      <c r="F370" s="20">
        <v>6002867</v>
      </c>
      <c r="G370" s="21">
        <f>+D370-F370</f>
        <v>1234511</v>
      </c>
      <c r="H370" s="18"/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/>
      <c r="Q370" s="18">
        <v>0</v>
      </c>
      <c r="R370" s="18">
        <v>0</v>
      </c>
      <c r="S370" s="18"/>
      <c r="T370" s="18">
        <v>0</v>
      </c>
      <c r="U370" s="18"/>
      <c r="V370" s="18">
        <v>0</v>
      </c>
      <c r="W370" s="18">
        <v>0</v>
      </c>
      <c r="X370" s="18">
        <v>0</v>
      </c>
      <c r="Y370" s="18"/>
    </row>
    <row r="371" spans="1:25" ht="15">
      <c r="A371" s="4">
        <f>+A370+1</f>
        <v>2</v>
      </c>
      <c r="B371" s="5" t="s">
        <v>36</v>
      </c>
      <c r="C371" s="22" t="s">
        <v>38</v>
      </c>
      <c r="D371" s="18">
        <v>7252964</v>
      </c>
      <c r="E371" s="19"/>
      <c r="F371" s="23">
        <v>5953358</v>
      </c>
      <c r="G371" s="21">
        <f>+D371-F371</f>
        <v>1299606</v>
      </c>
      <c r="H371" s="18"/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/>
      <c r="Q371" s="18">
        <v>0</v>
      </c>
      <c r="R371" s="18">
        <v>0</v>
      </c>
      <c r="S371" s="18"/>
      <c r="T371" s="18">
        <v>0</v>
      </c>
      <c r="U371" s="18"/>
      <c r="V371" s="18">
        <v>0</v>
      </c>
      <c r="W371" s="18">
        <v>0</v>
      </c>
      <c r="X371" s="18">
        <v>0</v>
      </c>
      <c r="Y371" s="18"/>
    </row>
    <row r="372" spans="1:25" ht="22.5">
      <c r="A372" s="4">
        <f>+A371+1</f>
        <v>3</v>
      </c>
      <c r="B372" s="24" t="s">
        <v>176</v>
      </c>
      <c r="C372" s="25" t="s">
        <v>177</v>
      </c>
      <c r="D372" s="18">
        <f>+D370-D371</f>
        <v>-15586</v>
      </c>
      <c r="E372" s="19"/>
      <c r="F372" s="26">
        <f>+F370-F371</f>
        <v>49509</v>
      </c>
      <c r="G372" s="18">
        <f>+G370-G371</f>
        <v>-65095</v>
      </c>
      <c r="H372" s="18"/>
      <c r="I372" s="18">
        <f aca="true" t="shared" si="45" ref="I372:O372">+I370-I371</f>
        <v>0</v>
      </c>
      <c r="J372" s="18">
        <f t="shared" si="45"/>
        <v>0</v>
      </c>
      <c r="K372" s="18">
        <f t="shared" si="45"/>
        <v>0</v>
      </c>
      <c r="L372" s="18">
        <f t="shared" si="45"/>
        <v>0</v>
      </c>
      <c r="M372" s="18">
        <f t="shared" si="45"/>
        <v>0</v>
      </c>
      <c r="N372" s="18">
        <f t="shared" si="45"/>
        <v>0</v>
      </c>
      <c r="O372" s="18">
        <f t="shared" si="45"/>
        <v>0</v>
      </c>
      <c r="P372" s="18"/>
      <c r="Q372" s="18">
        <f>+Q370-Q371</f>
        <v>0</v>
      </c>
      <c r="R372" s="18">
        <f>+R370-R371</f>
        <v>0</v>
      </c>
      <c r="S372" s="18"/>
      <c r="T372" s="18">
        <f>+T370-T371</f>
        <v>0</v>
      </c>
      <c r="U372" s="18"/>
      <c r="V372" s="18">
        <f>+V370-V371</f>
        <v>0</v>
      </c>
      <c r="W372" s="18">
        <f>+W370-W371</f>
        <v>0</v>
      </c>
      <c r="X372" s="18">
        <f>+X370-X371</f>
        <v>0</v>
      </c>
      <c r="Y372" s="18"/>
    </row>
    <row r="373" spans="1:25" ht="28.5">
      <c r="A373" s="4">
        <f>+A372+1</f>
        <v>4</v>
      </c>
      <c r="B373" s="88" t="s">
        <v>178</v>
      </c>
      <c r="C373" s="25" t="s">
        <v>179</v>
      </c>
      <c r="D373" s="18">
        <v>0</v>
      </c>
      <c r="E373" s="19"/>
      <c r="F373" s="26">
        <v>0</v>
      </c>
      <c r="G373" s="18">
        <f>+D373-F373</f>
        <v>0</v>
      </c>
      <c r="H373" s="18"/>
      <c r="I373" s="27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/>
      <c r="Q373" s="18">
        <v>0</v>
      </c>
      <c r="R373" s="18">
        <v>0</v>
      </c>
      <c r="S373" s="18"/>
      <c r="T373" s="18">
        <v>0</v>
      </c>
      <c r="U373" s="18"/>
      <c r="V373" s="18">
        <v>0</v>
      </c>
      <c r="W373" s="18">
        <v>0</v>
      </c>
      <c r="X373" s="18">
        <v>0</v>
      </c>
      <c r="Y373" s="18"/>
    </row>
    <row r="374" spans="1:25" ht="24.75">
      <c r="A374" s="4">
        <f>+A373+1</f>
        <v>5</v>
      </c>
      <c r="B374" s="89" t="s">
        <v>39</v>
      </c>
      <c r="C374" s="28" t="s">
        <v>40</v>
      </c>
      <c r="D374" s="27">
        <v>130668</v>
      </c>
      <c r="E374" s="29"/>
      <c r="F374" s="30">
        <v>0</v>
      </c>
      <c r="G374" s="31">
        <f>+D374-F374</f>
        <v>130668</v>
      </c>
      <c r="H374" s="18"/>
      <c r="I374" s="27">
        <v>0</v>
      </c>
      <c r="J374" s="27">
        <v>-339</v>
      </c>
      <c r="K374" s="27">
        <v>0</v>
      </c>
      <c r="L374" s="27">
        <v>144262</v>
      </c>
      <c r="M374" s="18">
        <v>33235</v>
      </c>
      <c r="N374" s="27">
        <v>-149</v>
      </c>
      <c r="O374" s="18">
        <v>-1369</v>
      </c>
      <c r="P374" s="18"/>
      <c r="Q374" s="27">
        <v>1386</v>
      </c>
      <c r="R374" s="27">
        <v>0</v>
      </c>
      <c r="S374" s="27"/>
      <c r="T374" s="27">
        <v>0</v>
      </c>
      <c r="U374" s="27"/>
      <c r="V374" s="27">
        <v>0</v>
      </c>
      <c r="W374" s="27">
        <v>0</v>
      </c>
      <c r="X374" s="27">
        <v>-197429</v>
      </c>
      <c r="Y374" s="18"/>
    </row>
    <row r="375" spans="1:25" ht="15">
      <c r="A375" s="6" t="s">
        <v>41</v>
      </c>
      <c r="B375" s="90"/>
      <c r="C375" s="11"/>
      <c r="D375" s="18"/>
      <c r="E375" s="19"/>
      <c r="F375" s="18"/>
      <c r="G375" s="18"/>
      <c r="H375" s="18"/>
      <c r="I375" s="18"/>
      <c r="J375" s="18"/>
      <c r="K375" s="18"/>
      <c r="L375" s="18"/>
      <c r="M375" s="18"/>
      <c r="N375" s="18"/>
      <c r="O375" s="18" t="s">
        <v>0</v>
      </c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5">
      <c r="A376" s="4">
        <f>+A374+1</f>
        <v>6</v>
      </c>
      <c r="B376" s="5" t="s">
        <v>42</v>
      </c>
      <c r="C376" s="22" t="s">
        <v>38</v>
      </c>
      <c r="D376" s="18">
        <v>5164669</v>
      </c>
      <c r="E376" s="19"/>
      <c r="F376" s="23">
        <v>4662552</v>
      </c>
      <c r="G376" s="18">
        <f>+D376-F376</f>
        <v>502117</v>
      </c>
      <c r="H376" s="18"/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/>
      <c r="Q376" s="18">
        <v>0</v>
      </c>
      <c r="R376" s="18">
        <v>0</v>
      </c>
      <c r="S376" s="18"/>
      <c r="T376" s="18">
        <v>0</v>
      </c>
      <c r="U376" s="18"/>
      <c r="V376" s="18">
        <v>0</v>
      </c>
      <c r="W376" s="18">
        <v>0</v>
      </c>
      <c r="X376" s="18">
        <v>0</v>
      </c>
      <c r="Y376" s="18"/>
    </row>
    <row r="377" spans="1:25" ht="15">
      <c r="A377" s="4">
        <f>+A376+1</f>
        <v>7</v>
      </c>
      <c r="B377" s="5" t="s">
        <v>43</v>
      </c>
      <c r="C377" s="11"/>
      <c r="D377" s="18">
        <v>8018</v>
      </c>
      <c r="E377" s="19"/>
      <c r="F377" s="23">
        <v>9529</v>
      </c>
      <c r="G377" s="18">
        <f>+D377-F377</f>
        <v>-1511</v>
      </c>
      <c r="H377" s="18"/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31">
        <v>0</v>
      </c>
      <c r="P377" s="18"/>
      <c r="Q377" s="18">
        <v>0</v>
      </c>
      <c r="R377" s="18">
        <v>0</v>
      </c>
      <c r="S377" s="18"/>
      <c r="T377" s="18">
        <v>0</v>
      </c>
      <c r="U377" s="18"/>
      <c r="V377" s="18">
        <v>0</v>
      </c>
      <c r="W377" s="18">
        <v>0</v>
      </c>
      <c r="X377" s="18">
        <v>0</v>
      </c>
      <c r="Y377" s="18"/>
    </row>
    <row r="378" spans="1:25" ht="35.25">
      <c r="A378" s="4">
        <f>+A377+1</f>
        <v>8</v>
      </c>
      <c r="B378" s="24" t="s">
        <v>180</v>
      </c>
      <c r="C378" s="32" t="s">
        <v>44</v>
      </c>
      <c r="D378" s="33">
        <f>+D376-D377</f>
        <v>5156651</v>
      </c>
      <c r="E378" s="34"/>
      <c r="F378" s="91">
        <f>+F376-F377</f>
        <v>4653023</v>
      </c>
      <c r="G378" s="18">
        <f>+G376-G377</f>
        <v>503628</v>
      </c>
      <c r="H378" s="18"/>
      <c r="I378" s="18">
        <f aca="true" t="shared" si="46" ref="I378:O378">+I376-I377</f>
        <v>0</v>
      </c>
      <c r="J378" s="18">
        <f t="shared" si="46"/>
        <v>0</v>
      </c>
      <c r="K378" s="18">
        <f t="shared" si="46"/>
        <v>0</v>
      </c>
      <c r="L378" s="18">
        <f t="shared" si="46"/>
        <v>0</v>
      </c>
      <c r="M378" s="18">
        <f t="shared" si="46"/>
        <v>0</v>
      </c>
      <c r="N378" s="18">
        <f t="shared" si="46"/>
        <v>0</v>
      </c>
      <c r="O378" s="18">
        <f t="shared" si="46"/>
        <v>0</v>
      </c>
      <c r="P378" s="18"/>
      <c r="Q378" s="18">
        <f>+Q376-Q377</f>
        <v>0</v>
      </c>
      <c r="R378" s="18">
        <f>+R376-R377</f>
        <v>0</v>
      </c>
      <c r="S378" s="18"/>
      <c r="T378" s="18">
        <f>+T376-T377</f>
        <v>0</v>
      </c>
      <c r="U378" s="18"/>
      <c r="V378" s="18">
        <f>+V376-V377</f>
        <v>0</v>
      </c>
      <c r="W378" s="18">
        <f>+W376-W377</f>
        <v>0</v>
      </c>
      <c r="X378" s="18">
        <f>+X376-X377</f>
        <v>0</v>
      </c>
      <c r="Y378" s="18"/>
    </row>
    <row r="379" spans="1:25" ht="28.5">
      <c r="A379" s="4">
        <f>+A378+1</f>
        <v>9</v>
      </c>
      <c r="B379" s="88" t="s">
        <v>181</v>
      </c>
      <c r="C379" s="35" t="s">
        <v>45</v>
      </c>
      <c r="D379" s="18">
        <v>0</v>
      </c>
      <c r="E379" s="19"/>
      <c r="F379" s="31">
        <v>0</v>
      </c>
      <c r="G379" s="31">
        <f>+D379-F379</f>
        <v>0</v>
      </c>
      <c r="H379" s="18"/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31">
        <v>0</v>
      </c>
      <c r="P379" s="18"/>
      <c r="Q379" s="18">
        <v>0</v>
      </c>
      <c r="R379" s="18">
        <v>0</v>
      </c>
      <c r="S379" s="18"/>
      <c r="T379" s="18">
        <v>0</v>
      </c>
      <c r="U379" s="18"/>
      <c r="V379" s="18">
        <v>0</v>
      </c>
      <c r="W379" s="18">
        <v>0</v>
      </c>
      <c r="X379" s="18">
        <v>0</v>
      </c>
      <c r="Y379" s="18"/>
    </row>
    <row r="380" spans="1:25" ht="15">
      <c r="A380" s="4">
        <f>+A379+1</f>
        <v>10</v>
      </c>
      <c r="B380" s="24" t="s">
        <v>46</v>
      </c>
      <c r="C380" s="11" t="s">
        <v>47</v>
      </c>
      <c r="D380" s="36">
        <f>+D372+D373+D374+D378+D379</f>
        <v>5271733</v>
      </c>
      <c r="E380" s="19"/>
      <c r="F380" s="36">
        <f>+F372+F373+F374+F378+F379</f>
        <v>4702532</v>
      </c>
      <c r="G380" s="18">
        <f>+G372+G373+G378+G379+G374</f>
        <v>569201</v>
      </c>
      <c r="H380" s="18"/>
      <c r="I380" s="18">
        <f aca="true" t="shared" si="47" ref="I380:O380">+I372+I373+I378+I379+I374</f>
        <v>0</v>
      </c>
      <c r="J380" s="21">
        <f t="shared" si="47"/>
        <v>-339</v>
      </c>
      <c r="K380" s="18">
        <f t="shared" si="47"/>
        <v>0</v>
      </c>
      <c r="L380" s="18">
        <f t="shared" si="47"/>
        <v>144262</v>
      </c>
      <c r="M380" s="18">
        <f t="shared" si="47"/>
        <v>33235</v>
      </c>
      <c r="N380" s="18">
        <f t="shared" si="47"/>
        <v>-149</v>
      </c>
      <c r="O380" s="18">
        <f t="shared" si="47"/>
        <v>-1369</v>
      </c>
      <c r="P380" s="18"/>
      <c r="Q380" s="18">
        <f>+Q372+Q373+Q378+Q379+Q374</f>
        <v>1386</v>
      </c>
      <c r="R380" s="18">
        <f>+R372+R373+R378+R379+R374</f>
        <v>0</v>
      </c>
      <c r="S380" s="18"/>
      <c r="T380" s="18">
        <f>+T372+T373+T378+T379+T374</f>
        <v>0</v>
      </c>
      <c r="U380" s="18"/>
      <c r="V380" s="18">
        <f>+V372+V373+V378+V379+V374</f>
        <v>0</v>
      </c>
      <c r="W380" s="18">
        <f>+W372+W373+W378+W379+W374</f>
        <v>0</v>
      </c>
      <c r="X380" s="18">
        <f>+X372+X373+X378+X379+X374</f>
        <v>-197429</v>
      </c>
      <c r="Y380" s="18"/>
    </row>
    <row r="381" spans="1:25" ht="15">
      <c r="A381" s="4"/>
      <c r="B381" s="24"/>
      <c r="C381" s="11"/>
      <c r="D381" s="18"/>
      <c r="E381" s="18"/>
      <c r="F381" s="3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5">
      <c r="A382" s="4"/>
      <c r="B382" s="24"/>
      <c r="C382" s="37"/>
      <c r="D382" s="18">
        <f>335432+276344+314654+4345303</f>
        <v>5271733</v>
      </c>
      <c r="E382" s="18"/>
      <c r="F382" s="3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5">
      <c r="A383" s="4"/>
      <c r="B383" s="24"/>
      <c r="C383" s="11"/>
      <c r="D383" s="6" t="s">
        <v>48</v>
      </c>
      <c r="E383" s="6"/>
      <c r="F383" s="10" t="s">
        <v>49</v>
      </c>
      <c r="G383" s="10" t="s">
        <v>50</v>
      </c>
      <c r="I383" s="10" t="s">
        <v>51</v>
      </c>
      <c r="J383" s="10" t="s">
        <v>52</v>
      </c>
      <c r="K383" s="10" t="s">
        <v>53</v>
      </c>
      <c r="L383" s="10" t="s">
        <v>54</v>
      </c>
      <c r="M383" s="10" t="s">
        <v>55</v>
      </c>
      <c r="N383" s="10" t="s">
        <v>56</v>
      </c>
      <c r="O383" s="10" t="s">
        <v>57</v>
      </c>
      <c r="P383" s="18"/>
      <c r="Q383" s="10" t="s">
        <v>58</v>
      </c>
      <c r="R383" s="10" t="s">
        <v>59</v>
      </c>
      <c r="S383" s="10"/>
      <c r="T383" s="10" t="s">
        <v>60</v>
      </c>
      <c r="U383" s="18"/>
      <c r="V383" s="10" t="s">
        <v>61</v>
      </c>
      <c r="W383" s="10" t="s">
        <v>62</v>
      </c>
      <c r="X383" s="10" t="s">
        <v>63</v>
      </c>
      <c r="Y383" s="18"/>
    </row>
    <row r="384" spans="1:25" ht="15">
      <c r="A384" s="4"/>
      <c r="B384"/>
      <c r="C384" s="11"/>
      <c r="D384" s="10" t="s">
        <v>20</v>
      </c>
      <c r="E384" s="38"/>
      <c r="F384" s="10" t="s">
        <v>20</v>
      </c>
      <c r="G384" s="10" t="s">
        <v>20</v>
      </c>
      <c r="I384" s="10" t="s">
        <v>20</v>
      </c>
      <c r="J384" s="10" t="s">
        <v>20</v>
      </c>
      <c r="K384" s="10" t="s">
        <v>20</v>
      </c>
      <c r="L384" s="10" t="s">
        <v>20</v>
      </c>
      <c r="M384" s="10" t="s">
        <v>20</v>
      </c>
      <c r="N384" s="10" t="s">
        <v>20</v>
      </c>
      <c r="O384" s="10" t="s">
        <v>20</v>
      </c>
      <c r="P384" s="18"/>
      <c r="Q384" s="10" t="s">
        <v>20</v>
      </c>
      <c r="R384" s="10" t="s">
        <v>20</v>
      </c>
      <c r="S384" s="14"/>
      <c r="T384" s="10" t="s">
        <v>20</v>
      </c>
      <c r="U384" s="18"/>
      <c r="W384" s="39" t="s">
        <v>64</v>
      </c>
      <c r="Y384" s="18"/>
    </row>
    <row r="385" spans="1:25" ht="15">
      <c r="A385" s="4"/>
      <c r="B385" s="87" t="s">
        <v>174</v>
      </c>
      <c r="C385" s="11"/>
      <c r="D385" s="8" t="s">
        <v>65</v>
      </c>
      <c r="E385" s="6"/>
      <c r="F385" s="8" t="s">
        <v>66</v>
      </c>
      <c r="G385" s="8" t="s">
        <v>67</v>
      </c>
      <c r="H385" s="19"/>
      <c r="I385" s="8" t="s">
        <v>68</v>
      </c>
      <c r="J385" s="8" t="s">
        <v>69</v>
      </c>
      <c r="K385" s="8" t="s">
        <v>70</v>
      </c>
      <c r="L385" s="8" t="s">
        <v>71</v>
      </c>
      <c r="M385" s="8" t="s">
        <v>72</v>
      </c>
      <c r="N385" s="8" t="s">
        <v>73</v>
      </c>
      <c r="O385" s="8" t="s">
        <v>74</v>
      </c>
      <c r="P385" s="6"/>
      <c r="Q385" s="8" t="s">
        <v>75</v>
      </c>
      <c r="R385" s="8" t="s">
        <v>76</v>
      </c>
      <c r="S385" s="8"/>
      <c r="T385" s="8" t="s">
        <v>77</v>
      </c>
      <c r="U385" s="18"/>
      <c r="V385" s="10" t="s">
        <v>20</v>
      </c>
      <c r="W385" s="14" t="s">
        <v>21</v>
      </c>
      <c r="X385" s="10" t="s">
        <v>22</v>
      </c>
      <c r="Y385" s="18"/>
    </row>
    <row r="386" spans="1:8" ht="15">
      <c r="A386" s="4"/>
      <c r="B386" s="24"/>
      <c r="C386" s="11"/>
      <c r="E386" s="14"/>
      <c r="F386"/>
      <c r="H386" s="18"/>
    </row>
    <row r="387" spans="1:24" ht="15">
      <c r="A387" s="4">
        <f>+A380+1</f>
        <v>11</v>
      </c>
      <c r="B387" s="5" t="s">
        <v>36</v>
      </c>
      <c r="C387" s="17" t="s">
        <v>37</v>
      </c>
      <c r="D387" s="18">
        <v>0</v>
      </c>
      <c r="E387" s="18"/>
      <c r="F387" s="18">
        <v>0</v>
      </c>
      <c r="G387" s="18">
        <v>0</v>
      </c>
      <c r="I387" s="18">
        <v>656626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Q387" s="18">
        <v>0</v>
      </c>
      <c r="R387" s="18">
        <v>0</v>
      </c>
      <c r="S387" s="18"/>
      <c r="T387" s="18">
        <v>0</v>
      </c>
      <c r="V387" s="18">
        <f>+D370+I370+J370+K370+L370+M370+N370+O370+Q370+R370+T370+V370+W370+X370+D387+F387+G387+I387+J387+K387+L387+M387+N387+O387+Q387+R387+T387</f>
        <v>7894004</v>
      </c>
      <c r="W387" s="18">
        <f>+F370</f>
        <v>6002867</v>
      </c>
      <c r="X387" s="18">
        <f>+V387-W387</f>
        <v>1891137</v>
      </c>
    </row>
    <row r="388" spans="1:24" ht="15">
      <c r="A388" s="4">
        <f>+A387+1</f>
        <v>12</v>
      </c>
      <c r="B388" s="5" t="s">
        <v>36</v>
      </c>
      <c r="C388" s="22" t="s">
        <v>38</v>
      </c>
      <c r="D388" s="18">
        <v>0</v>
      </c>
      <c r="E388" s="18"/>
      <c r="F388" s="18">
        <v>0</v>
      </c>
      <c r="G388" s="18">
        <v>0</v>
      </c>
      <c r="I388" s="18">
        <v>654944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Q388" s="18">
        <v>0</v>
      </c>
      <c r="R388" s="18">
        <v>0</v>
      </c>
      <c r="S388" s="18"/>
      <c r="T388" s="18">
        <v>0</v>
      </c>
      <c r="V388" s="18">
        <f>+D371+I371+J371+K371+L371+M371+N371+O371+Q371+R371+T371+V371+W371+X371+D388+F388+G388+I388+J388+K388+L388+M388+N388+O388+Q388+R388+T388</f>
        <v>7907908</v>
      </c>
      <c r="W388" s="18">
        <f>+F371</f>
        <v>5953358</v>
      </c>
      <c r="X388" s="18">
        <f>+V388-W388</f>
        <v>1954550</v>
      </c>
    </row>
    <row r="389" spans="1:24" ht="15">
      <c r="A389" s="4">
        <f>+A388+1</f>
        <v>13</v>
      </c>
      <c r="B389" s="24" t="s">
        <v>46</v>
      </c>
      <c r="C389" s="40" t="s">
        <v>78</v>
      </c>
      <c r="D389" s="18">
        <f>+D387-D388</f>
        <v>0</v>
      </c>
      <c r="E389" s="18"/>
      <c r="F389" s="18">
        <f>+F387-F388</f>
        <v>0</v>
      </c>
      <c r="G389" s="18">
        <f>+G387-G388</f>
        <v>0</v>
      </c>
      <c r="I389" s="18">
        <f aca="true" t="shared" si="48" ref="I389:O389">+I387-I388</f>
        <v>1682</v>
      </c>
      <c r="J389" s="18">
        <f t="shared" si="48"/>
        <v>0</v>
      </c>
      <c r="K389" s="18">
        <f t="shared" si="48"/>
        <v>0</v>
      </c>
      <c r="L389" s="18">
        <f t="shared" si="48"/>
        <v>0</v>
      </c>
      <c r="M389" s="18">
        <f t="shared" si="48"/>
        <v>0</v>
      </c>
      <c r="N389" s="18">
        <f t="shared" si="48"/>
        <v>0</v>
      </c>
      <c r="O389" s="18">
        <f t="shared" si="48"/>
        <v>0</v>
      </c>
      <c r="Q389" s="18">
        <f>+Q387-Q388</f>
        <v>0</v>
      </c>
      <c r="R389" s="18">
        <f>+R387-R388</f>
        <v>0</v>
      </c>
      <c r="S389" s="18"/>
      <c r="T389" s="18">
        <f>+T387-T388</f>
        <v>0</v>
      </c>
      <c r="V389" s="27">
        <f>+V387-V388</f>
        <v>-13904</v>
      </c>
      <c r="W389" s="27">
        <f>+W387-W388</f>
        <v>49509</v>
      </c>
      <c r="X389" s="18">
        <f>+X387-X388</f>
        <v>-63413</v>
      </c>
    </row>
    <row r="390" spans="1:24" ht="28.5">
      <c r="A390" s="4">
        <f>+A389+1</f>
        <v>14</v>
      </c>
      <c r="B390" s="88" t="s">
        <v>182</v>
      </c>
      <c r="C390" s="11"/>
      <c r="D390" s="18">
        <v>0</v>
      </c>
      <c r="E390" s="18"/>
      <c r="F390" s="18">
        <v>0</v>
      </c>
      <c r="G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Q390" s="18">
        <v>0</v>
      </c>
      <c r="R390" s="18">
        <v>0</v>
      </c>
      <c r="S390" s="18"/>
      <c r="T390" s="18">
        <v>0</v>
      </c>
      <c r="V390" s="18">
        <f>+D373+I373+J373+K373+L373+M373+N373+O373+Q373+R373+T373+V373+W373+X373+D390+F390+G390+I390+J390+K390+L390+M390+N390+O390+Q390+R390+T390</f>
        <v>0</v>
      </c>
      <c r="W390" s="18">
        <f>+F373</f>
        <v>0</v>
      </c>
      <c r="X390" s="18">
        <f>+V390-W390</f>
        <v>0</v>
      </c>
    </row>
    <row r="391" spans="1:24" ht="24.75">
      <c r="A391" s="4">
        <f>+A390+1</f>
        <v>15</v>
      </c>
      <c r="B391" s="89" t="s">
        <v>39</v>
      </c>
      <c r="C391" s="40"/>
      <c r="D391" s="27">
        <v>0</v>
      </c>
      <c r="E391" s="18" t="s">
        <v>0</v>
      </c>
      <c r="F391" s="27">
        <v>0</v>
      </c>
      <c r="G391" s="27">
        <v>0</v>
      </c>
      <c r="H391" t="s">
        <v>0</v>
      </c>
      <c r="I391" s="27">
        <v>0</v>
      </c>
      <c r="J391" s="27">
        <v>30849</v>
      </c>
      <c r="K391" s="27">
        <v>0</v>
      </c>
      <c r="L391" s="27">
        <v>0</v>
      </c>
      <c r="M391" s="27">
        <v>61682</v>
      </c>
      <c r="N391" s="27">
        <v>-243930</v>
      </c>
      <c r="O391" s="27">
        <v>224</v>
      </c>
      <c r="Q391" s="27">
        <v>0</v>
      </c>
      <c r="R391" s="27">
        <v>0</v>
      </c>
      <c r="S391" s="27"/>
      <c r="T391" s="27">
        <v>0</v>
      </c>
      <c r="V391" s="18">
        <f>+D374+I374+J374+K374+L374+M374+N374+O374+Q374+R374+T374+V374+W374+X374+D391+F391+G391+I391+J391+K391+L391+M391+N391+O391+Q391+R391+T391</f>
        <v>-40910</v>
      </c>
      <c r="W391" s="18">
        <f>+F374</f>
        <v>0</v>
      </c>
      <c r="X391" s="18">
        <f>+V391-W391</f>
        <v>-40910</v>
      </c>
    </row>
    <row r="392" spans="1:24" ht="15">
      <c r="A392" s="6" t="s">
        <v>41</v>
      </c>
      <c r="B392" s="41"/>
      <c r="C392" s="40"/>
      <c r="D392" s="18"/>
      <c r="E392" s="18"/>
      <c r="F392" s="18"/>
      <c r="G392" s="18"/>
      <c r="I392" s="18"/>
      <c r="J392" s="18"/>
      <c r="K392" s="18"/>
      <c r="L392" s="18"/>
      <c r="M392" s="18"/>
      <c r="N392" s="18"/>
      <c r="O392" s="18"/>
      <c r="Q392" s="18"/>
      <c r="R392" s="18"/>
      <c r="S392" s="18"/>
      <c r="T392" s="18"/>
      <c r="V392" s="18"/>
      <c r="W392" s="18"/>
      <c r="X392" s="18"/>
    </row>
    <row r="393" spans="1:24" ht="15">
      <c r="A393" s="4">
        <f>+A391+1</f>
        <v>16</v>
      </c>
      <c r="B393" s="5" t="s">
        <v>42</v>
      </c>
      <c r="C393" s="22" t="s">
        <v>38</v>
      </c>
      <c r="D393" s="18">
        <v>0</v>
      </c>
      <c r="E393" s="18"/>
      <c r="F393" s="18">
        <v>0</v>
      </c>
      <c r="G393" s="18">
        <v>0</v>
      </c>
      <c r="I393" s="18">
        <v>593066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/>
      <c r="Q393" s="18">
        <v>0</v>
      </c>
      <c r="R393" s="18">
        <v>0</v>
      </c>
      <c r="S393" s="18"/>
      <c r="T393" s="18">
        <v>0</v>
      </c>
      <c r="U393" s="18"/>
      <c r="V393" s="18">
        <f>+D376+I376+J376+K376+L376+M376+N376+O376+Q376+R376+T376+V376+W376+X376+D393+F393+G393+I393+J393+K393+L393+M393+N393+O393+Q393+R393+T393</f>
        <v>5757735</v>
      </c>
      <c r="W393" s="18">
        <f>+F376</f>
        <v>4662552</v>
      </c>
      <c r="X393" s="18">
        <f>+V393-W393</f>
        <v>1095183</v>
      </c>
    </row>
    <row r="394" spans="1:24" ht="15">
      <c r="A394" s="4">
        <f>+A393+1</f>
        <v>17</v>
      </c>
      <c r="B394" s="5" t="s">
        <v>43</v>
      </c>
      <c r="C394" s="11"/>
      <c r="D394" s="18">
        <v>0</v>
      </c>
      <c r="E394" s="18"/>
      <c r="F394" s="18">
        <v>0</v>
      </c>
      <c r="G394" s="18">
        <v>0</v>
      </c>
      <c r="I394" s="27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/>
      <c r="Q394" s="18">
        <v>0</v>
      </c>
      <c r="R394" s="18">
        <v>0</v>
      </c>
      <c r="S394" s="18"/>
      <c r="T394" s="18">
        <v>0</v>
      </c>
      <c r="U394" s="18"/>
      <c r="V394" s="18">
        <f>+D377+I377+J377+K377+L377+M377+N377+O377+Q377+R377+T377+V377+W377+X377+D394+F394+G394+I394+J394+K394+L394+M394+N394+O394+Q394+R394+T394</f>
        <v>8018</v>
      </c>
      <c r="W394" s="18">
        <f>+F377</f>
        <v>9529</v>
      </c>
      <c r="X394" s="18">
        <f>+V394-W394</f>
        <v>-1511</v>
      </c>
    </row>
    <row r="395" spans="1:24" ht="26.25">
      <c r="A395" s="4">
        <f>+A394+1</f>
        <v>18</v>
      </c>
      <c r="B395" s="24" t="s">
        <v>79</v>
      </c>
      <c r="C395" s="11"/>
      <c r="D395" s="18">
        <f>+D393-D394</f>
        <v>0</v>
      </c>
      <c r="E395" s="18"/>
      <c r="F395" s="18">
        <f>+F393-F394</f>
        <v>0</v>
      </c>
      <c r="G395" s="18">
        <f>+G393-G394</f>
        <v>0</v>
      </c>
      <c r="I395" s="18">
        <f aca="true" t="shared" si="49" ref="I395:O395">+I393-I394</f>
        <v>593066</v>
      </c>
      <c r="J395" s="18">
        <f t="shared" si="49"/>
        <v>0</v>
      </c>
      <c r="K395" s="18">
        <f t="shared" si="49"/>
        <v>0</v>
      </c>
      <c r="L395" s="18">
        <f t="shared" si="49"/>
        <v>0</v>
      </c>
      <c r="M395" s="18">
        <f t="shared" si="49"/>
        <v>0</v>
      </c>
      <c r="N395" s="18">
        <f t="shared" si="49"/>
        <v>0</v>
      </c>
      <c r="O395" s="18">
        <f t="shared" si="49"/>
        <v>0</v>
      </c>
      <c r="P395" s="18"/>
      <c r="Q395" s="18">
        <f>+Q393-Q394</f>
        <v>0</v>
      </c>
      <c r="R395" s="18">
        <f>+R393-R394</f>
        <v>0</v>
      </c>
      <c r="S395" s="18"/>
      <c r="T395" s="18">
        <f>+T393-T394</f>
        <v>0</v>
      </c>
      <c r="U395" s="18"/>
      <c r="V395" s="27">
        <f>+V393-V394</f>
        <v>5749717</v>
      </c>
      <c r="W395" s="27">
        <f>+W393-W394</f>
        <v>4653023</v>
      </c>
      <c r="X395" s="18">
        <f>+X393-X394</f>
        <v>1096694</v>
      </c>
    </row>
    <row r="396" spans="1:24" ht="28.5">
      <c r="A396" s="4">
        <f>+A395+1</f>
        <v>19</v>
      </c>
      <c r="B396" s="88" t="s">
        <v>181</v>
      </c>
      <c r="C396" s="11"/>
      <c r="D396" s="18">
        <v>0</v>
      </c>
      <c r="E396" s="18"/>
      <c r="F396" s="18">
        <v>0</v>
      </c>
      <c r="G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/>
      <c r="Q396" s="18">
        <v>0</v>
      </c>
      <c r="R396" s="18">
        <v>0</v>
      </c>
      <c r="S396" s="18"/>
      <c r="T396" s="18">
        <v>0</v>
      </c>
      <c r="U396" s="18"/>
      <c r="V396" s="18">
        <f>+D379+I379+J379+K379+L379+M379+N379+O379+Q379+R379+T379+V379+W379+X379+D396+F396+G396+I396+J396+K396+L396+M396+N396+O396+Q396+R396+T396</f>
        <v>0</v>
      </c>
      <c r="W396" s="18">
        <f>+F379+K396+L396+M396+N396+O396+Q396+R396+T396</f>
        <v>0</v>
      </c>
      <c r="X396" s="18">
        <f>+V396-W396</f>
        <v>0</v>
      </c>
    </row>
    <row r="397" spans="1:24" ht="15">
      <c r="A397" s="4">
        <f>+A396+1</f>
        <v>20</v>
      </c>
      <c r="B397" s="24" t="s">
        <v>46</v>
      </c>
      <c r="C397" s="11" t="s">
        <v>47</v>
      </c>
      <c r="D397" s="18">
        <f>+D389+D390+D395+D396+D391</f>
        <v>0</v>
      </c>
      <c r="E397" s="18"/>
      <c r="F397" s="18">
        <f>+F389+F390+F395+F396+F391</f>
        <v>0</v>
      </c>
      <c r="G397" s="18">
        <f>+G389+G390+G395+G396+G391</f>
        <v>0</v>
      </c>
      <c r="I397" s="18">
        <f aca="true" t="shared" si="50" ref="I397:O397">+I389+I390+I395+I396+I391</f>
        <v>594748</v>
      </c>
      <c r="J397" s="18">
        <f t="shared" si="50"/>
        <v>30849</v>
      </c>
      <c r="K397" s="18">
        <f t="shared" si="50"/>
        <v>0</v>
      </c>
      <c r="L397" s="18">
        <f t="shared" si="50"/>
        <v>0</v>
      </c>
      <c r="M397" s="18">
        <f t="shared" si="50"/>
        <v>61682</v>
      </c>
      <c r="N397" s="18">
        <f t="shared" si="50"/>
        <v>-243930</v>
      </c>
      <c r="O397" s="18">
        <f t="shared" si="50"/>
        <v>224</v>
      </c>
      <c r="P397" s="42"/>
      <c r="Q397" s="18">
        <f>+Q389+Q390+Q395+Q396+Q391</f>
        <v>0</v>
      </c>
      <c r="R397" s="18">
        <f>+R389+R390+R395+R396+R391</f>
        <v>0</v>
      </c>
      <c r="S397" s="18"/>
      <c r="T397" s="18">
        <f>+T389+T390+T395+T396+T391</f>
        <v>0</v>
      </c>
      <c r="U397" s="42"/>
      <c r="V397" s="18">
        <f>SUM(V389,V391,V395,V396)</f>
        <v>5694903</v>
      </c>
      <c r="W397" s="18">
        <f>+W389+W390+W395+W396+W391</f>
        <v>4702532</v>
      </c>
      <c r="X397" s="18">
        <f>+X389+X390+X395+X396+X391</f>
        <v>992371</v>
      </c>
    </row>
    <row r="398" spans="1:24" ht="15">
      <c r="A398" s="4"/>
      <c r="B398" s="24"/>
      <c r="C398" s="11"/>
      <c r="D398" s="18"/>
      <c r="E398" s="18"/>
      <c r="F398" s="18"/>
      <c r="G398" s="18"/>
      <c r="I398" s="18"/>
      <c r="J398" s="18"/>
      <c r="K398" s="18"/>
      <c r="L398" s="18"/>
      <c r="M398" s="18"/>
      <c r="N398" s="18"/>
      <c r="O398" s="18"/>
      <c r="P398" s="42"/>
      <c r="Q398" s="18"/>
      <c r="R398" s="18"/>
      <c r="S398" s="18"/>
      <c r="T398" s="18"/>
      <c r="U398" s="42"/>
      <c r="V398" s="18"/>
      <c r="W398" s="18"/>
      <c r="X398" s="18"/>
    </row>
    <row r="399" spans="1:24" ht="15">
      <c r="A399" s="4"/>
      <c r="B399" s="24"/>
      <c r="C399" s="11"/>
      <c r="D399" s="18"/>
      <c r="E399" s="18"/>
      <c r="F399" s="18"/>
      <c r="G399" s="18"/>
      <c r="I399" s="18"/>
      <c r="J399" s="18"/>
      <c r="K399" s="18"/>
      <c r="L399" s="18"/>
      <c r="M399" s="18"/>
      <c r="N399" s="18"/>
      <c r="O399" s="18"/>
      <c r="P399" s="42"/>
      <c r="Q399" s="18"/>
      <c r="R399" s="18"/>
      <c r="S399" s="18"/>
      <c r="T399" s="18"/>
      <c r="U399" s="42"/>
      <c r="V399" s="18"/>
      <c r="W399" s="18"/>
      <c r="X399" s="18"/>
    </row>
    <row r="400" spans="1:24" ht="15">
      <c r="A400" s="4"/>
      <c r="B400" s="24"/>
      <c r="C400" s="11"/>
      <c r="D400" s="18"/>
      <c r="E400" s="18"/>
      <c r="F400" s="18"/>
      <c r="G400" s="18"/>
      <c r="I400" s="18"/>
      <c r="J400" s="18"/>
      <c r="K400" s="18"/>
      <c r="L400" s="18"/>
      <c r="M400" s="18"/>
      <c r="N400" s="18"/>
      <c r="O400" s="18"/>
      <c r="P400" s="42"/>
      <c r="Q400" s="18"/>
      <c r="R400" s="18"/>
      <c r="S400" s="18"/>
      <c r="T400" s="18"/>
      <c r="U400" s="42"/>
      <c r="V400" s="18"/>
      <c r="W400" s="18"/>
      <c r="X400" s="18"/>
    </row>
    <row r="401" spans="1:25" ht="15">
      <c r="A401" s="4"/>
      <c r="B401" s="24"/>
      <c r="C401" s="11"/>
      <c r="D401" s="10" t="s">
        <v>80</v>
      </c>
      <c r="E401" s="10"/>
      <c r="F401" s="10" t="s">
        <v>81</v>
      </c>
      <c r="G401" s="10" t="s">
        <v>82</v>
      </c>
      <c r="I401" s="10" t="s">
        <v>83</v>
      </c>
      <c r="J401" s="10" t="s">
        <v>84</v>
      </c>
      <c r="K401" s="10" t="s">
        <v>85</v>
      </c>
      <c r="L401" s="10" t="s">
        <v>86</v>
      </c>
      <c r="M401" s="43" t="s">
        <v>87</v>
      </c>
      <c r="N401" s="43" t="s">
        <v>88</v>
      </c>
      <c r="O401" s="44" t="s">
        <v>89</v>
      </c>
      <c r="P401" s="42"/>
      <c r="Q401" s="43" t="s">
        <v>90</v>
      </c>
      <c r="R401" s="43" t="s">
        <v>91</v>
      </c>
      <c r="S401" s="43"/>
      <c r="T401" s="43" t="s">
        <v>92</v>
      </c>
      <c r="U401" s="42"/>
      <c r="V401" s="43" t="s">
        <v>93</v>
      </c>
      <c r="W401" s="43" t="s">
        <v>94</v>
      </c>
      <c r="X401" s="43" t="s">
        <v>95</v>
      </c>
      <c r="Y401" s="18"/>
    </row>
    <row r="402" spans="1:25" ht="15">
      <c r="A402" s="4"/>
      <c r="B402"/>
      <c r="C402" s="11"/>
      <c r="D402" s="10" t="s">
        <v>20</v>
      </c>
      <c r="E402" s="38"/>
      <c r="F402" s="10" t="s">
        <v>20</v>
      </c>
      <c r="G402" s="10" t="s">
        <v>20</v>
      </c>
      <c r="I402" s="10" t="s">
        <v>20</v>
      </c>
      <c r="J402" s="10" t="s">
        <v>20</v>
      </c>
      <c r="K402" s="10" t="s">
        <v>20</v>
      </c>
      <c r="L402" s="10" t="s">
        <v>20</v>
      </c>
      <c r="M402" s="10" t="s">
        <v>20</v>
      </c>
      <c r="N402" s="10" t="s">
        <v>20</v>
      </c>
      <c r="O402" s="10" t="s">
        <v>20</v>
      </c>
      <c r="P402" s="18"/>
      <c r="Q402" s="10" t="s">
        <v>20</v>
      </c>
      <c r="R402" s="10" t="s">
        <v>20</v>
      </c>
      <c r="S402" s="14"/>
      <c r="T402" s="10" t="s">
        <v>20</v>
      </c>
      <c r="U402" s="18"/>
      <c r="W402" s="39" t="s">
        <v>96</v>
      </c>
      <c r="Y402" s="18"/>
    </row>
    <row r="403" spans="1:25" ht="15">
      <c r="A403" s="4"/>
      <c r="B403" s="87" t="s">
        <v>174</v>
      </c>
      <c r="C403" s="11"/>
      <c r="D403" s="45" t="s">
        <v>97</v>
      </c>
      <c r="E403" s="6"/>
      <c r="F403" s="45" t="s">
        <v>98</v>
      </c>
      <c r="G403" s="45" t="s">
        <v>99</v>
      </c>
      <c r="H403" s="19"/>
      <c r="I403" s="45" t="s">
        <v>100</v>
      </c>
      <c r="J403" s="45" t="s">
        <v>101</v>
      </c>
      <c r="K403" s="45" t="s">
        <v>102</v>
      </c>
      <c r="L403" s="45" t="s">
        <v>103</v>
      </c>
      <c r="M403" s="45" t="s">
        <v>104</v>
      </c>
      <c r="N403" s="45" t="s">
        <v>105</v>
      </c>
      <c r="O403" s="45" t="s">
        <v>106</v>
      </c>
      <c r="P403" s="6"/>
      <c r="Q403" s="45" t="s">
        <v>107</v>
      </c>
      <c r="R403" s="45" t="s">
        <v>108</v>
      </c>
      <c r="S403" s="45"/>
      <c r="T403" s="45" t="s">
        <v>109</v>
      </c>
      <c r="U403" s="18"/>
      <c r="V403" s="10" t="s">
        <v>20</v>
      </c>
      <c r="W403" s="10" t="s">
        <v>21</v>
      </c>
      <c r="X403" s="10" t="s">
        <v>22</v>
      </c>
      <c r="Y403" s="18"/>
    </row>
    <row r="404" spans="1:9" ht="15">
      <c r="A404" s="4"/>
      <c r="B404" s="24"/>
      <c r="C404" s="11"/>
      <c r="E404" s="14"/>
      <c r="F404"/>
      <c r="H404" s="18"/>
      <c r="I404" s="16"/>
    </row>
    <row r="405" spans="1:24" ht="15">
      <c r="A405" s="4">
        <f>+A398+1</f>
        <v>1</v>
      </c>
      <c r="B405" s="5" t="s">
        <v>36</v>
      </c>
      <c r="C405" s="17" t="s">
        <v>37</v>
      </c>
      <c r="D405" s="18">
        <v>0</v>
      </c>
      <c r="E405" s="18"/>
      <c r="F405" s="18">
        <v>0</v>
      </c>
      <c r="G405" s="18">
        <v>0</v>
      </c>
      <c r="I405" s="18">
        <v>0</v>
      </c>
      <c r="J405" s="18">
        <v>0</v>
      </c>
      <c r="K405" s="46">
        <v>-9613</v>
      </c>
      <c r="L405" s="18">
        <v>-6850</v>
      </c>
      <c r="M405" s="18">
        <v>0</v>
      </c>
      <c r="N405" s="18">
        <v>0</v>
      </c>
      <c r="O405" s="18">
        <v>0</v>
      </c>
      <c r="Q405" s="18">
        <v>0</v>
      </c>
      <c r="R405" s="18">
        <v>0</v>
      </c>
      <c r="S405" s="18"/>
      <c r="T405" s="18">
        <v>0</v>
      </c>
      <c r="V405" s="18">
        <f>+V387+D405+F405+G405+I405+J405+K405+L405+M405+N405+O405+Q405+R405+T405</f>
        <v>7877541</v>
      </c>
      <c r="W405" s="18">
        <f>+W387</f>
        <v>6002867</v>
      </c>
      <c r="X405" s="18">
        <f>+V405-W405</f>
        <v>1874674</v>
      </c>
    </row>
    <row r="406" spans="1:24" ht="15">
      <c r="A406" s="4">
        <f>+A405+1</f>
        <v>2</v>
      </c>
      <c r="B406" s="5" t="s">
        <v>36</v>
      </c>
      <c r="C406" s="22" t="s">
        <v>38</v>
      </c>
      <c r="D406" s="18">
        <v>0</v>
      </c>
      <c r="E406" s="18"/>
      <c r="F406" s="18">
        <v>0</v>
      </c>
      <c r="G406" s="18">
        <v>0</v>
      </c>
      <c r="I406" s="18">
        <v>0</v>
      </c>
      <c r="J406" s="18">
        <v>0</v>
      </c>
      <c r="K406" s="46">
        <v>-9605</v>
      </c>
      <c r="L406" s="18">
        <v>-6618</v>
      </c>
      <c r="M406" s="18">
        <v>0</v>
      </c>
      <c r="N406" s="18">
        <v>0</v>
      </c>
      <c r="O406" s="18">
        <v>0</v>
      </c>
      <c r="Q406" s="18">
        <v>0</v>
      </c>
      <c r="R406" s="18">
        <v>0</v>
      </c>
      <c r="S406" s="18"/>
      <c r="T406" s="18">
        <v>0</v>
      </c>
      <c r="V406" s="18">
        <f>+V388+D406+F406+G406+I406+J406+K406+L406+M406+N406+O406+Q406+R406+T406</f>
        <v>7891685</v>
      </c>
      <c r="W406" s="18">
        <f>+W388</f>
        <v>5953358</v>
      </c>
      <c r="X406" s="18">
        <f>+V406-W406</f>
        <v>1938327</v>
      </c>
    </row>
    <row r="407" spans="1:24" ht="15">
      <c r="A407" s="4">
        <f>+A406+1</f>
        <v>3</v>
      </c>
      <c r="B407" s="24" t="s">
        <v>46</v>
      </c>
      <c r="C407" s="40" t="s">
        <v>78</v>
      </c>
      <c r="D407" s="18">
        <f>+D405-D406</f>
        <v>0</v>
      </c>
      <c r="E407" s="18"/>
      <c r="F407" s="18">
        <f>+F405-F406</f>
        <v>0</v>
      </c>
      <c r="G407" s="18">
        <f>+G405-G406</f>
        <v>0</v>
      </c>
      <c r="I407" s="18">
        <f aca="true" t="shared" si="51" ref="I407:O407">+I405-I406</f>
        <v>0</v>
      </c>
      <c r="J407" s="18">
        <f t="shared" si="51"/>
        <v>0</v>
      </c>
      <c r="K407" s="18">
        <f t="shared" si="51"/>
        <v>-8</v>
      </c>
      <c r="L407" s="18">
        <f t="shared" si="51"/>
        <v>-232</v>
      </c>
      <c r="M407" s="18">
        <f t="shared" si="51"/>
        <v>0</v>
      </c>
      <c r="N407" s="18">
        <f t="shared" si="51"/>
        <v>0</v>
      </c>
      <c r="O407" s="18">
        <f t="shared" si="51"/>
        <v>0</v>
      </c>
      <c r="Q407" s="18">
        <f>+Q405-Q406</f>
        <v>0</v>
      </c>
      <c r="R407" s="18">
        <f>+R405-R406</f>
        <v>0</v>
      </c>
      <c r="S407" s="18"/>
      <c r="T407" s="18">
        <f>+T405-T406</f>
        <v>0</v>
      </c>
      <c r="V407" s="27">
        <f>+V405-V406</f>
        <v>-14144</v>
      </c>
      <c r="W407" s="27">
        <f>+W405-W406</f>
        <v>49509</v>
      </c>
      <c r="X407" s="18">
        <f>+X405-X406</f>
        <v>-63653</v>
      </c>
    </row>
    <row r="408" spans="1:24" ht="28.5">
      <c r="A408" s="4">
        <f>+A407+1</f>
        <v>4</v>
      </c>
      <c r="B408" s="88" t="s">
        <v>182</v>
      </c>
      <c r="C408" s="11"/>
      <c r="D408" s="18">
        <v>0</v>
      </c>
      <c r="E408" s="18"/>
      <c r="F408" s="18">
        <v>0</v>
      </c>
      <c r="G408" s="18">
        <v>0</v>
      </c>
      <c r="I408" s="18">
        <v>0</v>
      </c>
      <c r="J408" s="27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Q408" s="18">
        <v>0</v>
      </c>
      <c r="R408" s="18">
        <v>0</v>
      </c>
      <c r="S408" s="18"/>
      <c r="T408" s="18">
        <v>0</v>
      </c>
      <c r="V408" s="18">
        <f>+V390+D408+F408+G408+I408+J408+K408+L408+M408+N408+O408+Q408+R408+T408</f>
        <v>0</v>
      </c>
      <c r="W408" s="18">
        <f>+W390</f>
        <v>0</v>
      </c>
      <c r="X408" s="18">
        <f>+V408-W408</f>
        <v>0</v>
      </c>
    </row>
    <row r="409" spans="1:24" ht="24.75">
      <c r="A409" s="4">
        <f>+A408+1</f>
        <v>5</v>
      </c>
      <c r="B409" s="89" t="s">
        <v>39</v>
      </c>
      <c r="C409" s="40"/>
      <c r="D409" s="27">
        <v>0</v>
      </c>
      <c r="E409" s="18"/>
      <c r="F409" s="27">
        <v>0</v>
      </c>
      <c r="G409" s="27">
        <v>244</v>
      </c>
      <c r="I409" s="27">
        <v>0</v>
      </c>
      <c r="J409" s="27">
        <v>0</v>
      </c>
      <c r="K409" s="18">
        <v>-473071</v>
      </c>
      <c r="L409" s="27">
        <v>0</v>
      </c>
      <c r="M409" s="27">
        <v>-26375</v>
      </c>
      <c r="N409" s="27">
        <v>0</v>
      </c>
      <c r="O409" s="27">
        <v>531</v>
      </c>
      <c r="Q409" s="27">
        <v>0</v>
      </c>
      <c r="R409" s="27">
        <v>-20</v>
      </c>
      <c r="S409" s="27"/>
      <c r="T409" s="27">
        <v>-244</v>
      </c>
      <c r="V409" s="18">
        <f>+V391+D409+F409+G409+I409+J409+K409+L409+M409+N409+O409+Q409+R409+T409</f>
        <v>-539845</v>
      </c>
      <c r="W409" s="18">
        <f>+W391</f>
        <v>0</v>
      </c>
      <c r="X409" s="18">
        <f>+V409-W409</f>
        <v>-539845</v>
      </c>
    </row>
    <row r="410" spans="1:24" ht="15">
      <c r="A410" s="6" t="s">
        <v>41</v>
      </c>
      <c r="B410" s="41"/>
      <c r="C410" s="40"/>
      <c r="D410" s="18"/>
      <c r="E410" s="18"/>
      <c r="F410" s="18"/>
      <c r="G410" s="18"/>
      <c r="I410" s="18"/>
      <c r="J410" s="18"/>
      <c r="L410" s="18"/>
      <c r="M410" s="18"/>
      <c r="N410" s="18"/>
      <c r="O410" s="18"/>
      <c r="Q410" s="18"/>
      <c r="R410" s="18"/>
      <c r="S410" s="18"/>
      <c r="T410" s="18"/>
      <c r="V410" s="18"/>
      <c r="W410" s="18"/>
      <c r="X410" s="18"/>
    </row>
    <row r="411" spans="1:24" ht="15">
      <c r="A411" s="4">
        <f>+A409+1</f>
        <v>6</v>
      </c>
      <c r="B411" s="5" t="s">
        <v>42</v>
      </c>
      <c r="C411" s="22" t="s">
        <v>38</v>
      </c>
      <c r="D411" s="18">
        <v>0</v>
      </c>
      <c r="E411" s="18"/>
      <c r="F411" s="18">
        <v>0</v>
      </c>
      <c r="G411" s="18">
        <v>0</v>
      </c>
      <c r="I411" s="18">
        <v>0</v>
      </c>
      <c r="J411" s="18">
        <v>0</v>
      </c>
      <c r="K411" s="46">
        <v>210</v>
      </c>
      <c r="L411" s="18">
        <v>-7131</v>
      </c>
      <c r="M411" s="18">
        <v>0</v>
      </c>
      <c r="N411" s="18">
        <v>0</v>
      </c>
      <c r="O411" s="18">
        <v>0</v>
      </c>
      <c r="P411" s="18"/>
      <c r="Q411" s="18">
        <v>0</v>
      </c>
      <c r="R411" s="18">
        <v>0</v>
      </c>
      <c r="S411" s="18"/>
      <c r="T411" s="18">
        <v>0</v>
      </c>
      <c r="U411" s="18"/>
      <c r="V411" s="18">
        <f>+V393+D411+F411+G411+I411+J411+K411+L411+M411+N411+O411+Q411+R411+T411</f>
        <v>5750814</v>
      </c>
      <c r="W411" s="18">
        <f>+W393</f>
        <v>4662552</v>
      </c>
      <c r="X411" s="18">
        <f>+V411-W411</f>
        <v>1088262</v>
      </c>
    </row>
    <row r="412" spans="1:24" ht="15">
      <c r="A412" s="4">
        <f>+A411+1</f>
        <v>7</v>
      </c>
      <c r="B412" s="5" t="s">
        <v>43</v>
      </c>
      <c r="C412" s="11"/>
      <c r="D412" s="18">
        <v>0</v>
      </c>
      <c r="E412" s="18"/>
      <c r="F412" s="18">
        <v>0</v>
      </c>
      <c r="G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/>
      <c r="Q412" s="18">
        <v>0</v>
      </c>
      <c r="R412" s="18">
        <v>0</v>
      </c>
      <c r="S412" s="18"/>
      <c r="T412" s="18">
        <v>0</v>
      </c>
      <c r="U412" s="18"/>
      <c r="V412" s="18">
        <f>+V394+D412+F412+G412+I412+J412+K412+L412+M412+N412+O412+Q412+R412+T412</f>
        <v>8018</v>
      </c>
      <c r="W412" s="18">
        <f>+W394</f>
        <v>9529</v>
      </c>
      <c r="X412" s="18">
        <f>+V412-W412</f>
        <v>-1511</v>
      </c>
    </row>
    <row r="413" spans="1:24" ht="26.25">
      <c r="A413" s="4">
        <f>+A412+1</f>
        <v>8</v>
      </c>
      <c r="B413" s="24" t="s">
        <v>79</v>
      </c>
      <c r="C413" s="11"/>
      <c r="D413" s="18">
        <f>+D411-D412</f>
        <v>0</v>
      </c>
      <c r="E413" s="18"/>
      <c r="F413" s="18">
        <f>+F411-F412</f>
        <v>0</v>
      </c>
      <c r="G413" s="18">
        <f>+G411-G412</f>
        <v>0</v>
      </c>
      <c r="I413" s="18">
        <f aca="true" t="shared" si="52" ref="I413:O413">+I411-I412</f>
        <v>0</v>
      </c>
      <c r="J413" s="18">
        <f t="shared" si="52"/>
        <v>0</v>
      </c>
      <c r="K413" s="18">
        <f t="shared" si="52"/>
        <v>210</v>
      </c>
      <c r="L413" s="18">
        <f t="shared" si="52"/>
        <v>-7131</v>
      </c>
      <c r="M413" s="18">
        <f t="shared" si="52"/>
        <v>0</v>
      </c>
      <c r="N413" s="18">
        <f t="shared" si="52"/>
        <v>0</v>
      </c>
      <c r="O413" s="18">
        <f t="shared" si="52"/>
        <v>0</v>
      </c>
      <c r="P413" s="18"/>
      <c r="Q413" s="18">
        <f>+Q411-Q412</f>
        <v>0</v>
      </c>
      <c r="R413" s="18">
        <f>+R411-R412</f>
        <v>0</v>
      </c>
      <c r="S413" s="18"/>
      <c r="T413" s="18">
        <f>+T411-T412</f>
        <v>0</v>
      </c>
      <c r="U413" s="18"/>
      <c r="V413" s="27">
        <f>+V411-V412</f>
        <v>5742796</v>
      </c>
      <c r="W413" s="27">
        <f>+W411-W412</f>
        <v>4653023</v>
      </c>
      <c r="X413" s="18">
        <f>+X411-X412</f>
        <v>1089773</v>
      </c>
    </row>
    <row r="414" spans="1:24" ht="28.5">
      <c r="A414" s="4">
        <f>+A413+1</f>
        <v>9</v>
      </c>
      <c r="B414" s="88" t="s">
        <v>181</v>
      </c>
      <c r="C414" s="11"/>
      <c r="D414" s="18">
        <v>0</v>
      </c>
      <c r="E414" s="18"/>
      <c r="F414" s="18">
        <v>0</v>
      </c>
      <c r="G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/>
      <c r="Q414" s="18">
        <v>0</v>
      </c>
      <c r="R414" s="18">
        <v>0</v>
      </c>
      <c r="S414" s="18"/>
      <c r="T414" s="18">
        <v>0</v>
      </c>
      <c r="U414" s="18"/>
      <c r="V414" s="18">
        <f>+V396+D414+F414+G414+I414+J414+K414+L414+M414+N414+O414+Q414+R414+T414</f>
        <v>0</v>
      </c>
      <c r="W414" s="18">
        <f>+W396</f>
        <v>0</v>
      </c>
      <c r="X414" s="18">
        <f>+V414-W414</f>
        <v>0</v>
      </c>
    </row>
    <row r="415" spans="1:24" ht="15">
      <c r="A415" s="4">
        <f>+A414+1</f>
        <v>10</v>
      </c>
      <c r="B415" s="24" t="s">
        <v>46</v>
      </c>
      <c r="C415" s="11" t="s">
        <v>47</v>
      </c>
      <c r="D415" s="18">
        <f>+D407+D408+D413+D414+D409</f>
        <v>0</v>
      </c>
      <c r="E415" s="18"/>
      <c r="F415" s="18">
        <f>+F407+F408+F413+F414+F409</f>
        <v>0</v>
      </c>
      <c r="G415" s="18">
        <f>+G407+G408+G413+G414+G409</f>
        <v>244</v>
      </c>
      <c r="I415" s="18">
        <f aca="true" t="shared" si="53" ref="I415:O415">+I407+I408+I413+I414+I409</f>
        <v>0</v>
      </c>
      <c r="J415" s="18">
        <f t="shared" si="53"/>
        <v>0</v>
      </c>
      <c r="K415" s="18">
        <f t="shared" si="53"/>
        <v>-472869</v>
      </c>
      <c r="L415" s="18">
        <f t="shared" si="53"/>
        <v>-7363</v>
      </c>
      <c r="M415" s="18">
        <f t="shared" si="53"/>
        <v>-26375</v>
      </c>
      <c r="N415" s="18">
        <f t="shared" si="53"/>
        <v>0</v>
      </c>
      <c r="O415" s="18">
        <f t="shared" si="53"/>
        <v>531</v>
      </c>
      <c r="P415" s="42"/>
      <c r="Q415" s="18">
        <f>+Q407+Q408+Q413+Q414+Q409</f>
        <v>0</v>
      </c>
      <c r="R415" s="18">
        <f>+R407+R408+R413+R414+R409</f>
        <v>-20</v>
      </c>
      <c r="S415" s="18"/>
      <c r="T415" s="18">
        <f>+T407+T408+T413+T414+T409</f>
        <v>-244</v>
      </c>
      <c r="U415" s="42"/>
      <c r="V415" s="18">
        <f>+V407+V408+V413+V414+V409</f>
        <v>5188807</v>
      </c>
      <c r="W415" s="18">
        <f>+W407+W408+W413+W414+W409</f>
        <v>4702532</v>
      </c>
      <c r="X415" s="18">
        <f>+X407+X408+X413+X414+X409</f>
        <v>486275</v>
      </c>
    </row>
    <row r="416" spans="1:24" ht="15">
      <c r="A416" s="4"/>
      <c r="B416" s="24"/>
      <c r="C416" s="11"/>
      <c r="D416" s="18"/>
      <c r="E416" s="18"/>
      <c r="F416" s="18"/>
      <c r="G416" s="18"/>
      <c r="I416" s="18"/>
      <c r="J416" s="18"/>
      <c r="K416" s="18"/>
      <c r="L416" s="18"/>
      <c r="M416" s="18"/>
      <c r="N416" s="18"/>
      <c r="O416" s="18"/>
      <c r="P416" s="42"/>
      <c r="Q416" s="18"/>
      <c r="R416" s="18"/>
      <c r="S416" s="18"/>
      <c r="T416" s="18"/>
      <c r="U416" s="42"/>
      <c r="V416" s="18"/>
      <c r="W416" s="18"/>
      <c r="X416" s="18"/>
    </row>
    <row r="417" spans="1:24" ht="15">
      <c r="A417" s="4"/>
      <c r="B417" s="24"/>
      <c r="C417" s="11"/>
      <c r="D417" s="18"/>
      <c r="E417" s="18"/>
      <c r="F417" s="18"/>
      <c r="G417" s="18"/>
      <c r="I417" s="18"/>
      <c r="J417" s="18"/>
      <c r="K417" s="18"/>
      <c r="L417" s="18"/>
      <c r="M417" s="18"/>
      <c r="N417" s="18"/>
      <c r="O417" s="18"/>
      <c r="P417" s="42"/>
      <c r="Q417" s="18"/>
      <c r="R417" s="18"/>
      <c r="S417" s="18"/>
      <c r="T417" s="18"/>
      <c r="U417" s="42"/>
      <c r="V417" s="18"/>
      <c r="W417" s="18"/>
      <c r="X417" s="18"/>
    </row>
    <row r="418" spans="1:24" ht="15">
      <c r="A418" s="4"/>
      <c r="B418" s="24"/>
      <c r="C418" s="11"/>
      <c r="D418" s="18"/>
      <c r="E418" s="18"/>
      <c r="F418" s="18"/>
      <c r="G418" s="18"/>
      <c r="I418" s="18"/>
      <c r="J418" s="18"/>
      <c r="K418" s="18"/>
      <c r="L418" s="18"/>
      <c r="M418" s="18"/>
      <c r="N418" s="18"/>
      <c r="O418" s="18"/>
      <c r="P418" s="42"/>
      <c r="Q418" s="18"/>
      <c r="R418" s="18"/>
      <c r="S418" s="18"/>
      <c r="T418" s="18"/>
      <c r="U418" s="42"/>
      <c r="V418" s="18"/>
      <c r="W418" s="18"/>
      <c r="X418" s="18"/>
    </row>
    <row r="419" spans="1:24" ht="15">
      <c r="A419" s="4"/>
      <c r="B419" s="24"/>
      <c r="C419" s="11"/>
      <c r="D419" s="18"/>
      <c r="E419" s="18"/>
      <c r="F419" s="18"/>
      <c r="G419" s="18"/>
      <c r="I419" s="18"/>
      <c r="J419" s="18"/>
      <c r="K419" s="18"/>
      <c r="L419" s="18"/>
      <c r="M419" s="18"/>
      <c r="N419" s="18"/>
      <c r="O419" s="18"/>
      <c r="P419" s="42"/>
      <c r="Q419" s="18"/>
      <c r="R419" s="18"/>
      <c r="S419" s="18"/>
      <c r="T419" s="18"/>
      <c r="U419" s="42"/>
      <c r="V419" s="18"/>
      <c r="W419" s="18"/>
      <c r="X419" s="18"/>
    </row>
    <row r="420" spans="1:24" ht="15">
      <c r="A420" s="4"/>
      <c r="B420" s="24"/>
      <c r="C420" s="11"/>
      <c r="D420" s="18"/>
      <c r="E420" s="18"/>
      <c r="F420" s="18"/>
      <c r="G420" s="18"/>
      <c r="I420" s="18"/>
      <c r="J420" s="18"/>
      <c r="K420" s="18"/>
      <c r="L420" s="18"/>
      <c r="M420" s="18"/>
      <c r="N420" s="18"/>
      <c r="O420" s="18"/>
      <c r="P420" s="42"/>
      <c r="Q420" s="18"/>
      <c r="R420" s="18"/>
      <c r="S420" s="18"/>
      <c r="T420" s="18"/>
      <c r="U420" s="42"/>
      <c r="V420" s="18"/>
      <c r="W420" s="18"/>
      <c r="X420" s="18"/>
    </row>
    <row r="421" spans="1:24" ht="15">
      <c r="A421" s="4"/>
      <c r="B421" s="24"/>
      <c r="C421" s="11"/>
      <c r="D421" s="18"/>
      <c r="E421" s="18"/>
      <c r="F421" s="18"/>
      <c r="G421" s="18"/>
      <c r="I421" s="18"/>
      <c r="J421" s="18"/>
      <c r="K421" s="18"/>
      <c r="L421" s="18"/>
      <c r="M421" s="18"/>
      <c r="N421" s="18"/>
      <c r="O421" s="18"/>
      <c r="P421" s="42"/>
      <c r="Q421" s="18"/>
      <c r="R421" s="18"/>
      <c r="S421" s="18"/>
      <c r="T421" s="18"/>
      <c r="U421" s="42"/>
      <c r="V421" s="18"/>
      <c r="W421" s="18"/>
      <c r="X421" s="18"/>
    </row>
    <row r="422" spans="1:24" ht="15">
      <c r="A422" s="4"/>
      <c r="B422" s="24"/>
      <c r="C422" s="11"/>
      <c r="D422" s="18"/>
      <c r="E422" s="18"/>
      <c r="F422" s="18"/>
      <c r="G422" s="18"/>
      <c r="I422" s="18"/>
      <c r="J422" s="18"/>
      <c r="K422" s="18"/>
      <c r="L422" s="18"/>
      <c r="M422" s="18"/>
      <c r="N422" s="18"/>
      <c r="O422" s="18"/>
      <c r="P422" s="42"/>
      <c r="Q422" s="18"/>
      <c r="R422" s="18"/>
      <c r="S422" s="18"/>
      <c r="T422" s="18"/>
      <c r="U422" s="42"/>
      <c r="V422" s="18"/>
      <c r="W422" s="18"/>
      <c r="X422" s="18"/>
    </row>
    <row r="423" spans="1:24" ht="15">
      <c r="A423" s="4"/>
      <c r="B423" s="24"/>
      <c r="C423" s="11"/>
      <c r="D423" s="10" t="s">
        <v>4</v>
      </c>
      <c r="E423" s="10"/>
      <c r="F423" s="10" t="s">
        <v>5</v>
      </c>
      <c r="G423" s="10" t="s">
        <v>6</v>
      </c>
      <c r="H423" s="10"/>
      <c r="I423" s="10" t="s">
        <v>7</v>
      </c>
      <c r="J423" s="10" t="s">
        <v>8</v>
      </c>
      <c r="K423" s="10" t="s">
        <v>9</v>
      </c>
      <c r="L423" s="10" t="s">
        <v>10</v>
      </c>
      <c r="M423" s="10" t="s">
        <v>11</v>
      </c>
      <c r="N423" s="10" t="s">
        <v>12</v>
      </c>
      <c r="O423" s="10" t="s">
        <v>13</v>
      </c>
      <c r="P423" s="10"/>
      <c r="Q423" s="10" t="s">
        <v>14</v>
      </c>
      <c r="R423" s="10" t="s">
        <v>15</v>
      </c>
      <c r="S423" s="10"/>
      <c r="T423" s="10" t="s">
        <v>16</v>
      </c>
      <c r="U423" s="10"/>
      <c r="V423" s="10" t="s">
        <v>17</v>
      </c>
      <c r="W423" s="10" t="s">
        <v>18</v>
      </c>
      <c r="X423" s="10" t="s">
        <v>19</v>
      </c>
    </row>
    <row r="424" spans="1:23" ht="15">
      <c r="A424" s="4"/>
      <c r="B424" s="24"/>
      <c r="C424" s="11"/>
      <c r="D424" s="10" t="s">
        <v>20</v>
      </c>
      <c r="E424" s="10"/>
      <c r="F424" s="14" t="s">
        <v>21</v>
      </c>
      <c r="G424" s="10"/>
      <c r="I424" s="39" t="s">
        <v>110</v>
      </c>
      <c r="J424" s="47" t="s">
        <v>111</v>
      </c>
      <c r="K424" s="39"/>
      <c r="L424" s="10" t="s">
        <v>20</v>
      </c>
      <c r="M424" s="10" t="s">
        <v>20</v>
      </c>
      <c r="N424" s="10" t="s">
        <v>20</v>
      </c>
      <c r="O424" s="10" t="s">
        <v>20</v>
      </c>
      <c r="P424" s="42"/>
      <c r="Q424" s="10" t="s">
        <v>20</v>
      </c>
      <c r="R424" s="10" t="s">
        <v>20</v>
      </c>
      <c r="S424" s="48"/>
      <c r="T424" s="10" t="s">
        <v>20</v>
      </c>
      <c r="U424" s="42"/>
      <c r="W424" s="39" t="s">
        <v>112</v>
      </c>
    </row>
    <row r="425" spans="1:24" ht="15">
      <c r="A425" s="4"/>
      <c r="B425" s="87" t="s">
        <v>183</v>
      </c>
      <c r="C425" s="11"/>
      <c r="D425" s="8" t="s">
        <v>113</v>
      </c>
      <c r="E425" s="6"/>
      <c r="F425" s="6" t="s">
        <v>114</v>
      </c>
      <c r="G425" s="49" t="s">
        <v>22</v>
      </c>
      <c r="I425" s="8" t="s">
        <v>113</v>
      </c>
      <c r="J425" s="6" t="s">
        <v>114</v>
      </c>
      <c r="K425" s="49" t="s">
        <v>24</v>
      </c>
      <c r="L425" s="13" t="s">
        <v>115</v>
      </c>
      <c r="M425" s="13" t="s">
        <v>116</v>
      </c>
      <c r="N425" s="13" t="s">
        <v>117</v>
      </c>
      <c r="O425" s="13" t="s">
        <v>118</v>
      </c>
      <c r="P425" s="42"/>
      <c r="Q425" s="13" t="s">
        <v>119</v>
      </c>
      <c r="R425" s="13" t="s">
        <v>120</v>
      </c>
      <c r="T425" s="13" t="s">
        <v>121</v>
      </c>
      <c r="U425" s="42"/>
      <c r="V425" s="10" t="s">
        <v>20</v>
      </c>
      <c r="W425" s="10" t="s">
        <v>21</v>
      </c>
      <c r="X425" s="10" t="s">
        <v>22</v>
      </c>
    </row>
    <row r="426" spans="1:24" ht="15">
      <c r="A426" s="4"/>
      <c r="B426" s="24"/>
      <c r="C426" s="11"/>
      <c r="D426" s="18"/>
      <c r="E426" s="18"/>
      <c r="F426" s="18"/>
      <c r="G426" s="18"/>
      <c r="K426" s="42"/>
      <c r="L426" s="42"/>
      <c r="N426" s="42"/>
      <c r="O426" s="18"/>
      <c r="P426" s="42"/>
      <c r="U426" s="42"/>
      <c r="V426" s="18"/>
      <c r="W426" s="39" t="s">
        <v>122</v>
      </c>
      <c r="X426" s="18"/>
    </row>
    <row r="427" spans="1:24" ht="15">
      <c r="A427" s="4">
        <f>+A395+1</f>
        <v>19</v>
      </c>
      <c r="B427" s="5" t="s">
        <v>36</v>
      </c>
      <c r="C427" s="17" t="s">
        <v>37</v>
      </c>
      <c r="D427" s="18">
        <v>1328978</v>
      </c>
      <c r="E427" s="18" t="s">
        <v>0</v>
      </c>
      <c r="F427" s="18">
        <v>381819</v>
      </c>
      <c r="G427" s="18">
        <f>D427-F427</f>
        <v>947159</v>
      </c>
      <c r="I427" s="18">
        <v>-10</v>
      </c>
      <c r="J427" s="18">
        <v>2018</v>
      </c>
      <c r="K427" s="36">
        <f>+I427-J427</f>
        <v>-2028</v>
      </c>
      <c r="L427" s="18">
        <v>0</v>
      </c>
      <c r="M427" s="18">
        <v>-266482</v>
      </c>
      <c r="N427" s="18">
        <v>17056</v>
      </c>
      <c r="O427" s="18">
        <v>0</v>
      </c>
      <c r="P427" s="42"/>
      <c r="Q427" s="31">
        <v>0</v>
      </c>
      <c r="R427" s="18">
        <v>0</v>
      </c>
      <c r="S427" s="18"/>
      <c r="T427" s="18">
        <v>0</v>
      </c>
      <c r="U427" s="42"/>
      <c r="V427" s="31">
        <f>+D427+I427+L427+M427+N427+O427+Q427+R427+T427</f>
        <v>1079542</v>
      </c>
      <c r="W427" s="18">
        <f>+F427+J427</f>
        <v>383837</v>
      </c>
      <c r="X427" s="18">
        <f>+V427-W427</f>
        <v>695705</v>
      </c>
    </row>
    <row r="428" spans="1:24" ht="15">
      <c r="A428" s="4">
        <f>+A427+1</f>
        <v>20</v>
      </c>
      <c r="B428" s="5" t="s">
        <v>36</v>
      </c>
      <c r="C428" s="22" t="s">
        <v>38</v>
      </c>
      <c r="D428" s="18">
        <v>1328429</v>
      </c>
      <c r="E428" s="18" t="s">
        <v>0</v>
      </c>
      <c r="F428" s="18">
        <v>371402</v>
      </c>
      <c r="G428" s="18">
        <f>D428-F428</f>
        <v>957027</v>
      </c>
      <c r="I428" s="18">
        <v>-10</v>
      </c>
      <c r="J428" s="31">
        <v>2011</v>
      </c>
      <c r="K428" s="18">
        <v>-1707</v>
      </c>
      <c r="L428" s="18">
        <v>0</v>
      </c>
      <c r="M428" s="18">
        <v>-266482</v>
      </c>
      <c r="N428" s="18">
        <v>17056</v>
      </c>
      <c r="O428" s="18">
        <v>0</v>
      </c>
      <c r="P428" s="42"/>
      <c r="Q428" s="31">
        <v>0</v>
      </c>
      <c r="R428" s="18">
        <v>0</v>
      </c>
      <c r="S428" s="18"/>
      <c r="T428" s="18">
        <v>0</v>
      </c>
      <c r="U428" s="42"/>
      <c r="V428" s="31">
        <f>+D428+I428+L428+M428+N428+O428+Q428+R428+T428</f>
        <v>1078993</v>
      </c>
      <c r="W428" s="18">
        <f>+F428+J428</f>
        <v>373413</v>
      </c>
      <c r="X428" s="18">
        <f>+V428-W428</f>
        <v>705580</v>
      </c>
    </row>
    <row r="429" spans="1:24" ht="15">
      <c r="A429" s="4">
        <f>+A428+1</f>
        <v>21</v>
      </c>
      <c r="B429" s="24" t="s">
        <v>46</v>
      </c>
      <c r="C429" s="40" t="s">
        <v>78</v>
      </c>
      <c r="D429" s="18">
        <f>+D427-D428</f>
        <v>549</v>
      </c>
      <c r="E429" s="18"/>
      <c r="F429" s="18">
        <f>+F427-F428</f>
        <v>10417</v>
      </c>
      <c r="G429" s="18">
        <f>+G427-G428</f>
        <v>-9868</v>
      </c>
      <c r="I429" s="18">
        <f aca="true" t="shared" si="54" ref="I429:O429">+I427-I428</f>
        <v>0</v>
      </c>
      <c r="J429" s="18">
        <f t="shared" si="54"/>
        <v>7</v>
      </c>
      <c r="K429" s="18">
        <f t="shared" si="54"/>
        <v>-321</v>
      </c>
      <c r="L429" s="18">
        <f t="shared" si="54"/>
        <v>0</v>
      </c>
      <c r="M429" s="18">
        <f t="shared" si="54"/>
        <v>0</v>
      </c>
      <c r="N429" s="18">
        <f t="shared" si="54"/>
        <v>0</v>
      </c>
      <c r="O429" s="18">
        <f t="shared" si="54"/>
        <v>0</v>
      </c>
      <c r="P429" s="42"/>
      <c r="Q429" s="18">
        <f>+Q427-Q428</f>
        <v>0</v>
      </c>
      <c r="R429" s="18">
        <f>+R427-R428</f>
        <v>0</v>
      </c>
      <c r="S429" s="18"/>
      <c r="T429" s="18">
        <f>+T427-T428</f>
        <v>0</v>
      </c>
      <c r="U429" s="42"/>
      <c r="V429" s="31">
        <f>+V427-V428</f>
        <v>549</v>
      </c>
      <c r="W429" s="31">
        <f>+W427-W428</f>
        <v>10424</v>
      </c>
      <c r="X429" s="18">
        <f>+X427-X428</f>
        <v>-9875</v>
      </c>
    </row>
    <row r="430" spans="1:24" ht="28.5">
      <c r="A430" s="4">
        <f>+A429+1</f>
        <v>22</v>
      </c>
      <c r="B430" s="88" t="s">
        <v>182</v>
      </c>
      <c r="C430" s="11"/>
      <c r="D430" s="18">
        <v>0</v>
      </c>
      <c r="E430" s="18"/>
      <c r="F430" s="18">
        <v>0</v>
      </c>
      <c r="G430" s="18">
        <f>+D430-F430</f>
        <v>0</v>
      </c>
      <c r="I430" s="18">
        <v>0</v>
      </c>
      <c r="J430" s="18">
        <v>0</v>
      </c>
      <c r="K430" s="18">
        <f>+I430-J430</f>
        <v>0</v>
      </c>
      <c r="L430" s="18">
        <v>0</v>
      </c>
      <c r="M430" s="18">
        <v>0</v>
      </c>
      <c r="N430" s="18">
        <f>+L430-M430</f>
        <v>0</v>
      </c>
      <c r="O430" s="18">
        <v>0</v>
      </c>
      <c r="P430" s="42"/>
      <c r="Q430" s="18">
        <v>0</v>
      </c>
      <c r="R430" s="18">
        <v>0</v>
      </c>
      <c r="S430" s="18"/>
      <c r="T430" s="18">
        <v>0</v>
      </c>
      <c r="U430" s="42"/>
      <c r="V430" s="31">
        <f>+D430+I430+L430+M430+N430+O430+Q430+R430+T430</f>
        <v>0</v>
      </c>
      <c r="W430" s="18">
        <f>+F430+J430</f>
        <v>0</v>
      </c>
      <c r="X430" s="18">
        <f>+V430-W430</f>
        <v>0</v>
      </c>
    </row>
    <row r="431" spans="1:24" ht="24.75">
      <c r="A431" s="4">
        <f>+A430+1</f>
        <v>23</v>
      </c>
      <c r="B431" s="89" t="s">
        <v>39</v>
      </c>
      <c r="C431" s="40"/>
      <c r="D431" s="27">
        <v>-49338</v>
      </c>
      <c r="E431" s="18" t="s">
        <v>0</v>
      </c>
      <c r="F431" s="27">
        <v>396924</v>
      </c>
      <c r="G431" s="18">
        <f>D431-F431</f>
        <v>-446262</v>
      </c>
      <c r="I431" s="27">
        <v>0</v>
      </c>
      <c r="J431" s="27">
        <v>0</v>
      </c>
      <c r="K431" s="18">
        <f>+I431-J431</f>
        <v>0</v>
      </c>
      <c r="L431" s="18">
        <v>0</v>
      </c>
      <c r="M431" s="18">
        <v>-134790</v>
      </c>
      <c r="N431" s="18">
        <v>19304</v>
      </c>
      <c r="O431" s="27">
        <v>-20251</v>
      </c>
      <c r="P431" s="42"/>
      <c r="Q431" s="50">
        <v>0</v>
      </c>
      <c r="R431" s="21">
        <v>0</v>
      </c>
      <c r="S431" s="18"/>
      <c r="T431" s="18">
        <v>0</v>
      </c>
      <c r="U431" s="42"/>
      <c r="V431" s="31">
        <f>+D431+I431+M431+N431+L431+O431+Q431+R431+T431</f>
        <v>-185075</v>
      </c>
      <c r="W431" s="18">
        <f>+F431+J431</f>
        <v>396924</v>
      </c>
      <c r="X431" s="36">
        <f>+V431-W431</f>
        <v>-581999</v>
      </c>
    </row>
    <row r="432" spans="1:24" ht="15">
      <c r="A432" s="6" t="s">
        <v>41</v>
      </c>
      <c r="B432" s="41"/>
      <c r="C432" s="40"/>
      <c r="D432" s="18"/>
      <c r="E432" s="18"/>
      <c r="F432" s="18" t="s">
        <v>0</v>
      </c>
      <c r="G432" s="18"/>
      <c r="I432" s="18"/>
      <c r="J432" s="18"/>
      <c r="K432" s="18"/>
      <c r="L432" s="18"/>
      <c r="M432" s="18"/>
      <c r="N432" s="18"/>
      <c r="O432" s="18"/>
      <c r="P432" s="42"/>
      <c r="Q432" s="18"/>
      <c r="R432" s="18"/>
      <c r="S432" s="18"/>
      <c r="T432" s="18"/>
      <c r="U432" s="42"/>
      <c r="V432" s="30"/>
      <c r="W432" s="30"/>
      <c r="X432" s="36"/>
    </row>
    <row r="433" spans="1:24" ht="15">
      <c r="A433" s="4">
        <f>+A431+1</f>
        <v>24</v>
      </c>
      <c r="B433" s="5" t="s">
        <v>42</v>
      </c>
      <c r="C433" s="22" t="s">
        <v>38</v>
      </c>
      <c r="D433" s="18">
        <v>1264525</v>
      </c>
      <c r="E433" s="18" t="s">
        <v>0</v>
      </c>
      <c r="F433" s="18">
        <v>362129</v>
      </c>
      <c r="G433" s="18">
        <f>D433-F433</f>
        <v>902396</v>
      </c>
      <c r="I433" s="18">
        <v>-43</v>
      </c>
      <c r="J433" s="26">
        <v>444</v>
      </c>
      <c r="K433" s="18">
        <f>+I433-J433</f>
        <v>-487</v>
      </c>
      <c r="L433" s="18">
        <v>39694</v>
      </c>
      <c r="M433" s="18">
        <v>-196929</v>
      </c>
      <c r="N433" s="18">
        <v>15763</v>
      </c>
      <c r="O433" s="18">
        <v>0</v>
      </c>
      <c r="P433" s="42"/>
      <c r="Q433" s="31">
        <v>0</v>
      </c>
      <c r="R433" s="18">
        <v>0</v>
      </c>
      <c r="S433" s="18" t="s">
        <v>0</v>
      </c>
      <c r="T433" s="18">
        <v>-4</v>
      </c>
      <c r="U433" s="42"/>
      <c r="V433" s="31">
        <f>+D433+I433+L433+M433+N433+O433+Q433+R433+T433</f>
        <v>1123006</v>
      </c>
      <c r="W433" s="18">
        <f>+F433+J433</f>
        <v>362573</v>
      </c>
      <c r="X433" s="18">
        <f>+V433-W433</f>
        <v>760433</v>
      </c>
    </row>
    <row r="434" spans="1:24" ht="15">
      <c r="A434" s="4">
        <f>+A433+1</f>
        <v>25</v>
      </c>
      <c r="B434" s="5" t="s">
        <v>43</v>
      </c>
      <c r="C434" s="11"/>
      <c r="D434" s="18"/>
      <c r="E434" s="18"/>
      <c r="F434" s="18">
        <v>0</v>
      </c>
      <c r="G434" s="18">
        <f>+D434-F434</f>
        <v>0</v>
      </c>
      <c r="I434" s="18">
        <v>0</v>
      </c>
      <c r="J434" s="18">
        <v>0</v>
      </c>
      <c r="K434" s="18">
        <f>+I434-J434</f>
        <v>0</v>
      </c>
      <c r="L434" s="18">
        <v>0</v>
      </c>
      <c r="M434" s="18">
        <v>0</v>
      </c>
      <c r="N434" s="18">
        <f>+L434-M434</f>
        <v>0</v>
      </c>
      <c r="O434" s="18">
        <v>0</v>
      </c>
      <c r="P434" s="42"/>
      <c r="Q434" s="18">
        <v>0</v>
      </c>
      <c r="R434" s="18">
        <v>0</v>
      </c>
      <c r="S434" s="18"/>
      <c r="T434" s="18">
        <v>0</v>
      </c>
      <c r="U434" s="42"/>
      <c r="V434" s="31">
        <f>+D434+I434+L434+O434+Q434+R434+T434</f>
        <v>0</v>
      </c>
      <c r="W434" s="18">
        <f>+F434+J434+M434</f>
        <v>0</v>
      </c>
      <c r="X434" s="18">
        <f>+V434-W434</f>
        <v>0</v>
      </c>
    </row>
    <row r="435" spans="1:24" ht="26.25">
      <c r="A435" s="4">
        <f>+A434+1</f>
        <v>26</v>
      </c>
      <c r="B435" s="24" t="s">
        <v>79</v>
      </c>
      <c r="C435" s="11"/>
      <c r="D435" s="18">
        <f>+D433-D434</f>
        <v>1264525</v>
      </c>
      <c r="E435" s="18"/>
      <c r="F435" s="18">
        <f>+F433-F434</f>
        <v>362129</v>
      </c>
      <c r="G435" s="18">
        <f>+G433-G434</f>
        <v>902396</v>
      </c>
      <c r="I435" s="18">
        <f aca="true" t="shared" si="55" ref="I435:N435">+I433-I434</f>
        <v>-43</v>
      </c>
      <c r="J435" s="18">
        <f t="shared" si="55"/>
        <v>444</v>
      </c>
      <c r="K435" s="18">
        <f t="shared" si="55"/>
        <v>-487</v>
      </c>
      <c r="L435" s="18">
        <f t="shared" si="55"/>
        <v>39694</v>
      </c>
      <c r="M435" s="18">
        <f t="shared" si="55"/>
        <v>-196929</v>
      </c>
      <c r="N435" s="18">
        <f t="shared" si="55"/>
        <v>15763</v>
      </c>
      <c r="O435" s="18">
        <v>0</v>
      </c>
      <c r="P435" s="42"/>
      <c r="Q435" s="18">
        <f>+Q433-Q434</f>
        <v>0</v>
      </c>
      <c r="R435" s="18">
        <f>+R433-R434</f>
        <v>0</v>
      </c>
      <c r="S435" s="18"/>
      <c r="T435" s="18">
        <f>+T433-T434</f>
        <v>-4</v>
      </c>
      <c r="U435" s="42"/>
      <c r="V435" s="27">
        <f>+V433-V434</f>
        <v>1123006</v>
      </c>
      <c r="W435" s="27">
        <f>+W433-W434</f>
        <v>362573</v>
      </c>
      <c r="X435" s="31">
        <f>+X433-X434</f>
        <v>760433</v>
      </c>
    </row>
    <row r="436" spans="1:24" ht="28.5">
      <c r="A436" s="4">
        <f>+A435+1</f>
        <v>27</v>
      </c>
      <c r="B436" s="88" t="s">
        <v>181</v>
      </c>
      <c r="C436" s="11"/>
      <c r="D436" s="18">
        <v>0</v>
      </c>
      <c r="E436" s="18"/>
      <c r="F436" s="18">
        <v>0</v>
      </c>
      <c r="G436" s="18">
        <f>+D436-F436</f>
        <v>0</v>
      </c>
      <c r="I436" s="18">
        <v>0</v>
      </c>
      <c r="J436" s="18">
        <v>0</v>
      </c>
      <c r="K436" s="18">
        <f>+I436-J436</f>
        <v>0</v>
      </c>
      <c r="L436" s="18">
        <v>0</v>
      </c>
      <c r="M436" s="18">
        <v>0</v>
      </c>
      <c r="N436" s="18">
        <f>+L436-M436</f>
        <v>0</v>
      </c>
      <c r="O436" s="18">
        <v>0</v>
      </c>
      <c r="P436" s="42"/>
      <c r="Q436" s="18">
        <v>0</v>
      </c>
      <c r="R436" s="18">
        <v>0</v>
      </c>
      <c r="S436" s="18"/>
      <c r="T436" s="18">
        <v>0</v>
      </c>
      <c r="U436" s="42"/>
      <c r="V436" s="31">
        <f>+D436+I436+L436+O436+Q436+R436+T436</f>
        <v>0</v>
      </c>
      <c r="W436" s="18">
        <f>+F436+J436+M436</f>
        <v>0</v>
      </c>
      <c r="X436" s="18">
        <f>+V436-W436</f>
        <v>0</v>
      </c>
    </row>
    <row r="437" spans="1:24" ht="15">
      <c r="A437" s="4">
        <f>+A436+1</f>
        <v>28</v>
      </c>
      <c r="B437" s="24" t="s">
        <v>46</v>
      </c>
      <c r="C437" s="11" t="s">
        <v>47</v>
      </c>
      <c r="D437" s="51">
        <f>+D429+D430+D435+D436+D431</f>
        <v>1215736</v>
      </c>
      <c r="E437" s="18"/>
      <c r="F437" s="52">
        <f>+F429+F430+F435+F436+F431</f>
        <v>769470</v>
      </c>
      <c r="G437" s="18">
        <f>+G429+G430+G435+G436+G431</f>
        <v>446266</v>
      </c>
      <c r="I437" s="51">
        <f aca="true" t="shared" si="56" ref="I437:O437">+I429+I430+I435+I436+I431</f>
        <v>-43</v>
      </c>
      <c r="J437" s="52">
        <f t="shared" si="56"/>
        <v>451</v>
      </c>
      <c r="K437" s="18">
        <f t="shared" si="56"/>
        <v>-808</v>
      </c>
      <c r="L437" s="18">
        <f t="shared" si="56"/>
        <v>39694</v>
      </c>
      <c r="M437" s="18">
        <f t="shared" si="56"/>
        <v>-331719</v>
      </c>
      <c r="N437" s="18">
        <f t="shared" si="56"/>
        <v>35067</v>
      </c>
      <c r="O437" s="18">
        <f t="shared" si="56"/>
        <v>-20251</v>
      </c>
      <c r="P437" s="42"/>
      <c r="Q437" s="18">
        <f>+Q429+Q430+Q435+Q436+Q431</f>
        <v>0</v>
      </c>
      <c r="R437" s="18">
        <f>+R429+R430+R435+R436+R431</f>
        <v>0</v>
      </c>
      <c r="S437" s="18"/>
      <c r="T437" s="18">
        <f>+T429+T430+T435+T436+T431</f>
        <v>-4</v>
      </c>
      <c r="U437" s="42"/>
      <c r="V437" s="18">
        <f>+V429+V430+V435+V436+V431</f>
        <v>938480</v>
      </c>
      <c r="W437" s="18">
        <f>+W429+W430+W435+W436+W431</f>
        <v>769921</v>
      </c>
      <c r="X437" s="18">
        <f>+X429+X430+X435+X436+X431</f>
        <v>168559</v>
      </c>
    </row>
    <row r="438" spans="1:24" ht="15">
      <c r="A438" s="4"/>
      <c r="B438" s="24"/>
      <c r="C438" s="11"/>
      <c r="D438" s="18"/>
      <c r="E438" s="18"/>
      <c r="F438" s="18"/>
      <c r="G438" s="18"/>
      <c r="I438" s="18"/>
      <c r="J438" s="18"/>
      <c r="K438" s="18"/>
      <c r="L438" s="18"/>
      <c r="M438" s="42"/>
      <c r="N438" s="42"/>
      <c r="O438" s="42"/>
      <c r="P438" s="42"/>
      <c r="Q438" s="42"/>
      <c r="U438" s="42"/>
      <c r="V438" s="18"/>
      <c r="W438" s="18"/>
      <c r="X438" s="18"/>
    </row>
    <row r="439" spans="1:24" ht="15">
      <c r="A439" s="4"/>
      <c r="B439" s="24"/>
      <c r="C439" s="11"/>
      <c r="D439" s="6" t="s">
        <v>48</v>
      </c>
      <c r="E439" s="6"/>
      <c r="F439" s="10" t="s">
        <v>49</v>
      </c>
      <c r="G439" s="10" t="s">
        <v>50</v>
      </c>
      <c r="I439" s="10" t="s">
        <v>51</v>
      </c>
      <c r="J439" s="10" t="s">
        <v>52</v>
      </c>
      <c r="K439" s="10" t="s">
        <v>53</v>
      </c>
      <c r="L439" s="10" t="s">
        <v>54</v>
      </c>
      <c r="M439" s="10" t="s">
        <v>55</v>
      </c>
      <c r="N439" s="10" t="s">
        <v>56</v>
      </c>
      <c r="O439" s="10" t="s">
        <v>57</v>
      </c>
      <c r="P439" s="18"/>
      <c r="Q439" s="10" t="s">
        <v>58</v>
      </c>
      <c r="R439" s="10" t="s">
        <v>59</v>
      </c>
      <c r="S439" s="10"/>
      <c r="T439" s="10" t="s">
        <v>60</v>
      </c>
      <c r="U439" s="18"/>
      <c r="V439" s="10" t="s">
        <v>61</v>
      </c>
      <c r="W439" s="10" t="s">
        <v>62</v>
      </c>
      <c r="X439" s="10" t="s">
        <v>63</v>
      </c>
    </row>
    <row r="440" spans="1:24" ht="15">
      <c r="A440" s="4"/>
      <c r="B440" s="24"/>
      <c r="C440" s="11"/>
      <c r="D440" s="14" t="s">
        <v>20</v>
      </c>
      <c r="E440" s="18"/>
      <c r="F440" s="14" t="s">
        <v>20</v>
      </c>
      <c r="G440" s="14" t="s">
        <v>20</v>
      </c>
      <c r="I440" s="14" t="s">
        <v>20</v>
      </c>
      <c r="J440" s="14" t="s">
        <v>21</v>
      </c>
      <c r="K440" s="14" t="s">
        <v>21</v>
      </c>
      <c r="L440" s="14" t="s">
        <v>21</v>
      </c>
      <c r="M440" s="14" t="s">
        <v>21</v>
      </c>
      <c r="N440" s="14" t="s">
        <v>21</v>
      </c>
      <c r="O440" s="14" t="s">
        <v>21</v>
      </c>
      <c r="P440" s="14"/>
      <c r="Q440" s="14" t="s">
        <v>21</v>
      </c>
      <c r="R440" s="14" t="s">
        <v>21</v>
      </c>
      <c r="T440" s="14" t="s">
        <v>21</v>
      </c>
      <c r="U440" s="42"/>
      <c r="V440" s="18"/>
      <c r="W440" s="39" t="s">
        <v>123</v>
      </c>
      <c r="X440" s="18"/>
    </row>
    <row r="441" spans="1:24" ht="15">
      <c r="A441" s="4"/>
      <c r="B441" s="87" t="s">
        <v>183</v>
      </c>
      <c r="C441" s="11"/>
      <c r="D441" s="53" t="s">
        <v>124</v>
      </c>
      <c r="E441" s="18"/>
      <c r="F441" s="53" t="s">
        <v>125</v>
      </c>
      <c r="G441" s="53" t="s">
        <v>126</v>
      </c>
      <c r="I441" s="53" t="s">
        <v>127</v>
      </c>
      <c r="J441" s="53" t="s">
        <v>128</v>
      </c>
      <c r="K441" s="53" t="s">
        <v>129</v>
      </c>
      <c r="L441" s="53" t="s">
        <v>130</v>
      </c>
      <c r="M441" s="53" t="s">
        <v>131</v>
      </c>
      <c r="N441" s="24" t="s">
        <v>132</v>
      </c>
      <c r="O441" s="24" t="s">
        <v>98</v>
      </c>
      <c r="P441" s="24"/>
      <c r="Q441" s="24" t="s">
        <v>99</v>
      </c>
      <c r="R441" s="24" t="s">
        <v>133</v>
      </c>
      <c r="S441" s="42"/>
      <c r="T441" s="24" t="s">
        <v>134</v>
      </c>
      <c r="U441" s="42"/>
      <c r="V441" s="10" t="s">
        <v>20</v>
      </c>
      <c r="W441" s="10" t="s">
        <v>21</v>
      </c>
      <c r="X441" s="10" t="s">
        <v>22</v>
      </c>
    </row>
    <row r="442" spans="1:24" ht="15">
      <c r="A442" s="4"/>
      <c r="B442" s="24"/>
      <c r="C442" s="11"/>
      <c r="D442" s="18"/>
      <c r="E442" s="18"/>
      <c r="F442" s="18"/>
      <c r="I442" s="18"/>
      <c r="J442" s="18"/>
      <c r="O442" s="42"/>
      <c r="P442" s="42"/>
      <c r="Q442" s="42"/>
      <c r="R442" s="42"/>
      <c r="S442" s="42"/>
      <c r="T442" s="42"/>
      <c r="U442" s="42"/>
      <c r="V442" s="18"/>
      <c r="W442" s="39"/>
      <c r="X442" s="18"/>
    </row>
    <row r="443" spans="1:24" ht="15">
      <c r="A443" s="4">
        <f>+A437+1</f>
        <v>29</v>
      </c>
      <c r="B443" s="5" t="s">
        <v>36</v>
      </c>
      <c r="C443" s="17" t="s">
        <v>37</v>
      </c>
      <c r="D443" s="18">
        <v>0</v>
      </c>
      <c r="E443" s="18"/>
      <c r="F443" s="18">
        <v>0</v>
      </c>
      <c r="G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/>
      <c r="Q443" s="18">
        <v>0</v>
      </c>
      <c r="R443" s="18">
        <v>0</v>
      </c>
      <c r="S443" s="42"/>
      <c r="T443" s="18">
        <v>0</v>
      </c>
      <c r="U443" s="42"/>
      <c r="V443" s="18">
        <f>+V427+D443+F443+G443+I443</f>
        <v>1079542</v>
      </c>
      <c r="W443" s="18">
        <f>+W427+J443+K443+L443+M443+N443+O443+Q443+R443+T443</f>
        <v>383837</v>
      </c>
      <c r="X443" s="18">
        <f>+V443-W443</f>
        <v>695705</v>
      </c>
    </row>
    <row r="444" spans="1:24" ht="15">
      <c r="A444" s="4">
        <f>+A443+1</f>
        <v>30</v>
      </c>
      <c r="B444" s="5" t="s">
        <v>36</v>
      </c>
      <c r="C444" s="22" t="s">
        <v>38</v>
      </c>
      <c r="D444" s="18">
        <v>0</v>
      </c>
      <c r="E444" s="18"/>
      <c r="F444" s="18">
        <v>0</v>
      </c>
      <c r="G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/>
      <c r="Q444" s="18">
        <v>0</v>
      </c>
      <c r="R444" s="18">
        <v>0</v>
      </c>
      <c r="S444" s="42"/>
      <c r="T444" s="18">
        <v>0</v>
      </c>
      <c r="U444" s="42"/>
      <c r="V444" s="18">
        <f>+V428+D444+F444+G444+I444</f>
        <v>1078993</v>
      </c>
      <c r="W444" s="18">
        <f>+W428+J444+K444+L444+M444+N444+O444+Q444+R444+T444</f>
        <v>373413</v>
      </c>
      <c r="X444" s="18">
        <f>+V444-W444</f>
        <v>705580</v>
      </c>
    </row>
    <row r="445" spans="1:24" ht="15">
      <c r="A445" s="4">
        <f>+A444+1</f>
        <v>31</v>
      </c>
      <c r="B445" s="24" t="s">
        <v>46</v>
      </c>
      <c r="C445" s="40" t="s">
        <v>78</v>
      </c>
      <c r="D445" s="18">
        <f>+D443-D444</f>
        <v>0</v>
      </c>
      <c r="E445" s="18"/>
      <c r="F445" s="18">
        <f>+F443-F444</f>
        <v>0</v>
      </c>
      <c r="G445" s="18">
        <f>+G443-G444</f>
        <v>0</v>
      </c>
      <c r="I445" s="18">
        <f aca="true" t="shared" si="57" ref="I445:O445">+I443-I444</f>
        <v>0</v>
      </c>
      <c r="J445" s="18">
        <f t="shared" si="57"/>
        <v>0</v>
      </c>
      <c r="K445" s="18">
        <f t="shared" si="57"/>
        <v>0</v>
      </c>
      <c r="L445" s="18">
        <f t="shared" si="57"/>
        <v>0</v>
      </c>
      <c r="M445" s="18">
        <f t="shared" si="57"/>
        <v>0</v>
      </c>
      <c r="N445" s="18">
        <f t="shared" si="57"/>
        <v>0</v>
      </c>
      <c r="O445" s="18">
        <f t="shared" si="57"/>
        <v>0</v>
      </c>
      <c r="P445" s="18"/>
      <c r="Q445" s="18">
        <f>+Q443-Q444</f>
        <v>0</v>
      </c>
      <c r="R445" s="18">
        <f>+R443-R444</f>
        <v>0</v>
      </c>
      <c r="S445" s="42"/>
      <c r="T445" s="18">
        <f>+T443-T444</f>
        <v>0</v>
      </c>
      <c r="U445" s="42"/>
      <c r="V445" s="27">
        <f>+V443-V444</f>
        <v>549</v>
      </c>
      <c r="W445" s="27">
        <f>+W443-W444</f>
        <v>10424</v>
      </c>
      <c r="X445" s="18">
        <f>+X443-X444</f>
        <v>-9875</v>
      </c>
    </row>
    <row r="446" spans="1:24" ht="28.5">
      <c r="A446" s="4">
        <f>+A445+1</f>
        <v>32</v>
      </c>
      <c r="B446" s="88" t="s">
        <v>182</v>
      </c>
      <c r="C446" s="11"/>
      <c r="D446" s="18">
        <v>0</v>
      </c>
      <c r="E446" s="18"/>
      <c r="F446" s="18">
        <v>0</v>
      </c>
      <c r="G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/>
      <c r="Q446" s="18">
        <v>0</v>
      </c>
      <c r="R446" s="18">
        <v>0</v>
      </c>
      <c r="S446" s="42"/>
      <c r="T446" s="18">
        <v>0</v>
      </c>
      <c r="U446" s="42"/>
      <c r="V446" s="18">
        <f>+V430+D446+F446+G446+I446</f>
        <v>0</v>
      </c>
      <c r="W446" s="18">
        <f>+W430+J446+K446+L446+M446+N446+O446+Q446+R446+T446</f>
        <v>0</v>
      </c>
      <c r="X446" s="18">
        <f>+V446-W446</f>
        <v>0</v>
      </c>
    </row>
    <row r="447" spans="1:24" ht="24.75">
      <c r="A447" s="4">
        <f>+A446+1</f>
        <v>33</v>
      </c>
      <c r="B447" s="89" t="s">
        <v>39</v>
      </c>
      <c r="C447" s="40"/>
      <c r="D447" s="27">
        <v>5455</v>
      </c>
      <c r="E447" s="18"/>
      <c r="F447" s="27">
        <v>-1147</v>
      </c>
      <c r="G447" s="27">
        <v>-6590</v>
      </c>
      <c r="H447" t="s">
        <v>0</v>
      </c>
      <c r="I447" s="27">
        <v>0</v>
      </c>
      <c r="J447" s="27">
        <v>-100</v>
      </c>
      <c r="K447" s="27">
        <v>0</v>
      </c>
      <c r="L447" s="27">
        <v>0</v>
      </c>
      <c r="M447" s="18">
        <v>0</v>
      </c>
      <c r="N447" s="18">
        <v>0</v>
      </c>
      <c r="O447" s="18">
        <v>0</v>
      </c>
      <c r="P447" s="18"/>
      <c r="Q447" s="18">
        <v>0</v>
      </c>
      <c r="R447" s="18">
        <v>0</v>
      </c>
      <c r="S447" s="42"/>
      <c r="T447" s="18">
        <v>4019</v>
      </c>
      <c r="U447" s="42"/>
      <c r="V447" s="18">
        <f>+V431+D447+F447+G447+I447</f>
        <v>-187357</v>
      </c>
      <c r="W447" s="18">
        <f>+W431+J447+K447+L447+M447+N447+O447+Q447+R447+T447</f>
        <v>400843</v>
      </c>
      <c r="X447" s="36">
        <f>+V447-W447</f>
        <v>-588200</v>
      </c>
    </row>
    <row r="448" spans="1:24" ht="15">
      <c r="A448" s="6" t="s">
        <v>41</v>
      </c>
      <c r="B448" s="41"/>
      <c r="C448" s="40"/>
      <c r="D448" s="18"/>
      <c r="E448" s="18"/>
      <c r="F448" s="18"/>
      <c r="G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42"/>
      <c r="T448" s="18"/>
      <c r="U448" s="42"/>
      <c r="V448" s="18"/>
      <c r="W448" s="54"/>
      <c r="X448" s="36"/>
    </row>
    <row r="449" spans="1:24" ht="15">
      <c r="A449" s="4">
        <f>+A447+1</f>
        <v>34</v>
      </c>
      <c r="B449" s="5" t="s">
        <v>42</v>
      </c>
      <c r="C449" s="22" t="s">
        <v>38</v>
      </c>
      <c r="D449" s="18">
        <v>0</v>
      </c>
      <c r="E449" s="18"/>
      <c r="F449" s="18">
        <v>0</v>
      </c>
      <c r="G449" s="18">
        <v>0</v>
      </c>
      <c r="I449" s="18">
        <v>0</v>
      </c>
      <c r="J449" s="18">
        <v>0</v>
      </c>
      <c r="K449" s="18">
        <v>0</v>
      </c>
      <c r="L449" s="18"/>
      <c r="M449" s="18">
        <v>0</v>
      </c>
      <c r="N449" s="18">
        <v>0</v>
      </c>
      <c r="O449" s="18">
        <v>0</v>
      </c>
      <c r="P449" s="18"/>
      <c r="Q449" s="18">
        <v>0</v>
      </c>
      <c r="R449" s="18">
        <v>0</v>
      </c>
      <c r="S449" s="42"/>
      <c r="T449" s="18">
        <v>0</v>
      </c>
      <c r="U449" s="42"/>
      <c r="V449" s="18">
        <f>+V433+D449+F449+G449+I449</f>
        <v>1123006</v>
      </c>
      <c r="W449" s="18">
        <f>+W433+J449+K449+L449+M449+N449+O449+Q449+R449+T449</f>
        <v>362573</v>
      </c>
      <c r="X449" s="18">
        <f>+V449-W449</f>
        <v>760433</v>
      </c>
    </row>
    <row r="450" spans="1:24" ht="15">
      <c r="A450" s="4">
        <f>+A449+1</f>
        <v>35</v>
      </c>
      <c r="B450" s="5" t="s">
        <v>43</v>
      </c>
      <c r="C450" s="11"/>
      <c r="D450" s="18">
        <v>0</v>
      </c>
      <c r="E450" s="18"/>
      <c r="F450" s="18">
        <v>0</v>
      </c>
      <c r="G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/>
      <c r="Q450" s="18">
        <v>0</v>
      </c>
      <c r="R450" s="18">
        <v>0</v>
      </c>
      <c r="S450" s="42"/>
      <c r="T450" s="18">
        <v>0</v>
      </c>
      <c r="U450" s="42"/>
      <c r="V450" s="18">
        <f>+V434+D450+F450+G450+I450</f>
        <v>0</v>
      </c>
      <c r="W450" s="18">
        <f>+W434+J450+K450+L450+M450+N450+O450+Q450+R450+T450</f>
        <v>0</v>
      </c>
      <c r="X450" s="18">
        <f>+V450-W450</f>
        <v>0</v>
      </c>
    </row>
    <row r="451" spans="1:24" ht="26.25">
      <c r="A451" s="4">
        <f>+A450+1</f>
        <v>36</v>
      </c>
      <c r="B451" s="24" t="s">
        <v>79</v>
      </c>
      <c r="C451" s="11"/>
      <c r="D451" s="18">
        <f>+D449-D450</f>
        <v>0</v>
      </c>
      <c r="E451" s="18"/>
      <c r="F451" s="18">
        <f>+F449-F450</f>
        <v>0</v>
      </c>
      <c r="G451" s="18">
        <f>+G449-G450</f>
        <v>0</v>
      </c>
      <c r="I451" s="18">
        <f aca="true" t="shared" si="58" ref="I451:O451">+I449-I450</f>
        <v>0</v>
      </c>
      <c r="J451" s="18">
        <f t="shared" si="58"/>
        <v>0</v>
      </c>
      <c r="K451" s="18">
        <f t="shared" si="58"/>
        <v>0</v>
      </c>
      <c r="L451" s="18">
        <f t="shared" si="58"/>
        <v>0</v>
      </c>
      <c r="M451" s="18">
        <f t="shared" si="58"/>
        <v>0</v>
      </c>
      <c r="N451" s="18">
        <f t="shared" si="58"/>
        <v>0</v>
      </c>
      <c r="O451" s="18">
        <f t="shared" si="58"/>
        <v>0</v>
      </c>
      <c r="P451" s="18"/>
      <c r="Q451" s="18">
        <f>+Q449-Q450</f>
        <v>0</v>
      </c>
      <c r="R451" s="18">
        <f>+R449-R450</f>
        <v>0</v>
      </c>
      <c r="S451" s="42"/>
      <c r="T451" s="18">
        <f>+T449-T450</f>
        <v>0</v>
      </c>
      <c r="U451" s="42"/>
      <c r="V451" s="55">
        <f>+V449-V450</f>
        <v>1123006</v>
      </c>
      <c r="W451" s="55">
        <f>+W449-W450</f>
        <v>362573</v>
      </c>
      <c r="X451" s="31">
        <f>+X449-X450</f>
        <v>760433</v>
      </c>
    </row>
    <row r="452" spans="1:24" ht="28.5">
      <c r="A452" s="4">
        <f>+A451+1</f>
        <v>37</v>
      </c>
      <c r="B452" s="88" t="s">
        <v>181</v>
      </c>
      <c r="C452" s="11"/>
      <c r="D452" s="18">
        <v>0</v>
      </c>
      <c r="E452" s="18"/>
      <c r="F452" s="18">
        <v>0</v>
      </c>
      <c r="G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/>
      <c r="Q452" s="18">
        <v>0</v>
      </c>
      <c r="R452" s="18">
        <v>0</v>
      </c>
      <c r="S452" s="42"/>
      <c r="T452" s="18">
        <v>0</v>
      </c>
      <c r="U452" s="42"/>
      <c r="V452" s="18">
        <f>+V436+D452+F452+G452+I452</f>
        <v>0</v>
      </c>
      <c r="W452" s="18">
        <f>+W436+J452+K452+L452+M452+N452+O452+Q452+R452+T452</f>
        <v>0</v>
      </c>
      <c r="X452" s="18">
        <f>+V452-W452</f>
        <v>0</v>
      </c>
    </row>
    <row r="453" spans="1:24" ht="15">
      <c r="A453" s="4">
        <f>+A452+1</f>
        <v>38</v>
      </c>
      <c r="B453" s="24" t="s">
        <v>46</v>
      </c>
      <c r="C453" s="11" t="s">
        <v>47</v>
      </c>
      <c r="D453" s="18">
        <f>+D445+D446+D451+D452+D447</f>
        <v>5455</v>
      </c>
      <c r="E453" s="18"/>
      <c r="F453" s="18">
        <f>+F445+F446+F451+F452+F447</f>
        <v>-1147</v>
      </c>
      <c r="G453" s="18">
        <f>+G445+G446+G451+G452+G447</f>
        <v>-6590</v>
      </c>
      <c r="I453" s="18">
        <f aca="true" t="shared" si="59" ref="I453:O453">+I445+I446+I451+I452+I447</f>
        <v>0</v>
      </c>
      <c r="J453" s="18">
        <f t="shared" si="59"/>
        <v>-100</v>
      </c>
      <c r="K453" s="18">
        <f t="shared" si="59"/>
        <v>0</v>
      </c>
      <c r="L453" s="18">
        <f t="shared" si="59"/>
        <v>0</v>
      </c>
      <c r="M453" s="18">
        <f t="shared" si="59"/>
        <v>0</v>
      </c>
      <c r="N453" s="18">
        <f t="shared" si="59"/>
        <v>0</v>
      </c>
      <c r="O453" s="18">
        <f t="shared" si="59"/>
        <v>0</v>
      </c>
      <c r="P453" s="18"/>
      <c r="Q453" s="18">
        <f>+Q445+Q446+Q451+Q452+Q447</f>
        <v>0</v>
      </c>
      <c r="R453" s="18">
        <f>+R445+R446+R451+R452+R447</f>
        <v>0</v>
      </c>
      <c r="S453" s="42"/>
      <c r="T453" s="18">
        <f>+T445+T446+T451+T452+T447</f>
        <v>4019</v>
      </c>
      <c r="U453" s="42"/>
      <c r="V453" s="18">
        <f>+V445+V446+V451+V452+V447</f>
        <v>936198</v>
      </c>
      <c r="W453" s="18">
        <f>+W445+W446+W451+W452+W447</f>
        <v>773840</v>
      </c>
      <c r="X453" s="18">
        <f>+X445+X446+X451+X452+X447</f>
        <v>162358</v>
      </c>
    </row>
    <row r="454" spans="1:24" ht="15">
      <c r="A454" s="4"/>
      <c r="B454" s="24"/>
      <c r="C454" s="11"/>
      <c r="D454" s="18"/>
      <c r="E454" s="18"/>
      <c r="F454" s="18"/>
      <c r="G454" s="18"/>
      <c r="N454" s="42"/>
      <c r="O454" s="42"/>
      <c r="P454" s="42"/>
      <c r="Q454" s="42"/>
      <c r="R454" s="42"/>
      <c r="S454" s="42"/>
      <c r="T454" s="42"/>
      <c r="U454" s="42"/>
      <c r="V454" s="18"/>
      <c r="W454" s="18"/>
      <c r="X454" s="18"/>
    </row>
    <row r="455" spans="1:24" ht="15">
      <c r="A455" s="4"/>
      <c r="B455" s="24"/>
      <c r="C455" s="11"/>
      <c r="D455" s="18"/>
      <c r="E455" s="18"/>
      <c r="F455" s="18"/>
      <c r="G455" s="18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18"/>
      <c r="W455" s="18"/>
      <c r="X455" s="18"/>
    </row>
    <row r="456" spans="1:24" ht="15">
      <c r="A456" s="4"/>
      <c r="B456" s="24"/>
      <c r="C456" s="11"/>
      <c r="D456" s="18"/>
      <c r="E456" s="18"/>
      <c r="F456" s="18"/>
      <c r="G456" s="18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18"/>
      <c r="W456" s="18"/>
      <c r="X456" s="18"/>
    </row>
    <row r="457" spans="1:24" ht="15">
      <c r="A457" s="4"/>
      <c r="B457" s="24"/>
      <c r="C457" s="11"/>
      <c r="D457" s="18"/>
      <c r="E457" s="18"/>
      <c r="F457" s="18"/>
      <c r="G457" s="18"/>
      <c r="H457" s="56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18"/>
      <c r="W457" s="18"/>
      <c r="X457" s="18"/>
    </row>
    <row r="458" spans="1:24" ht="15">
      <c r="A458" s="4"/>
      <c r="B458" s="24"/>
      <c r="C458" s="11"/>
      <c r="D458" s="18"/>
      <c r="E458" s="18"/>
      <c r="F458" s="18"/>
      <c r="G458" s="18"/>
      <c r="H458" s="56"/>
      <c r="I458" s="57" t="s">
        <v>135</v>
      </c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18"/>
      <c r="W458" s="18"/>
      <c r="X458" s="18"/>
    </row>
    <row r="459" spans="1:24" ht="15">
      <c r="A459" s="4"/>
      <c r="B459" s="24"/>
      <c r="C459" s="11"/>
      <c r="D459" s="18"/>
      <c r="E459" s="18"/>
      <c r="F459" s="18"/>
      <c r="G459" s="18"/>
      <c r="H459" s="56"/>
      <c r="I459" s="58"/>
      <c r="L459" s="42"/>
      <c r="T459" s="42"/>
      <c r="U459" s="42"/>
      <c r="V459" s="18"/>
      <c r="W459" s="18"/>
      <c r="X459" s="18"/>
    </row>
    <row r="460" spans="1:24" ht="15">
      <c r="A460" s="4"/>
      <c r="B460" s="24"/>
      <c r="C460" s="11"/>
      <c r="D460" s="18"/>
      <c r="E460" s="18"/>
      <c r="F460" s="18"/>
      <c r="G460" s="18"/>
      <c r="H460" s="56"/>
      <c r="I460" s="59" t="s">
        <v>136</v>
      </c>
      <c r="L460" s="18">
        <v>9162762</v>
      </c>
      <c r="T460" s="42"/>
      <c r="U460" s="42"/>
      <c r="V460" s="18"/>
      <c r="W460" s="18"/>
      <c r="X460" s="18"/>
    </row>
    <row r="461" spans="1:24" ht="15">
      <c r="A461" s="4"/>
      <c r="B461" s="24"/>
      <c r="C461" s="11"/>
      <c r="D461" s="18"/>
      <c r="E461" s="18"/>
      <c r="F461" s="18"/>
      <c r="G461" s="18"/>
      <c r="H461" s="56"/>
      <c r="I461" s="59"/>
      <c r="L461" s="18"/>
      <c r="T461" s="42"/>
      <c r="U461" s="42"/>
      <c r="V461" s="18"/>
      <c r="W461" s="18"/>
      <c r="X461" s="18"/>
    </row>
    <row r="462" spans="1:24" ht="15">
      <c r="A462" s="4"/>
      <c r="B462" s="24"/>
      <c r="C462" s="11"/>
      <c r="D462" s="44" t="s">
        <v>137</v>
      </c>
      <c r="E462" s="18"/>
      <c r="F462" s="10" t="s">
        <v>138</v>
      </c>
      <c r="G462" s="44" t="s">
        <v>24</v>
      </c>
      <c r="H462" s="56"/>
      <c r="I462" s="59" t="s">
        <v>139</v>
      </c>
      <c r="L462" s="18">
        <v>3811596</v>
      </c>
      <c r="N462" s="6" t="s">
        <v>137</v>
      </c>
      <c r="O462" s="6" t="s">
        <v>137</v>
      </c>
      <c r="P462" s="42"/>
      <c r="Q462" s="6" t="s">
        <v>138</v>
      </c>
      <c r="R462" s="6" t="s">
        <v>138</v>
      </c>
      <c r="S462" s="6"/>
      <c r="T462" s="42"/>
      <c r="U462" s="42"/>
      <c r="V462" s="18"/>
      <c r="W462" s="18"/>
      <c r="X462" s="18"/>
    </row>
    <row r="463" spans="1:24" ht="15">
      <c r="A463" s="4"/>
      <c r="B463" s="24"/>
      <c r="C463" s="11"/>
      <c r="D463" s="18"/>
      <c r="E463" s="18"/>
      <c r="F463" s="18"/>
      <c r="G463" s="18"/>
      <c r="H463" s="56"/>
      <c r="I463" s="59"/>
      <c r="L463" s="18"/>
      <c r="N463" s="8" t="s">
        <v>140</v>
      </c>
      <c r="O463" s="49" t="s">
        <v>141</v>
      </c>
      <c r="P463" s="42"/>
      <c r="Q463" s="8" t="s">
        <v>140</v>
      </c>
      <c r="R463" s="49" t="s">
        <v>141</v>
      </c>
      <c r="S463" s="49"/>
      <c r="T463" s="42"/>
      <c r="U463" s="42"/>
      <c r="V463" s="18"/>
      <c r="W463" s="18"/>
      <c r="X463" s="18"/>
    </row>
    <row r="464" spans="1:24" ht="15">
      <c r="A464" s="4">
        <f>+A452+1</f>
        <v>38</v>
      </c>
      <c r="B464" s="5" t="s">
        <v>36</v>
      </c>
      <c r="C464" s="17" t="s">
        <v>37</v>
      </c>
      <c r="D464" s="31">
        <f>+V405+V443</f>
        <v>8957083</v>
      </c>
      <c r="E464" s="18"/>
      <c r="F464" s="31">
        <f>+W405+W443</f>
        <v>6386704</v>
      </c>
      <c r="G464" s="18">
        <f>+D464-F464</f>
        <v>2570379</v>
      </c>
      <c r="H464" s="56"/>
      <c r="I464" s="59" t="s">
        <v>142</v>
      </c>
      <c r="J464" s="18"/>
      <c r="K464" s="18"/>
      <c r="L464" s="36">
        <f>+F380</f>
        <v>4702532</v>
      </c>
      <c r="N464" s="60"/>
      <c r="O464" s="6"/>
      <c r="P464" s="42"/>
      <c r="Q464" s="61"/>
      <c r="R464" s="61"/>
      <c r="S464" s="61"/>
      <c r="T464" s="42"/>
      <c r="U464" s="42"/>
      <c r="V464" s="18"/>
      <c r="W464" s="18"/>
      <c r="X464" s="18"/>
    </row>
    <row r="465" spans="1:21" ht="15">
      <c r="A465" s="4">
        <f>+A464+1</f>
        <v>39</v>
      </c>
      <c r="B465" s="5" t="s">
        <v>36</v>
      </c>
      <c r="C465" s="22" t="s">
        <v>38</v>
      </c>
      <c r="D465" s="31">
        <f>+V406+V444</f>
        <v>8970678</v>
      </c>
      <c r="E465" s="18"/>
      <c r="F465" s="31">
        <f>+W406+W444</f>
        <v>6326771</v>
      </c>
      <c r="G465" s="18">
        <f>+D465-F465</f>
        <v>2643907</v>
      </c>
      <c r="H465" s="56"/>
      <c r="I465" s="58"/>
      <c r="J465" s="18"/>
      <c r="K465" s="18"/>
      <c r="L465" s="60"/>
      <c r="N465" s="62">
        <f>+D466</f>
        <v>-13595</v>
      </c>
      <c r="O465" s="63">
        <f>+D472</f>
        <v>6865802</v>
      </c>
      <c r="P465" s="42"/>
      <c r="Q465" s="31">
        <f>+F372</f>
        <v>49509</v>
      </c>
      <c r="R465" s="31">
        <f>+F374</f>
        <v>0</v>
      </c>
      <c r="S465" s="31"/>
      <c r="T465" s="42"/>
      <c r="U465" s="42"/>
    </row>
    <row r="466" spans="1:25" ht="15">
      <c r="A466" s="4">
        <f>+A465+1</f>
        <v>40</v>
      </c>
      <c r="B466" s="24" t="s">
        <v>46</v>
      </c>
      <c r="C466" s="40" t="s">
        <v>78</v>
      </c>
      <c r="D466" s="26">
        <f>+D464-D465</f>
        <v>-13595</v>
      </c>
      <c r="E466" s="18"/>
      <c r="F466" s="26">
        <f>+F464-F465</f>
        <v>59933</v>
      </c>
      <c r="G466" s="18">
        <f>+G464-G465</f>
        <v>-73528</v>
      </c>
      <c r="H466" s="56"/>
      <c r="I466" s="58" t="s">
        <v>143</v>
      </c>
      <c r="J466" s="18"/>
      <c r="K466" s="18"/>
      <c r="L466">
        <v>0</v>
      </c>
      <c r="N466" s="62">
        <f>+D467</f>
        <v>0</v>
      </c>
      <c r="O466" s="63">
        <f>+D473</f>
        <v>0</v>
      </c>
      <c r="P466" s="42"/>
      <c r="Q466" s="31">
        <f>+F373</f>
        <v>0</v>
      </c>
      <c r="R466" s="31">
        <f>+F378</f>
        <v>4653023</v>
      </c>
      <c r="S466" s="31"/>
      <c r="U466" s="18"/>
      <c r="V466" s="10" t="s">
        <v>20</v>
      </c>
      <c r="W466" s="10" t="s">
        <v>21</v>
      </c>
      <c r="X466" s="10" t="s">
        <v>22</v>
      </c>
      <c r="Y466" s="18"/>
    </row>
    <row r="467" spans="1:25" ht="28.5">
      <c r="A467" s="4">
        <f>+A466+1</f>
        <v>41</v>
      </c>
      <c r="B467" s="88" t="s">
        <v>182</v>
      </c>
      <c r="C467" s="11"/>
      <c r="D467" s="26">
        <f>+V408+V446</f>
        <v>0</v>
      </c>
      <c r="E467" s="26"/>
      <c r="F467" s="26">
        <f>+W408+W446</f>
        <v>0</v>
      </c>
      <c r="G467" s="18">
        <f>+D467-F467</f>
        <v>0</v>
      </c>
      <c r="H467" s="56"/>
      <c r="I467" s="58"/>
      <c r="J467" s="18"/>
      <c r="K467" s="18"/>
      <c r="L467" s="60" t="s">
        <v>144</v>
      </c>
      <c r="N467" s="62">
        <f>+F466</f>
        <v>59933</v>
      </c>
      <c r="O467" s="63">
        <f>+F472</f>
        <v>5015596</v>
      </c>
      <c r="P467" s="42"/>
      <c r="R467" s="31">
        <f>+F379</f>
        <v>0</v>
      </c>
      <c r="S467" s="31"/>
      <c r="U467" s="18"/>
      <c r="Y467" s="18"/>
    </row>
    <row r="468" spans="1:25" ht="24.75">
      <c r="A468" s="4">
        <f>+A467+1</f>
        <v>42</v>
      </c>
      <c r="B468" s="89" t="s">
        <v>39</v>
      </c>
      <c r="C468" s="40"/>
      <c r="D468" s="30">
        <f>+V409+V447</f>
        <v>-727202</v>
      </c>
      <c r="E468" s="30"/>
      <c r="F468" s="30">
        <f>+W409+W447</f>
        <v>400843</v>
      </c>
      <c r="G468" s="18">
        <f>+D468-F468</f>
        <v>-1128045</v>
      </c>
      <c r="H468" s="56"/>
      <c r="I468" s="64" t="s">
        <v>145</v>
      </c>
      <c r="J468" s="18"/>
      <c r="K468" s="18"/>
      <c r="L468" s="31">
        <f>+L460-L462-L464-L466</f>
        <v>648634</v>
      </c>
      <c r="N468" s="62">
        <f>+F467</f>
        <v>0</v>
      </c>
      <c r="O468" s="63">
        <f>+F473</f>
        <v>0</v>
      </c>
      <c r="P468" s="42"/>
      <c r="Q468" s="31"/>
      <c r="R468" s="31"/>
      <c r="S468" s="31"/>
      <c r="U468" s="65"/>
      <c r="V468" s="66"/>
      <c r="W468" s="66"/>
      <c r="X468" s="65"/>
      <c r="Y468" s="65"/>
    </row>
    <row r="469" spans="1:25" ht="15">
      <c r="A469" s="6" t="s">
        <v>41</v>
      </c>
      <c r="B469" s="41"/>
      <c r="C469" s="40"/>
      <c r="D469" s="18"/>
      <c r="E469" s="18"/>
      <c r="F469" s="18"/>
      <c r="G469" s="18"/>
      <c r="H469" s="56"/>
      <c r="I469" s="58"/>
      <c r="J469" s="18"/>
      <c r="K469" s="18"/>
      <c r="N469" s="62">
        <f>+F372</f>
        <v>49509</v>
      </c>
      <c r="O469" s="63">
        <f>+F378</f>
        <v>4653023</v>
      </c>
      <c r="P469" s="42"/>
      <c r="Q469" s="31"/>
      <c r="U469" s="65"/>
      <c r="V469" s="67"/>
      <c r="W469" s="67"/>
      <c r="X469" s="68"/>
      <c r="Y469" s="65"/>
    </row>
    <row r="470" spans="1:25" ht="15">
      <c r="A470" s="4">
        <f>+A468+1</f>
        <v>43</v>
      </c>
      <c r="B470" s="5" t="s">
        <v>42</v>
      </c>
      <c r="C470" s="22" t="s">
        <v>38</v>
      </c>
      <c r="D470" s="31">
        <f>+V411+V449</f>
        <v>6873820</v>
      </c>
      <c r="E470" s="18"/>
      <c r="F470" s="31">
        <f>+W411+W449</f>
        <v>5025125</v>
      </c>
      <c r="G470" s="18">
        <f>+D470-F470</f>
        <v>1848695</v>
      </c>
      <c r="H470" s="56"/>
      <c r="I470" s="59" t="s">
        <v>22</v>
      </c>
      <c r="J470" s="18"/>
      <c r="K470" s="18"/>
      <c r="L470" s="30">
        <f>+X475</f>
        <v>648633</v>
      </c>
      <c r="N470" s="62"/>
      <c r="O470" s="63">
        <f>+D468</f>
        <v>-727202</v>
      </c>
      <c r="P470" s="42"/>
      <c r="Q470" s="31"/>
      <c r="R470" s="31"/>
      <c r="S470" s="31"/>
      <c r="T470" s="69" t="s">
        <v>78</v>
      </c>
      <c r="U470" s="65"/>
      <c r="V470" s="26">
        <f>+D466+D467-F466-F467+F372</f>
        <v>-24019</v>
      </c>
      <c r="W470" s="26">
        <f>+F372+F373</f>
        <v>49509</v>
      </c>
      <c r="X470" s="26">
        <f>+V470-W470</f>
        <v>-73528</v>
      </c>
      <c r="Y470" s="65"/>
    </row>
    <row r="471" spans="1:25" ht="15">
      <c r="A471" s="4">
        <f>+A470+1</f>
        <v>44</v>
      </c>
      <c r="B471" s="5" t="s">
        <v>43</v>
      </c>
      <c r="C471" s="11"/>
      <c r="D471" s="31">
        <f>+V412+V450</f>
        <v>8018</v>
      </c>
      <c r="E471" s="18"/>
      <c r="F471" s="31">
        <f>+W412+W450</f>
        <v>9529</v>
      </c>
      <c r="G471" s="18">
        <f>+D471-F471</f>
        <v>-1511</v>
      </c>
      <c r="H471" s="56"/>
      <c r="I471" s="59"/>
      <c r="J471" s="18"/>
      <c r="K471" s="18"/>
      <c r="L471" s="60" t="s">
        <v>144</v>
      </c>
      <c r="O471" s="63">
        <f>+F468</f>
        <v>400843</v>
      </c>
      <c r="P471" s="42"/>
      <c r="Q471" s="31"/>
      <c r="R471" s="31"/>
      <c r="S471" s="31"/>
      <c r="T471" s="11" t="s">
        <v>146</v>
      </c>
      <c r="U471" s="65"/>
      <c r="V471" s="30">
        <f>+D472+D473-F472-F473+F378+D468-F468+F374</f>
        <v>5375184</v>
      </c>
      <c r="W471" s="30">
        <f>+F374+F378+F379</f>
        <v>4653023</v>
      </c>
      <c r="X471" s="30">
        <f>+V471-W471</f>
        <v>722161</v>
      </c>
      <c r="Y471" s="65"/>
    </row>
    <row r="472" spans="1:25" ht="26.25">
      <c r="A472" s="4">
        <f>+A471+1</f>
        <v>45</v>
      </c>
      <c r="B472" s="24" t="s">
        <v>79</v>
      </c>
      <c r="C472" s="11"/>
      <c r="D472" s="30">
        <f>+D470-D471</f>
        <v>6865802</v>
      </c>
      <c r="E472" s="18"/>
      <c r="F472" s="30">
        <f>+F470-F471</f>
        <v>5015596</v>
      </c>
      <c r="G472" s="18">
        <f>+G470-G471</f>
        <v>1850206</v>
      </c>
      <c r="H472" s="56"/>
      <c r="I472" s="58"/>
      <c r="J472" s="18"/>
      <c r="K472" s="18"/>
      <c r="N472" s="62"/>
      <c r="O472" s="63">
        <f>+F374</f>
        <v>0</v>
      </c>
      <c r="P472" s="42"/>
      <c r="Q472" s="31"/>
      <c r="R472" s="31"/>
      <c r="S472" s="31"/>
      <c r="T472" s="11"/>
      <c r="U472" s="65"/>
      <c r="V472" s="30"/>
      <c r="W472" s="30"/>
      <c r="X472" s="30"/>
      <c r="Y472" s="65"/>
    </row>
    <row r="473" spans="1:25" ht="28.5">
      <c r="A473" s="4">
        <f>+A472+1</f>
        <v>46</v>
      </c>
      <c r="B473" s="88" t="s">
        <v>181</v>
      </c>
      <c r="C473" s="11"/>
      <c r="D473" s="30">
        <f>+V414+V452</f>
        <v>0</v>
      </c>
      <c r="E473" s="30"/>
      <c r="F473" s="30">
        <f>+W414+W452</f>
        <v>0</v>
      </c>
      <c r="G473" s="18">
        <f>+D473-F473</f>
        <v>0</v>
      </c>
      <c r="H473" s="56"/>
      <c r="N473" s="62"/>
      <c r="O473" s="62"/>
      <c r="P473" s="42"/>
      <c r="Q473" s="31"/>
      <c r="R473" s="31"/>
      <c r="S473" s="31"/>
      <c r="T473" s="11"/>
      <c r="U473" s="65"/>
      <c r="V473" s="30"/>
      <c r="W473" s="30"/>
      <c r="X473" s="30"/>
      <c r="Y473" s="65"/>
    </row>
    <row r="474" spans="1:25" ht="15">
      <c r="A474" s="4">
        <f>+A473+1</f>
        <v>47</v>
      </c>
      <c r="B474" s="24" t="s">
        <v>46</v>
      </c>
      <c r="C474" s="11" t="s">
        <v>47</v>
      </c>
      <c r="D474" s="18">
        <f>+D466+D467+D472+D473+D468</f>
        <v>6125005</v>
      </c>
      <c r="E474" s="18"/>
      <c r="F474" s="18">
        <f>+F466+F467+F472+F473+F468</f>
        <v>5476372</v>
      </c>
      <c r="G474" s="18">
        <f>+G466+G467+G472+G473+G468</f>
        <v>648633</v>
      </c>
      <c r="H474" s="56"/>
      <c r="I474" s="59" t="s">
        <v>147</v>
      </c>
      <c r="J474" s="18"/>
      <c r="K474" s="18"/>
      <c r="L474" s="36">
        <f>+L468-L470</f>
        <v>1</v>
      </c>
      <c r="N474" s="70">
        <f>+N465+N466-N467-N468+N469</f>
        <v>-24019</v>
      </c>
      <c r="O474" s="71">
        <f>+O465+O466-O467-O468+O469+O470-O471+O472</f>
        <v>5375184</v>
      </c>
      <c r="P474" s="42"/>
      <c r="Q474" s="26">
        <f>SUM(Q465:Q466)</f>
        <v>49509</v>
      </c>
      <c r="R474" s="30">
        <f>SUM(R465:R468)</f>
        <v>4653023</v>
      </c>
      <c r="S474" s="30"/>
      <c r="T474" s="11"/>
      <c r="U474" s="65"/>
      <c r="V474" s="30"/>
      <c r="W474" s="30"/>
      <c r="X474" s="30"/>
      <c r="Y474" s="65"/>
    </row>
    <row r="475" spans="1:25" ht="15">
      <c r="A475" s="4"/>
      <c r="B475" s="24"/>
      <c r="C475" s="11"/>
      <c r="D475" s="18"/>
      <c r="E475" s="18"/>
      <c r="F475" s="18"/>
      <c r="G475" s="18"/>
      <c r="H475" s="56"/>
      <c r="L475" s="60" t="s">
        <v>148</v>
      </c>
      <c r="M475" s="42"/>
      <c r="N475" s="42"/>
      <c r="O475" s="42"/>
      <c r="P475" s="42"/>
      <c r="Q475" s="42"/>
      <c r="R475" s="42"/>
      <c r="S475" s="42"/>
      <c r="T475" s="10" t="s">
        <v>22</v>
      </c>
      <c r="U475" s="65"/>
      <c r="V475" s="36"/>
      <c r="W475" s="36"/>
      <c r="X475" s="36">
        <f>+X470+X471</f>
        <v>648633</v>
      </c>
      <c r="Y475" s="65"/>
    </row>
    <row r="476" spans="1:25" ht="15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6" ht="15">
      <c r="A477" s="4"/>
      <c r="B477"/>
      <c r="F477"/>
    </row>
    <row r="478" spans="1:6" ht="15">
      <c r="A478" s="4"/>
      <c r="B478"/>
      <c r="F478"/>
    </row>
    <row r="479" spans="1:6" ht="15">
      <c r="A479" s="4"/>
      <c r="B479"/>
      <c r="F479"/>
    </row>
    <row r="480" spans="1:6" ht="15">
      <c r="A480" s="4"/>
      <c r="B480"/>
      <c r="F480"/>
    </row>
    <row r="481" spans="1:25" ht="15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6" ht="15">
      <c r="A482" s="4" t="s">
        <v>0</v>
      </c>
      <c r="B482" s="5"/>
      <c r="C482" s="6" t="s">
        <v>1</v>
      </c>
      <c r="F482"/>
    </row>
    <row r="483" spans="1:6" ht="15">
      <c r="A483" s="4"/>
      <c r="B483" s="5"/>
      <c r="C483" s="6" t="s">
        <v>2</v>
      </c>
      <c r="F483"/>
    </row>
    <row r="484" spans="1:6" ht="15">
      <c r="A484" s="4"/>
      <c r="B484" s="5"/>
      <c r="C484" s="7" t="s">
        <v>152</v>
      </c>
      <c r="F484"/>
    </row>
    <row r="485" spans="1:6" ht="15">
      <c r="A485" s="4"/>
      <c r="B485" s="5"/>
      <c r="C485" s="8"/>
      <c r="F485"/>
    </row>
    <row r="486" spans="1:25" ht="15">
      <c r="A486" s="4"/>
      <c r="B486" s="5"/>
      <c r="C486" s="9"/>
      <c r="D486" s="10" t="s">
        <v>4</v>
      </c>
      <c r="E486" s="10"/>
      <c r="F486" s="10" t="s">
        <v>5</v>
      </c>
      <c r="G486" s="10" t="s">
        <v>6</v>
      </c>
      <c r="H486" s="10"/>
      <c r="I486" s="10" t="s">
        <v>7</v>
      </c>
      <c r="J486" s="10" t="s">
        <v>8</v>
      </c>
      <c r="K486" s="10" t="s">
        <v>9</v>
      </c>
      <c r="L486" s="10" t="s">
        <v>10</v>
      </c>
      <c r="M486" s="10" t="s">
        <v>11</v>
      </c>
      <c r="N486" s="10" t="s">
        <v>12</v>
      </c>
      <c r="O486" s="10" t="s">
        <v>13</v>
      </c>
      <c r="P486" s="10"/>
      <c r="Q486" s="10" t="s">
        <v>14</v>
      </c>
      <c r="R486" s="10" t="s">
        <v>15</v>
      </c>
      <c r="S486" s="10"/>
      <c r="T486" s="10" t="s">
        <v>16</v>
      </c>
      <c r="U486" s="10"/>
      <c r="V486" s="10" t="s">
        <v>17</v>
      </c>
      <c r="W486" s="10" t="s">
        <v>18</v>
      </c>
      <c r="X486" s="10" t="s">
        <v>19</v>
      </c>
      <c r="Y486" s="10"/>
    </row>
    <row r="487" spans="1:24" ht="15">
      <c r="A487" s="4"/>
      <c r="B487" s="87" t="s">
        <v>174</v>
      </c>
      <c r="C487" s="5"/>
      <c r="D487" s="10" t="s">
        <v>20</v>
      </c>
      <c r="E487" s="10"/>
      <c r="F487" s="10" t="s">
        <v>21</v>
      </c>
      <c r="G487" s="10" t="s">
        <v>22</v>
      </c>
      <c r="I487" s="10" t="s">
        <v>20</v>
      </c>
      <c r="J487" s="10" t="s">
        <v>20</v>
      </c>
      <c r="K487" s="10" t="s">
        <v>20</v>
      </c>
      <c r="L487" s="10" t="s">
        <v>20</v>
      </c>
      <c r="M487" s="10" t="s">
        <v>20</v>
      </c>
      <c r="N487" s="10" t="s">
        <v>20</v>
      </c>
      <c r="O487" s="10" t="s">
        <v>20</v>
      </c>
      <c r="Q487" s="10" t="s">
        <v>20</v>
      </c>
      <c r="R487" s="10" t="s">
        <v>20</v>
      </c>
      <c r="S487" s="10"/>
      <c r="T487" s="10" t="s">
        <v>20</v>
      </c>
      <c r="V487" s="10" t="s">
        <v>20</v>
      </c>
      <c r="W487" s="10" t="s">
        <v>20</v>
      </c>
      <c r="X487" s="10" t="s">
        <v>20</v>
      </c>
    </row>
    <row r="488" spans="1:24" ht="42.75">
      <c r="A488" s="4"/>
      <c r="B488" s="5"/>
      <c r="C488" s="11"/>
      <c r="D488" s="12" t="s">
        <v>23</v>
      </c>
      <c r="E488" s="13"/>
      <c r="F488" s="12" t="s">
        <v>175</v>
      </c>
      <c r="G488" s="13" t="s">
        <v>24</v>
      </c>
      <c r="I488" s="13" t="s">
        <v>25</v>
      </c>
      <c r="J488" s="8" t="s">
        <v>26</v>
      </c>
      <c r="K488" s="13" t="s">
        <v>27</v>
      </c>
      <c r="L488" s="13" t="s">
        <v>28</v>
      </c>
      <c r="M488" s="13" t="s">
        <v>29</v>
      </c>
      <c r="N488" s="13" t="s">
        <v>30</v>
      </c>
      <c r="O488" s="13" t="s">
        <v>31</v>
      </c>
      <c r="Q488" s="14">
        <v>4470115</v>
      </c>
      <c r="R488" s="13" t="s">
        <v>32</v>
      </c>
      <c r="S488" s="13"/>
      <c r="T488" s="14">
        <v>4470119</v>
      </c>
      <c r="V488" s="8" t="s">
        <v>33</v>
      </c>
      <c r="W488" s="8" t="s">
        <v>34</v>
      </c>
      <c r="X488" s="8" t="s">
        <v>35</v>
      </c>
    </row>
    <row r="489" spans="1:23" ht="15">
      <c r="A489" s="4"/>
      <c r="B489" s="5"/>
      <c r="C489" s="11"/>
      <c r="D489" s="13"/>
      <c r="E489" s="13"/>
      <c r="F489" s="13"/>
      <c r="G489" s="15"/>
      <c r="I489" s="13"/>
      <c r="J489" s="13"/>
      <c r="K489" s="13"/>
      <c r="L489" s="13"/>
      <c r="M489" s="13"/>
      <c r="N489" s="13"/>
      <c r="O489" s="13"/>
      <c r="Q489" s="14"/>
      <c r="R489" s="13"/>
      <c r="S489" s="14"/>
      <c r="T489" s="16"/>
      <c r="V489" s="14"/>
      <c r="W489" s="13"/>
    </row>
    <row r="490" spans="1:25" ht="15">
      <c r="A490" s="4">
        <v>1</v>
      </c>
      <c r="B490" s="5" t="s">
        <v>36</v>
      </c>
      <c r="C490" s="17" t="s">
        <v>37</v>
      </c>
      <c r="D490" s="18">
        <v>5146664</v>
      </c>
      <c r="E490" s="19"/>
      <c r="F490" s="20">
        <v>4688039</v>
      </c>
      <c r="G490" s="21">
        <f>+D490-F490</f>
        <v>458625</v>
      </c>
      <c r="H490" s="18"/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/>
      <c r="Q490" s="18">
        <v>0</v>
      </c>
      <c r="R490" s="18">
        <v>0</v>
      </c>
      <c r="S490" s="18"/>
      <c r="T490" s="18">
        <v>0</v>
      </c>
      <c r="U490" s="18"/>
      <c r="V490" s="18">
        <v>0</v>
      </c>
      <c r="W490" s="18">
        <v>0</v>
      </c>
      <c r="X490" s="18">
        <v>0</v>
      </c>
      <c r="Y490" s="18"/>
    </row>
    <row r="491" spans="1:25" ht="15">
      <c r="A491" s="4">
        <f>+A490+1</f>
        <v>2</v>
      </c>
      <c r="B491" s="5" t="s">
        <v>36</v>
      </c>
      <c r="C491" s="22" t="s">
        <v>38</v>
      </c>
      <c r="D491" s="18">
        <v>5156651</v>
      </c>
      <c r="E491" s="19"/>
      <c r="F491" s="23">
        <v>4653023</v>
      </c>
      <c r="G491" s="21">
        <f>+D491-F491</f>
        <v>503628</v>
      </c>
      <c r="H491" s="18"/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/>
      <c r="Q491" s="18">
        <v>0</v>
      </c>
      <c r="R491" s="18">
        <v>0</v>
      </c>
      <c r="S491" s="18"/>
      <c r="T491" s="18">
        <v>0</v>
      </c>
      <c r="U491" s="18"/>
      <c r="V491" s="18">
        <v>0</v>
      </c>
      <c r="W491" s="18">
        <v>0</v>
      </c>
      <c r="X491" s="18">
        <v>0</v>
      </c>
      <c r="Y491" s="18"/>
    </row>
    <row r="492" spans="1:25" ht="22.5">
      <c r="A492" s="4">
        <f>+A491+1</f>
        <v>3</v>
      </c>
      <c r="B492" s="24" t="s">
        <v>176</v>
      </c>
      <c r="C492" s="25" t="s">
        <v>177</v>
      </c>
      <c r="D492" s="18">
        <f>+D490-D491</f>
        <v>-9987</v>
      </c>
      <c r="E492" s="19"/>
      <c r="F492" s="26">
        <f>+F490-F491</f>
        <v>35016</v>
      </c>
      <c r="G492" s="18">
        <f>+G490-G491</f>
        <v>-45003</v>
      </c>
      <c r="H492" s="18"/>
      <c r="I492" s="18">
        <f aca="true" t="shared" si="60" ref="I492:O492">+I490-I491</f>
        <v>0</v>
      </c>
      <c r="J492" s="18">
        <f t="shared" si="60"/>
        <v>0</v>
      </c>
      <c r="K492" s="18">
        <f t="shared" si="60"/>
        <v>0</v>
      </c>
      <c r="L492" s="18">
        <f t="shared" si="60"/>
        <v>0</v>
      </c>
      <c r="M492" s="18">
        <f t="shared" si="60"/>
        <v>0</v>
      </c>
      <c r="N492" s="18">
        <f t="shared" si="60"/>
        <v>0</v>
      </c>
      <c r="O492" s="18">
        <f t="shared" si="60"/>
        <v>0</v>
      </c>
      <c r="P492" s="18"/>
      <c r="Q492" s="18">
        <f>+Q490-Q491</f>
        <v>0</v>
      </c>
      <c r="R492" s="18">
        <f>+R490-R491</f>
        <v>0</v>
      </c>
      <c r="S492" s="18"/>
      <c r="T492" s="18">
        <f>+T490-T491</f>
        <v>0</v>
      </c>
      <c r="U492" s="18"/>
      <c r="V492" s="18">
        <f>+V490-V491</f>
        <v>0</v>
      </c>
      <c r="W492" s="18">
        <f>+W490-W491</f>
        <v>0</v>
      </c>
      <c r="X492" s="18">
        <f>+X490-X491</f>
        <v>0</v>
      </c>
      <c r="Y492" s="18"/>
    </row>
    <row r="493" spans="1:25" ht="28.5">
      <c r="A493" s="4">
        <f>+A492+1</f>
        <v>4</v>
      </c>
      <c r="B493" s="88" t="s">
        <v>178</v>
      </c>
      <c r="C493" s="25" t="s">
        <v>179</v>
      </c>
      <c r="D493" s="18">
        <v>0</v>
      </c>
      <c r="E493" s="19"/>
      <c r="F493" s="26">
        <v>0</v>
      </c>
      <c r="G493" s="18">
        <f>+D493-F493</f>
        <v>0</v>
      </c>
      <c r="H493" s="18"/>
      <c r="I493" s="27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/>
      <c r="Q493" s="18">
        <v>0</v>
      </c>
      <c r="R493" s="18">
        <v>0</v>
      </c>
      <c r="S493" s="18"/>
      <c r="T493" s="18">
        <v>0</v>
      </c>
      <c r="U493" s="18"/>
      <c r="V493" s="18">
        <v>0</v>
      </c>
      <c r="W493" s="18">
        <v>0</v>
      </c>
      <c r="X493" s="18">
        <v>0</v>
      </c>
      <c r="Y493" s="18"/>
    </row>
    <row r="494" spans="1:25" ht="24.75">
      <c r="A494" s="4">
        <f>+A493+1</f>
        <v>5</v>
      </c>
      <c r="B494" s="89" t="s">
        <v>39</v>
      </c>
      <c r="C494" s="28" t="s">
        <v>40</v>
      </c>
      <c r="D494" s="27">
        <v>207611</v>
      </c>
      <c r="E494" s="29"/>
      <c r="F494" s="30">
        <v>0</v>
      </c>
      <c r="G494" s="31">
        <f>+D494-F494</f>
        <v>207611</v>
      </c>
      <c r="H494" s="18"/>
      <c r="I494" s="27">
        <v>0</v>
      </c>
      <c r="J494" s="27">
        <v>-1501</v>
      </c>
      <c r="K494" s="27">
        <v>0</v>
      </c>
      <c r="L494" s="27">
        <v>130245</v>
      </c>
      <c r="M494" s="18">
        <v>29056</v>
      </c>
      <c r="N494" s="27">
        <v>-15</v>
      </c>
      <c r="O494" s="18">
        <v>-1502</v>
      </c>
      <c r="P494" s="18"/>
      <c r="Q494" s="27">
        <v>-261</v>
      </c>
      <c r="R494" s="27">
        <v>0</v>
      </c>
      <c r="S494" s="27"/>
      <c r="T494" s="27">
        <v>0</v>
      </c>
      <c r="U494" s="27"/>
      <c r="V494" s="27">
        <v>0</v>
      </c>
      <c r="W494" s="27">
        <v>0</v>
      </c>
      <c r="X494" s="27">
        <v>-74007</v>
      </c>
      <c r="Y494" s="18"/>
    </row>
    <row r="495" spans="1:25" ht="15">
      <c r="A495" s="6" t="s">
        <v>41</v>
      </c>
      <c r="B495" s="90"/>
      <c r="C495" s="11"/>
      <c r="D495" s="18"/>
      <c r="E495" s="19"/>
      <c r="F495" s="18"/>
      <c r="G495" s="18"/>
      <c r="H495" s="18"/>
      <c r="I495" s="18"/>
      <c r="J495" s="18"/>
      <c r="K495" s="18"/>
      <c r="L495" s="18"/>
      <c r="M495" s="18"/>
      <c r="N495" s="18"/>
      <c r="O495" s="18" t="s">
        <v>0</v>
      </c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5">
      <c r="A496" s="4">
        <f>+A494+1</f>
        <v>6</v>
      </c>
      <c r="B496" s="5" t="s">
        <v>42</v>
      </c>
      <c r="C496" s="22" t="s">
        <v>38</v>
      </c>
      <c r="D496" s="18">
        <v>5108566</v>
      </c>
      <c r="E496" s="19"/>
      <c r="F496" s="23">
        <v>4528266</v>
      </c>
      <c r="G496" s="18">
        <f>+D496-F496</f>
        <v>580300</v>
      </c>
      <c r="H496" s="18"/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/>
      <c r="Q496" s="18">
        <v>0</v>
      </c>
      <c r="R496" s="18">
        <v>0</v>
      </c>
      <c r="S496" s="18"/>
      <c r="T496" s="18">
        <v>0</v>
      </c>
      <c r="U496" s="18"/>
      <c r="V496" s="18">
        <v>0</v>
      </c>
      <c r="W496" s="18">
        <v>0</v>
      </c>
      <c r="X496" s="18">
        <v>0</v>
      </c>
      <c r="Y496" s="18"/>
    </row>
    <row r="497" spans="1:25" ht="15">
      <c r="A497" s="4">
        <f>+A496+1</f>
        <v>7</v>
      </c>
      <c r="B497" s="5" t="s">
        <v>43</v>
      </c>
      <c r="C497" s="11"/>
      <c r="D497" s="18">
        <v>4905</v>
      </c>
      <c r="E497" s="19"/>
      <c r="F497" s="23">
        <v>4976</v>
      </c>
      <c r="G497" s="18">
        <f>+D497-F497</f>
        <v>-71</v>
      </c>
      <c r="H497" s="18"/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31">
        <v>0</v>
      </c>
      <c r="P497" s="18"/>
      <c r="Q497" s="18">
        <v>0</v>
      </c>
      <c r="R497" s="18">
        <v>0</v>
      </c>
      <c r="S497" s="18"/>
      <c r="T497" s="18">
        <v>0</v>
      </c>
      <c r="U497" s="18"/>
      <c r="V497" s="18">
        <v>0</v>
      </c>
      <c r="W497" s="18">
        <v>0</v>
      </c>
      <c r="X497" s="18">
        <v>0</v>
      </c>
      <c r="Y497" s="18"/>
    </row>
    <row r="498" spans="1:25" ht="35.25">
      <c r="A498" s="4">
        <f>+A497+1</f>
        <v>8</v>
      </c>
      <c r="B498" s="24" t="s">
        <v>180</v>
      </c>
      <c r="C498" s="32" t="s">
        <v>44</v>
      </c>
      <c r="D498" s="33">
        <f>+D496-D497</f>
        <v>5103661</v>
      </c>
      <c r="E498" s="34"/>
      <c r="F498" s="91">
        <f>+F496-F497</f>
        <v>4523290</v>
      </c>
      <c r="G498" s="18">
        <f>+G496-G497</f>
        <v>580371</v>
      </c>
      <c r="H498" s="18"/>
      <c r="I498" s="18">
        <f aca="true" t="shared" si="61" ref="I498:O498">+I496-I497</f>
        <v>0</v>
      </c>
      <c r="J498" s="18">
        <f t="shared" si="61"/>
        <v>0</v>
      </c>
      <c r="K498" s="18">
        <f t="shared" si="61"/>
        <v>0</v>
      </c>
      <c r="L498" s="18">
        <f t="shared" si="61"/>
        <v>0</v>
      </c>
      <c r="M498" s="18">
        <f t="shared" si="61"/>
        <v>0</v>
      </c>
      <c r="N498" s="18">
        <f t="shared" si="61"/>
        <v>0</v>
      </c>
      <c r="O498" s="18">
        <f t="shared" si="61"/>
        <v>0</v>
      </c>
      <c r="P498" s="18"/>
      <c r="Q498" s="18">
        <f>+Q496-Q497</f>
        <v>0</v>
      </c>
      <c r="R498" s="18">
        <f>+R496-R497</f>
        <v>0</v>
      </c>
      <c r="S498" s="18"/>
      <c r="T498" s="18">
        <f>+T496-T497</f>
        <v>0</v>
      </c>
      <c r="U498" s="18"/>
      <c r="V498" s="18">
        <f>+V496-V497</f>
        <v>0</v>
      </c>
      <c r="W498" s="18">
        <f>+W496-W497</f>
        <v>0</v>
      </c>
      <c r="X498" s="18">
        <f>+X496-X497</f>
        <v>0</v>
      </c>
      <c r="Y498" s="18"/>
    </row>
    <row r="499" spans="1:25" ht="28.5">
      <c r="A499" s="4">
        <f>+A498+1</f>
        <v>9</v>
      </c>
      <c r="B499" s="88" t="s">
        <v>181</v>
      </c>
      <c r="C499" s="35" t="s">
        <v>45</v>
      </c>
      <c r="D499" s="18">
        <v>0</v>
      </c>
      <c r="E499" s="19"/>
      <c r="F499" s="31">
        <v>0</v>
      </c>
      <c r="G499" s="31">
        <f>+D499-F499</f>
        <v>0</v>
      </c>
      <c r="H499" s="18"/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31">
        <v>0</v>
      </c>
      <c r="P499" s="18"/>
      <c r="Q499" s="18">
        <v>0</v>
      </c>
      <c r="R499" s="18">
        <v>0</v>
      </c>
      <c r="S499" s="18"/>
      <c r="T499" s="18">
        <v>0</v>
      </c>
      <c r="U499" s="18"/>
      <c r="V499" s="18">
        <v>0</v>
      </c>
      <c r="W499" s="18">
        <v>0</v>
      </c>
      <c r="X499" s="18">
        <v>0</v>
      </c>
      <c r="Y499" s="18"/>
    </row>
    <row r="500" spans="1:25" ht="15">
      <c r="A500" s="4">
        <f>+A499+1</f>
        <v>10</v>
      </c>
      <c r="B500" s="24" t="s">
        <v>46</v>
      </c>
      <c r="C500" s="11" t="s">
        <v>47</v>
      </c>
      <c r="D500" s="36">
        <f>+D492+D493+D494+D498+D499</f>
        <v>5301285</v>
      </c>
      <c r="E500" s="19"/>
      <c r="F500" s="36">
        <f>+F492+F493+F494+F498+F499</f>
        <v>4558306</v>
      </c>
      <c r="G500" s="18">
        <f>+G492+G493+G498+G499+G494</f>
        <v>742979</v>
      </c>
      <c r="H500" s="18"/>
      <c r="I500" s="18">
        <f aca="true" t="shared" si="62" ref="I500:O500">+I492+I493+I498+I499+I494</f>
        <v>0</v>
      </c>
      <c r="J500" s="21">
        <f t="shared" si="62"/>
        <v>-1501</v>
      </c>
      <c r="K500" s="18">
        <f t="shared" si="62"/>
        <v>0</v>
      </c>
      <c r="L500" s="18">
        <f t="shared" si="62"/>
        <v>130245</v>
      </c>
      <c r="M500" s="18">
        <f t="shared" si="62"/>
        <v>29056</v>
      </c>
      <c r="N500" s="18">
        <f t="shared" si="62"/>
        <v>-15</v>
      </c>
      <c r="O500" s="18">
        <f t="shared" si="62"/>
        <v>-1502</v>
      </c>
      <c r="P500" s="18"/>
      <c r="Q500" s="18">
        <f>+Q492+Q493+Q498+Q499+Q494</f>
        <v>-261</v>
      </c>
      <c r="R500" s="18">
        <f>+R492+R493+R498+R499+R494</f>
        <v>0</v>
      </c>
      <c r="S500" s="18"/>
      <c r="T500" s="18">
        <f>+T492+T493+T498+T499+T494</f>
        <v>0</v>
      </c>
      <c r="U500" s="18"/>
      <c r="V500" s="18">
        <f>+V492+V493+V498+V499+V494</f>
        <v>0</v>
      </c>
      <c r="W500" s="18">
        <f>+W492+W493+W498+W499+W494</f>
        <v>0</v>
      </c>
      <c r="X500" s="18">
        <f>+X492+X493+X498+X499+X494</f>
        <v>-74007</v>
      </c>
      <c r="Y500" s="18"/>
    </row>
    <row r="501" spans="1:25" ht="15">
      <c r="A501" s="4"/>
      <c r="B501" s="24"/>
      <c r="C501" s="11"/>
      <c r="D501" s="18"/>
      <c r="E501" s="18"/>
      <c r="F501" s="3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5">
      <c r="A502" s="4"/>
      <c r="B502" s="24"/>
      <c r="C502" s="37"/>
      <c r="D502" s="18">
        <f>389913+230163+471029+4210179</f>
        <v>5301284</v>
      </c>
      <c r="E502" s="18"/>
      <c r="F502" s="3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5">
      <c r="A503" s="4"/>
      <c r="B503" s="24"/>
      <c r="C503" s="11"/>
      <c r="D503" s="6" t="s">
        <v>48</v>
      </c>
      <c r="E503" s="6"/>
      <c r="F503" s="10" t="s">
        <v>49</v>
      </c>
      <c r="G503" s="10" t="s">
        <v>50</v>
      </c>
      <c r="I503" s="10" t="s">
        <v>51</v>
      </c>
      <c r="J503" s="10" t="s">
        <v>52</v>
      </c>
      <c r="K503" s="10" t="s">
        <v>53</v>
      </c>
      <c r="L503" s="10" t="s">
        <v>54</v>
      </c>
      <c r="M503" s="10" t="s">
        <v>55</v>
      </c>
      <c r="N503" s="10" t="s">
        <v>56</v>
      </c>
      <c r="O503" s="10" t="s">
        <v>57</v>
      </c>
      <c r="P503" s="18"/>
      <c r="Q503" s="10" t="s">
        <v>58</v>
      </c>
      <c r="R503" s="10" t="s">
        <v>59</v>
      </c>
      <c r="S503" s="10"/>
      <c r="T503" s="10" t="s">
        <v>60</v>
      </c>
      <c r="U503" s="18"/>
      <c r="V503" s="10" t="s">
        <v>61</v>
      </c>
      <c r="W503" s="10" t="s">
        <v>62</v>
      </c>
      <c r="X503" s="10" t="s">
        <v>63</v>
      </c>
      <c r="Y503" s="18"/>
    </row>
    <row r="504" spans="1:25" ht="15">
      <c r="A504" s="4"/>
      <c r="B504"/>
      <c r="C504" s="11"/>
      <c r="D504" s="10" t="s">
        <v>20</v>
      </c>
      <c r="E504" s="38"/>
      <c r="F504" s="10" t="s">
        <v>20</v>
      </c>
      <c r="G504" s="10" t="s">
        <v>20</v>
      </c>
      <c r="I504" s="10" t="s">
        <v>20</v>
      </c>
      <c r="J504" s="10" t="s">
        <v>20</v>
      </c>
      <c r="K504" s="10" t="s">
        <v>20</v>
      </c>
      <c r="L504" s="10" t="s">
        <v>20</v>
      </c>
      <c r="M504" s="10" t="s">
        <v>20</v>
      </c>
      <c r="N504" s="10" t="s">
        <v>20</v>
      </c>
      <c r="O504" s="10" t="s">
        <v>20</v>
      </c>
      <c r="P504" s="18"/>
      <c r="Q504" s="10" t="s">
        <v>20</v>
      </c>
      <c r="R504" s="10" t="s">
        <v>20</v>
      </c>
      <c r="S504" s="14"/>
      <c r="T504" s="10" t="s">
        <v>20</v>
      </c>
      <c r="U504" s="18"/>
      <c r="W504" s="39" t="s">
        <v>64</v>
      </c>
      <c r="Y504" s="18"/>
    </row>
    <row r="505" spans="1:25" ht="15">
      <c r="A505" s="4"/>
      <c r="B505" s="87" t="s">
        <v>174</v>
      </c>
      <c r="C505" s="11"/>
      <c r="D505" s="8" t="s">
        <v>65</v>
      </c>
      <c r="E505" s="6"/>
      <c r="F505" s="8" t="s">
        <v>66</v>
      </c>
      <c r="G505" s="8" t="s">
        <v>67</v>
      </c>
      <c r="H505" s="19"/>
      <c r="I505" s="8" t="s">
        <v>68</v>
      </c>
      <c r="J505" s="8" t="s">
        <v>69</v>
      </c>
      <c r="K505" s="8" t="s">
        <v>70</v>
      </c>
      <c r="L505" s="8" t="s">
        <v>71</v>
      </c>
      <c r="M505" s="8" t="s">
        <v>72</v>
      </c>
      <c r="N505" s="8" t="s">
        <v>73</v>
      </c>
      <c r="O505" s="8" t="s">
        <v>74</v>
      </c>
      <c r="P505" s="6"/>
      <c r="Q505" s="8" t="s">
        <v>75</v>
      </c>
      <c r="R505" s="8" t="s">
        <v>76</v>
      </c>
      <c r="S505" s="8"/>
      <c r="T505" s="8" t="s">
        <v>77</v>
      </c>
      <c r="U505" s="18"/>
      <c r="V505" s="10" t="s">
        <v>20</v>
      </c>
      <c r="W505" s="14" t="s">
        <v>21</v>
      </c>
      <c r="X505" s="10" t="s">
        <v>22</v>
      </c>
      <c r="Y505" s="18"/>
    </row>
    <row r="506" spans="1:8" ht="15">
      <c r="A506" s="4"/>
      <c r="B506" s="24"/>
      <c r="C506" s="11"/>
      <c r="E506" s="14"/>
      <c r="F506"/>
      <c r="H506" s="18"/>
    </row>
    <row r="507" spans="1:24" ht="15">
      <c r="A507" s="4">
        <f>+A500+1</f>
        <v>11</v>
      </c>
      <c r="B507" s="5" t="s">
        <v>36</v>
      </c>
      <c r="C507" s="17" t="s">
        <v>37</v>
      </c>
      <c r="D507" s="18">
        <v>0</v>
      </c>
      <c r="E507" s="18"/>
      <c r="F507" s="18">
        <v>0</v>
      </c>
      <c r="G507" s="18">
        <v>0</v>
      </c>
      <c r="I507" s="18">
        <v>594312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Q507" s="18">
        <v>0</v>
      </c>
      <c r="R507" s="18">
        <v>0</v>
      </c>
      <c r="S507" s="18"/>
      <c r="T507" s="18">
        <v>0</v>
      </c>
      <c r="V507" s="18">
        <f>+D490+I490+J490+K490+L490+M490+N490+O490+Q490+R490+T490+V490+W490+X490+D507+F507+G507+I507+J507+K507+L507+M507+N507+O507+Q507+R507+T507</f>
        <v>5740976</v>
      </c>
      <c r="W507" s="18">
        <f>+F490</f>
        <v>4688039</v>
      </c>
      <c r="X507" s="18">
        <f>+V507-W507</f>
        <v>1052937</v>
      </c>
    </row>
    <row r="508" spans="1:24" ht="15">
      <c r="A508" s="4">
        <f>+A507+1</f>
        <v>12</v>
      </c>
      <c r="B508" s="5" t="s">
        <v>36</v>
      </c>
      <c r="C508" s="22" t="s">
        <v>38</v>
      </c>
      <c r="D508" s="18">
        <v>0</v>
      </c>
      <c r="E508" s="18"/>
      <c r="F508" s="18">
        <v>0</v>
      </c>
      <c r="G508" s="18">
        <v>0</v>
      </c>
      <c r="I508" s="18">
        <v>593066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Q508" s="18">
        <v>0</v>
      </c>
      <c r="R508" s="18">
        <v>0</v>
      </c>
      <c r="S508" s="18"/>
      <c r="T508" s="18">
        <v>0</v>
      </c>
      <c r="V508" s="18">
        <f>+D491+I491+J491+K491+L491+M491+N491+O491+Q491+R491+T491+V491+W491+X491+D508+F508+G508+I508+J508+K508+L508+M508+N508+O508+Q508+R508+T508</f>
        <v>5749717</v>
      </c>
      <c r="W508" s="18">
        <f>+F491</f>
        <v>4653023</v>
      </c>
      <c r="X508" s="18">
        <f>+V508-W508</f>
        <v>1096694</v>
      </c>
    </row>
    <row r="509" spans="1:24" ht="15">
      <c r="A509" s="4">
        <f>+A508+1</f>
        <v>13</v>
      </c>
      <c r="B509" s="24" t="s">
        <v>46</v>
      </c>
      <c r="C509" s="40" t="s">
        <v>78</v>
      </c>
      <c r="D509" s="18">
        <f>+D507-D508</f>
        <v>0</v>
      </c>
      <c r="E509" s="18"/>
      <c r="F509" s="18">
        <f>+F507-F508</f>
        <v>0</v>
      </c>
      <c r="G509" s="18">
        <f>+G507-G508</f>
        <v>0</v>
      </c>
      <c r="I509" s="18">
        <f aca="true" t="shared" si="63" ref="I509:O509">+I507-I508</f>
        <v>1246</v>
      </c>
      <c r="J509" s="18">
        <f t="shared" si="63"/>
        <v>0</v>
      </c>
      <c r="K509" s="18">
        <f t="shared" si="63"/>
        <v>0</v>
      </c>
      <c r="L509" s="18">
        <f t="shared" si="63"/>
        <v>0</v>
      </c>
      <c r="M509" s="18">
        <f t="shared" si="63"/>
        <v>0</v>
      </c>
      <c r="N509" s="18">
        <f t="shared" si="63"/>
        <v>0</v>
      </c>
      <c r="O509" s="18">
        <f t="shared" si="63"/>
        <v>0</v>
      </c>
      <c r="Q509" s="18">
        <f>+Q507-Q508</f>
        <v>0</v>
      </c>
      <c r="R509" s="18">
        <f>+R507-R508</f>
        <v>0</v>
      </c>
      <c r="S509" s="18"/>
      <c r="T509" s="18">
        <f>+T507-T508</f>
        <v>0</v>
      </c>
      <c r="V509" s="27">
        <f>+V507-V508</f>
        <v>-8741</v>
      </c>
      <c r="W509" s="27">
        <f>+W507-W508</f>
        <v>35016</v>
      </c>
      <c r="X509" s="18">
        <f>+X507-X508</f>
        <v>-43757</v>
      </c>
    </row>
    <row r="510" spans="1:24" ht="28.5">
      <c r="A510" s="4">
        <f>+A509+1</f>
        <v>14</v>
      </c>
      <c r="B510" s="88" t="s">
        <v>182</v>
      </c>
      <c r="C510" s="11"/>
      <c r="D510" s="18">
        <v>0</v>
      </c>
      <c r="E510" s="18"/>
      <c r="F510" s="18">
        <v>0</v>
      </c>
      <c r="G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Q510" s="18">
        <v>0</v>
      </c>
      <c r="R510" s="18">
        <v>0</v>
      </c>
      <c r="S510" s="18"/>
      <c r="T510" s="18">
        <v>0</v>
      </c>
      <c r="V510" s="18">
        <f>+D493+I493+J493+K493+L493+M493+N493+O493+Q493+R493+T493+V493+W493+X493+D510+F510+G510+I510+J510+K510+L510+M510+N510+O510+Q510+R510+T510</f>
        <v>0</v>
      </c>
      <c r="W510" s="18">
        <f>+F493</f>
        <v>0</v>
      </c>
      <c r="X510" s="18">
        <f>+V510-W510</f>
        <v>0</v>
      </c>
    </row>
    <row r="511" spans="1:24" ht="24.75">
      <c r="A511" s="4">
        <f>+A510+1</f>
        <v>15</v>
      </c>
      <c r="B511" s="89" t="s">
        <v>39</v>
      </c>
      <c r="C511" s="40"/>
      <c r="D511" s="27">
        <v>0</v>
      </c>
      <c r="E511" s="18" t="s">
        <v>0</v>
      </c>
      <c r="F511" s="27">
        <v>0</v>
      </c>
      <c r="G511" s="27">
        <v>0</v>
      </c>
      <c r="H511" t="s">
        <v>0</v>
      </c>
      <c r="I511" s="27">
        <v>0</v>
      </c>
      <c r="J511" s="27">
        <v>17004</v>
      </c>
      <c r="K511" s="27">
        <v>0</v>
      </c>
      <c r="L511" s="27">
        <v>0</v>
      </c>
      <c r="M511" s="27">
        <v>40483</v>
      </c>
      <c r="N511" s="27">
        <v>-174039</v>
      </c>
      <c r="O511" s="27">
        <v>838</v>
      </c>
      <c r="Q511" s="27">
        <v>0</v>
      </c>
      <c r="R511" s="27">
        <v>0</v>
      </c>
      <c r="S511" s="27"/>
      <c r="T511" s="27">
        <v>0</v>
      </c>
      <c r="V511" s="18">
        <f>+D494+I494+J494+K494+L494+M494+N494+O494+Q494+R494+T494+V494+W494+X494+D511+F511+G511+I511+J511+K511+L511+M511+N511+O511+Q511+R511+T511</f>
        <v>173912</v>
      </c>
      <c r="W511" s="18">
        <f>+F494</f>
        <v>0</v>
      </c>
      <c r="X511" s="18">
        <f>+V511-W511</f>
        <v>173912</v>
      </c>
    </row>
    <row r="512" spans="1:24" ht="15">
      <c r="A512" s="6" t="s">
        <v>41</v>
      </c>
      <c r="B512" s="41"/>
      <c r="C512" s="40"/>
      <c r="D512" s="18"/>
      <c r="E512" s="18"/>
      <c r="F512" s="18"/>
      <c r="G512" s="18"/>
      <c r="I512" s="18"/>
      <c r="J512" s="18"/>
      <c r="K512" s="18"/>
      <c r="L512" s="18"/>
      <c r="M512" s="18"/>
      <c r="N512" s="18"/>
      <c r="O512" s="18"/>
      <c r="Q512" s="18"/>
      <c r="R512" s="18"/>
      <c r="S512" s="18"/>
      <c r="T512" s="18"/>
      <c r="V512" s="18"/>
      <c r="W512" s="18"/>
      <c r="X512" s="18"/>
    </row>
    <row r="513" spans="1:24" ht="15">
      <c r="A513" s="4">
        <f>+A511+1</f>
        <v>16</v>
      </c>
      <c r="B513" s="5" t="s">
        <v>42</v>
      </c>
      <c r="C513" s="22" t="s">
        <v>38</v>
      </c>
      <c r="D513" s="18">
        <v>0</v>
      </c>
      <c r="E513" s="18"/>
      <c r="F513" s="18">
        <v>0</v>
      </c>
      <c r="G513" s="18">
        <v>0</v>
      </c>
      <c r="I513" s="18">
        <v>615001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/>
      <c r="Q513" s="18">
        <v>0</v>
      </c>
      <c r="R513" s="18">
        <v>0</v>
      </c>
      <c r="S513" s="18"/>
      <c r="T513" s="18">
        <v>0</v>
      </c>
      <c r="U513" s="18"/>
      <c r="V513" s="18">
        <f>+D496+I496+J496+K496+L496+M496+N496+O496+Q496+R496+T496+V496+W496+X496+D513+F513+G513+I513+J513+K513+L513+M513+N513+O513+Q513+R513+T513</f>
        <v>5723567</v>
      </c>
      <c r="W513" s="18">
        <f>+F496</f>
        <v>4528266</v>
      </c>
      <c r="X513" s="18">
        <f>+V513-W513</f>
        <v>1195301</v>
      </c>
    </row>
    <row r="514" spans="1:24" ht="15">
      <c r="A514" s="4">
        <f>+A513+1</f>
        <v>17</v>
      </c>
      <c r="B514" s="5" t="s">
        <v>43</v>
      </c>
      <c r="C514" s="11"/>
      <c r="D514" s="18">
        <v>0</v>
      </c>
      <c r="E514" s="18"/>
      <c r="F514" s="18">
        <v>0</v>
      </c>
      <c r="G514" s="18">
        <v>0</v>
      </c>
      <c r="I514" s="27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/>
      <c r="Q514" s="18">
        <v>0</v>
      </c>
      <c r="R514" s="18">
        <v>0</v>
      </c>
      <c r="S514" s="18"/>
      <c r="T514" s="18">
        <v>0</v>
      </c>
      <c r="U514" s="18"/>
      <c r="V514" s="18">
        <f>+D497+I497+J497+K497+L497+M497+N497+O497+Q497+R497+T497+V497+W497+X497+D514+F514+G514+I514+J514+K514+L514+M514+N514+O514+Q514+R514+T514</f>
        <v>4905</v>
      </c>
      <c r="W514" s="18">
        <f>+F497</f>
        <v>4976</v>
      </c>
      <c r="X514" s="18">
        <f>+V514-W514</f>
        <v>-71</v>
      </c>
    </row>
    <row r="515" spans="1:24" ht="26.25">
      <c r="A515" s="4">
        <f>+A514+1</f>
        <v>18</v>
      </c>
      <c r="B515" s="24" t="s">
        <v>79</v>
      </c>
      <c r="C515" s="11"/>
      <c r="D515" s="18">
        <f>+D513-D514</f>
        <v>0</v>
      </c>
      <c r="E515" s="18"/>
      <c r="F515" s="18">
        <f>+F513-F514</f>
        <v>0</v>
      </c>
      <c r="G515" s="18">
        <f>+G513-G514</f>
        <v>0</v>
      </c>
      <c r="I515" s="18">
        <f aca="true" t="shared" si="64" ref="I515:O515">+I513-I514</f>
        <v>615001</v>
      </c>
      <c r="J515" s="18">
        <f t="shared" si="64"/>
        <v>0</v>
      </c>
      <c r="K515" s="18">
        <f t="shared" si="64"/>
        <v>0</v>
      </c>
      <c r="L515" s="18">
        <f t="shared" si="64"/>
        <v>0</v>
      </c>
      <c r="M515" s="18">
        <f t="shared" si="64"/>
        <v>0</v>
      </c>
      <c r="N515" s="18">
        <f t="shared" si="64"/>
        <v>0</v>
      </c>
      <c r="O515" s="18">
        <f t="shared" si="64"/>
        <v>0</v>
      </c>
      <c r="P515" s="18"/>
      <c r="Q515" s="18">
        <f>+Q513-Q514</f>
        <v>0</v>
      </c>
      <c r="R515" s="18">
        <f>+R513-R514</f>
        <v>0</v>
      </c>
      <c r="S515" s="18"/>
      <c r="T515" s="18">
        <f>+T513-T514</f>
        <v>0</v>
      </c>
      <c r="U515" s="18"/>
      <c r="V515" s="27">
        <f>+V513-V514</f>
        <v>5718662</v>
      </c>
      <c r="W515" s="27">
        <f>+W513-W514</f>
        <v>4523290</v>
      </c>
      <c r="X515" s="18">
        <f>+X513-X514</f>
        <v>1195372</v>
      </c>
    </row>
    <row r="516" spans="1:24" ht="28.5">
      <c r="A516" s="4">
        <f>+A515+1</f>
        <v>19</v>
      </c>
      <c r="B516" s="88" t="s">
        <v>181</v>
      </c>
      <c r="C516" s="11"/>
      <c r="D516" s="18">
        <v>0</v>
      </c>
      <c r="E516" s="18"/>
      <c r="F516" s="18">
        <v>0</v>
      </c>
      <c r="G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/>
      <c r="Q516" s="18">
        <v>0</v>
      </c>
      <c r="R516" s="18">
        <v>0</v>
      </c>
      <c r="S516" s="18"/>
      <c r="T516" s="18">
        <v>0</v>
      </c>
      <c r="U516" s="18"/>
      <c r="V516" s="18">
        <f>+D499+I499+J499+K499+L499+M499+N499+O499+Q499+R499+T499+V499+W499+X499+D516+F516+G516+I516+J516+K516+L516+M516+N516+O516+Q516+R516+T516</f>
        <v>0</v>
      </c>
      <c r="W516" s="18">
        <f>+F499+K516+L516+M516+N516+O516+Q516+R516+T516</f>
        <v>0</v>
      </c>
      <c r="X516" s="18">
        <f>+V516-W516</f>
        <v>0</v>
      </c>
    </row>
    <row r="517" spans="1:24" ht="15">
      <c r="A517" s="4">
        <f>+A516+1</f>
        <v>20</v>
      </c>
      <c r="B517" s="24" t="s">
        <v>46</v>
      </c>
      <c r="C517" s="11" t="s">
        <v>47</v>
      </c>
      <c r="D517" s="18">
        <f>+D509+D510+D515+D516+D511</f>
        <v>0</v>
      </c>
      <c r="E517" s="18"/>
      <c r="F517" s="18">
        <f>+F509+F510+F515+F516+F511</f>
        <v>0</v>
      </c>
      <c r="G517" s="18">
        <f>+G509+G510+G515+G516+G511</f>
        <v>0</v>
      </c>
      <c r="I517" s="18">
        <f aca="true" t="shared" si="65" ref="I517:O517">+I509+I510+I515+I516+I511</f>
        <v>616247</v>
      </c>
      <c r="J517" s="18">
        <f t="shared" si="65"/>
        <v>17004</v>
      </c>
      <c r="K517" s="18">
        <f t="shared" si="65"/>
        <v>0</v>
      </c>
      <c r="L517" s="18">
        <f t="shared" si="65"/>
        <v>0</v>
      </c>
      <c r="M517" s="18">
        <f t="shared" si="65"/>
        <v>40483</v>
      </c>
      <c r="N517" s="18">
        <f t="shared" si="65"/>
        <v>-174039</v>
      </c>
      <c r="O517" s="18">
        <f t="shared" si="65"/>
        <v>838</v>
      </c>
      <c r="P517" s="42"/>
      <c r="Q517" s="18">
        <f>+Q509+Q510+Q515+Q516+Q511</f>
        <v>0</v>
      </c>
      <c r="R517" s="18">
        <f>+R509+R510+R515+R516+R511</f>
        <v>0</v>
      </c>
      <c r="S517" s="18"/>
      <c r="T517" s="18">
        <f>+T509+T510+T515+T516+T511</f>
        <v>0</v>
      </c>
      <c r="U517" s="42"/>
      <c r="V517" s="18">
        <f>SUM(V509,V511,V515,V516)</f>
        <v>5883833</v>
      </c>
      <c r="W517" s="18">
        <f>+W509+W510+W515+W516+W511</f>
        <v>4558306</v>
      </c>
      <c r="X517" s="18">
        <f>+X509+X510+X515+X516+X511</f>
        <v>1325527</v>
      </c>
    </row>
    <row r="518" spans="1:24" ht="15">
      <c r="A518" s="4"/>
      <c r="B518" s="24"/>
      <c r="C518" s="11"/>
      <c r="D518" s="18"/>
      <c r="E518" s="18"/>
      <c r="F518" s="18"/>
      <c r="G518" s="18"/>
      <c r="I518" s="18"/>
      <c r="J518" s="18"/>
      <c r="K518" s="18"/>
      <c r="L518" s="18"/>
      <c r="M518" s="18"/>
      <c r="N518" s="18"/>
      <c r="O518" s="18"/>
      <c r="P518" s="42"/>
      <c r="Q518" s="18"/>
      <c r="R518" s="18"/>
      <c r="S518" s="18"/>
      <c r="T518" s="18"/>
      <c r="U518" s="42"/>
      <c r="V518" s="18"/>
      <c r="W518" s="18"/>
      <c r="X518" s="18"/>
    </row>
    <row r="519" spans="1:24" ht="15">
      <c r="A519" s="4"/>
      <c r="B519" s="24"/>
      <c r="C519" s="11"/>
      <c r="D519" s="18"/>
      <c r="E519" s="18"/>
      <c r="F519" s="18"/>
      <c r="G519" s="18"/>
      <c r="I519" s="18"/>
      <c r="J519" s="18"/>
      <c r="K519" s="18"/>
      <c r="L519" s="18"/>
      <c r="M519" s="18"/>
      <c r="N519" s="18"/>
      <c r="O519" s="18"/>
      <c r="P519" s="42"/>
      <c r="Q519" s="18"/>
      <c r="R519" s="18"/>
      <c r="S519" s="18"/>
      <c r="T519" s="18"/>
      <c r="U519" s="42"/>
      <c r="V519" s="18"/>
      <c r="W519" s="18"/>
      <c r="X519" s="18"/>
    </row>
    <row r="520" spans="1:24" ht="15">
      <c r="A520" s="4"/>
      <c r="B520" s="24"/>
      <c r="C520" s="11"/>
      <c r="D520" s="18"/>
      <c r="E520" s="18"/>
      <c r="F520" s="18"/>
      <c r="G520" s="18"/>
      <c r="I520" s="18"/>
      <c r="J520" s="18"/>
      <c r="K520" s="18"/>
      <c r="L520" s="18"/>
      <c r="M520" s="18"/>
      <c r="N520" s="18"/>
      <c r="O520" s="18"/>
      <c r="P520" s="42"/>
      <c r="Q520" s="18"/>
      <c r="R520" s="18"/>
      <c r="S520" s="18"/>
      <c r="T520" s="18"/>
      <c r="U520" s="42"/>
      <c r="V520" s="18"/>
      <c r="W520" s="18"/>
      <c r="X520" s="18"/>
    </row>
    <row r="521" spans="1:25" ht="15">
      <c r="A521" s="4"/>
      <c r="B521" s="24"/>
      <c r="C521" s="11"/>
      <c r="D521" s="10" t="s">
        <v>80</v>
      </c>
      <c r="E521" s="10"/>
      <c r="F521" s="10" t="s">
        <v>81</v>
      </c>
      <c r="G521" s="10" t="s">
        <v>82</v>
      </c>
      <c r="I521" s="10" t="s">
        <v>83</v>
      </c>
      <c r="J521" s="10" t="s">
        <v>84</v>
      </c>
      <c r="K521" s="10" t="s">
        <v>85</v>
      </c>
      <c r="L521" s="10" t="s">
        <v>86</v>
      </c>
      <c r="M521" s="43" t="s">
        <v>87</v>
      </c>
      <c r="N521" s="43" t="s">
        <v>88</v>
      </c>
      <c r="O521" s="44" t="s">
        <v>89</v>
      </c>
      <c r="P521" s="42"/>
      <c r="Q521" s="43" t="s">
        <v>90</v>
      </c>
      <c r="R521" s="43" t="s">
        <v>91</v>
      </c>
      <c r="S521" s="43"/>
      <c r="T521" s="43" t="s">
        <v>92</v>
      </c>
      <c r="U521" s="42"/>
      <c r="V521" s="43" t="s">
        <v>93</v>
      </c>
      <c r="W521" s="43" t="s">
        <v>94</v>
      </c>
      <c r="X521" s="43" t="s">
        <v>95</v>
      </c>
      <c r="Y521" s="18"/>
    </row>
    <row r="522" spans="1:25" ht="15">
      <c r="A522" s="4"/>
      <c r="B522"/>
      <c r="C522" s="11"/>
      <c r="D522" s="10" t="s">
        <v>20</v>
      </c>
      <c r="E522" s="38"/>
      <c r="F522" s="10" t="s">
        <v>20</v>
      </c>
      <c r="G522" s="10" t="s">
        <v>20</v>
      </c>
      <c r="I522" s="10" t="s">
        <v>20</v>
      </c>
      <c r="J522" s="10" t="s">
        <v>20</v>
      </c>
      <c r="K522" s="10" t="s">
        <v>20</v>
      </c>
      <c r="L522" s="10" t="s">
        <v>20</v>
      </c>
      <c r="M522" s="10" t="s">
        <v>20</v>
      </c>
      <c r="N522" s="10" t="s">
        <v>20</v>
      </c>
      <c r="O522" s="10" t="s">
        <v>20</v>
      </c>
      <c r="P522" s="18"/>
      <c r="Q522" s="10" t="s">
        <v>20</v>
      </c>
      <c r="R522" s="10" t="s">
        <v>20</v>
      </c>
      <c r="S522" s="14"/>
      <c r="T522" s="10" t="s">
        <v>20</v>
      </c>
      <c r="U522" s="18"/>
      <c r="W522" s="39" t="s">
        <v>96</v>
      </c>
      <c r="Y522" s="18"/>
    </row>
    <row r="523" spans="1:25" ht="15">
      <c r="A523" s="4"/>
      <c r="B523" s="87" t="s">
        <v>174</v>
      </c>
      <c r="C523" s="11"/>
      <c r="D523" s="45" t="s">
        <v>97</v>
      </c>
      <c r="E523" s="6"/>
      <c r="F523" s="45" t="s">
        <v>98</v>
      </c>
      <c r="G523" s="45" t="s">
        <v>99</v>
      </c>
      <c r="H523" s="19"/>
      <c r="I523" s="45" t="s">
        <v>100</v>
      </c>
      <c r="J523" s="45" t="s">
        <v>101</v>
      </c>
      <c r="K523" s="45" t="s">
        <v>102</v>
      </c>
      <c r="L523" s="45" t="s">
        <v>103</v>
      </c>
      <c r="M523" s="45" t="s">
        <v>104</v>
      </c>
      <c r="N523" s="45" t="s">
        <v>105</v>
      </c>
      <c r="O523" s="45" t="s">
        <v>106</v>
      </c>
      <c r="P523" s="6"/>
      <c r="Q523" s="45" t="s">
        <v>107</v>
      </c>
      <c r="R523" s="45" t="s">
        <v>108</v>
      </c>
      <c r="S523" s="45"/>
      <c r="T523" s="45" t="s">
        <v>109</v>
      </c>
      <c r="U523" s="18"/>
      <c r="V523" s="10" t="s">
        <v>20</v>
      </c>
      <c r="W523" s="10" t="s">
        <v>21</v>
      </c>
      <c r="X523" s="10" t="s">
        <v>22</v>
      </c>
      <c r="Y523" s="18"/>
    </row>
    <row r="524" spans="1:9" ht="15">
      <c r="A524" s="4"/>
      <c r="B524" s="24"/>
      <c r="C524" s="11"/>
      <c r="E524" s="14"/>
      <c r="F524"/>
      <c r="H524" s="18"/>
      <c r="I524" s="16"/>
    </row>
    <row r="525" spans="1:24" ht="15">
      <c r="A525" s="4">
        <f>+A518+1</f>
        <v>1</v>
      </c>
      <c r="B525" s="5" t="s">
        <v>36</v>
      </c>
      <c r="C525" s="17" t="s">
        <v>37</v>
      </c>
      <c r="D525" s="18">
        <v>0</v>
      </c>
      <c r="E525" s="18"/>
      <c r="F525" s="18">
        <v>0</v>
      </c>
      <c r="G525" s="18">
        <v>0</v>
      </c>
      <c r="I525" s="18">
        <v>0</v>
      </c>
      <c r="J525" s="18">
        <v>0</v>
      </c>
      <c r="K525" s="46">
        <v>210</v>
      </c>
      <c r="L525" s="18">
        <v>-6856</v>
      </c>
      <c r="M525" s="18">
        <v>0</v>
      </c>
      <c r="N525" s="18">
        <v>0</v>
      </c>
      <c r="O525" s="18">
        <v>0</v>
      </c>
      <c r="Q525" s="18">
        <v>0</v>
      </c>
      <c r="R525" s="18">
        <v>0</v>
      </c>
      <c r="S525" s="18"/>
      <c r="T525" s="18">
        <v>0</v>
      </c>
      <c r="V525" s="18">
        <f>+V507+D525+F525+G525+I525+J525+K525+L525+M525+N525+O525+Q525+R525+T525</f>
        <v>5734330</v>
      </c>
      <c r="W525" s="18">
        <f>+W507</f>
        <v>4688039</v>
      </c>
      <c r="X525" s="18">
        <f>+V525-W525</f>
        <v>1046291</v>
      </c>
    </row>
    <row r="526" spans="1:24" ht="15">
      <c r="A526" s="4">
        <f>+A525+1</f>
        <v>2</v>
      </c>
      <c r="B526" s="5" t="s">
        <v>36</v>
      </c>
      <c r="C526" s="22" t="s">
        <v>38</v>
      </c>
      <c r="D526" s="18">
        <v>0</v>
      </c>
      <c r="E526" s="18"/>
      <c r="F526" s="18">
        <v>0</v>
      </c>
      <c r="G526" s="18">
        <v>0</v>
      </c>
      <c r="I526" s="18">
        <v>0</v>
      </c>
      <c r="J526" s="18">
        <v>0</v>
      </c>
      <c r="K526" s="46">
        <v>210</v>
      </c>
      <c r="L526" s="18">
        <v>-7131</v>
      </c>
      <c r="M526" s="18">
        <v>0</v>
      </c>
      <c r="N526" s="18">
        <v>0</v>
      </c>
      <c r="O526" s="18">
        <v>0</v>
      </c>
      <c r="Q526" s="18">
        <v>0</v>
      </c>
      <c r="R526" s="18">
        <v>0</v>
      </c>
      <c r="S526" s="18"/>
      <c r="T526" s="18">
        <v>0</v>
      </c>
      <c r="V526" s="18">
        <f>+V508+D526+F526+G526+I526+J526+K526+L526+M526+N526+O526+Q526+R526+T526</f>
        <v>5742796</v>
      </c>
      <c r="W526" s="18">
        <f>+W508</f>
        <v>4653023</v>
      </c>
      <c r="X526" s="18">
        <f>+V526-W526</f>
        <v>1089773</v>
      </c>
    </row>
    <row r="527" spans="1:24" ht="15">
      <c r="A527" s="4">
        <f>+A526+1</f>
        <v>3</v>
      </c>
      <c r="B527" s="24" t="s">
        <v>46</v>
      </c>
      <c r="C527" s="40" t="s">
        <v>78</v>
      </c>
      <c r="D527" s="18">
        <f>+D525-D526</f>
        <v>0</v>
      </c>
      <c r="E527" s="18"/>
      <c r="F527" s="18">
        <f>+F525-F526</f>
        <v>0</v>
      </c>
      <c r="G527" s="18">
        <f>+G525-G526</f>
        <v>0</v>
      </c>
      <c r="I527" s="18">
        <f aca="true" t="shared" si="66" ref="I527:O527">+I525-I526</f>
        <v>0</v>
      </c>
      <c r="J527" s="18">
        <f t="shared" si="66"/>
        <v>0</v>
      </c>
      <c r="K527" s="18">
        <f t="shared" si="66"/>
        <v>0</v>
      </c>
      <c r="L527" s="18">
        <f t="shared" si="66"/>
        <v>275</v>
      </c>
      <c r="M527" s="18">
        <f t="shared" si="66"/>
        <v>0</v>
      </c>
      <c r="N527" s="18">
        <f t="shared" si="66"/>
        <v>0</v>
      </c>
      <c r="O527" s="18">
        <f t="shared" si="66"/>
        <v>0</v>
      </c>
      <c r="Q527" s="18">
        <f>+Q525-Q526</f>
        <v>0</v>
      </c>
      <c r="R527" s="18">
        <f>+R525-R526</f>
        <v>0</v>
      </c>
      <c r="S527" s="18"/>
      <c r="T527" s="18">
        <f>+T525-T526</f>
        <v>0</v>
      </c>
      <c r="V527" s="27">
        <f>+V525-V526</f>
        <v>-8466</v>
      </c>
      <c r="W527" s="27">
        <f>+W525-W526</f>
        <v>35016</v>
      </c>
      <c r="X527" s="18">
        <f>+X525-X526</f>
        <v>-43482</v>
      </c>
    </row>
    <row r="528" spans="1:24" ht="28.5">
      <c r="A528" s="4">
        <f>+A527+1</f>
        <v>4</v>
      </c>
      <c r="B528" s="88" t="s">
        <v>182</v>
      </c>
      <c r="C528" s="11"/>
      <c r="D528" s="18">
        <v>0</v>
      </c>
      <c r="E528" s="18"/>
      <c r="F528" s="18">
        <v>0</v>
      </c>
      <c r="G528" s="18">
        <v>0</v>
      </c>
      <c r="I528" s="18">
        <v>0</v>
      </c>
      <c r="J528" s="27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Q528" s="18">
        <v>0</v>
      </c>
      <c r="R528" s="18">
        <v>0</v>
      </c>
      <c r="S528" s="18"/>
      <c r="T528" s="18">
        <v>0</v>
      </c>
      <c r="V528" s="18">
        <f>+V510+D528+F528+G528+I528+J528+K528+L528+M528+N528+O528+Q528+R528+T528</f>
        <v>0</v>
      </c>
      <c r="W528" s="18">
        <f>+W510</f>
        <v>0</v>
      </c>
      <c r="X528" s="18">
        <f>+V528-W528</f>
        <v>0</v>
      </c>
    </row>
    <row r="529" spans="1:24" ht="24.75">
      <c r="A529" s="4">
        <f>+A528+1</f>
        <v>5</v>
      </c>
      <c r="B529" s="89" t="s">
        <v>39</v>
      </c>
      <c r="C529" s="40"/>
      <c r="D529" s="27">
        <v>0</v>
      </c>
      <c r="E529" s="18"/>
      <c r="F529" s="27">
        <v>0</v>
      </c>
      <c r="G529" s="27">
        <v>653</v>
      </c>
      <c r="I529" s="27">
        <v>0</v>
      </c>
      <c r="J529" s="27">
        <v>0</v>
      </c>
      <c r="K529" s="18">
        <v>-493962</v>
      </c>
      <c r="L529" s="27">
        <v>0</v>
      </c>
      <c r="M529" s="27">
        <v>-22122</v>
      </c>
      <c r="N529" s="27">
        <v>0</v>
      </c>
      <c r="O529" s="27">
        <v>-78020</v>
      </c>
      <c r="Q529" s="27">
        <v>0</v>
      </c>
      <c r="R529" s="27">
        <v>-16185</v>
      </c>
      <c r="S529" s="27"/>
      <c r="T529" s="27">
        <v>-77438</v>
      </c>
      <c r="V529" s="18">
        <f>+V511+D529+F529+G529+I529+J529+K529+L529+M529+N529+O529+Q529+R529+T529</f>
        <v>-513162</v>
      </c>
      <c r="W529" s="18">
        <f>+W511</f>
        <v>0</v>
      </c>
      <c r="X529" s="18">
        <f>+V529-W529</f>
        <v>-513162</v>
      </c>
    </row>
    <row r="530" spans="1:24" ht="15">
      <c r="A530" s="6" t="s">
        <v>41</v>
      </c>
      <c r="B530" s="41"/>
      <c r="C530" s="40"/>
      <c r="D530" s="18"/>
      <c r="E530" s="18"/>
      <c r="F530" s="18"/>
      <c r="G530" s="18"/>
      <c r="I530" s="18"/>
      <c r="J530" s="18"/>
      <c r="L530" s="18"/>
      <c r="M530" s="18"/>
      <c r="N530" s="18"/>
      <c r="O530" s="18"/>
      <c r="Q530" s="18"/>
      <c r="R530" s="18"/>
      <c r="S530" s="18"/>
      <c r="T530" s="18"/>
      <c r="V530" s="18"/>
      <c r="W530" s="18"/>
      <c r="X530" s="18"/>
    </row>
    <row r="531" spans="1:24" ht="15">
      <c r="A531" s="4">
        <f>+A529+1</f>
        <v>6</v>
      </c>
      <c r="B531" s="5" t="s">
        <v>42</v>
      </c>
      <c r="C531" s="22" t="s">
        <v>38</v>
      </c>
      <c r="D531" s="18">
        <v>0</v>
      </c>
      <c r="E531" s="18"/>
      <c r="F531" s="18">
        <v>0</v>
      </c>
      <c r="G531" s="18">
        <v>0</v>
      </c>
      <c r="I531" s="18">
        <v>0</v>
      </c>
      <c r="J531" s="18">
        <v>0</v>
      </c>
      <c r="K531" s="46">
        <v>14561</v>
      </c>
      <c r="L531" s="18">
        <v>-7044</v>
      </c>
      <c r="M531" s="18">
        <v>0</v>
      </c>
      <c r="N531" s="18">
        <v>0</v>
      </c>
      <c r="O531" s="18">
        <v>0</v>
      </c>
      <c r="P531" s="18"/>
      <c r="Q531" s="18">
        <v>0</v>
      </c>
      <c r="R531" s="18">
        <v>0</v>
      </c>
      <c r="S531" s="18"/>
      <c r="T531" s="18">
        <v>0</v>
      </c>
      <c r="U531" s="18"/>
      <c r="V531" s="18">
        <f>+V513+D531+F531+G531+I531+J531+K531+L531+M531+N531+O531+Q531+R531+T531</f>
        <v>5731084</v>
      </c>
      <c r="W531" s="18">
        <f>+W513</f>
        <v>4528266</v>
      </c>
      <c r="X531" s="18">
        <f>+V531-W531</f>
        <v>1202818</v>
      </c>
    </row>
    <row r="532" spans="1:24" ht="15">
      <c r="A532" s="4">
        <f>+A531+1</f>
        <v>7</v>
      </c>
      <c r="B532" s="5" t="s">
        <v>43</v>
      </c>
      <c r="C532" s="11"/>
      <c r="D532" s="18">
        <v>0</v>
      </c>
      <c r="E532" s="18"/>
      <c r="F532" s="18">
        <v>0</v>
      </c>
      <c r="G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/>
      <c r="Q532" s="18">
        <v>0</v>
      </c>
      <c r="R532" s="18">
        <v>0</v>
      </c>
      <c r="S532" s="18"/>
      <c r="T532" s="18">
        <v>0</v>
      </c>
      <c r="U532" s="18"/>
      <c r="V532" s="18">
        <f>+V514+D532+F532+G532+I532+J532+K532+L532+M532+N532+O532+Q532+R532+T532</f>
        <v>4905</v>
      </c>
      <c r="W532" s="18">
        <f>+W514</f>
        <v>4976</v>
      </c>
      <c r="X532" s="18">
        <f>+V532-W532</f>
        <v>-71</v>
      </c>
    </row>
    <row r="533" spans="1:24" ht="26.25">
      <c r="A533" s="4">
        <f>+A532+1</f>
        <v>8</v>
      </c>
      <c r="B533" s="24" t="s">
        <v>79</v>
      </c>
      <c r="C533" s="11"/>
      <c r="D533" s="18">
        <f>+D531-D532</f>
        <v>0</v>
      </c>
      <c r="E533" s="18"/>
      <c r="F533" s="18">
        <f>+F531-F532</f>
        <v>0</v>
      </c>
      <c r="G533" s="18">
        <f>+G531-G532</f>
        <v>0</v>
      </c>
      <c r="I533" s="18">
        <f aca="true" t="shared" si="67" ref="I533:O533">+I531-I532</f>
        <v>0</v>
      </c>
      <c r="J533" s="18">
        <f t="shared" si="67"/>
        <v>0</v>
      </c>
      <c r="K533" s="18">
        <f t="shared" si="67"/>
        <v>14561</v>
      </c>
      <c r="L533" s="18">
        <f t="shared" si="67"/>
        <v>-7044</v>
      </c>
      <c r="M533" s="18">
        <f t="shared" si="67"/>
        <v>0</v>
      </c>
      <c r="N533" s="18">
        <f t="shared" si="67"/>
        <v>0</v>
      </c>
      <c r="O533" s="18">
        <f t="shared" si="67"/>
        <v>0</v>
      </c>
      <c r="P533" s="18"/>
      <c r="Q533" s="18">
        <f>+Q531-Q532</f>
        <v>0</v>
      </c>
      <c r="R533" s="18">
        <f>+R531-R532</f>
        <v>0</v>
      </c>
      <c r="S533" s="18"/>
      <c r="T533" s="18">
        <f>+T531-T532</f>
        <v>0</v>
      </c>
      <c r="U533" s="18"/>
      <c r="V533" s="27">
        <f>+V531-V532</f>
        <v>5726179</v>
      </c>
      <c r="W533" s="27">
        <f>+W531-W532</f>
        <v>4523290</v>
      </c>
      <c r="X533" s="18">
        <f>+X531-X532</f>
        <v>1202889</v>
      </c>
    </row>
    <row r="534" spans="1:24" ht="28.5">
      <c r="A534" s="4">
        <f>+A533+1</f>
        <v>9</v>
      </c>
      <c r="B534" s="88" t="s">
        <v>181</v>
      </c>
      <c r="C534" s="11"/>
      <c r="D534" s="18">
        <v>0</v>
      </c>
      <c r="E534" s="18"/>
      <c r="F534" s="18">
        <v>0</v>
      </c>
      <c r="G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/>
      <c r="Q534" s="18">
        <v>0</v>
      </c>
      <c r="R534" s="18">
        <v>0</v>
      </c>
      <c r="S534" s="18"/>
      <c r="T534" s="18">
        <v>0</v>
      </c>
      <c r="U534" s="18"/>
      <c r="V534" s="18">
        <f>+V516+D534+F534+G534+I534+J534+K534+L534+M534+N534+O534+Q534+R534+T534</f>
        <v>0</v>
      </c>
      <c r="W534" s="18">
        <f>+W516</f>
        <v>0</v>
      </c>
      <c r="X534" s="18">
        <f>+V534-W534</f>
        <v>0</v>
      </c>
    </row>
    <row r="535" spans="1:24" ht="15">
      <c r="A535" s="4">
        <f>+A534+1</f>
        <v>10</v>
      </c>
      <c r="B535" s="24" t="s">
        <v>46</v>
      </c>
      <c r="C535" s="11" t="s">
        <v>47</v>
      </c>
      <c r="D535" s="18">
        <f>+D527+D528+D533+D534+D529</f>
        <v>0</v>
      </c>
      <c r="E535" s="18"/>
      <c r="F535" s="18">
        <f>+F527+F528+F533+F534+F529</f>
        <v>0</v>
      </c>
      <c r="G535" s="18">
        <f>+G527+G528+G533+G534+G529</f>
        <v>653</v>
      </c>
      <c r="I535" s="18">
        <f aca="true" t="shared" si="68" ref="I535:O535">+I527+I528+I533+I534+I529</f>
        <v>0</v>
      </c>
      <c r="J535" s="18">
        <f t="shared" si="68"/>
        <v>0</v>
      </c>
      <c r="K535" s="18">
        <f t="shared" si="68"/>
        <v>-479401</v>
      </c>
      <c r="L535" s="18">
        <f t="shared" si="68"/>
        <v>-6769</v>
      </c>
      <c r="M535" s="18">
        <f t="shared" si="68"/>
        <v>-22122</v>
      </c>
      <c r="N535" s="18">
        <f t="shared" si="68"/>
        <v>0</v>
      </c>
      <c r="O535" s="18">
        <f t="shared" si="68"/>
        <v>-78020</v>
      </c>
      <c r="P535" s="42"/>
      <c r="Q535" s="18">
        <f>+Q527+Q528+Q533+Q534+Q529</f>
        <v>0</v>
      </c>
      <c r="R535" s="18">
        <f>+R527+R528+R533+R534+R529</f>
        <v>-16185</v>
      </c>
      <c r="S535" s="18"/>
      <c r="T535" s="18">
        <f>+T527+T528+T533+T534+T529</f>
        <v>-77438</v>
      </c>
      <c r="U535" s="42"/>
      <c r="V535" s="18">
        <f>+V527+V528+V533+V534+V529</f>
        <v>5204551</v>
      </c>
      <c r="W535" s="18">
        <f>+W527+W528+W533+W534+W529</f>
        <v>4558306</v>
      </c>
      <c r="X535" s="18">
        <f>+X527+X528+X533+X534+X529</f>
        <v>646245</v>
      </c>
    </row>
    <row r="536" spans="1:24" ht="15">
      <c r="A536" s="4"/>
      <c r="B536" s="24"/>
      <c r="C536" s="11"/>
      <c r="D536" s="18"/>
      <c r="E536" s="18"/>
      <c r="F536" s="18"/>
      <c r="G536" s="18"/>
      <c r="I536" s="18"/>
      <c r="J536" s="18"/>
      <c r="K536" s="18"/>
      <c r="L536" s="18"/>
      <c r="M536" s="18"/>
      <c r="N536" s="18"/>
      <c r="O536" s="18"/>
      <c r="P536" s="42"/>
      <c r="Q536" s="18"/>
      <c r="R536" s="18"/>
      <c r="S536" s="18"/>
      <c r="T536" s="18"/>
      <c r="U536" s="42"/>
      <c r="V536" s="18"/>
      <c r="W536" s="18"/>
      <c r="X536" s="18"/>
    </row>
    <row r="537" spans="1:24" ht="15">
      <c r="A537" s="4"/>
      <c r="B537" s="24"/>
      <c r="C537" s="11"/>
      <c r="D537" s="18"/>
      <c r="E537" s="18"/>
      <c r="F537" s="18"/>
      <c r="G537" s="18"/>
      <c r="I537" s="18"/>
      <c r="J537" s="18"/>
      <c r="K537" s="18"/>
      <c r="L537" s="18"/>
      <c r="M537" s="18"/>
      <c r="N537" s="18"/>
      <c r="O537" s="18"/>
      <c r="P537" s="42"/>
      <c r="Q537" s="18"/>
      <c r="R537" s="18"/>
      <c r="S537" s="18"/>
      <c r="T537" s="18"/>
      <c r="U537" s="42"/>
      <c r="V537" s="18"/>
      <c r="W537" s="18"/>
      <c r="X537" s="18"/>
    </row>
    <row r="538" spans="1:24" ht="15">
      <c r="A538" s="4"/>
      <c r="B538" s="24"/>
      <c r="C538" s="11"/>
      <c r="D538" s="18"/>
      <c r="E538" s="18"/>
      <c r="F538" s="18"/>
      <c r="G538" s="18"/>
      <c r="I538" s="18"/>
      <c r="J538" s="18"/>
      <c r="K538" s="18"/>
      <c r="L538" s="18"/>
      <c r="M538" s="18"/>
      <c r="N538" s="18"/>
      <c r="O538" s="18"/>
      <c r="P538" s="42"/>
      <c r="Q538" s="18"/>
      <c r="R538" s="18"/>
      <c r="S538" s="18"/>
      <c r="T538" s="18"/>
      <c r="U538" s="42"/>
      <c r="V538" s="18"/>
      <c r="W538" s="18"/>
      <c r="X538" s="18"/>
    </row>
    <row r="539" spans="1:24" ht="15">
      <c r="A539" s="4"/>
      <c r="B539" s="24"/>
      <c r="C539" s="11"/>
      <c r="D539" s="18"/>
      <c r="E539" s="18"/>
      <c r="F539" s="18"/>
      <c r="G539" s="18"/>
      <c r="I539" s="18"/>
      <c r="J539" s="18"/>
      <c r="K539" s="18"/>
      <c r="L539" s="18"/>
      <c r="M539" s="18"/>
      <c r="N539" s="18"/>
      <c r="O539" s="18"/>
      <c r="P539" s="42"/>
      <c r="Q539" s="18"/>
      <c r="R539" s="18"/>
      <c r="S539" s="18"/>
      <c r="T539" s="18"/>
      <c r="U539" s="42"/>
      <c r="V539" s="18"/>
      <c r="W539" s="18"/>
      <c r="X539" s="18"/>
    </row>
    <row r="540" spans="1:24" ht="15">
      <c r="A540" s="4"/>
      <c r="B540" s="24"/>
      <c r="C540" s="11"/>
      <c r="D540" s="18"/>
      <c r="E540" s="18"/>
      <c r="F540" s="18"/>
      <c r="G540" s="18"/>
      <c r="I540" s="18"/>
      <c r="J540" s="18"/>
      <c r="K540" s="18"/>
      <c r="L540" s="18"/>
      <c r="M540" s="18"/>
      <c r="N540" s="18"/>
      <c r="O540" s="18"/>
      <c r="P540" s="42"/>
      <c r="Q540" s="18"/>
      <c r="R540" s="18"/>
      <c r="S540" s="18"/>
      <c r="T540" s="18"/>
      <c r="U540" s="42"/>
      <c r="V540" s="18"/>
      <c r="W540" s="18"/>
      <c r="X540" s="18"/>
    </row>
    <row r="541" spans="1:24" ht="15">
      <c r="A541" s="4"/>
      <c r="B541" s="24"/>
      <c r="C541" s="11"/>
      <c r="D541" s="18"/>
      <c r="E541" s="18"/>
      <c r="F541" s="18"/>
      <c r="G541" s="18"/>
      <c r="I541" s="18"/>
      <c r="J541" s="18"/>
      <c r="K541" s="18"/>
      <c r="L541" s="18"/>
      <c r="M541" s="18"/>
      <c r="N541" s="18"/>
      <c r="O541" s="18"/>
      <c r="P541" s="42"/>
      <c r="Q541" s="18"/>
      <c r="R541" s="18"/>
      <c r="S541" s="18"/>
      <c r="T541" s="18"/>
      <c r="U541" s="42"/>
      <c r="V541" s="18"/>
      <c r="W541" s="18"/>
      <c r="X541" s="18"/>
    </row>
    <row r="542" spans="1:24" ht="15">
      <c r="A542" s="4"/>
      <c r="B542" s="24"/>
      <c r="C542" s="11"/>
      <c r="D542" s="18"/>
      <c r="E542" s="18"/>
      <c r="F542" s="18"/>
      <c r="G542" s="18"/>
      <c r="I542" s="18"/>
      <c r="J542" s="18"/>
      <c r="K542" s="18"/>
      <c r="L542" s="18"/>
      <c r="M542" s="18"/>
      <c r="N542" s="18"/>
      <c r="O542" s="18"/>
      <c r="P542" s="42"/>
      <c r="Q542" s="18"/>
      <c r="R542" s="18"/>
      <c r="S542" s="18"/>
      <c r="T542" s="18"/>
      <c r="U542" s="42"/>
      <c r="V542" s="18"/>
      <c r="W542" s="18"/>
      <c r="X542" s="18"/>
    </row>
    <row r="543" spans="1:24" ht="15">
      <c r="A543" s="4"/>
      <c r="B543" s="24"/>
      <c r="C543" s="11"/>
      <c r="D543" s="10" t="s">
        <v>4</v>
      </c>
      <c r="E543" s="10"/>
      <c r="F543" s="10" t="s">
        <v>5</v>
      </c>
      <c r="G543" s="10" t="s">
        <v>6</v>
      </c>
      <c r="H543" s="10"/>
      <c r="I543" s="10" t="s">
        <v>7</v>
      </c>
      <c r="J543" s="10" t="s">
        <v>8</v>
      </c>
      <c r="K543" s="10" t="s">
        <v>9</v>
      </c>
      <c r="L543" s="10" t="s">
        <v>10</v>
      </c>
      <c r="M543" s="10" t="s">
        <v>11</v>
      </c>
      <c r="N543" s="10" t="s">
        <v>12</v>
      </c>
      <c r="O543" s="10" t="s">
        <v>13</v>
      </c>
      <c r="P543" s="10"/>
      <c r="Q543" s="10" t="s">
        <v>14</v>
      </c>
      <c r="R543" s="10" t="s">
        <v>15</v>
      </c>
      <c r="S543" s="10"/>
      <c r="T543" s="10" t="s">
        <v>16</v>
      </c>
      <c r="U543" s="10"/>
      <c r="V543" s="10" t="s">
        <v>17</v>
      </c>
      <c r="W543" s="10" t="s">
        <v>18</v>
      </c>
      <c r="X543" s="10" t="s">
        <v>19</v>
      </c>
    </row>
    <row r="544" spans="1:23" ht="15">
      <c r="A544" s="4"/>
      <c r="B544" s="24"/>
      <c r="C544" s="11"/>
      <c r="D544" s="10" t="s">
        <v>20</v>
      </c>
      <c r="E544" s="10"/>
      <c r="F544" s="14" t="s">
        <v>21</v>
      </c>
      <c r="G544" s="10"/>
      <c r="I544" s="39" t="s">
        <v>110</v>
      </c>
      <c r="J544" s="47" t="s">
        <v>111</v>
      </c>
      <c r="K544" s="39"/>
      <c r="L544" s="10" t="s">
        <v>20</v>
      </c>
      <c r="M544" s="10" t="s">
        <v>20</v>
      </c>
      <c r="N544" s="10" t="s">
        <v>20</v>
      </c>
      <c r="O544" s="10" t="s">
        <v>20</v>
      </c>
      <c r="P544" s="42"/>
      <c r="Q544" s="10" t="s">
        <v>20</v>
      </c>
      <c r="R544" s="10" t="s">
        <v>20</v>
      </c>
      <c r="S544" s="48"/>
      <c r="T544" s="10" t="s">
        <v>20</v>
      </c>
      <c r="U544" s="42"/>
      <c r="W544" s="39" t="s">
        <v>112</v>
      </c>
    </row>
    <row r="545" spans="1:24" ht="15">
      <c r="A545" s="4"/>
      <c r="B545" s="87" t="s">
        <v>183</v>
      </c>
      <c r="C545" s="11"/>
      <c r="D545" s="8" t="s">
        <v>113</v>
      </c>
      <c r="E545" s="6"/>
      <c r="F545" s="6" t="s">
        <v>114</v>
      </c>
      <c r="G545" s="49" t="s">
        <v>22</v>
      </c>
      <c r="I545" s="8" t="s">
        <v>113</v>
      </c>
      <c r="J545" s="6" t="s">
        <v>114</v>
      </c>
      <c r="K545" s="49" t="s">
        <v>24</v>
      </c>
      <c r="L545" s="13" t="s">
        <v>115</v>
      </c>
      <c r="M545" s="13" t="s">
        <v>116</v>
      </c>
      <c r="N545" s="13" t="s">
        <v>117</v>
      </c>
      <c r="O545" s="13" t="s">
        <v>118</v>
      </c>
      <c r="P545" s="42"/>
      <c r="Q545" s="13" t="s">
        <v>119</v>
      </c>
      <c r="R545" s="13" t="s">
        <v>120</v>
      </c>
      <c r="T545" s="13" t="s">
        <v>121</v>
      </c>
      <c r="U545" s="42"/>
      <c r="V545" s="10" t="s">
        <v>20</v>
      </c>
      <c r="W545" s="10" t="s">
        <v>21</v>
      </c>
      <c r="X545" s="10" t="s">
        <v>22</v>
      </c>
    </row>
    <row r="546" spans="1:24" ht="15">
      <c r="A546" s="4"/>
      <c r="B546" s="24"/>
      <c r="C546" s="11"/>
      <c r="D546" s="18"/>
      <c r="E546" s="18"/>
      <c r="F546" s="18"/>
      <c r="G546" s="18"/>
      <c r="K546" s="42"/>
      <c r="L546" s="42"/>
      <c r="N546" s="42"/>
      <c r="O546" s="18"/>
      <c r="P546" s="42"/>
      <c r="U546" s="42"/>
      <c r="V546" s="18"/>
      <c r="W546" s="39" t="s">
        <v>122</v>
      </c>
      <c r="X546" s="18"/>
    </row>
    <row r="547" spans="1:24" ht="15">
      <c r="A547" s="4">
        <f>+A515+1</f>
        <v>19</v>
      </c>
      <c r="B547" s="5" t="s">
        <v>36</v>
      </c>
      <c r="C547" s="17" t="s">
        <v>37</v>
      </c>
      <c r="D547" s="18">
        <v>1262002</v>
      </c>
      <c r="E547" s="18" t="s">
        <v>0</v>
      </c>
      <c r="F547" s="18">
        <v>366080</v>
      </c>
      <c r="G547" s="18">
        <f>D547-F547</f>
        <v>895922</v>
      </c>
      <c r="I547" s="18">
        <v>-43</v>
      </c>
      <c r="J547" s="18">
        <v>473</v>
      </c>
      <c r="K547" s="36">
        <f>+I547-J547</f>
        <v>-516</v>
      </c>
      <c r="L547" s="18">
        <v>0</v>
      </c>
      <c r="M547" s="18">
        <v>-196928</v>
      </c>
      <c r="N547" s="18">
        <v>15763</v>
      </c>
      <c r="O547" s="18">
        <v>0</v>
      </c>
      <c r="P547" s="42"/>
      <c r="Q547" s="31">
        <v>0</v>
      </c>
      <c r="R547" s="18">
        <v>0</v>
      </c>
      <c r="S547" s="18"/>
      <c r="T547" s="18">
        <v>0</v>
      </c>
      <c r="U547" s="42"/>
      <c r="V547" s="31">
        <f>+D547+I547+L547+M547+N547+O547+Q547+R547+T547</f>
        <v>1080794</v>
      </c>
      <c r="W547" s="18">
        <f>+F547+J547</f>
        <v>366553</v>
      </c>
      <c r="X547" s="18">
        <f>+V547-W547</f>
        <v>714241</v>
      </c>
    </row>
    <row r="548" spans="1:24" ht="15">
      <c r="A548" s="4">
        <f>+A547+1</f>
        <v>20</v>
      </c>
      <c r="B548" s="5" t="s">
        <v>36</v>
      </c>
      <c r="C548" s="22" t="s">
        <v>38</v>
      </c>
      <c r="D548" s="18">
        <v>1264525</v>
      </c>
      <c r="E548" s="18" t="s">
        <v>0</v>
      </c>
      <c r="F548" s="18">
        <v>362129</v>
      </c>
      <c r="G548" s="18">
        <f>D548-F548</f>
        <v>902396</v>
      </c>
      <c r="I548" s="18">
        <v>-43</v>
      </c>
      <c r="J548" s="31">
        <v>444</v>
      </c>
      <c r="K548" s="18">
        <v>-1707</v>
      </c>
      <c r="L548" s="18">
        <v>0</v>
      </c>
      <c r="M548" s="18">
        <v>-196929</v>
      </c>
      <c r="N548" s="18">
        <v>15763</v>
      </c>
      <c r="O548" s="18">
        <v>0</v>
      </c>
      <c r="P548" s="42"/>
      <c r="Q548" s="31">
        <v>0</v>
      </c>
      <c r="R548" s="18">
        <v>0</v>
      </c>
      <c r="S548" s="18"/>
      <c r="T548" s="18">
        <v>0</v>
      </c>
      <c r="U548" s="42"/>
      <c r="V548" s="31">
        <f>+D548+I548+L548+M548+N548+O548+Q548+R548+T548</f>
        <v>1083316</v>
      </c>
      <c r="W548" s="18">
        <f>+F548+J548</f>
        <v>362573</v>
      </c>
      <c r="X548" s="18">
        <f>+V548-W548</f>
        <v>720743</v>
      </c>
    </row>
    <row r="549" spans="1:24" ht="15">
      <c r="A549" s="4">
        <f>+A548+1</f>
        <v>21</v>
      </c>
      <c r="B549" s="24" t="s">
        <v>46</v>
      </c>
      <c r="C549" s="40" t="s">
        <v>78</v>
      </c>
      <c r="D549" s="18">
        <f>+D547-D548</f>
        <v>-2523</v>
      </c>
      <c r="E549" s="18"/>
      <c r="F549" s="18">
        <f>+F547-F548</f>
        <v>3951</v>
      </c>
      <c r="G549" s="18">
        <f>+G547-G548</f>
        <v>-6474</v>
      </c>
      <c r="I549" s="18">
        <f aca="true" t="shared" si="69" ref="I549:O549">+I547-I548</f>
        <v>0</v>
      </c>
      <c r="J549" s="18">
        <f t="shared" si="69"/>
        <v>29</v>
      </c>
      <c r="K549" s="18">
        <f t="shared" si="69"/>
        <v>1191</v>
      </c>
      <c r="L549" s="18">
        <f t="shared" si="69"/>
        <v>0</v>
      </c>
      <c r="M549" s="18">
        <f t="shared" si="69"/>
        <v>1</v>
      </c>
      <c r="N549" s="18">
        <f t="shared" si="69"/>
        <v>0</v>
      </c>
      <c r="O549" s="18">
        <f t="shared" si="69"/>
        <v>0</v>
      </c>
      <c r="P549" s="42"/>
      <c r="Q549" s="18">
        <f>+Q547-Q548</f>
        <v>0</v>
      </c>
      <c r="R549" s="18">
        <f>+R547-R548</f>
        <v>0</v>
      </c>
      <c r="S549" s="18"/>
      <c r="T549" s="18">
        <f>+T547-T548</f>
        <v>0</v>
      </c>
      <c r="U549" s="42"/>
      <c r="V549" s="31">
        <f>+V547-V548</f>
        <v>-2522</v>
      </c>
      <c r="W549" s="31">
        <f>+W547-W548</f>
        <v>3980</v>
      </c>
      <c r="X549" s="18">
        <f>+X547-X548</f>
        <v>-6502</v>
      </c>
    </row>
    <row r="550" spans="1:24" ht="28.5">
      <c r="A550" s="4">
        <f>+A549+1</f>
        <v>22</v>
      </c>
      <c r="B550" s="88" t="s">
        <v>182</v>
      </c>
      <c r="C550" s="11"/>
      <c r="D550" s="18">
        <v>0</v>
      </c>
      <c r="E550" s="18"/>
      <c r="F550" s="18">
        <v>0</v>
      </c>
      <c r="G550" s="18">
        <f>+D550-F550</f>
        <v>0</v>
      </c>
      <c r="I550" s="18">
        <v>0</v>
      </c>
      <c r="J550" s="18">
        <v>0</v>
      </c>
      <c r="K550" s="18">
        <f>+I550-J550</f>
        <v>0</v>
      </c>
      <c r="L550" s="18">
        <v>0</v>
      </c>
      <c r="M550" s="18">
        <v>0</v>
      </c>
      <c r="N550" s="18">
        <f>+L550-M550</f>
        <v>0</v>
      </c>
      <c r="O550" s="18">
        <v>0</v>
      </c>
      <c r="P550" s="42"/>
      <c r="Q550" s="18">
        <v>0</v>
      </c>
      <c r="R550" s="18">
        <v>0</v>
      </c>
      <c r="S550" s="18"/>
      <c r="T550" s="18">
        <v>0</v>
      </c>
      <c r="U550" s="42"/>
      <c r="V550" s="31">
        <f>+D550+I550+L550+M550+N550+O550+Q550+R550+T550</f>
        <v>0</v>
      </c>
      <c r="W550" s="18">
        <f>+F550+J550</f>
        <v>0</v>
      </c>
      <c r="X550" s="18">
        <f>+V550-W550</f>
        <v>0</v>
      </c>
    </row>
    <row r="551" spans="1:24" ht="24.75">
      <c r="A551" s="4">
        <f>+A550+1</f>
        <v>23</v>
      </c>
      <c r="B551" s="89" t="s">
        <v>39</v>
      </c>
      <c r="C551" s="40"/>
      <c r="D551" s="27">
        <v>99470</v>
      </c>
      <c r="E551" s="18" t="s">
        <v>0</v>
      </c>
      <c r="F551" s="27">
        <v>581434</v>
      </c>
      <c r="G551" s="18">
        <f>D551-F551</f>
        <v>-481964</v>
      </c>
      <c r="I551" s="27">
        <v>0</v>
      </c>
      <c r="J551" s="27">
        <v>0</v>
      </c>
      <c r="K551" s="18">
        <f>+I551-J551</f>
        <v>0</v>
      </c>
      <c r="L551" s="18">
        <v>0</v>
      </c>
      <c r="M551" s="18">
        <v>-60831</v>
      </c>
      <c r="N551" s="18">
        <v>20920</v>
      </c>
      <c r="O551" s="27">
        <v>-9536</v>
      </c>
      <c r="P551" s="42"/>
      <c r="Q551" s="50">
        <v>0</v>
      </c>
      <c r="R551" s="21">
        <v>0</v>
      </c>
      <c r="S551" s="18"/>
      <c r="T551" s="18">
        <v>0</v>
      </c>
      <c r="U551" s="42"/>
      <c r="V551" s="31">
        <f>+D551+I551+M551+N551+L551+O551+Q551+R551+T551</f>
        <v>50023</v>
      </c>
      <c r="W551" s="18">
        <f>+F551+J551</f>
        <v>581434</v>
      </c>
      <c r="X551" s="36">
        <f>+V551-W551</f>
        <v>-531411</v>
      </c>
    </row>
    <row r="552" spans="1:24" ht="15">
      <c r="A552" s="6" t="s">
        <v>41</v>
      </c>
      <c r="B552" s="41"/>
      <c r="C552" s="40"/>
      <c r="D552" s="18"/>
      <c r="E552" s="18"/>
      <c r="F552" s="18" t="s">
        <v>0</v>
      </c>
      <c r="G552" s="18"/>
      <c r="I552" s="18"/>
      <c r="J552" s="18"/>
      <c r="K552" s="18"/>
      <c r="L552" s="18"/>
      <c r="M552" s="18"/>
      <c r="N552" s="18"/>
      <c r="O552" s="18"/>
      <c r="P552" s="42"/>
      <c r="Q552" s="18"/>
      <c r="R552" s="18"/>
      <c r="S552" s="18"/>
      <c r="T552" s="18"/>
      <c r="U552" s="42"/>
      <c r="V552" s="30"/>
      <c r="W552" s="30"/>
      <c r="X552" s="36"/>
    </row>
    <row r="553" spans="1:24" ht="15">
      <c r="A553" s="4">
        <f>+A551+1</f>
        <v>24</v>
      </c>
      <c r="B553" s="5" t="s">
        <v>42</v>
      </c>
      <c r="C553" s="22" t="s">
        <v>38</v>
      </c>
      <c r="D553" s="18">
        <v>1250267</v>
      </c>
      <c r="E553" s="18" t="s">
        <v>0</v>
      </c>
      <c r="F553" s="18">
        <v>398665</v>
      </c>
      <c r="G553" s="18">
        <f>D553-F553</f>
        <v>851602</v>
      </c>
      <c r="I553" s="18">
        <v>0</v>
      </c>
      <c r="J553" s="26">
        <v>2098</v>
      </c>
      <c r="K553" s="18">
        <f>+I553-J553</f>
        <v>-2098</v>
      </c>
      <c r="L553" s="18">
        <v>38009</v>
      </c>
      <c r="M553" s="18">
        <v>-166769</v>
      </c>
      <c r="N553" s="18">
        <v>17448</v>
      </c>
      <c r="O553" s="18">
        <v>0</v>
      </c>
      <c r="P553" s="42"/>
      <c r="Q553" s="31">
        <v>0</v>
      </c>
      <c r="R553" s="18">
        <v>0</v>
      </c>
      <c r="S553" s="18" t="s">
        <v>0</v>
      </c>
      <c r="T553" s="18">
        <v>-4</v>
      </c>
      <c r="U553" s="42"/>
      <c r="V553" s="31">
        <f>+D553+I553+L553+M553+N553+O553+Q553+R553+T553</f>
        <v>1138951</v>
      </c>
      <c r="W553" s="18">
        <f>+F553+J553</f>
        <v>400763</v>
      </c>
      <c r="X553" s="18">
        <f>+V553-W553</f>
        <v>738188</v>
      </c>
    </row>
    <row r="554" spans="1:24" ht="15">
      <c r="A554" s="4">
        <f>+A553+1</f>
        <v>25</v>
      </c>
      <c r="B554" s="5" t="s">
        <v>43</v>
      </c>
      <c r="C554" s="11"/>
      <c r="D554" s="18"/>
      <c r="E554" s="18"/>
      <c r="F554" s="18">
        <v>0</v>
      </c>
      <c r="G554" s="18">
        <f>+D554-F554</f>
        <v>0</v>
      </c>
      <c r="I554" s="18">
        <v>0</v>
      </c>
      <c r="J554" s="18">
        <v>0</v>
      </c>
      <c r="K554" s="18">
        <f>+I554-J554</f>
        <v>0</v>
      </c>
      <c r="L554" s="18">
        <v>0</v>
      </c>
      <c r="M554" s="18">
        <v>0</v>
      </c>
      <c r="N554" s="18">
        <f>+L554-M554</f>
        <v>0</v>
      </c>
      <c r="O554" s="18">
        <v>0</v>
      </c>
      <c r="P554" s="42"/>
      <c r="Q554" s="18">
        <v>0</v>
      </c>
      <c r="R554" s="18">
        <v>0</v>
      </c>
      <c r="S554" s="18"/>
      <c r="T554" s="18">
        <v>0</v>
      </c>
      <c r="U554" s="42"/>
      <c r="V554" s="31">
        <f>+D554+I554+L554+O554+Q554+R554+T554</f>
        <v>0</v>
      </c>
      <c r="W554" s="18">
        <f>+F554+J554+M554</f>
        <v>0</v>
      </c>
      <c r="X554" s="18">
        <f>+V554-W554</f>
        <v>0</v>
      </c>
    </row>
    <row r="555" spans="1:24" ht="26.25">
      <c r="A555" s="4">
        <f>+A554+1</f>
        <v>26</v>
      </c>
      <c r="B555" s="24" t="s">
        <v>79</v>
      </c>
      <c r="C555" s="11"/>
      <c r="D555" s="18">
        <f>+D553-D554</f>
        <v>1250267</v>
      </c>
      <c r="E555" s="18"/>
      <c r="F555" s="18">
        <f>+F553-F554</f>
        <v>398665</v>
      </c>
      <c r="G555" s="18">
        <f>+G553-G554</f>
        <v>851602</v>
      </c>
      <c r="I555" s="18">
        <f aca="true" t="shared" si="70" ref="I555:N555">+I553-I554</f>
        <v>0</v>
      </c>
      <c r="J555" s="18">
        <f t="shared" si="70"/>
        <v>2098</v>
      </c>
      <c r="K555" s="18">
        <f t="shared" si="70"/>
        <v>-2098</v>
      </c>
      <c r="L555" s="18">
        <f t="shared" si="70"/>
        <v>38009</v>
      </c>
      <c r="M555" s="18">
        <f t="shared" si="70"/>
        <v>-166769</v>
      </c>
      <c r="N555" s="18">
        <f t="shared" si="70"/>
        <v>17448</v>
      </c>
      <c r="O555" s="18">
        <v>0</v>
      </c>
      <c r="P555" s="42"/>
      <c r="Q555" s="18">
        <f>+Q553-Q554</f>
        <v>0</v>
      </c>
      <c r="R555" s="18">
        <f>+R553-R554</f>
        <v>0</v>
      </c>
      <c r="S555" s="18"/>
      <c r="T555" s="18">
        <f>+T553-T554</f>
        <v>-4</v>
      </c>
      <c r="U555" s="42"/>
      <c r="V555" s="27">
        <f>+V553-V554</f>
        <v>1138951</v>
      </c>
      <c r="W555" s="27">
        <f>+W553-W554</f>
        <v>400763</v>
      </c>
      <c r="X555" s="31">
        <f>+X553-X554</f>
        <v>738188</v>
      </c>
    </row>
    <row r="556" spans="1:24" ht="28.5">
      <c r="A556" s="4">
        <f>+A555+1</f>
        <v>27</v>
      </c>
      <c r="B556" s="88" t="s">
        <v>181</v>
      </c>
      <c r="C556" s="11"/>
      <c r="D556" s="18">
        <v>0</v>
      </c>
      <c r="E556" s="18"/>
      <c r="F556" s="18">
        <v>0</v>
      </c>
      <c r="G556" s="18">
        <f>+D556-F556</f>
        <v>0</v>
      </c>
      <c r="I556" s="18">
        <v>0</v>
      </c>
      <c r="J556" s="18">
        <v>0</v>
      </c>
      <c r="K556" s="18">
        <f>+I556-J556</f>
        <v>0</v>
      </c>
      <c r="L556" s="18">
        <v>0</v>
      </c>
      <c r="M556" s="18">
        <v>0</v>
      </c>
      <c r="N556" s="18">
        <f>+L556-M556</f>
        <v>0</v>
      </c>
      <c r="O556" s="18">
        <v>0</v>
      </c>
      <c r="P556" s="42"/>
      <c r="Q556" s="18">
        <v>0</v>
      </c>
      <c r="R556" s="18">
        <v>0</v>
      </c>
      <c r="S556" s="18"/>
      <c r="T556" s="18">
        <v>0</v>
      </c>
      <c r="U556" s="42"/>
      <c r="V556" s="31">
        <f>+D556+I556+L556+O556+Q556+R556+T556</f>
        <v>0</v>
      </c>
      <c r="W556" s="18">
        <f>+F556+J556+M556</f>
        <v>0</v>
      </c>
      <c r="X556" s="18">
        <f>+V556-W556</f>
        <v>0</v>
      </c>
    </row>
    <row r="557" spans="1:24" ht="15">
      <c r="A557" s="4">
        <f>+A556+1</f>
        <v>28</v>
      </c>
      <c r="B557" s="24" t="s">
        <v>46</v>
      </c>
      <c r="C557" s="11" t="s">
        <v>47</v>
      </c>
      <c r="D557" s="51">
        <f>+D549+D550+D555+D556+D551</f>
        <v>1347214</v>
      </c>
      <c r="E557" s="18"/>
      <c r="F557" s="52">
        <f>+F549+F550+F555+F556+F551</f>
        <v>984050</v>
      </c>
      <c r="G557" s="18">
        <f>+G549+G550+G555+G556+G551</f>
        <v>363164</v>
      </c>
      <c r="I557" s="51">
        <f aca="true" t="shared" si="71" ref="I557:O557">+I549+I550+I555+I556+I551</f>
        <v>0</v>
      </c>
      <c r="J557" s="52">
        <f t="shared" si="71"/>
        <v>2127</v>
      </c>
      <c r="K557" s="18">
        <f t="shared" si="71"/>
        <v>-907</v>
      </c>
      <c r="L557" s="18">
        <f t="shared" si="71"/>
        <v>38009</v>
      </c>
      <c r="M557" s="18">
        <f t="shared" si="71"/>
        <v>-227599</v>
      </c>
      <c r="N557" s="18">
        <f t="shared" si="71"/>
        <v>38368</v>
      </c>
      <c r="O557" s="18">
        <f t="shared" si="71"/>
        <v>-9536</v>
      </c>
      <c r="P557" s="42"/>
      <c r="Q557" s="18">
        <f>+Q549+Q550+Q555+Q556+Q551</f>
        <v>0</v>
      </c>
      <c r="R557" s="18">
        <f>+R549+R550+R555+R556+R551</f>
        <v>0</v>
      </c>
      <c r="S557" s="18"/>
      <c r="T557" s="18">
        <f>+T549+T550+T555+T556+T551</f>
        <v>-4</v>
      </c>
      <c r="U557" s="42"/>
      <c r="V557" s="18">
        <f>+V549+V550+V555+V556+V551</f>
        <v>1186452</v>
      </c>
      <c r="W557" s="18">
        <f>+W549+W550+W555+W556+W551</f>
        <v>986177</v>
      </c>
      <c r="X557" s="18">
        <f>+X549+X550+X555+X556+X551</f>
        <v>200275</v>
      </c>
    </row>
    <row r="558" spans="1:24" ht="15">
      <c r="A558" s="4"/>
      <c r="B558" s="24"/>
      <c r="C558" s="11"/>
      <c r="D558" s="18"/>
      <c r="E558" s="18"/>
      <c r="F558" s="18"/>
      <c r="G558" s="18"/>
      <c r="I558" s="18"/>
      <c r="J558" s="18"/>
      <c r="K558" s="18"/>
      <c r="L558" s="18"/>
      <c r="M558" s="42"/>
      <c r="N558" s="42"/>
      <c r="O558" s="42"/>
      <c r="P558" s="42"/>
      <c r="Q558" s="42"/>
      <c r="U558" s="42"/>
      <c r="V558" s="18"/>
      <c r="W558" s="18"/>
      <c r="X558" s="18"/>
    </row>
    <row r="559" spans="1:24" ht="15">
      <c r="A559" s="4"/>
      <c r="B559" s="24"/>
      <c r="C559" s="11"/>
      <c r="D559" s="6" t="s">
        <v>48</v>
      </c>
      <c r="E559" s="6"/>
      <c r="F559" s="10" t="s">
        <v>49</v>
      </c>
      <c r="G559" s="10" t="s">
        <v>50</v>
      </c>
      <c r="I559" s="10" t="s">
        <v>51</v>
      </c>
      <c r="J559" s="10" t="s">
        <v>52</v>
      </c>
      <c r="K559" s="10" t="s">
        <v>53</v>
      </c>
      <c r="L559" s="10" t="s">
        <v>54</v>
      </c>
      <c r="M559" s="10" t="s">
        <v>55</v>
      </c>
      <c r="N559" s="10" t="s">
        <v>56</v>
      </c>
      <c r="O559" s="10" t="s">
        <v>57</v>
      </c>
      <c r="P559" s="18"/>
      <c r="Q559" s="10" t="s">
        <v>58</v>
      </c>
      <c r="R559" s="10" t="s">
        <v>59</v>
      </c>
      <c r="S559" s="10"/>
      <c r="T559" s="10" t="s">
        <v>60</v>
      </c>
      <c r="U559" s="18"/>
      <c r="V559" s="10" t="s">
        <v>61</v>
      </c>
      <c r="W559" s="10" t="s">
        <v>62</v>
      </c>
      <c r="X559" s="10" t="s">
        <v>63</v>
      </c>
    </row>
    <row r="560" spans="1:24" ht="15">
      <c r="A560" s="4"/>
      <c r="B560" s="24"/>
      <c r="C560" s="11"/>
      <c r="D560" s="14" t="s">
        <v>20</v>
      </c>
      <c r="E560" s="18"/>
      <c r="F560" s="14" t="s">
        <v>20</v>
      </c>
      <c r="G560" s="14" t="s">
        <v>20</v>
      </c>
      <c r="I560" s="14" t="s">
        <v>20</v>
      </c>
      <c r="J560" s="14" t="s">
        <v>21</v>
      </c>
      <c r="K560" s="14" t="s">
        <v>21</v>
      </c>
      <c r="L560" s="14" t="s">
        <v>21</v>
      </c>
      <c r="M560" s="14" t="s">
        <v>21</v>
      </c>
      <c r="N560" s="14" t="s">
        <v>21</v>
      </c>
      <c r="O560" s="14" t="s">
        <v>21</v>
      </c>
      <c r="P560" s="14"/>
      <c r="Q560" s="14" t="s">
        <v>21</v>
      </c>
      <c r="R560" s="14" t="s">
        <v>21</v>
      </c>
      <c r="T560" s="14" t="s">
        <v>21</v>
      </c>
      <c r="U560" s="42"/>
      <c r="V560" s="18"/>
      <c r="W560" s="39" t="s">
        <v>123</v>
      </c>
      <c r="X560" s="18"/>
    </row>
    <row r="561" spans="1:24" ht="15">
      <c r="A561" s="4"/>
      <c r="B561" s="87" t="s">
        <v>183</v>
      </c>
      <c r="C561" s="11"/>
      <c r="D561" s="53" t="s">
        <v>124</v>
      </c>
      <c r="E561" s="18"/>
      <c r="F561" s="53" t="s">
        <v>125</v>
      </c>
      <c r="G561" s="53" t="s">
        <v>126</v>
      </c>
      <c r="I561" s="53" t="s">
        <v>127</v>
      </c>
      <c r="J561" s="53" t="s">
        <v>128</v>
      </c>
      <c r="K561" s="53" t="s">
        <v>129</v>
      </c>
      <c r="L561" s="53" t="s">
        <v>130</v>
      </c>
      <c r="M561" s="53" t="s">
        <v>131</v>
      </c>
      <c r="N561" s="24" t="s">
        <v>132</v>
      </c>
      <c r="O561" s="24" t="s">
        <v>98</v>
      </c>
      <c r="P561" s="24"/>
      <c r="Q561" s="24" t="s">
        <v>99</v>
      </c>
      <c r="R561" s="24" t="s">
        <v>133</v>
      </c>
      <c r="S561" s="42"/>
      <c r="T561" s="24" t="s">
        <v>134</v>
      </c>
      <c r="U561" s="42"/>
      <c r="V561" s="10" t="s">
        <v>20</v>
      </c>
      <c r="W561" s="10" t="s">
        <v>21</v>
      </c>
      <c r="X561" s="10" t="s">
        <v>22</v>
      </c>
    </row>
    <row r="562" spans="1:24" ht="15">
      <c r="A562" s="4"/>
      <c r="B562" s="24"/>
      <c r="C562" s="11"/>
      <c r="D562" s="18"/>
      <c r="E562" s="18"/>
      <c r="F562" s="18"/>
      <c r="I562" s="18"/>
      <c r="J562" s="18"/>
      <c r="O562" s="42"/>
      <c r="P562" s="42"/>
      <c r="Q562" s="42"/>
      <c r="R562" s="42"/>
      <c r="S562" s="42"/>
      <c r="T562" s="42"/>
      <c r="U562" s="42"/>
      <c r="V562" s="18"/>
      <c r="W562" s="39"/>
      <c r="X562" s="18"/>
    </row>
    <row r="563" spans="1:24" ht="15">
      <c r="A563" s="4">
        <f>+A557+1</f>
        <v>29</v>
      </c>
      <c r="B563" s="5" t="s">
        <v>36</v>
      </c>
      <c r="C563" s="17" t="s">
        <v>37</v>
      </c>
      <c r="D563" s="18">
        <v>0</v>
      </c>
      <c r="E563" s="18"/>
      <c r="F563" s="18">
        <v>0</v>
      </c>
      <c r="G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/>
      <c r="Q563" s="18">
        <v>0</v>
      </c>
      <c r="R563" s="18">
        <v>0</v>
      </c>
      <c r="S563" s="42"/>
      <c r="T563" s="18">
        <v>0</v>
      </c>
      <c r="U563" s="42"/>
      <c r="V563" s="18">
        <f>+V547+D563+F563+G563+I563</f>
        <v>1080794</v>
      </c>
      <c r="W563" s="18">
        <f>+W547+J563+K563+L563+M563+N563+O563+Q563+R563+T563</f>
        <v>366553</v>
      </c>
      <c r="X563" s="18">
        <f>+V563-W563</f>
        <v>714241</v>
      </c>
    </row>
    <row r="564" spans="1:24" ht="15">
      <c r="A564" s="4">
        <f>+A563+1</f>
        <v>30</v>
      </c>
      <c r="B564" s="5" t="s">
        <v>36</v>
      </c>
      <c r="C564" s="22" t="s">
        <v>38</v>
      </c>
      <c r="D564" s="18">
        <v>0</v>
      </c>
      <c r="E564" s="18"/>
      <c r="F564" s="18">
        <v>0</v>
      </c>
      <c r="G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/>
      <c r="Q564" s="18">
        <v>0</v>
      </c>
      <c r="R564" s="18">
        <v>0</v>
      </c>
      <c r="S564" s="42"/>
      <c r="T564" s="18">
        <v>0</v>
      </c>
      <c r="U564" s="42"/>
      <c r="V564" s="18">
        <f>+V548+D564+F564+G564+I564</f>
        <v>1083316</v>
      </c>
      <c r="W564" s="18">
        <f>+W548+J564+K564+L564+M564+N564+O564+Q564+R564+T564</f>
        <v>362573</v>
      </c>
      <c r="X564" s="18">
        <f>+V564-W564</f>
        <v>720743</v>
      </c>
    </row>
    <row r="565" spans="1:24" ht="15">
      <c r="A565" s="4">
        <f>+A564+1</f>
        <v>31</v>
      </c>
      <c r="B565" s="24" t="s">
        <v>46</v>
      </c>
      <c r="C565" s="40" t="s">
        <v>78</v>
      </c>
      <c r="D565" s="18">
        <f>+D563-D564</f>
        <v>0</v>
      </c>
      <c r="E565" s="18"/>
      <c r="F565" s="18">
        <f>+F563-F564</f>
        <v>0</v>
      </c>
      <c r="G565" s="18">
        <f>+G563-G564</f>
        <v>0</v>
      </c>
      <c r="I565" s="18">
        <f aca="true" t="shared" si="72" ref="I565:O565">+I563-I564</f>
        <v>0</v>
      </c>
      <c r="J565" s="18">
        <f t="shared" si="72"/>
        <v>0</v>
      </c>
      <c r="K565" s="18">
        <f t="shared" si="72"/>
        <v>0</v>
      </c>
      <c r="L565" s="18">
        <f t="shared" si="72"/>
        <v>0</v>
      </c>
      <c r="M565" s="18">
        <f t="shared" si="72"/>
        <v>0</v>
      </c>
      <c r="N565" s="18">
        <f t="shared" si="72"/>
        <v>0</v>
      </c>
      <c r="O565" s="18">
        <f t="shared" si="72"/>
        <v>0</v>
      </c>
      <c r="P565" s="18"/>
      <c r="Q565" s="18">
        <f>+Q563-Q564</f>
        <v>0</v>
      </c>
      <c r="R565" s="18">
        <f>+R563-R564</f>
        <v>0</v>
      </c>
      <c r="S565" s="42"/>
      <c r="T565" s="18">
        <f>+T563-T564</f>
        <v>0</v>
      </c>
      <c r="U565" s="42"/>
      <c r="V565" s="27">
        <f>+V563-V564</f>
        <v>-2522</v>
      </c>
      <c r="W565" s="27">
        <f>+W563-W564</f>
        <v>3980</v>
      </c>
      <c r="X565" s="18">
        <f>+X563-X564</f>
        <v>-6502</v>
      </c>
    </row>
    <row r="566" spans="1:24" ht="28.5">
      <c r="A566" s="4">
        <f>+A565+1</f>
        <v>32</v>
      </c>
      <c r="B566" s="88" t="s">
        <v>182</v>
      </c>
      <c r="C566" s="11"/>
      <c r="D566" s="18">
        <v>0</v>
      </c>
      <c r="E566" s="18"/>
      <c r="F566" s="18">
        <v>0</v>
      </c>
      <c r="G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/>
      <c r="Q566" s="18">
        <v>0</v>
      </c>
      <c r="R566" s="18">
        <v>0</v>
      </c>
      <c r="S566" s="42"/>
      <c r="T566" s="18">
        <v>0</v>
      </c>
      <c r="U566" s="42"/>
      <c r="V566" s="18">
        <f>+V550+D566+F566+G566+I566</f>
        <v>0</v>
      </c>
      <c r="W566" s="18">
        <f>+W550+J566+K566+L566+M566+N566+O566+Q566+R566+T566</f>
        <v>0</v>
      </c>
      <c r="X566" s="18">
        <f>+V566-W566</f>
        <v>0</v>
      </c>
    </row>
    <row r="567" spans="1:24" ht="24.75">
      <c r="A567" s="4">
        <f>+A566+1</f>
        <v>33</v>
      </c>
      <c r="B567" s="89" t="s">
        <v>39</v>
      </c>
      <c r="C567" s="40"/>
      <c r="D567" s="27">
        <v>-19023</v>
      </c>
      <c r="E567" s="18"/>
      <c r="F567" s="27">
        <v>-1</v>
      </c>
      <c r="G567" s="27">
        <v>-4449</v>
      </c>
      <c r="H567" t="s">
        <v>0</v>
      </c>
      <c r="I567" s="27">
        <v>0</v>
      </c>
      <c r="J567" s="27">
        <v>-140</v>
      </c>
      <c r="K567" s="27">
        <v>0</v>
      </c>
      <c r="L567" s="27">
        <v>0</v>
      </c>
      <c r="M567" s="18">
        <v>0</v>
      </c>
      <c r="N567" s="18">
        <v>0</v>
      </c>
      <c r="O567" s="18">
        <v>0</v>
      </c>
      <c r="P567" s="18"/>
      <c r="Q567" s="18">
        <v>0</v>
      </c>
      <c r="R567" s="18">
        <v>0</v>
      </c>
      <c r="S567" s="42"/>
      <c r="T567" s="18">
        <v>8</v>
      </c>
      <c r="U567" s="42"/>
      <c r="V567" s="18">
        <f>+V551+D567+F567+G567+I567</f>
        <v>26550</v>
      </c>
      <c r="W567" s="18">
        <f>+W551+J567+K567+L567+M567+N567+O567+Q567+R567+T567</f>
        <v>581302</v>
      </c>
      <c r="X567" s="36">
        <f>+V567-W567</f>
        <v>-554752</v>
      </c>
    </row>
    <row r="568" spans="1:24" ht="15">
      <c r="A568" s="6" t="s">
        <v>41</v>
      </c>
      <c r="B568" s="41"/>
      <c r="C568" s="40"/>
      <c r="D568" s="18"/>
      <c r="E568" s="18"/>
      <c r="F568" s="18"/>
      <c r="G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42"/>
      <c r="T568" s="18"/>
      <c r="U568" s="42"/>
      <c r="V568" s="18"/>
      <c r="W568" s="54"/>
      <c r="X568" s="36"/>
    </row>
    <row r="569" spans="1:24" ht="15">
      <c r="A569" s="4">
        <f>+A567+1</f>
        <v>34</v>
      </c>
      <c r="B569" s="5" t="s">
        <v>42</v>
      </c>
      <c r="C569" s="22" t="s">
        <v>38</v>
      </c>
      <c r="D569" s="18">
        <v>0</v>
      </c>
      <c r="E569" s="18"/>
      <c r="F569" s="18">
        <v>0</v>
      </c>
      <c r="G569" s="18">
        <v>0</v>
      </c>
      <c r="I569" s="18">
        <v>0</v>
      </c>
      <c r="J569" s="18">
        <v>0</v>
      </c>
      <c r="K569" s="18">
        <v>0</v>
      </c>
      <c r="L569" s="18"/>
      <c r="M569" s="18">
        <v>0</v>
      </c>
      <c r="N569" s="18">
        <v>0</v>
      </c>
      <c r="O569" s="18">
        <v>0</v>
      </c>
      <c r="P569" s="18"/>
      <c r="Q569" s="18">
        <v>0</v>
      </c>
      <c r="R569" s="18">
        <v>0</v>
      </c>
      <c r="S569" s="42"/>
      <c r="T569" s="18">
        <v>0</v>
      </c>
      <c r="U569" s="42"/>
      <c r="V569" s="18">
        <f>+V553+D569+F569+G569+I569</f>
        <v>1138951</v>
      </c>
      <c r="W569" s="18">
        <f>+W553+J569+K569+L569+M569+N569+O569+Q569+R569+T569</f>
        <v>400763</v>
      </c>
      <c r="X569" s="18">
        <f>+V569-W569</f>
        <v>738188</v>
      </c>
    </row>
    <row r="570" spans="1:24" ht="15">
      <c r="A570" s="4">
        <f>+A569+1</f>
        <v>35</v>
      </c>
      <c r="B570" s="5" t="s">
        <v>43</v>
      </c>
      <c r="C570" s="11"/>
      <c r="D570" s="18">
        <v>0</v>
      </c>
      <c r="E570" s="18"/>
      <c r="F570" s="18">
        <v>0</v>
      </c>
      <c r="G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/>
      <c r="Q570" s="18">
        <v>0</v>
      </c>
      <c r="R570" s="18">
        <v>0</v>
      </c>
      <c r="S570" s="42"/>
      <c r="T570" s="18">
        <v>0</v>
      </c>
      <c r="U570" s="42"/>
      <c r="V570" s="18">
        <f>+V554+D570+F570+G570+I570</f>
        <v>0</v>
      </c>
      <c r="W570" s="18">
        <f>+W554+J570+K570+L570+M570+N570+O570+Q570+R570+T570</f>
        <v>0</v>
      </c>
      <c r="X570" s="18">
        <f>+V570-W570</f>
        <v>0</v>
      </c>
    </row>
    <row r="571" spans="1:24" ht="26.25">
      <c r="A571" s="4">
        <f>+A570+1</f>
        <v>36</v>
      </c>
      <c r="B571" s="24" t="s">
        <v>79</v>
      </c>
      <c r="C571" s="11"/>
      <c r="D571" s="18">
        <f>+D569-D570</f>
        <v>0</v>
      </c>
      <c r="E571" s="18"/>
      <c r="F571" s="18">
        <f>+F569-F570</f>
        <v>0</v>
      </c>
      <c r="G571" s="18">
        <f>+G569-G570</f>
        <v>0</v>
      </c>
      <c r="I571" s="18">
        <f aca="true" t="shared" si="73" ref="I571:O571">+I569-I570</f>
        <v>0</v>
      </c>
      <c r="J571" s="18">
        <f t="shared" si="73"/>
        <v>0</v>
      </c>
      <c r="K571" s="18">
        <f t="shared" si="73"/>
        <v>0</v>
      </c>
      <c r="L571" s="18">
        <f t="shared" si="73"/>
        <v>0</v>
      </c>
      <c r="M571" s="18">
        <f t="shared" si="73"/>
        <v>0</v>
      </c>
      <c r="N571" s="18">
        <f t="shared" si="73"/>
        <v>0</v>
      </c>
      <c r="O571" s="18">
        <f t="shared" si="73"/>
        <v>0</v>
      </c>
      <c r="P571" s="18"/>
      <c r="Q571" s="18">
        <f>+Q569-Q570</f>
        <v>0</v>
      </c>
      <c r="R571" s="18">
        <f>+R569-R570</f>
        <v>0</v>
      </c>
      <c r="S571" s="42"/>
      <c r="T571" s="18">
        <f>+T569-T570</f>
        <v>0</v>
      </c>
      <c r="U571" s="42"/>
      <c r="V571" s="55">
        <f>+V569-V570</f>
        <v>1138951</v>
      </c>
      <c r="W571" s="55">
        <f>+W569-W570</f>
        <v>400763</v>
      </c>
      <c r="X571" s="31">
        <f>+X569-X570</f>
        <v>738188</v>
      </c>
    </row>
    <row r="572" spans="1:24" ht="28.5">
      <c r="A572" s="4">
        <f>+A571+1</f>
        <v>37</v>
      </c>
      <c r="B572" s="88" t="s">
        <v>181</v>
      </c>
      <c r="C572" s="11"/>
      <c r="D572" s="18">
        <v>0</v>
      </c>
      <c r="E572" s="18"/>
      <c r="F572" s="18">
        <v>0</v>
      </c>
      <c r="G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/>
      <c r="Q572" s="18">
        <v>0</v>
      </c>
      <c r="R572" s="18">
        <v>0</v>
      </c>
      <c r="S572" s="42"/>
      <c r="T572" s="18">
        <v>0</v>
      </c>
      <c r="U572" s="42"/>
      <c r="V572" s="18">
        <f>+V556+D572+F572+G572+I572</f>
        <v>0</v>
      </c>
      <c r="W572" s="18">
        <f>+W556+J572+K572+L572+M572+N572+O572+Q572+R572+T572</f>
        <v>0</v>
      </c>
      <c r="X572" s="18">
        <f>+V572-W572</f>
        <v>0</v>
      </c>
    </row>
    <row r="573" spans="1:24" ht="15">
      <c r="A573" s="4">
        <f>+A572+1</f>
        <v>38</v>
      </c>
      <c r="B573" s="24" t="s">
        <v>46</v>
      </c>
      <c r="C573" s="11" t="s">
        <v>47</v>
      </c>
      <c r="D573" s="18">
        <f>+D565+D566+D571+D572+D567</f>
        <v>-19023</v>
      </c>
      <c r="E573" s="18"/>
      <c r="F573" s="18">
        <f>+F565+F566+F571+F572+F567</f>
        <v>-1</v>
      </c>
      <c r="G573" s="18">
        <f>+G565+G566+G571+G572+G567</f>
        <v>-4449</v>
      </c>
      <c r="I573" s="18">
        <f aca="true" t="shared" si="74" ref="I573:O573">+I565+I566+I571+I572+I567</f>
        <v>0</v>
      </c>
      <c r="J573" s="18">
        <f t="shared" si="74"/>
        <v>-140</v>
      </c>
      <c r="K573" s="18">
        <f t="shared" si="74"/>
        <v>0</v>
      </c>
      <c r="L573" s="18">
        <f t="shared" si="74"/>
        <v>0</v>
      </c>
      <c r="M573" s="18">
        <f t="shared" si="74"/>
        <v>0</v>
      </c>
      <c r="N573" s="18">
        <f t="shared" si="74"/>
        <v>0</v>
      </c>
      <c r="O573" s="18">
        <f t="shared" si="74"/>
        <v>0</v>
      </c>
      <c r="P573" s="18"/>
      <c r="Q573" s="18">
        <f>+Q565+Q566+Q571+Q572+Q567</f>
        <v>0</v>
      </c>
      <c r="R573" s="18">
        <f>+R565+R566+R571+R572+R567</f>
        <v>0</v>
      </c>
      <c r="S573" s="42"/>
      <c r="T573" s="18">
        <f>+T565+T566+T571+T572+T567</f>
        <v>8</v>
      </c>
      <c r="U573" s="42"/>
      <c r="V573" s="18">
        <f>+V565+V566+V571+V572+V567</f>
        <v>1162979</v>
      </c>
      <c r="W573" s="18">
        <f>+W565+W566+W571+W572+W567</f>
        <v>986045</v>
      </c>
      <c r="X573" s="18">
        <f>+X565+X566+X571+X572+X567</f>
        <v>176934</v>
      </c>
    </row>
    <row r="574" spans="1:24" ht="15">
      <c r="A574" s="4"/>
      <c r="B574" s="24"/>
      <c r="C574" s="11"/>
      <c r="D574" s="18"/>
      <c r="E574" s="18"/>
      <c r="F574" s="18"/>
      <c r="G574" s="18"/>
      <c r="N574" s="42"/>
      <c r="O574" s="42"/>
      <c r="P574" s="42"/>
      <c r="Q574" s="42"/>
      <c r="R574" s="42"/>
      <c r="S574" s="42"/>
      <c r="T574" s="42"/>
      <c r="U574" s="42"/>
      <c r="V574" s="18"/>
      <c r="W574" s="18"/>
      <c r="X574" s="18"/>
    </row>
    <row r="575" spans="1:24" ht="15">
      <c r="A575" s="4"/>
      <c r="B575" s="24"/>
      <c r="C575" s="11"/>
      <c r="D575" s="18"/>
      <c r="E575" s="18"/>
      <c r="F575" s="18"/>
      <c r="G575" s="18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18"/>
      <c r="W575" s="18"/>
      <c r="X575" s="18"/>
    </row>
    <row r="576" spans="1:24" ht="15">
      <c r="A576" s="4"/>
      <c r="B576" s="24"/>
      <c r="C576" s="11"/>
      <c r="D576" s="18"/>
      <c r="E576" s="18"/>
      <c r="F576" s="18"/>
      <c r="G576" s="18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18"/>
      <c r="W576" s="18"/>
      <c r="X576" s="18"/>
    </row>
    <row r="577" spans="1:24" ht="15">
      <c r="A577" s="4"/>
      <c r="B577" s="24"/>
      <c r="C577" s="11"/>
      <c r="D577" s="18"/>
      <c r="E577" s="18"/>
      <c r="F577" s="18"/>
      <c r="G577" s="18"/>
      <c r="H577" s="56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18"/>
      <c r="W577" s="18"/>
      <c r="X577" s="18"/>
    </row>
    <row r="578" spans="1:24" ht="15">
      <c r="A578" s="4"/>
      <c r="B578" s="24"/>
      <c r="C578" s="11"/>
      <c r="D578" s="18"/>
      <c r="E578" s="18"/>
      <c r="F578" s="18"/>
      <c r="G578" s="18"/>
      <c r="H578" s="56"/>
      <c r="I578" s="57" t="s">
        <v>135</v>
      </c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18"/>
      <c r="W578" s="18"/>
      <c r="X578" s="18"/>
    </row>
    <row r="579" spans="1:24" ht="15">
      <c r="A579" s="4"/>
      <c r="B579" s="24"/>
      <c r="C579" s="11"/>
      <c r="D579" s="18"/>
      <c r="E579" s="18"/>
      <c r="F579" s="18"/>
      <c r="G579" s="18"/>
      <c r="H579" s="56"/>
      <c r="I579" s="58"/>
      <c r="L579" s="42"/>
      <c r="T579" s="42"/>
      <c r="U579" s="42"/>
      <c r="V579" s="18"/>
      <c r="W579" s="18"/>
      <c r="X579" s="18"/>
    </row>
    <row r="580" spans="1:24" ht="15">
      <c r="A580" s="4"/>
      <c r="B580" s="24"/>
      <c r="C580" s="11"/>
      <c r="D580" s="18"/>
      <c r="E580" s="18"/>
      <c r="F580" s="18"/>
      <c r="G580" s="18"/>
      <c r="H580" s="56"/>
      <c r="I580" s="59" t="s">
        <v>136</v>
      </c>
      <c r="L580" s="18">
        <v>11345347</v>
      </c>
      <c r="T580" s="42"/>
      <c r="U580" s="42"/>
      <c r="V580" s="18"/>
      <c r="W580" s="18"/>
      <c r="X580" s="18"/>
    </row>
    <row r="581" spans="1:24" ht="15">
      <c r="A581" s="4"/>
      <c r="B581" s="24"/>
      <c r="C581" s="11"/>
      <c r="D581" s="18"/>
      <c r="E581" s="18"/>
      <c r="F581" s="18"/>
      <c r="G581" s="18"/>
      <c r="H581" s="56"/>
      <c r="I581" s="59"/>
      <c r="L581" s="18"/>
      <c r="T581" s="42"/>
      <c r="U581" s="42"/>
      <c r="V581" s="18"/>
      <c r="W581" s="18"/>
      <c r="X581" s="18"/>
    </row>
    <row r="582" spans="1:24" ht="15">
      <c r="A582" s="4"/>
      <c r="B582" s="24"/>
      <c r="C582" s="11"/>
      <c r="D582" s="44" t="s">
        <v>137</v>
      </c>
      <c r="E582" s="18"/>
      <c r="F582" s="10" t="s">
        <v>138</v>
      </c>
      <c r="G582" s="44" t="s">
        <v>24</v>
      </c>
      <c r="H582" s="56"/>
      <c r="I582" s="59" t="s">
        <v>139</v>
      </c>
      <c r="L582" s="18">
        <v>5963863</v>
      </c>
      <c r="N582" s="6" t="s">
        <v>137</v>
      </c>
      <c r="O582" s="6" t="s">
        <v>137</v>
      </c>
      <c r="P582" s="42"/>
      <c r="Q582" s="6" t="s">
        <v>138</v>
      </c>
      <c r="R582" s="6" t="s">
        <v>138</v>
      </c>
      <c r="S582" s="6"/>
      <c r="T582" s="42"/>
      <c r="U582" s="42"/>
      <c r="V582" s="18"/>
      <c r="W582" s="18"/>
      <c r="X582" s="18"/>
    </row>
    <row r="583" spans="1:24" ht="15">
      <c r="A583" s="4"/>
      <c r="B583" s="24"/>
      <c r="C583" s="11"/>
      <c r="D583" s="18"/>
      <c r="E583" s="18"/>
      <c r="F583" s="18"/>
      <c r="G583" s="18"/>
      <c r="H583" s="56"/>
      <c r="I583" s="59"/>
      <c r="L583" s="18"/>
      <c r="N583" s="8" t="s">
        <v>140</v>
      </c>
      <c r="O583" s="49" t="s">
        <v>141</v>
      </c>
      <c r="P583" s="42"/>
      <c r="Q583" s="8" t="s">
        <v>140</v>
      </c>
      <c r="R583" s="49" t="s">
        <v>141</v>
      </c>
      <c r="S583" s="49"/>
      <c r="T583" s="42"/>
      <c r="U583" s="42"/>
      <c r="V583" s="18"/>
      <c r="W583" s="18"/>
      <c r="X583" s="18"/>
    </row>
    <row r="584" spans="1:24" ht="15">
      <c r="A584" s="4">
        <f>+A572+1</f>
        <v>38</v>
      </c>
      <c r="B584" s="5" t="s">
        <v>36</v>
      </c>
      <c r="C584" s="17" t="s">
        <v>37</v>
      </c>
      <c r="D584" s="31">
        <f>+V525+V563</f>
        <v>6815124</v>
      </c>
      <c r="E584" s="18"/>
      <c r="F584" s="31">
        <f>+W525+W563</f>
        <v>5054592</v>
      </c>
      <c r="G584" s="18">
        <f>+D584-F584</f>
        <v>1760532</v>
      </c>
      <c r="H584" s="56"/>
      <c r="I584" s="59" t="s">
        <v>142</v>
      </c>
      <c r="J584" s="18"/>
      <c r="K584" s="18"/>
      <c r="L584" s="36">
        <f>+F500</f>
        <v>4558306</v>
      </c>
      <c r="N584" s="60"/>
      <c r="O584" s="6"/>
      <c r="P584" s="42"/>
      <c r="Q584" s="61"/>
      <c r="R584" s="61"/>
      <c r="S584" s="61"/>
      <c r="T584" s="42"/>
      <c r="U584" s="42"/>
      <c r="V584" s="18"/>
      <c r="W584" s="18"/>
      <c r="X584" s="18"/>
    </row>
    <row r="585" spans="1:21" ht="15">
      <c r="A585" s="4">
        <f>+A584+1</f>
        <v>39</v>
      </c>
      <c r="B585" s="5" t="s">
        <v>36</v>
      </c>
      <c r="C585" s="22" t="s">
        <v>38</v>
      </c>
      <c r="D585" s="31">
        <f>+V526+V564</f>
        <v>6826112</v>
      </c>
      <c r="E585" s="18"/>
      <c r="F585" s="31">
        <f>+W526+W564</f>
        <v>5015596</v>
      </c>
      <c r="G585" s="18">
        <f>+D585-F585</f>
        <v>1810516</v>
      </c>
      <c r="H585" s="56"/>
      <c r="I585" s="58"/>
      <c r="J585" s="18"/>
      <c r="K585" s="18"/>
      <c r="L585" s="60"/>
      <c r="N585" s="62">
        <f>+D586</f>
        <v>-10988</v>
      </c>
      <c r="O585" s="63">
        <f>+D592</f>
        <v>6865130</v>
      </c>
      <c r="P585" s="42"/>
      <c r="Q585" s="31">
        <f>+F492</f>
        <v>35016</v>
      </c>
      <c r="R585" s="31">
        <f>+F494</f>
        <v>0</v>
      </c>
      <c r="S585" s="31"/>
      <c r="T585" s="42"/>
      <c r="U585" s="42"/>
    </row>
    <row r="586" spans="1:25" ht="15">
      <c r="A586" s="4">
        <f>+A585+1</f>
        <v>40</v>
      </c>
      <c r="B586" s="24" t="s">
        <v>46</v>
      </c>
      <c r="C586" s="40" t="s">
        <v>78</v>
      </c>
      <c r="D586" s="26">
        <f>+D584-D585</f>
        <v>-10988</v>
      </c>
      <c r="E586" s="18"/>
      <c r="F586" s="26">
        <f>+F584-F585</f>
        <v>38996</v>
      </c>
      <c r="G586" s="18">
        <f>+G584-G585</f>
        <v>-49984</v>
      </c>
      <c r="H586" s="56"/>
      <c r="I586" s="58" t="s">
        <v>143</v>
      </c>
      <c r="J586" s="18"/>
      <c r="K586" s="18"/>
      <c r="L586">
        <v>0</v>
      </c>
      <c r="N586" s="62">
        <f>+D587</f>
        <v>0</v>
      </c>
      <c r="O586" s="63">
        <f>+D593</f>
        <v>0</v>
      </c>
      <c r="P586" s="42"/>
      <c r="Q586" s="31">
        <f>+F493</f>
        <v>0</v>
      </c>
      <c r="R586" s="31">
        <f>+F498</f>
        <v>4523290</v>
      </c>
      <c r="S586" s="31"/>
      <c r="U586" s="18"/>
      <c r="V586" s="10" t="s">
        <v>20</v>
      </c>
      <c r="W586" s="10" t="s">
        <v>21</v>
      </c>
      <c r="X586" s="10" t="s">
        <v>22</v>
      </c>
      <c r="Y586" s="18"/>
    </row>
    <row r="587" spans="1:25" ht="28.5">
      <c r="A587" s="4">
        <f>+A586+1</f>
        <v>41</v>
      </c>
      <c r="B587" s="88" t="s">
        <v>182</v>
      </c>
      <c r="C587" s="11"/>
      <c r="D587" s="26">
        <f>+V528+V566</f>
        <v>0</v>
      </c>
      <c r="E587" s="26"/>
      <c r="F587" s="26">
        <f>+W528+W566</f>
        <v>0</v>
      </c>
      <c r="G587" s="18">
        <f>+D587-F587</f>
        <v>0</v>
      </c>
      <c r="H587" s="56"/>
      <c r="I587" s="58"/>
      <c r="J587" s="18"/>
      <c r="K587" s="18"/>
      <c r="L587" s="60" t="s">
        <v>144</v>
      </c>
      <c r="N587" s="62">
        <f>+F586</f>
        <v>38996</v>
      </c>
      <c r="O587" s="63">
        <f>+F592</f>
        <v>4924053</v>
      </c>
      <c r="P587" s="42"/>
      <c r="R587" s="31">
        <f>+F499</f>
        <v>0</v>
      </c>
      <c r="S587" s="31"/>
      <c r="U587" s="18"/>
      <c r="Y587" s="18"/>
    </row>
    <row r="588" spans="1:25" ht="24.75">
      <c r="A588" s="4">
        <f>+A587+1</f>
        <v>42</v>
      </c>
      <c r="B588" s="89" t="s">
        <v>39</v>
      </c>
      <c r="C588" s="40"/>
      <c r="D588" s="30">
        <f>+V529+V567</f>
        <v>-486612</v>
      </c>
      <c r="E588" s="30"/>
      <c r="F588" s="30">
        <f>+W529+W567</f>
        <v>581302</v>
      </c>
      <c r="G588" s="18">
        <f>+D588-F588</f>
        <v>-1067914</v>
      </c>
      <c r="H588" s="56"/>
      <c r="I588" s="64" t="s">
        <v>145</v>
      </c>
      <c r="J588" s="18"/>
      <c r="K588" s="18"/>
      <c r="L588" s="31">
        <f>+L580-L582-L584-L586</f>
        <v>823178</v>
      </c>
      <c r="N588" s="62">
        <f>+F587</f>
        <v>0</v>
      </c>
      <c r="O588" s="63">
        <f>+F593</f>
        <v>0</v>
      </c>
      <c r="P588" s="42"/>
      <c r="Q588" s="31"/>
      <c r="R588" s="31"/>
      <c r="S588" s="31"/>
      <c r="U588" s="65"/>
      <c r="V588" s="66"/>
      <c r="W588" s="66"/>
      <c r="X588" s="65"/>
      <c r="Y588" s="65"/>
    </row>
    <row r="589" spans="1:25" ht="15">
      <c r="A589" s="6" t="s">
        <v>41</v>
      </c>
      <c r="B589" s="41"/>
      <c r="C589" s="40"/>
      <c r="D589" s="18"/>
      <c r="E589" s="18"/>
      <c r="F589" s="18"/>
      <c r="G589" s="18"/>
      <c r="H589" s="56"/>
      <c r="I589" s="58"/>
      <c r="J589" s="18"/>
      <c r="K589" s="18"/>
      <c r="N589" s="62">
        <f>+F492</f>
        <v>35016</v>
      </c>
      <c r="O589" s="63">
        <f>+F498</f>
        <v>4523290</v>
      </c>
      <c r="P589" s="42"/>
      <c r="Q589" s="31"/>
      <c r="U589" s="65"/>
      <c r="V589" s="67"/>
      <c r="W589" s="67"/>
      <c r="X589" s="68"/>
      <c r="Y589" s="65"/>
    </row>
    <row r="590" spans="1:25" ht="15">
      <c r="A590" s="4">
        <f>+A588+1</f>
        <v>43</v>
      </c>
      <c r="B590" s="5" t="s">
        <v>42</v>
      </c>
      <c r="C590" s="22" t="s">
        <v>38</v>
      </c>
      <c r="D590" s="31">
        <f>+V531+V569</f>
        <v>6870035</v>
      </c>
      <c r="E590" s="18"/>
      <c r="F590" s="31">
        <f>+W531+W569</f>
        <v>4929029</v>
      </c>
      <c r="G590" s="18">
        <f>+D590-F590</f>
        <v>1941006</v>
      </c>
      <c r="H590" s="56"/>
      <c r="I590" s="59" t="s">
        <v>22</v>
      </c>
      <c r="J590" s="18"/>
      <c r="K590" s="18"/>
      <c r="L590" s="30">
        <f>+X595</f>
        <v>823179</v>
      </c>
      <c r="N590" s="62"/>
      <c r="O590" s="63">
        <f>+D588</f>
        <v>-486612</v>
      </c>
      <c r="P590" s="42"/>
      <c r="Q590" s="31"/>
      <c r="R590" s="31"/>
      <c r="S590" s="31"/>
      <c r="T590" s="69" t="s">
        <v>78</v>
      </c>
      <c r="U590" s="65"/>
      <c r="V590" s="26">
        <f>+D586+D587-F586-F587+F492</f>
        <v>-14968</v>
      </c>
      <c r="W590" s="26">
        <f>+F492+F493</f>
        <v>35016</v>
      </c>
      <c r="X590" s="26">
        <f>+V590-W590</f>
        <v>-49984</v>
      </c>
      <c r="Y590" s="65"/>
    </row>
    <row r="591" spans="1:25" ht="15">
      <c r="A591" s="4">
        <f>+A590+1</f>
        <v>44</v>
      </c>
      <c r="B591" s="5" t="s">
        <v>43</v>
      </c>
      <c r="C591" s="11"/>
      <c r="D591" s="31">
        <f>+V532+V570</f>
        <v>4905</v>
      </c>
      <c r="E591" s="18"/>
      <c r="F591" s="31">
        <f>+W532+W570</f>
        <v>4976</v>
      </c>
      <c r="G591" s="18">
        <f>+D591-F591</f>
        <v>-71</v>
      </c>
      <c r="H591" s="56"/>
      <c r="I591" s="59"/>
      <c r="J591" s="18"/>
      <c r="K591" s="18"/>
      <c r="L591" s="60" t="s">
        <v>144</v>
      </c>
      <c r="O591" s="63">
        <f>+F588</f>
        <v>581302</v>
      </c>
      <c r="P591" s="42"/>
      <c r="Q591" s="31"/>
      <c r="R591" s="31"/>
      <c r="S591" s="31"/>
      <c r="T591" s="11" t="s">
        <v>146</v>
      </c>
      <c r="U591" s="65"/>
      <c r="V591" s="30">
        <f>+D592+D593-F592-F593+F498+D588-F588+F494</f>
        <v>5396453</v>
      </c>
      <c r="W591" s="30">
        <f>+F494+F498+F499</f>
        <v>4523290</v>
      </c>
      <c r="X591" s="30">
        <f>+V591-W591</f>
        <v>873163</v>
      </c>
      <c r="Y591" s="65"/>
    </row>
    <row r="592" spans="1:25" ht="26.25">
      <c r="A592" s="4">
        <f>+A591+1</f>
        <v>45</v>
      </c>
      <c r="B592" s="24" t="s">
        <v>79</v>
      </c>
      <c r="C592" s="11"/>
      <c r="D592" s="30">
        <f>+D590-D591</f>
        <v>6865130</v>
      </c>
      <c r="E592" s="18"/>
      <c r="F592" s="30">
        <f>+F590-F591</f>
        <v>4924053</v>
      </c>
      <c r="G592" s="18">
        <f>+G590-G591</f>
        <v>1941077</v>
      </c>
      <c r="H592" s="56"/>
      <c r="I592" s="58"/>
      <c r="J592" s="18"/>
      <c r="K592" s="18"/>
      <c r="N592" s="62"/>
      <c r="O592" s="63">
        <f>+F494</f>
        <v>0</v>
      </c>
      <c r="P592" s="42"/>
      <c r="Q592" s="31"/>
      <c r="R592" s="31"/>
      <c r="S592" s="31"/>
      <c r="T592" s="11"/>
      <c r="U592" s="65"/>
      <c r="V592" s="30"/>
      <c r="W592" s="30"/>
      <c r="X592" s="30"/>
      <c r="Y592" s="65"/>
    </row>
    <row r="593" spans="1:25" ht="28.5">
      <c r="A593" s="4">
        <f>+A592+1</f>
        <v>46</v>
      </c>
      <c r="B593" s="88" t="s">
        <v>181</v>
      </c>
      <c r="C593" s="11"/>
      <c r="D593" s="30">
        <f>+V534+V572</f>
        <v>0</v>
      </c>
      <c r="E593" s="30"/>
      <c r="F593" s="30">
        <f>+W534+W572</f>
        <v>0</v>
      </c>
      <c r="G593" s="18">
        <f>+D593-F593</f>
        <v>0</v>
      </c>
      <c r="H593" s="56"/>
      <c r="N593" s="62"/>
      <c r="O593" s="62"/>
      <c r="P593" s="42"/>
      <c r="Q593" s="31"/>
      <c r="R593" s="31"/>
      <c r="S593" s="31"/>
      <c r="T593" s="11"/>
      <c r="U593" s="65"/>
      <c r="V593" s="30"/>
      <c r="W593" s="30"/>
      <c r="X593" s="30"/>
      <c r="Y593" s="65"/>
    </row>
    <row r="594" spans="1:25" ht="15">
      <c r="A594" s="4">
        <f>+A593+1</f>
        <v>47</v>
      </c>
      <c r="B594" s="24" t="s">
        <v>46</v>
      </c>
      <c r="C594" s="11" t="s">
        <v>47</v>
      </c>
      <c r="D594" s="18">
        <f>+D586+D587+D592+D593+D588</f>
        <v>6367530</v>
      </c>
      <c r="E594" s="18"/>
      <c r="F594" s="18">
        <f>+F586+F587+F592+F593+F588</f>
        <v>5544351</v>
      </c>
      <c r="G594" s="18">
        <f>+G586+G587+G592+G593+G588</f>
        <v>823179</v>
      </c>
      <c r="H594" s="56"/>
      <c r="I594" s="59" t="s">
        <v>147</v>
      </c>
      <c r="J594" s="18"/>
      <c r="K594" s="18"/>
      <c r="L594" s="36">
        <f>+L588-L590</f>
        <v>-1</v>
      </c>
      <c r="N594" s="70">
        <f>+N585+N586-N587-N588+N589</f>
        <v>-14968</v>
      </c>
      <c r="O594" s="71">
        <f>+O585+O586-O587-O588+O589+O590-O591+O592</f>
        <v>5396453</v>
      </c>
      <c r="P594" s="42"/>
      <c r="Q594" s="26">
        <f>SUM(Q585:Q586)</f>
        <v>35016</v>
      </c>
      <c r="R594" s="30">
        <f>SUM(R585:R588)</f>
        <v>4523290</v>
      </c>
      <c r="S594" s="30"/>
      <c r="T594" s="11"/>
      <c r="U594" s="65"/>
      <c r="V594" s="30"/>
      <c r="W594" s="30"/>
      <c r="X594" s="30"/>
      <c r="Y594" s="65"/>
    </row>
    <row r="595" spans="1:25" ht="15">
      <c r="A595" s="4"/>
      <c r="B595" s="24"/>
      <c r="C595" s="11"/>
      <c r="D595" s="18"/>
      <c r="E595" s="18"/>
      <c r="F595" s="18"/>
      <c r="G595" s="18"/>
      <c r="H595" s="56"/>
      <c r="L595" s="60" t="s">
        <v>148</v>
      </c>
      <c r="M595" s="42"/>
      <c r="N595" s="42"/>
      <c r="O595" s="42"/>
      <c r="P595" s="42"/>
      <c r="Q595" s="42"/>
      <c r="R595" s="42"/>
      <c r="S595" s="42"/>
      <c r="T595" s="10" t="s">
        <v>22</v>
      </c>
      <c r="U595" s="65"/>
      <c r="V595" s="36"/>
      <c r="W595" s="36"/>
      <c r="X595" s="36">
        <f>+X590+X591</f>
        <v>823179</v>
      </c>
      <c r="Y595" s="65"/>
    </row>
    <row r="596" spans="1:25" ht="15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6" ht="15">
      <c r="A597" s="4"/>
      <c r="B597"/>
      <c r="F597"/>
    </row>
    <row r="598" spans="1:6" ht="15">
      <c r="A598" s="4"/>
      <c r="B598"/>
      <c r="F598"/>
    </row>
    <row r="599" spans="1:6" ht="15">
      <c r="A599" s="4"/>
      <c r="B599"/>
      <c r="F599"/>
    </row>
    <row r="600" spans="1:6" ht="15">
      <c r="A600" s="4"/>
      <c r="B600"/>
      <c r="F600"/>
    </row>
    <row r="601" spans="1:25" ht="15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6" ht="15">
      <c r="A602" s="4" t="s">
        <v>0</v>
      </c>
      <c r="B602" s="5"/>
      <c r="C602" s="6" t="s">
        <v>1</v>
      </c>
      <c r="F602"/>
    </row>
    <row r="603" spans="1:6" ht="15">
      <c r="A603" s="4"/>
      <c r="B603" s="5"/>
      <c r="C603" s="6" t="s">
        <v>2</v>
      </c>
      <c r="F603"/>
    </row>
    <row r="604" spans="1:6" ht="15">
      <c r="A604" s="4"/>
      <c r="B604" s="5"/>
      <c r="C604" s="7" t="s">
        <v>153</v>
      </c>
      <c r="F604"/>
    </row>
    <row r="605" spans="1:6" ht="15">
      <c r="A605" s="4"/>
      <c r="B605" s="5"/>
      <c r="C605" s="8"/>
      <c r="F605"/>
    </row>
    <row r="606" spans="1:25" ht="15">
      <c r="A606" s="4"/>
      <c r="B606" s="5"/>
      <c r="C606" s="9"/>
      <c r="D606" s="10" t="s">
        <v>4</v>
      </c>
      <c r="E606" s="10"/>
      <c r="F606" s="10" t="s">
        <v>5</v>
      </c>
      <c r="G606" s="10" t="s">
        <v>6</v>
      </c>
      <c r="H606" s="10"/>
      <c r="I606" s="10" t="s">
        <v>7</v>
      </c>
      <c r="J606" s="10" t="s">
        <v>8</v>
      </c>
      <c r="K606" s="10" t="s">
        <v>9</v>
      </c>
      <c r="L606" s="10" t="s">
        <v>10</v>
      </c>
      <c r="M606" s="10" t="s">
        <v>11</v>
      </c>
      <c r="N606" s="10" t="s">
        <v>12</v>
      </c>
      <c r="O606" s="10" t="s">
        <v>13</v>
      </c>
      <c r="P606" s="10"/>
      <c r="Q606" s="10" t="s">
        <v>14</v>
      </c>
      <c r="R606" s="10" t="s">
        <v>15</v>
      </c>
      <c r="S606" s="10"/>
      <c r="T606" s="10" t="s">
        <v>16</v>
      </c>
      <c r="U606" s="10"/>
      <c r="V606" s="10" t="s">
        <v>17</v>
      </c>
      <c r="W606" s="10" t="s">
        <v>18</v>
      </c>
      <c r="X606" s="10" t="s">
        <v>19</v>
      </c>
      <c r="Y606" s="10"/>
    </row>
    <row r="607" spans="1:24" ht="15">
      <c r="A607" s="4"/>
      <c r="B607" s="87" t="s">
        <v>174</v>
      </c>
      <c r="C607" s="5"/>
      <c r="D607" s="10" t="s">
        <v>20</v>
      </c>
      <c r="E607" s="10"/>
      <c r="F607" s="10" t="s">
        <v>21</v>
      </c>
      <c r="G607" s="10" t="s">
        <v>22</v>
      </c>
      <c r="I607" s="10" t="s">
        <v>20</v>
      </c>
      <c r="J607" s="10" t="s">
        <v>20</v>
      </c>
      <c r="K607" s="10" t="s">
        <v>20</v>
      </c>
      <c r="L607" s="10" t="s">
        <v>20</v>
      </c>
      <c r="M607" s="10" t="s">
        <v>20</v>
      </c>
      <c r="N607" s="10" t="s">
        <v>20</v>
      </c>
      <c r="O607" s="10" t="s">
        <v>20</v>
      </c>
      <c r="Q607" s="10" t="s">
        <v>20</v>
      </c>
      <c r="R607" s="10" t="s">
        <v>20</v>
      </c>
      <c r="S607" s="10"/>
      <c r="T607" s="10" t="s">
        <v>20</v>
      </c>
      <c r="V607" s="10" t="s">
        <v>20</v>
      </c>
      <c r="W607" s="10" t="s">
        <v>20</v>
      </c>
      <c r="X607" s="10" t="s">
        <v>20</v>
      </c>
    </row>
    <row r="608" spans="1:24" ht="42.75">
      <c r="A608" s="4"/>
      <c r="B608" s="5"/>
      <c r="C608" s="11"/>
      <c r="D608" s="12" t="s">
        <v>23</v>
      </c>
      <c r="E608" s="13"/>
      <c r="F608" s="12" t="s">
        <v>175</v>
      </c>
      <c r="G608" s="13" t="s">
        <v>24</v>
      </c>
      <c r="I608" s="13" t="s">
        <v>25</v>
      </c>
      <c r="J608" s="8" t="s">
        <v>26</v>
      </c>
      <c r="K608" s="13" t="s">
        <v>27</v>
      </c>
      <c r="L608" s="13" t="s">
        <v>28</v>
      </c>
      <c r="M608" s="13" t="s">
        <v>29</v>
      </c>
      <c r="N608" s="13" t="s">
        <v>30</v>
      </c>
      <c r="O608" s="13" t="s">
        <v>31</v>
      </c>
      <c r="Q608" s="14">
        <v>4470115</v>
      </c>
      <c r="R608" s="13" t="s">
        <v>32</v>
      </c>
      <c r="S608" s="13"/>
      <c r="T608" s="14">
        <v>4470119</v>
      </c>
      <c r="V608" s="8" t="s">
        <v>33</v>
      </c>
      <c r="W608" s="8" t="s">
        <v>34</v>
      </c>
      <c r="X608" s="8" t="s">
        <v>35</v>
      </c>
    </row>
    <row r="609" spans="1:23" ht="15">
      <c r="A609" s="4"/>
      <c r="B609" s="5"/>
      <c r="C609" s="11"/>
      <c r="D609" s="13"/>
      <c r="E609" s="13"/>
      <c r="F609" s="13"/>
      <c r="G609" s="15"/>
      <c r="I609" s="13"/>
      <c r="J609" s="13"/>
      <c r="K609" s="13"/>
      <c r="L609" s="13"/>
      <c r="M609" s="13"/>
      <c r="N609" s="13"/>
      <c r="O609" s="13"/>
      <c r="Q609" s="14"/>
      <c r="R609" s="13"/>
      <c r="S609" s="14"/>
      <c r="T609" s="16"/>
      <c r="V609" s="14"/>
      <c r="W609" s="13"/>
    </row>
    <row r="610" spans="1:25" ht="15">
      <c r="A610" s="4">
        <v>1</v>
      </c>
      <c r="B610" s="5" t="s">
        <v>36</v>
      </c>
      <c r="C610" s="17" t="s">
        <v>37</v>
      </c>
      <c r="D610" s="27">
        <v>5103797</v>
      </c>
      <c r="E610" s="19"/>
      <c r="F610" s="20">
        <v>4540807</v>
      </c>
      <c r="G610" s="21">
        <f>+D610-F610</f>
        <v>562990</v>
      </c>
      <c r="H610" s="18"/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/>
      <c r="Q610" s="18">
        <v>0</v>
      </c>
      <c r="R610" s="18">
        <v>0</v>
      </c>
      <c r="S610" s="18"/>
      <c r="T610" s="18">
        <v>0</v>
      </c>
      <c r="U610" s="18"/>
      <c r="V610" s="18">
        <v>0</v>
      </c>
      <c r="W610" s="18">
        <v>0</v>
      </c>
      <c r="X610" s="18">
        <v>0</v>
      </c>
      <c r="Y610" s="18"/>
    </row>
    <row r="611" spans="1:25" ht="15">
      <c r="A611" s="4">
        <f>+A610+1</f>
        <v>2</v>
      </c>
      <c r="B611" s="5" t="s">
        <v>36</v>
      </c>
      <c r="C611" s="22" t="s">
        <v>38</v>
      </c>
      <c r="D611" s="27">
        <v>5103661</v>
      </c>
      <c r="E611" s="19"/>
      <c r="F611" s="23">
        <v>4523290</v>
      </c>
      <c r="G611" s="21">
        <f>+D611-F611</f>
        <v>580371</v>
      </c>
      <c r="H611" s="18"/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/>
      <c r="Q611" s="18">
        <v>0</v>
      </c>
      <c r="R611" s="18">
        <v>0</v>
      </c>
      <c r="S611" s="18"/>
      <c r="T611" s="18">
        <v>0</v>
      </c>
      <c r="U611" s="18"/>
      <c r="V611" s="18">
        <v>0</v>
      </c>
      <c r="W611" s="18">
        <v>0</v>
      </c>
      <c r="X611" s="18">
        <v>0</v>
      </c>
      <c r="Y611" s="18"/>
    </row>
    <row r="612" spans="1:25" ht="22.5">
      <c r="A612" s="4">
        <f>+A611+1</f>
        <v>3</v>
      </c>
      <c r="B612" s="24" t="s">
        <v>176</v>
      </c>
      <c r="C612" s="25" t="s">
        <v>177</v>
      </c>
      <c r="D612" s="18">
        <f>+D610-D611</f>
        <v>136</v>
      </c>
      <c r="E612" s="19"/>
      <c r="F612" s="26">
        <f>+F610-F611</f>
        <v>17517</v>
      </c>
      <c r="G612" s="18">
        <f>+G610-G611</f>
        <v>-17381</v>
      </c>
      <c r="H612" s="18"/>
      <c r="I612" s="18">
        <f aca="true" t="shared" si="75" ref="I612:O612">+I610-I611</f>
        <v>0</v>
      </c>
      <c r="J612" s="18">
        <f t="shared" si="75"/>
        <v>0</v>
      </c>
      <c r="K612" s="18">
        <f t="shared" si="75"/>
        <v>0</v>
      </c>
      <c r="L612" s="18">
        <f t="shared" si="75"/>
        <v>0</v>
      </c>
      <c r="M612" s="18">
        <f t="shared" si="75"/>
        <v>0</v>
      </c>
      <c r="N612" s="18">
        <f t="shared" si="75"/>
        <v>0</v>
      </c>
      <c r="O612" s="18">
        <f t="shared" si="75"/>
        <v>0</v>
      </c>
      <c r="P612" s="18"/>
      <c r="Q612" s="18">
        <f>+Q610-Q611</f>
        <v>0</v>
      </c>
      <c r="R612" s="18">
        <f>+R610-R611</f>
        <v>0</v>
      </c>
      <c r="S612" s="18"/>
      <c r="T612" s="18">
        <f>+T610-T611</f>
        <v>0</v>
      </c>
      <c r="U612" s="18"/>
      <c r="V612" s="18">
        <f>+V610-V611</f>
        <v>0</v>
      </c>
      <c r="W612" s="18">
        <f>+W610-W611</f>
        <v>0</v>
      </c>
      <c r="X612" s="18">
        <f>+X610-X611</f>
        <v>0</v>
      </c>
      <c r="Y612" s="18"/>
    </row>
    <row r="613" spans="1:25" ht="28.5">
      <c r="A613" s="4">
        <f>+A612+1</f>
        <v>4</v>
      </c>
      <c r="B613" s="88" t="s">
        <v>178</v>
      </c>
      <c r="C613" s="25" t="s">
        <v>179</v>
      </c>
      <c r="D613" s="18">
        <v>0</v>
      </c>
      <c r="E613" s="19"/>
      <c r="F613" s="26">
        <v>0</v>
      </c>
      <c r="G613" s="18">
        <f>+D613-F613</f>
        <v>0</v>
      </c>
      <c r="H613" s="18"/>
      <c r="I613" s="27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/>
      <c r="Q613" s="18">
        <v>0</v>
      </c>
      <c r="R613" s="18">
        <v>0</v>
      </c>
      <c r="S613" s="18"/>
      <c r="T613" s="18">
        <v>0</v>
      </c>
      <c r="U613" s="18"/>
      <c r="V613" s="18">
        <v>0</v>
      </c>
      <c r="W613" s="18">
        <v>0</v>
      </c>
      <c r="X613" s="18">
        <v>0</v>
      </c>
      <c r="Y613" s="18"/>
    </row>
    <row r="614" spans="1:25" ht="24.75">
      <c r="A614" s="4">
        <f>+A613+1</f>
        <v>5</v>
      </c>
      <c r="B614" s="89" t="s">
        <v>39</v>
      </c>
      <c r="C614" s="28" t="s">
        <v>40</v>
      </c>
      <c r="D614" s="27">
        <v>82548</v>
      </c>
      <c r="E614" s="29"/>
      <c r="F614" s="30">
        <v>0</v>
      </c>
      <c r="G614" s="31">
        <f>+D614-F614</f>
        <v>82548</v>
      </c>
      <c r="H614" s="18"/>
      <c r="I614" s="27">
        <v>0</v>
      </c>
      <c r="J614" s="27">
        <v>800</v>
      </c>
      <c r="K614" s="27">
        <v>0</v>
      </c>
      <c r="L614" s="27">
        <v>180136.7</v>
      </c>
      <c r="M614" s="27">
        <v>-773</v>
      </c>
      <c r="N614" s="27">
        <v>-25</v>
      </c>
      <c r="O614" s="27">
        <v>-2093</v>
      </c>
      <c r="P614" s="18"/>
      <c r="Q614" s="27">
        <v>453</v>
      </c>
      <c r="R614" s="27">
        <v>0</v>
      </c>
      <c r="S614" s="27"/>
      <c r="T614" s="27">
        <v>0</v>
      </c>
      <c r="U614" s="27"/>
      <c r="V614" s="27">
        <v>0</v>
      </c>
      <c r="W614" s="27">
        <v>0</v>
      </c>
      <c r="X614" s="27">
        <v>-38340</v>
      </c>
      <c r="Y614" s="18"/>
    </row>
    <row r="615" spans="1:25" ht="15">
      <c r="A615" s="6" t="s">
        <v>41</v>
      </c>
      <c r="B615" s="90"/>
      <c r="C615" s="11"/>
      <c r="D615" s="18"/>
      <c r="E615" s="19"/>
      <c r="F615" s="18"/>
      <c r="G615" s="18"/>
      <c r="H615" s="18"/>
      <c r="I615" s="18"/>
      <c r="J615" s="18"/>
      <c r="K615" s="18"/>
      <c r="L615" s="18"/>
      <c r="M615" s="18"/>
      <c r="N615" s="18"/>
      <c r="O615" s="18" t="s">
        <v>0</v>
      </c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5">
      <c r="A616" s="4">
        <f>+A614+1</f>
        <v>6</v>
      </c>
      <c r="B616" s="5" t="s">
        <v>42</v>
      </c>
      <c r="C616" s="22" t="s">
        <v>38</v>
      </c>
      <c r="D616" s="27">
        <v>4651901</v>
      </c>
      <c r="E616" s="19"/>
      <c r="F616" s="23">
        <v>4297874</v>
      </c>
      <c r="G616" s="18">
        <f>+D616-F616</f>
        <v>354027</v>
      </c>
      <c r="H616" s="18"/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/>
      <c r="Q616" s="18">
        <v>0</v>
      </c>
      <c r="R616" s="18">
        <v>0</v>
      </c>
      <c r="S616" s="18"/>
      <c r="T616" s="18">
        <v>0</v>
      </c>
      <c r="U616" s="18"/>
      <c r="V616" s="18">
        <v>0</v>
      </c>
      <c r="W616" s="18">
        <v>0</v>
      </c>
      <c r="X616" s="18">
        <v>0</v>
      </c>
      <c r="Y616" s="18"/>
    </row>
    <row r="617" spans="1:25" ht="15">
      <c r="A617" s="4">
        <f>+A616+1</f>
        <v>7</v>
      </c>
      <c r="B617" s="5" t="s">
        <v>43</v>
      </c>
      <c r="C617" s="11"/>
      <c r="D617" s="27">
        <v>21530</v>
      </c>
      <c r="E617" s="19"/>
      <c r="F617" s="23">
        <v>20404</v>
      </c>
      <c r="G617" s="18">
        <f>+D617-F617</f>
        <v>1126</v>
      </c>
      <c r="H617" s="18"/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31">
        <v>0</v>
      </c>
      <c r="P617" s="18"/>
      <c r="Q617" s="18">
        <v>0</v>
      </c>
      <c r="R617" s="18">
        <v>0</v>
      </c>
      <c r="S617" s="18"/>
      <c r="T617" s="18">
        <v>0</v>
      </c>
      <c r="U617" s="18"/>
      <c r="V617" s="18">
        <v>0</v>
      </c>
      <c r="W617" s="18">
        <v>0</v>
      </c>
      <c r="X617" s="18">
        <v>0</v>
      </c>
      <c r="Y617" s="18"/>
    </row>
    <row r="618" spans="1:25" ht="35.25">
      <c r="A618" s="4">
        <f>+A617+1</f>
        <v>8</v>
      </c>
      <c r="B618" s="24" t="s">
        <v>180</v>
      </c>
      <c r="C618" s="32" t="s">
        <v>44</v>
      </c>
      <c r="D618" s="33">
        <f>+D616-D617</f>
        <v>4630371</v>
      </c>
      <c r="E618" s="34"/>
      <c r="F618" s="91">
        <f>+F616-F617</f>
        <v>4277470</v>
      </c>
      <c r="G618" s="18">
        <f>+G616-G617</f>
        <v>352901</v>
      </c>
      <c r="H618" s="18"/>
      <c r="I618" s="18">
        <f aca="true" t="shared" si="76" ref="I618:O618">+I616-I617</f>
        <v>0</v>
      </c>
      <c r="J618" s="18">
        <f t="shared" si="76"/>
        <v>0</v>
      </c>
      <c r="K618" s="18">
        <f t="shared" si="76"/>
        <v>0</v>
      </c>
      <c r="L618" s="18">
        <f t="shared" si="76"/>
        <v>0</v>
      </c>
      <c r="M618" s="18">
        <f t="shared" si="76"/>
        <v>0</v>
      </c>
      <c r="N618" s="18">
        <f t="shared" si="76"/>
        <v>0</v>
      </c>
      <c r="O618" s="18">
        <f t="shared" si="76"/>
        <v>0</v>
      </c>
      <c r="P618" s="18"/>
      <c r="Q618" s="18">
        <f>+Q616-Q617</f>
        <v>0</v>
      </c>
      <c r="R618" s="18">
        <f>+R616-R617</f>
        <v>0</v>
      </c>
      <c r="S618" s="18"/>
      <c r="T618" s="18">
        <f>+T616-T617</f>
        <v>0</v>
      </c>
      <c r="U618" s="18"/>
      <c r="V618" s="18">
        <f>+V616-V617</f>
        <v>0</v>
      </c>
      <c r="W618" s="18">
        <f>+W616-W617</f>
        <v>0</v>
      </c>
      <c r="X618" s="18">
        <f>+X616-X617</f>
        <v>0</v>
      </c>
      <c r="Y618" s="18"/>
    </row>
    <row r="619" spans="1:25" ht="28.5">
      <c r="A619" s="4">
        <f>+A618+1</f>
        <v>9</v>
      </c>
      <c r="B619" s="88" t="s">
        <v>181</v>
      </c>
      <c r="C619" s="35" t="s">
        <v>45</v>
      </c>
      <c r="D619" s="18">
        <v>0</v>
      </c>
      <c r="E619" s="19"/>
      <c r="F619" s="31">
        <v>0</v>
      </c>
      <c r="G619" s="31">
        <f>+D619-F619</f>
        <v>0</v>
      </c>
      <c r="H619" s="18"/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31">
        <v>0</v>
      </c>
      <c r="P619" s="18"/>
      <c r="Q619" s="18">
        <v>0</v>
      </c>
      <c r="R619" s="18">
        <v>0</v>
      </c>
      <c r="S619" s="18"/>
      <c r="T619" s="18">
        <v>0</v>
      </c>
      <c r="U619" s="18"/>
      <c r="V619" s="18">
        <v>0</v>
      </c>
      <c r="W619" s="18">
        <v>0</v>
      </c>
      <c r="X619" s="18">
        <v>0</v>
      </c>
      <c r="Y619" s="18"/>
    </row>
    <row r="620" spans="1:25" ht="15">
      <c r="A620" s="4">
        <f>+A619+1</f>
        <v>10</v>
      </c>
      <c r="B620" s="24" t="s">
        <v>46</v>
      </c>
      <c r="C620" s="11" t="s">
        <v>47</v>
      </c>
      <c r="D620" s="36">
        <f>+D612+D613+D614+D618+D619</f>
        <v>4713055</v>
      </c>
      <c r="E620" s="19"/>
      <c r="F620" s="36">
        <f>+F612+F613+F614+F618+F619</f>
        <v>4294987</v>
      </c>
      <c r="G620" s="18">
        <f>+G612+G613+G618+G619+G614</f>
        <v>418068</v>
      </c>
      <c r="H620" s="18"/>
      <c r="I620" s="18">
        <f aca="true" t="shared" si="77" ref="I620:O620">+I612+I613+I618+I619+I614</f>
        <v>0</v>
      </c>
      <c r="J620" s="21">
        <f t="shared" si="77"/>
        <v>800</v>
      </c>
      <c r="K620" s="18">
        <f t="shared" si="77"/>
        <v>0</v>
      </c>
      <c r="L620" s="18">
        <f t="shared" si="77"/>
        <v>180136.7</v>
      </c>
      <c r="M620" s="18">
        <f t="shared" si="77"/>
        <v>-773</v>
      </c>
      <c r="N620" s="18">
        <f t="shared" si="77"/>
        <v>-25</v>
      </c>
      <c r="O620" s="18">
        <f t="shared" si="77"/>
        <v>-2093</v>
      </c>
      <c r="P620" s="18"/>
      <c r="Q620" s="18">
        <f>+Q612+Q613+Q618+Q619+Q614</f>
        <v>453</v>
      </c>
      <c r="R620" s="18">
        <f>+R612+R613+R618+R619+R614</f>
        <v>0</v>
      </c>
      <c r="S620" s="18"/>
      <c r="T620" s="18">
        <f>+T612+T613+T618+T619+T614</f>
        <v>0</v>
      </c>
      <c r="U620" s="18"/>
      <c r="V620" s="18">
        <f>+V612+V613+V618+V619+V614</f>
        <v>0</v>
      </c>
      <c r="W620" s="18">
        <f>+W612+W613+W618+W619+W614</f>
        <v>0</v>
      </c>
      <c r="X620" s="18">
        <f>+X612+X613+X618+X619+X614</f>
        <v>-38340</v>
      </c>
      <c r="Y620" s="18"/>
    </row>
    <row r="621" spans="1:25" ht="15">
      <c r="A621" s="4"/>
      <c r="B621" s="24"/>
      <c r="C621" s="11" t="s">
        <v>0</v>
      </c>
      <c r="D621" s="27" t="s">
        <v>0</v>
      </c>
      <c r="E621" s="18"/>
      <c r="F621" s="3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5">
      <c r="A622" s="4"/>
      <c r="B622" s="24"/>
      <c r="C622" s="37"/>
      <c r="D622" s="18">
        <v>4713055</v>
      </c>
      <c r="E622" s="18"/>
      <c r="F622" s="3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5">
      <c r="A623" s="4"/>
      <c r="B623" s="24"/>
      <c r="C623" s="11"/>
      <c r="D623" s="6" t="s">
        <v>48</v>
      </c>
      <c r="E623" s="6"/>
      <c r="F623" s="10" t="s">
        <v>49</v>
      </c>
      <c r="G623" s="10" t="s">
        <v>50</v>
      </c>
      <c r="I623" s="10" t="s">
        <v>51</v>
      </c>
      <c r="J623" s="10" t="s">
        <v>52</v>
      </c>
      <c r="K623" s="10" t="s">
        <v>53</v>
      </c>
      <c r="L623" s="10" t="s">
        <v>54</v>
      </c>
      <c r="M623" s="10" t="s">
        <v>55</v>
      </c>
      <c r="N623" s="10" t="s">
        <v>56</v>
      </c>
      <c r="O623" s="10" t="s">
        <v>57</v>
      </c>
      <c r="P623" s="18"/>
      <c r="Q623" s="10" t="s">
        <v>58</v>
      </c>
      <c r="R623" s="10" t="s">
        <v>59</v>
      </c>
      <c r="S623" s="10"/>
      <c r="T623" s="10" t="s">
        <v>60</v>
      </c>
      <c r="U623" s="18"/>
      <c r="V623" s="10" t="s">
        <v>61</v>
      </c>
      <c r="W623" s="10" t="s">
        <v>62</v>
      </c>
      <c r="X623" s="10" t="s">
        <v>63</v>
      </c>
      <c r="Y623" s="18"/>
    </row>
    <row r="624" spans="1:25" ht="15">
      <c r="A624" s="4"/>
      <c r="B624"/>
      <c r="C624" s="11"/>
      <c r="D624" s="10" t="s">
        <v>20</v>
      </c>
      <c r="E624" s="38"/>
      <c r="F624" s="10" t="s">
        <v>20</v>
      </c>
      <c r="G624" s="10" t="s">
        <v>20</v>
      </c>
      <c r="I624" s="10" t="s">
        <v>20</v>
      </c>
      <c r="J624" s="10" t="s">
        <v>20</v>
      </c>
      <c r="K624" s="10" t="s">
        <v>20</v>
      </c>
      <c r="L624" s="10" t="s">
        <v>20</v>
      </c>
      <c r="M624" s="10" t="s">
        <v>20</v>
      </c>
      <c r="N624" s="10" t="s">
        <v>20</v>
      </c>
      <c r="O624" s="10" t="s">
        <v>20</v>
      </c>
      <c r="P624" s="18"/>
      <c r="Q624" s="10" t="s">
        <v>20</v>
      </c>
      <c r="R624" s="10" t="s">
        <v>20</v>
      </c>
      <c r="S624" s="14"/>
      <c r="T624" s="10" t="s">
        <v>20</v>
      </c>
      <c r="U624" s="18"/>
      <c r="W624" s="39" t="s">
        <v>64</v>
      </c>
      <c r="Y624" s="18"/>
    </row>
    <row r="625" spans="1:25" ht="15">
      <c r="A625" s="4"/>
      <c r="B625" s="87" t="s">
        <v>174</v>
      </c>
      <c r="C625" s="11"/>
      <c r="D625" s="8" t="s">
        <v>65</v>
      </c>
      <c r="E625" s="6"/>
      <c r="F625" s="8" t="s">
        <v>66</v>
      </c>
      <c r="G625" s="8" t="s">
        <v>67</v>
      </c>
      <c r="H625" s="19"/>
      <c r="I625" s="8" t="s">
        <v>68</v>
      </c>
      <c r="J625" s="8" t="s">
        <v>69</v>
      </c>
      <c r="K625" s="8" t="s">
        <v>70</v>
      </c>
      <c r="L625" s="8" t="s">
        <v>71</v>
      </c>
      <c r="M625" s="8" t="s">
        <v>72</v>
      </c>
      <c r="N625" s="8" t="s">
        <v>73</v>
      </c>
      <c r="O625" s="8" t="s">
        <v>74</v>
      </c>
      <c r="P625" s="6"/>
      <c r="Q625" s="8" t="s">
        <v>75</v>
      </c>
      <c r="R625" s="8" t="s">
        <v>76</v>
      </c>
      <c r="S625" s="8"/>
      <c r="T625" s="8" t="s">
        <v>77</v>
      </c>
      <c r="U625" s="18"/>
      <c r="V625" s="10" t="s">
        <v>20</v>
      </c>
      <c r="W625" s="14" t="s">
        <v>21</v>
      </c>
      <c r="X625" s="10" t="s">
        <v>22</v>
      </c>
      <c r="Y625" s="18"/>
    </row>
    <row r="626" spans="1:8" ht="15">
      <c r="A626" s="4"/>
      <c r="B626" s="24"/>
      <c r="C626" s="11"/>
      <c r="E626" s="14"/>
      <c r="F626"/>
      <c r="H626" s="18"/>
    </row>
    <row r="627" spans="1:24" ht="15">
      <c r="A627" s="4">
        <f>+A620+1</f>
        <v>11</v>
      </c>
      <c r="B627" s="5" t="s">
        <v>36</v>
      </c>
      <c r="C627" s="17" t="s">
        <v>37</v>
      </c>
      <c r="D627" s="18">
        <v>0</v>
      </c>
      <c r="E627" s="18"/>
      <c r="F627" s="18">
        <v>0</v>
      </c>
      <c r="G627" s="18">
        <v>0</v>
      </c>
      <c r="I627" s="27">
        <v>613481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Q627" s="18">
        <v>0</v>
      </c>
      <c r="R627" s="18">
        <v>0</v>
      </c>
      <c r="S627" s="18"/>
      <c r="T627" s="18">
        <v>0</v>
      </c>
      <c r="V627" s="18">
        <f>+D610+I610+J610+K610+L610+M610+N610+O610+Q610+R610+T610+V610+W610+X610+D627+F627+G627+I627+J627+K627+L627+M627+N627+O627+Q627+R627+T627</f>
        <v>5717278</v>
      </c>
      <c r="W627" s="18">
        <f>+F610</f>
        <v>4540807</v>
      </c>
      <c r="X627" s="18">
        <f>+V627-W627</f>
        <v>1176471</v>
      </c>
    </row>
    <row r="628" spans="1:24" ht="15">
      <c r="A628" s="4">
        <f>+A627+1</f>
        <v>12</v>
      </c>
      <c r="B628" s="5" t="s">
        <v>36</v>
      </c>
      <c r="C628" s="22" t="s">
        <v>38</v>
      </c>
      <c r="D628" s="18">
        <v>0</v>
      </c>
      <c r="E628" s="18"/>
      <c r="F628" s="18">
        <v>0</v>
      </c>
      <c r="G628" s="18">
        <v>0</v>
      </c>
      <c r="I628" s="27">
        <v>615001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Q628" s="18">
        <v>0</v>
      </c>
      <c r="R628" s="18">
        <v>0</v>
      </c>
      <c r="S628" s="18"/>
      <c r="T628" s="18">
        <v>0</v>
      </c>
      <c r="V628" s="18">
        <f>+D611+I611+J611+K611+L611+M611+N611+O611+Q611+R611+T611+V611+W611+X611+D628+F628+G628+I628+J628+K628+L628+M628+N628+O628+Q628+R628+T628</f>
        <v>5718662</v>
      </c>
      <c r="W628" s="18">
        <f>+F611</f>
        <v>4523290</v>
      </c>
      <c r="X628" s="18">
        <f>+V628-W628</f>
        <v>1195372</v>
      </c>
    </row>
    <row r="629" spans="1:24" ht="15">
      <c r="A629" s="4">
        <f>+A628+1</f>
        <v>13</v>
      </c>
      <c r="B629" s="24" t="s">
        <v>46</v>
      </c>
      <c r="C629" s="40" t="s">
        <v>78</v>
      </c>
      <c r="D629" s="18">
        <f>+D627-D628</f>
        <v>0</v>
      </c>
      <c r="E629" s="18"/>
      <c r="F629" s="18">
        <f>+F627-F628</f>
        <v>0</v>
      </c>
      <c r="G629" s="18">
        <f>+G627-G628</f>
        <v>0</v>
      </c>
      <c r="I629" s="18">
        <f aca="true" t="shared" si="78" ref="I629:O629">+I627-I628</f>
        <v>-1520</v>
      </c>
      <c r="J629" s="18">
        <f t="shared" si="78"/>
        <v>0</v>
      </c>
      <c r="K629" s="18">
        <f t="shared" si="78"/>
        <v>0</v>
      </c>
      <c r="L629" s="18">
        <f t="shared" si="78"/>
        <v>0</v>
      </c>
      <c r="M629" s="18">
        <f t="shared" si="78"/>
        <v>0</v>
      </c>
      <c r="N629" s="18">
        <f t="shared" si="78"/>
        <v>0</v>
      </c>
      <c r="O629" s="18">
        <f t="shared" si="78"/>
        <v>0</v>
      </c>
      <c r="Q629" s="18">
        <f>+Q627-Q628</f>
        <v>0</v>
      </c>
      <c r="R629" s="18">
        <f>+R627-R628</f>
        <v>0</v>
      </c>
      <c r="S629" s="18"/>
      <c r="T629" s="18">
        <f>+T627-T628</f>
        <v>0</v>
      </c>
      <c r="V629" s="27">
        <f>+V627-V628</f>
        <v>-1384</v>
      </c>
      <c r="W629" s="27">
        <f>+W627-W628</f>
        <v>17517</v>
      </c>
      <c r="X629" s="18">
        <f>+X627-X628</f>
        <v>-18901</v>
      </c>
    </row>
    <row r="630" spans="1:24" ht="28.5">
      <c r="A630" s="4">
        <f>+A629+1</f>
        <v>14</v>
      </c>
      <c r="B630" s="88" t="s">
        <v>182</v>
      </c>
      <c r="C630" s="11"/>
      <c r="D630" s="18">
        <v>0</v>
      </c>
      <c r="E630" s="18"/>
      <c r="F630" s="18">
        <v>0</v>
      </c>
      <c r="G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Q630" s="18">
        <v>0</v>
      </c>
      <c r="R630" s="18">
        <v>0</v>
      </c>
      <c r="S630" s="18"/>
      <c r="T630" s="18">
        <v>0</v>
      </c>
      <c r="V630" s="18">
        <f>+D613+I613+J613+K613+L613+M613+N613+O613+Q613+R613+T613+V613+W613+X613+D630+F630+G630+I630+J630+K630+L630+M630+N630+O630+Q630+R630+T630</f>
        <v>0</v>
      </c>
      <c r="W630" s="18">
        <f>+F613</f>
        <v>0</v>
      </c>
      <c r="X630" s="18">
        <f>+V630-W630</f>
        <v>0</v>
      </c>
    </row>
    <row r="631" spans="1:24" ht="24.75">
      <c r="A631" s="4">
        <f>+A630+1</f>
        <v>15</v>
      </c>
      <c r="B631" s="89" t="s">
        <v>39</v>
      </c>
      <c r="C631" s="40"/>
      <c r="D631" s="27">
        <v>0</v>
      </c>
      <c r="E631" s="18" t="s">
        <v>0</v>
      </c>
      <c r="F631" s="27">
        <v>0</v>
      </c>
      <c r="G631" s="27">
        <v>0</v>
      </c>
      <c r="H631" t="s">
        <v>0</v>
      </c>
      <c r="I631" s="27">
        <v>0</v>
      </c>
      <c r="J631" s="27">
        <v>10180</v>
      </c>
      <c r="K631" s="27">
        <v>0</v>
      </c>
      <c r="L631" s="27">
        <v>0</v>
      </c>
      <c r="M631" s="27">
        <v>27975</v>
      </c>
      <c r="N631" s="27">
        <v>-159396</v>
      </c>
      <c r="O631" s="27">
        <v>141</v>
      </c>
      <c r="Q631" s="27">
        <v>0</v>
      </c>
      <c r="R631" s="27">
        <v>0</v>
      </c>
      <c r="S631" s="27"/>
      <c r="T631" s="27">
        <v>0</v>
      </c>
      <c r="V631" s="18">
        <f>+D614+I614+J614+K614+L614+M614+N614+O614+Q614+R614+T614+V614+W614+X614+D631+F631+G631+I631+J631+K631+L631+M631+N631+O631+Q631+R631+T631</f>
        <v>101606.70000000001</v>
      </c>
      <c r="W631" s="18">
        <f>+F614</f>
        <v>0</v>
      </c>
      <c r="X631" s="18">
        <f>+V631-W631</f>
        <v>101606.70000000001</v>
      </c>
    </row>
    <row r="632" spans="1:24" ht="15">
      <c r="A632" s="6" t="s">
        <v>41</v>
      </c>
      <c r="B632" s="41"/>
      <c r="C632" s="40"/>
      <c r="D632" s="18"/>
      <c r="E632" s="18"/>
      <c r="F632" s="18"/>
      <c r="G632" s="18"/>
      <c r="I632" s="18"/>
      <c r="J632" s="18"/>
      <c r="K632" s="18"/>
      <c r="L632" s="18"/>
      <c r="M632" s="18"/>
      <c r="N632" s="18"/>
      <c r="O632" s="18"/>
      <c r="Q632" s="18"/>
      <c r="R632" s="18"/>
      <c r="S632" s="18"/>
      <c r="T632" s="18"/>
      <c r="V632" s="18"/>
      <c r="W632" s="18"/>
      <c r="X632" s="18"/>
    </row>
    <row r="633" spans="1:24" ht="15">
      <c r="A633" s="4">
        <f>+A631+1</f>
        <v>16</v>
      </c>
      <c r="B633" s="5" t="s">
        <v>42</v>
      </c>
      <c r="C633" s="22" t="s">
        <v>38</v>
      </c>
      <c r="D633" s="18">
        <v>0</v>
      </c>
      <c r="E633" s="18"/>
      <c r="F633" s="18">
        <v>0</v>
      </c>
      <c r="G633" s="18">
        <v>0</v>
      </c>
      <c r="I633" s="27">
        <v>531557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/>
      <c r="Q633" s="18">
        <v>0</v>
      </c>
      <c r="R633" s="18">
        <v>0</v>
      </c>
      <c r="S633" s="18"/>
      <c r="T633" s="18">
        <v>0</v>
      </c>
      <c r="U633" s="18"/>
      <c r="V633" s="18">
        <f>+D616+I616+J616+K616+L616+M616+N616+O616+Q616+R616+T616+V616+W616+X616+D633+F633+G633+I633+J633+K633+L633+M633+N633+O633+Q633+R633+T633</f>
        <v>5183458</v>
      </c>
      <c r="W633" s="18">
        <f>+F616</f>
        <v>4297874</v>
      </c>
      <c r="X633" s="18">
        <f>+V633-W633</f>
        <v>885584</v>
      </c>
    </row>
    <row r="634" spans="1:24" ht="15">
      <c r="A634" s="4">
        <f>+A633+1</f>
        <v>17</v>
      </c>
      <c r="B634" s="5" t="s">
        <v>43</v>
      </c>
      <c r="C634" s="11"/>
      <c r="D634" s="18">
        <v>0</v>
      </c>
      <c r="E634" s="18"/>
      <c r="F634" s="18">
        <v>0</v>
      </c>
      <c r="G634" s="18">
        <v>0</v>
      </c>
      <c r="I634" s="27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/>
      <c r="Q634" s="18">
        <v>0</v>
      </c>
      <c r="R634" s="18">
        <v>0</v>
      </c>
      <c r="S634" s="18"/>
      <c r="T634" s="18">
        <v>0</v>
      </c>
      <c r="U634" s="18"/>
      <c r="V634" s="18">
        <f>+D617+I617+J617+K617+L617+M617+N617+O617+Q617+R617+T617+V617+W617+X617+D634+F634+G634+I634+J634+K634+L634+M634+N634+O634+Q634+R634+T634</f>
        <v>21530</v>
      </c>
      <c r="W634" s="18">
        <f>+F617</f>
        <v>20404</v>
      </c>
      <c r="X634" s="18">
        <f>+V634-W634</f>
        <v>1126</v>
      </c>
    </row>
    <row r="635" spans="1:24" ht="26.25">
      <c r="A635" s="4">
        <f>+A634+1</f>
        <v>18</v>
      </c>
      <c r="B635" s="24" t="s">
        <v>79</v>
      </c>
      <c r="C635" s="11"/>
      <c r="D635" s="18">
        <f>+D633-D634</f>
        <v>0</v>
      </c>
      <c r="E635" s="18"/>
      <c r="F635" s="18">
        <f>+F633-F634</f>
        <v>0</v>
      </c>
      <c r="G635" s="18">
        <f>+G633-G634</f>
        <v>0</v>
      </c>
      <c r="I635" s="18">
        <f aca="true" t="shared" si="79" ref="I635:O635">+I633-I634</f>
        <v>531557</v>
      </c>
      <c r="J635" s="18">
        <f t="shared" si="79"/>
        <v>0</v>
      </c>
      <c r="K635" s="18">
        <f t="shared" si="79"/>
        <v>0</v>
      </c>
      <c r="L635" s="18">
        <f t="shared" si="79"/>
        <v>0</v>
      </c>
      <c r="M635" s="18">
        <f t="shared" si="79"/>
        <v>0</v>
      </c>
      <c r="N635" s="18">
        <f t="shared" si="79"/>
        <v>0</v>
      </c>
      <c r="O635" s="18">
        <f t="shared" si="79"/>
        <v>0</v>
      </c>
      <c r="P635" s="18"/>
      <c r="Q635" s="18">
        <f>+Q633-Q634</f>
        <v>0</v>
      </c>
      <c r="R635" s="18">
        <f>+R633-R634</f>
        <v>0</v>
      </c>
      <c r="S635" s="18"/>
      <c r="T635" s="18">
        <f>+T633-T634</f>
        <v>0</v>
      </c>
      <c r="U635" s="18"/>
      <c r="V635" s="27">
        <f>+V633-V634</f>
        <v>5161928</v>
      </c>
      <c r="W635" s="27">
        <f>+W633-W634</f>
        <v>4277470</v>
      </c>
      <c r="X635" s="18">
        <f>+X633-X634</f>
        <v>884458</v>
      </c>
    </row>
    <row r="636" spans="1:24" ht="28.5">
      <c r="A636" s="4">
        <f>+A635+1</f>
        <v>19</v>
      </c>
      <c r="B636" s="88" t="s">
        <v>181</v>
      </c>
      <c r="C636" s="11"/>
      <c r="D636" s="18">
        <v>0</v>
      </c>
      <c r="E636" s="18"/>
      <c r="F636" s="18">
        <v>0</v>
      </c>
      <c r="G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/>
      <c r="Q636" s="18">
        <v>0</v>
      </c>
      <c r="R636" s="18">
        <v>0</v>
      </c>
      <c r="S636" s="18"/>
      <c r="T636" s="18">
        <v>0</v>
      </c>
      <c r="U636" s="18"/>
      <c r="V636" s="18">
        <f>+D619+I619+J619+K619+L619+M619+N619+O619+Q619+R619+T619+V619+W619+X619+D636+F636+G636+I636+J636+K636+L636+M636+N636+O636+Q636+R636+T636</f>
        <v>0</v>
      </c>
      <c r="W636" s="18">
        <f>+F619+K636+L636+M636+N636+O636+Q636+R636+T636</f>
        <v>0</v>
      </c>
      <c r="X636" s="18">
        <f>+V636-W636</f>
        <v>0</v>
      </c>
    </row>
    <row r="637" spans="1:24" ht="15">
      <c r="A637" s="4">
        <f>+A636+1</f>
        <v>20</v>
      </c>
      <c r="B637" s="24" t="s">
        <v>46</v>
      </c>
      <c r="C637" s="11" t="s">
        <v>47</v>
      </c>
      <c r="D637" s="18">
        <f>+D629+D630+D635+D636+D631</f>
        <v>0</v>
      </c>
      <c r="E637" s="18"/>
      <c r="F637" s="18">
        <f>+F629+F630+F635+F636+F631</f>
        <v>0</v>
      </c>
      <c r="G637" s="18">
        <f>+G629+G630+G635+G636+G631</f>
        <v>0</v>
      </c>
      <c r="I637" s="18">
        <f aca="true" t="shared" si="80" ref="I637:O637">+I629+I630+I635+I636+I631</f>
        <v>530037</v>
      </c>
      <c r="J637" s="18">
        <f t="shared" si="80"/>
        <v>10180</v>
      </c>
      <c r="K637" s="18">
        <f t="shared" si="80"/>
        <v>0</v>
      </c>
      <c r="L637" s="18">
        <f t="shared" si="80"/>
        <v>0</v>
      </c>
      <c r="M637" s="18">
        <f t="shared" si="80"/>
        <v>27975</v>
      </c>
      <c r="N637" s="18">
        <f t="shared" si="80"/>
        <v>-159396</v>
      </c>
      <c r="O637" s="18">
        <f t="shared" si="80"/>
        <v>141</v>
      </c>
      <c r="P637" s="42"/>
      <c r="Q637" s="18">
        <f>+Q629+Q630+Q635+Q636+Q631</f>
        <v>0</v>
      </c>
      <c r="R637" s="18">
        <f>+R629+R630+R635+R636+R631</f>
        <v>0</v>
      </c>
      <c r="S637" s="18"/>
      <c r="T637" s="18">
        <f>+T629+T630+T635+T636+T631</f>
        <v>0</v>
      </c>
      <c r="U637" s="42"/>
      <c r="V637" s="18">
        <f>SUM(V629,V631,V635,V636)</f>
        <v>5262150.7</v>
      </c>
      <c r="W637" s="18">
        <f>+W629+W630+W635+W636+W631</f>
        <v>4294987</v>
      </c>
      <c r="X637" s="18">
        <f>+X629+X630+X635+X636+X631</f>
        <v>967163.7</v>
      </c>
    </row>
    <row r="638" spans="1:24" ht="15">
      <c r="A638" s="4"/>
      <c r="B638" s="24"/>
      <c r="C638" s="11"/>
      <c r="D638" s="18"/>
      <c r="E638" s="18"/>
      <c r="F638" s="18"/>
      <c r="G638" s="18"/>
      <c r="I638" s="18"/>
      <c r="J638" s="18"/>
      <c r="K638" s="18"/>
      <c r="L638" s="18"/>
      <c r="M638" s="18"/>
      <c r="N638" s="18"/>
      <c r="O638" s="18"/>
      <c r="P638" s="42"/>
      <c r="Q638" s="18"/>
      <c r="R638" s="18"/>
      <c r="S638" s="18"/>
      <c r="T638" s="18"/>
      <c r="U638" s="42"/>
      <c r="V638" s="18"/>
      <c r="W638" s="18"/>
      <c r="X638" s="18"/>
    </row>
    <row r="639" spans="1:24" ht="15">
      <c r="A639" s="4"/>
      <c r="B639" s="24"/>
      <c r="C639" s="11"/>
      <c r="D639" s="18"/>
      <c r="E639" s="18"/>
      <c r="F639" s="18"/>
      <c r="G639" s="18"/>
      <c r="I639" s="18"/>
      <c r="J639" s="18"/>
      <c r="K639" s="18"/>
      <c r="L639" s="18"/>
      <c r="M639" s="18"/>
      <c r="N639" s="18"/>
      <c r="O639" s="18"/>
      <c r="P639" s="42"/>
      <c r="Q639" s="18"/>
      <c r="R639" s="18"/>
      <c r="S639" s="18"/>
      <c r="T639" s="18"/>
      <c r="U639" s="42"/>
      <c r="V639" s="18"/>
      <c r="W639" s="18"/>
      <c r="X639" s="18"/>
    </row>
    <row r="640" spans="1:24" ht="15">
      <c r="A640" s="4"/>
      <c r="B640" s="24"/>
      <c r="C640" s="11"/>
      <c r="D640" s="18"/>
      <c r="E640" s="18"/>
      <c r="F640" s="18"/>
      <c r="G640" s="18"/>
      <c r="I640" s="18"/>
      <c r="J640" s="18"/>
      <c r="K640" s="18"/>
      <c r="L640" s="18"/>
      <c r="M640" s="18"/>
      <c r="N640" s="18"/>
      <c r="O640" s="18"/>
      <c r="P640" s="42"/>
      <c r="Q640" s="18"/>
      <c r="R640" s="18"/>
      <c r="S640" s="18"/>
      <c r="T640" s="18"/>
      <c r="U640" s="42"/>
      <c r="V640" s="18"/>
      <c r="W640" s="18"/>
      <c r="X640" s="18"/>
    </row>
    <row r="641" spans="1:25" ht="15">
      <c r="A641" s="4"/>
      <c r="B641" s="24"/>
      <c r="C641" s="11"/>
      <c r="D641" s="10" t="s">
        <v>80</v>
      </c>
      <c r="E641" s="10"/>
      <c r="F641" s="10" t="s">
        <v>81</v>
      </c>
      <c r="G641" s="10" t="s">
        <v>82</v>
      </c>
      <c r="I641" s="10" t="s">
        <v>83</v>
      </c>
      <c r="J641" s="10" t="s">
        <v>84</v>
      </c>
      <c r="K641" s="10" t="s">
        <v>85</v>
      </c>
      <c r="L641" s="10" t="s">
        <v>86</v>
      </c>
      <c r="M641" s="43" t="s">
        <v>87</v>
      </c>
      <c r="N641" s="43" t="s">
        <v>88</v>
      </c>
      <c r="O641" s="44" t="s">
        <v>89</v>
      </c>
      <c r="P641" s="42"/>
      <c r="Q641" s="43" t="s">
        <v>90</v>
      </c>
      <c r="R641" s="43" t="s">
        <v>91</v>
      </c>
      <c r="S641" s="43"/>
      <c r="T641" s="43" t="s">
        <v>92</v>
      </c>
      <c r="U641" s="42"/>
      <c r="V641" s="43" t="s">
        <v>93</v>
      </c>
      <c r="W641" s="43" t="s">
        <v>94</v>
      </c>
      <c r="X641" s="43" t="s">
        <v>95</v>
      </c>
      <c r="Y641" s="18"/>
    </row>
    <row r="642" spans="1:25" ht="15">
      <c r="A642" s="4"/>
      <c r="B642"/>
      <c r="C642" s="11"/>
      <c r="D642" s="10" t="s">
        <v>20</v>
      </c>
      <c r="E642" s="38"/>
      <c r="F642" s="10" t="s">
        <v>20</v>
      </c>
      <c r="G642" s="10" t="s">
        <v>20</v>
      </c>
      <c r="I642" s="10" t="s">
        <v>20</v>
      </c>
      <c r="J642" s="10" t="s">
        <v>20</v>
      </c>
      <c r="K642" s="10" t="s">
        <v>20</v>
      </c>
      <c r="L642" s="10" t="s">
        <v>20</v>
      </c>
      <c r="M642" s="10" t="s">
        <v>20</v>
      </c>
      <c r="N642" s="10" t="s">
        <v>20</v>
      </c>
      <c r="O642" s="10" t="s">
        <v>20</v>
      </c>
      <c r="P642" s="18"/>
      <c r="Q642" s="10" t="s">
        <v>20</v>
      </c>
      <c r="R642" s="10" t="s">
        <v>20</v>
      </c>
      <c r="S642" s="14"/>
      <c r="T642" s="10" t="s">
        <v>20</v>
      </c>
      <c r="U642" s="18"/>
      <c r="W642" s="39" t="s">
        <v>96</v>
      </c>
      <c r="Y642" s="18"/>
    </row>
    <row r="643" spans="1:25" ht="15">
      <c r="A643" s="4"/>
      <c r="B643" s="87" t="s">
        <v>174</v>
      </c>
      <c r="C643" s="11"/>
      <c r="D643" s="45" t="s">
        <v>97</v>
      </c>
      <c r="E643" s="6"/>
      <c r="F643" s="45" t="s">
        <v>98</v>
      </c>
      <c r="G643" s="45" t="s">
        <v>99</v>
      </c>
      <c r="H643" s="19"/>
      <c r="I643" s="45" t="s">
        <v>100</v>
      </c>
      <c r="J643" s="45" t="s">
        <v>101</v>
      </c>
      <c r="K643" s="45" t="s">
        <v>102</v>
      </c>
      <c r="L643" s="45" t="s">
        <v>103</v>
      </c>
      <c r="M643" s="45" t="s">
        <v>104</v>
      </c>
      <c r="N643" s="45" t="s">
        <v>105</v>
      </c>
      <c r="O643" s="45" t="s">
        <v>106</v>
      </c>
      <c r="P643" s="6"/>
      <c r="Q643" s="45" t="s">
        <v>107</v>
      </c>
      <c r="R643" s="45" t="s">
        <v>108</v>
      </c>
      <c r="S643" s="45"/>
      <c r="T643" s="45" t="s">
        <v>109</v>
      </c>
      <c r="U643" s="18"/>
      <c r="V643" s="10" t="s">
        <v>20</v>
      </c>
      <c r="W643" s="10" t="s">
        <v>21</v>
      </c>
      <c r="X643" s="10" t="s">
        <v>22</v>
      </c>
      <c r="Y643" s="18"/>
    </row>
    <row r="644" spans="1:9" ht="15">
      <c r="A644" s="4"/>
      <c r="B644" s="24"/>
      <c r="C644" s="11"/>
      <c r="E644" s="14"/>
      <c r="F644"/>
      <c r="H644" s="18"/>
      <c r="I644" s="16"/>
    </row>
    <row r="645" spans="1:24" ht="15">
      <c r="A645" s="4">
        <f>+A638+1</f>
        <v>1</v>
      </c>
      <c r="B645" s="5" t="s">
        <v>36</v>
      </c>
      <c r="C645" s="17" t="s">
        <v>37</v>
      </c>
      <c r="D645" s="18">
        <v>0</v>
      </c>
      <c r="E645" s="18"/>
      <c r="F645" s="18">
        <v>0</v>
      </c>
      <c r="G645" s="18">
        <v>0</v>
      </c>
      <c r="I645" s="18">
        <v>0</v>
      </c>
      <c r="J645" s="18">
        <v>0</v>
      </c>
      <c r="K645" s="46">
        <v>14519</v>
      </c>
      <c r="L645" s="27">
        <v>-6387</v>
      </c>
      <c r="M645" s="18">
        <v>0</v>
      </c>
      <c r="N645" s="18">
        <v>0</v>
      </c>
      <c r="O645" s="18">
        <v>0</v>
      </c>
      <c r="Q645" s="18">
        <v>0</v>
      </c>
      <c r="R645" s="18">
        <v>0</v>
      </c>
      <c r="S645" s="18"/>
      <c r="T645" s="18">
        <v>0</v>
      </c>
      <c r="V645" s="18">
        <f>+V627+D645+F645+G645+I645+J645+K645+L645+M645+N645+O645+Q645+R645+T645</f>
        <v>5725410</v>
      </c>
      <c r="W645" s="18">
        <f>+W627</f>
        <v>4540807</v>
      </c>
      <c r="X645" s="18">
        <f>+V645-W645</f>
        <v>1184603</v>
      </c>
    </row>
    <row r="646" spans="1:24" ht="15">
      <c r="A646" s="4">
        <f>+A645+1</f>
        <v>2</v>
      </c>
      <c r="B646" s="5" t="s">
        <v>36</v>
      </c>
      <c r="C646" s="22" t="s">
        <v>38</v>
      </c>
      <c r="D646" s="18">
        <v>0</v>
      </c>
      <c r="E646" s="18"/>
      <c r="F646" s="18">
        <v>0</v>
      </c>
      <c r="G646" s="18">
        <v>0</v>
      </c>
      <c r="I646" s="18">
        <v>0</v>
      </c>
      <c r="J646" s="18">
        <v>0</v>
      </c>
      <c r="K646" s="46">
        <v>14561</v>
      </c>
      <c r="L646" s="27">
        <v>-7044</v>
      </c>
      <c r="M646" s="18">
        <v>0</v>
      </c>
      <c r="N646" s="18">
        <v>0</v>
      </c>
      <c r="O646" s="18">
        <v>0</v>
      </c>
      <c r="Q646" s="18">
        <v>0</v>
      </c>
      <c r="R646" s="18">
        <v>0</v>
      </c>
      <c r="S646" s="18"/>
      <c r="T646" s="18">
        <v>0</v>
      </c>
      <c r="V646" s="18">
        <f>+V628+D646+F646+G646+I646+J646+K646+L646+M646+N646+O646+Q646+R646+T646</f>
        <v>5726179</v>
      </c>
      <c r="W646" s="18">
        <f>+W628</f>
        <v>4523290</v>
      </c>
      <c r="X646" s="18">
        <f>+V646-W646</f>
        <v>1202889</v>
      </c>
    </row>
    <row r="647" spans="1:24" ht="15">
      <c r="A647" s="4">
        <f>+A646+1</f>
        <v>3</v>
      </c>
      <c r="B647" s="24" t="s">
        <v>46</v>
      </c>
      <c r="C647" s="40" t="s">
        <v>78</v>
      </c>
      <c r="D647" s="18">
        <f>+D645-D646</f>
        <v>0</v>
      </c>
      <c r="E647" s="18"/>
      <c r="F647" s="18">
        <f>+F645-F646</f>
        <v>0</v>
      </c>
      <c r="G647" s="18">
        <f>+G645-G646</f>
        <v>0</v>
      </c>
      <c r="I647" s="18">
        <f aca="true" t="shared" si="81" ref="I647:O647">+I645-I646</f>
        <v>0</v>
      </c>
      <c r="J647" s="18">
        <f t="shared" si="81"/>
        <v>0</v>
      </c>
      <c r="K647" s="18">
        <f t="shared" si="81"/>
        <v>-42</v>
      </c>
      <c r="L647" s="18">
        <f t="shared" si="81"/>
        <v>657</v>
      </c>
      <c r="M647" s="18">
        <f t="shared" si="81"/>
        <v>0</v>
      </c>
      <c r="N647" s="18">
        <f t="shared" si="81"/>
        <v>0</v>
      </c>
      <c r="O647" s="18">
        <f t="shared" si="81"/>
        <v>0</v>
      </c>
      <c r="Q647" s="18">
        <f>+Q645-Q646</f>
        <v>0</v>
      </c>
      <c r="R647" s="18">
        <f>+R645-R646</f>
        <v>0</v>
      </c>
      <c r="S647" s="18"/>
      <c r="T647" s="18">
        <f>+T645-T646</f>
        <v>0</v>
      </c>
      <c r="V647" s="27">
        <f>+V645-V646</f>
        <v>-769</v>
      </c>
      <c r="W647" s="27">
        <f>+W645-W646</f>
        <v>17517</v>
      </c>
      <c r="X647" s="18">
        <f>+X645-X646</f>
        <v>-18286</v>
      </c>
    </row>
    <row r="648" spans="1:24" ht="28.5">
      <c r="A648" s="4">
        <f>+A647+1</f>
        <v>4</v>
      </c>
      <c r="B648" s="88" t="s">
        <v>182</v>
      </c>
      <c r="C648" s="11"/>
      <c r="D648" s="18">
        <v>0</v>
      </c>
      <c r="E648" s="18"/>
      <c r="F648" s="18">
        <v>0</v>
      </c>
      <c r="G648" s="18">
        <v>0</v>
      </c>
      <c r="I648" s="18">
        <v>0</v>
      </c>
      <c r="J648" s="27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Q648" s="18">
        <v>0</v>
      </c>
      <c r="R648" s="18">
        <v>0</v>
      </c>
      <c r="S648" s="18"/>
      <c r="T648" s="18">
        <v>0</v>
      </c>
      <c r="V648" s="18">
        <f>+V630+D648+F648+G648+I648+J648+K648+L648+M648+N648+O648+Q648+R648+T648</f>
        <v>0</v>
      </c>
      <c r="W648" s="18">
        <f>+W630</f>
        <v>0</v>
      </c>
      <c r="X648" s="18">
        <f>+V648-W648</f>
        <v>0</v>
      </c>
    </row>
    <row r="649" spans="1:24" ht="24.75">
      <c r="A649" s="4">
        <f>+A648+1</f>
        <v>5</v>
      </c>
      <c r="B649" s="89" t="s">
        <v>39</v>
      </c>
      <c r="C649" s="40"/>
      <c r="D649" s="27">
        <v>0</v>
      </c>
      <c r="E649" s="18"/>
      <c r="F649" s="27">
        <v>0</v>
      </c>
      <c r="G649" s="27">
        <v>1361</v>
      </c>
      <c r="I649" s="27">
        <v>0</v>
      </c>
      <c r="J649" s="27">
        <v>0</v>
      </c>
      <c r="K649" s="27">
        <v>-424948</v>
      </c>
      <c r="L649" s="27">
        <v>0</v>
      </c>
      <c r="M649" s="27">
        <v>-21187</v>
      </c>
      <c r="N649" s="27">
        <v>0</v>
      </c>
      <c r="O649" s="27">
        <v>-20116</v>
      </c>
      <c r="Q649" s="27">
        <v>0</v>
      </c>
      <c r="R649" s="27">
        <v>-4286</v>
      </c>
      <c r="S649" s="27"/>
      <c r="T649" s="27">
        <v>-20533</v>
      </c>
      <c r="V649" s="18">
        <f>+V631+D649+F649+G649+I649+J649+K649+L649+M649+N649+O649+Q649+R649+T649</f>
        <v>-388102.3</v>
      </c>
      <c r="W649" s="18">
        <f>+W631</f>
        <v>0</v>
      </c>
      <c r="X649" s="18">
        <f>+V649-W649</f>
        <v>-388102.3</v>
      </c>
    </row>
    <row r="650" spans="1:24" ht="15">
      <c r="A650" s="6" t="s">
        <v>41</v>
      </c>
      <c r="B650" s="41"/>
      <c r="C650" s="40"/>
      <c r="D650" s="18"/>
      <c r="E650" s="18"/>
      <c r="F650" s="18"/>
      <c r="G650" s="18"/>
      <c r="I650" s="18"/>
      <c r="J650" s="18"/>
      <c r="L650" s="18"/>
      <c r="M650" s="18"/>
      <c r="N650" s="18"/>
      <c r="O650" s="18"/>
      <c r="Q650" s="18"/>
      <c r="R650" s="18"/>
      <c r="S650" s="18"/>
      <c r="T650" s="18"/>
      <c r="V650" s="18"/>
      <c r="W650" s="18"/>
      <c r="X650" s="18"/>
    </row>
    <row r="651" spans="1:24" ht="15">
      <c r="A651" s="4">
        <f>+A649+1</f>
        <v>6</v>
      </c>
      <c r="B651" s="5" t="s">
        <v>42</v>
      </c>
      <c r="C651" s="22" t="s">
        <v>38</v>
      </c>
      <c r="D651" s="18">
        <v>0</v>
      </c>
      <c r="E651" s="18"/>
      <c r="F651" s="18">
        <v>0</v>
      </c>
      <c r="G651" s="18">
        <v>0</v>
      </c>
      <c r="I651" s="18">
        <v>0</v>
      </c>
      <c r="J651" s="18">
        <v>0</v>
      </c>
      <c r="K651" s="46">
        <v>13362</v>
      </c>
      <c r="L651" s="27">
        <v>-6915.47</v>
      </c>
      <c r="M651" s="18">
        <v>0</v>
      </c>
      <c r="N651" s="18">
        <v>0</v>
      </c>
      <c r="O651" s="18">
        <v>0</v>
      </c>
      <c r="P651" s="18"/>
      <c r="Q651" s="18">
        <v>0</v>
      </c>
      <c r="R651" s="18">
        <v>0</v>
      </c>
      <c r="S651" s="18"/>
      <c r="T651" s="18">
        <v>0</v>
      </c>
      <c r="U651" s="18"/>
      <c r="V651" s="18">
        <f>+V633+D651+F651+G651+I651+J651+K651+L651+M651+N651+O651+Q651+R651+T651</f>
        <v>5189904.53</v>
      </c>
      <c r="W651" s="18">
        <f>+W633</f>
        <v>4297874</v>
      </c>
      <c r="X651" s="18">
        <f>+V651-W651</f>
        <v>892030.5300000003</v>
      </c>
    </row>
    <row r="652" spans="1:24" ht="15">
      <c r="A652" s="4">
        <f>+A651+1</f>
        <v>7</v>
      </c>
      <c r="B652" s="5" t="s">
        <v>43</v>
      </c>
      <c r="C652" s="11"/>
      <c r="D652" s="18">
        <v>0</v>
      </c>
      <c r="E652" s="18"/>
      <c r="F652" s="18">
        <v>0</v>
      </c>
      <c r="G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/>
      <c r="Q652" s="18">
        <v>0</v>
      </c>
      <c r="R652" s="18">
        <v>0</v>
      </c>
      <c r="S652" s="18"/>
      <c r="T652" s="18">
        <v>0</v>
      </c>
      <c r="U652" s="18"/>
      <c r="V652" s="18">
        <f>+V634+D652+F652+G652+I652+J652+K652+L652+M652+N652+O652+Q652+R652+T652</f>
        <v>21530</v>
      </c>
      <c r="W652" s="18">
        <f>+W634</f>
        <v>20404</v>
      </c>
      <c r="X652" s="18">
        <f>+V652-W652</f>
        <v>1126</v>
      </c>
    </row>
    <row r="653" spans="1:24" ht="26.25">
      <c r="A653" s="4">
        <f>+A652+1</f>
        <v>8</v>
      </c>
      <c r="B653" s="24" t="s">
        <v>79</v>
      </c>
      <c r="C653" s="11"/>
      <c r="D653" s="18">
        <f>+D651-D652</f>
        <v>0</v>
      </c>
      <c r="E653" s="18"/>
      <c r="F653" s="18">
        <f>+F651-F652</f>
        <v>0</v>
      </c>
      <c r="G653" s="18">
        <f>+G651-G652</f>
        <v>0</v>
      </c>
      <c r="I653" s="18">
        <f aca="true" t="shared" si="82" ref="I653:O653">+I651-I652</f>
        <v>0</v>
      </c>
      <c r="J653" s="18">
        <f t="shared" si="82"/>
        <v>0</v>
      </c>
      <c r="K653" s="18">
        <f t="shared" si="82"/>
        <v>13362</v>
      </c>
      <c r="L653" s="18">
        <f t="shared" si="82"/>
        <v>-6915.47</v>
      </c>
      <c r="M653" s="18">
        <f t="shared" si="82"/>
        <v>0</v>
      </c>
      <c r="N653" s="18">
        <f t="shared" si="82"/>
        <v>0</v>
      </c>
      <c r="O653" s="18">
        <f t="shared" si="82"/>
        <v>0</v>
      </c>
      <c r="P653" s="18"/>
      <c r="Q653" s="18">
        <f>+Q651-Q652</f>
        <v>0</v>
      </c>
      <c r="R653" s="18">
        <f>+R651-R652</f>
        <v>0</v>
      </c>
      <c r="S653" s="18"/>
      <c r="T653" s="18">
        <f>+T651-T652</f>
        <v>0</v>
      </c>
      <c r="U653" s="18"/>
      <c r="V653" s="27">
        <f>+V651-V652</f>
        <v>5168374.53</v>
      </c>
      <c r="W653" s="27">
        <f>+W651-W652</f>
        <v>4277470</v>
      </c>
      <c r="X653" s="18">
        <f>+X651-X652</f>
        <v>890904.5300000003</v>
      </c>
    </row>
    <row r="654" spans="1:24" ht="28.5">
      <c r="A654" s="4">
        <f>+A653+1</f>
        <v>9</v>
      </c>
      <c r="B654" s="88" t="s">
        <v>181</v>
      </c>
      <c r="C654" s="11"/>
      <c r="D654" s="18">
        <v>0</v>
      </c>
      <c r="E654" s="18"/>
      <c r="F654" s="18">
        <v>0</v>
      </c>
      <c r="G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/>
      <c r="Q654" s="18">
        <v>0</v>
      </c>
      <c r="R654" s="18">
        <v>0</v>
      </c>
      <c r="S654" s="18"/>
      <c r="T654" s="18">
        <v>0</v>
      </c>
      <c r="U654" s="18"/>
      <c r="V654" s="18">
        <f>+V636+D654+F654+G654+I654+J654+K654+L654+M654+N654+O654+Q654+R654+T654</f>
        <v>0</v>
      </c>
      <c r="W654" s="18">
        <f>+W636</f>
        <v>0</v>
      </c>
      <c r="X654" s="18">
        <f>+V654-W654</f>
        <v>0</v>
      </c>
    </row>
    <row r="655" spans="1:24" ht="15">
      <c r="A655" s="4">
        <f>+A654+1</f>
        <v>10</v>
      </c>
      <c r="B655" s="24" t="s">
        <v>46</v>
      </c>
      <c r="C655" s="11" t="s">
        <v>47</v>
      </c>
      <c r="D655" s="18">
        <f>+D647+D648+D653+D654+D649</f>
        <v>0</v>
      </c>
      <c r="E655" s="18"/>
      <c r="F655" s="18">
        <f>+F647+F648+F653+F654+F649</f>
        <v>0</v>
      </c>
      <c r="G655" s="18">
        <f>+G647+G648+G653+G654+G649</f>
        <v>1361</v>
      </c>
      <c r="I655" s="18">
        <f aca="true" t="shared" si="83" ref="I655:O655">+I647+I648+I653+I654+I649</f>
        <v>0</v>
      </c>
      <c r="J655" s="18">
        <f t="shared" si="83"/>
        <v>0</v>
      </c>
      <c r="K655" s="18">
        <f t="shared" si="83"/>
        <v>-411628</v>
      </c>
      <c r="L655" s="18">
        <f t="shared" si="83"/>
        <v>-6258.47</v>
      </c>
      <c r="M655" s="18">
        <f t="shared" si="83"/>
        <v>-21187</v>
      </c>
      <c r="N655" s="18">
        <f t="shared" si="83"/>
        <v>0</v>
      </c>
      <c r="O655" s="18">
        <f t="shared" si="83"/>
        <v>-20116</v>
      </c>
      <c r="P655" s="42"/>
      <c r="Q655" s="18">
        <f>+Q647+Q648+Q653+Q654+Q649</f>
        <v>0</v>
      </c>
      <c r="R655" s="18">
        <f>+R647+R648+R653+R654+R649</f>
        <v>-4286</v>
      </c>
      <c r="S655" s="18"/>
      <c r="T655" s="18">
        <f>+T647+T648+T653+T654+T649</f>
        <v>-20533</v>
      </c>
      <c r="U655" s="42"/>
      <c r="V655" s="18">
        <f>+V647+V648+V653+V654+V649</f>
        <v>4779503.23</v>
      </c>
      <c r="W655" s="18">
        <f>+W647+W648+W653+W654+W649</f>
        <v>4294987</v>
      </c>
      <c r="X655" s="18">
        <f>+X647+X648+X653+X654+X649</f>
        <v>484516.2300000003</v>
      </c>
    </row>
    <row r="656" spans="1:24" ht="15">
      <c r="A656" s="4"/>
      <c r="B656" s="24"/>
      <c r="C656" s="11"/>
      <c r="D656" s="18"/>
      <c r="E656" s="18"/>
      <c r="F656" s="18"/>
      <c r="G656" s="18"/>
      <c r="I656" s="18"/>
      <c r="J656" s="18"/>
      <c r="K656" s="27" t="s">
        <v>0</v>
      </c>
      <c r="L656" s="18"/>
      <c r="M656" s="18"/>
      <c r="N656" s="18"/>
      <c r="O656" s="18"/>
      <c r="P656" s="42"/>
      <c r="Q656" s="18"/>
      <c r="R656" s="18"/>
      <c r="S656" s="18"/>
      <c r="T656" s="18"/>
      <c r="U656" s="42"/>
      <c r="V656" s="18"/>
      <c r="W656" s="18"/>
      <c r="X656" s="18"/>
    </row>
    <row r="657" spans="1:24" ht="15">
      <c r="A657" s="4"/>
      <c r="B657" s="24"/>
      <c r="C657" s="11"/>
      <c r="D657" s="18"/>
      <c r="E657" s="18"/>
      <c r="F657" s="18"/>
      <c r="G657" s="18"/>
      <c r="I657" s="18"/>
      <c r="J657" s="18"/>
      <c r="K657" s="18"/>
      <c r="L657" s="18"/>
      <c r="M657" s="18"/>
      <c r="N657" s="18"/>
      <c r="O657" s="18"/>
      <c r="P657" s="42"/>
      <c r="Q657" s="18"/>
      <c r="R657" s="18"/>
      <c r="S657" s="18"/>
      <c r="T657" s="18"/>
      <c r="U657" s="42"/>
      <c r="V657" s="18"/>
      <c r="W657" s="18"/>
      <c r="X657" s="18"/>
    </row>
    <row r="658" spans="1:24" ht="15">
      <c r="A658" s="4"/>
      <c r="B658" s="24"/>
      <c r="C658" s="11"/>
      <c r="D658" s="18"/>
      <c r="E658" s="18"/>
      <c r="F658" s="18"/>
      <c r="G658" s="18"/>
      <c r="I658" s="18"/>
      <c r="J658" s="18"/>
      <c r="K658" s="18"/>
      <c r="L658" s="18"/>
      <c r="M658" s="18"/>
      <c r="N658" s="18"/>
      <c r="O658" s="18"/>
      <c r="P658" s="42"/>
      <c r="Q658" s="18"/>
      <c r="R658" s="18"/>
      <c r="S658" s="18"/>
      <c r="T658" s="18"/>
      <c r="U658" s="42"/>
      <c r="V658" s="18"/>
      <c r="W658" s="18"/>
      <c r="X658" s="18"/>
    </row>
    <row r="659" spans="1:24" ht="15">
      <c r="A659" s="4"/>
      <c r="B659" s="24"/>
      <c r="C659" s="11"/>
      <c r="D659" s="18"/>
      <c r="E659" s="18"/>
      <c r="F659" s="18"/>
      <c r="G659" s="18"/>
      <c r="I659" s="18"/>
      <c r="J659" s="18"/>
      <c r="K659" s="18"/>
      <c r="L659" s="18"/>
      <c r="M659" s="18"/>
      <c r="N659" s="18"/>
      <c r="O659" s="18"/>
      <c r="P659" s="42"/>
      <c r="Q659" s="18"/>
      <c r="R659" s="18"/>
      <c r="S659" s="18"/>
      <c r="T659" s="18"/>
      <c r="U659" s="42"/>
      <c r="V659" s="18"/>
      <c r="W659" s="18"/>
      <c r="X659" s="18"/>
    </row>
    <row r="660" spans="1:24" ht="15">
      <c r="A660" s="4"/>
      <c r="B660" s="24"/>
      <c r="C660" s="11"/>
      <c r="D660" s="18"/>
      <c r="E660" s="18"/>
      <c r="F660" s="18"/>
      <c r="G660" s="18"/>
      <c r="I660" s="18"/>
      <c r="J660" s="18"/>
      <c r="K660" s="18"/>
      <c r="L660" s="18"/>
      <c r="M660" s="18"/>
      <c r="N660" s="18"/>
      <c r="O660" s="18"/>
      <c r="P660" s="42"/>
      <c r="Q660" s="18"/>
      <c r="R660" s="18"/>
      <c r="S660" s="18"/>
      <c r="T660" s="18"/>
      <c r="U660" s="42"/>
      <c r="V660" s="18"/>
      <c r="W660" s="18"/>
      <c r="X660" s="18"/>
    </row>
    <row r="661" spans="1:24" ht="15">
      <c r="A661" s="4"/>
      <c r="B661" s="24"/>
      <c r="C661" s="11"/>
      <c r="D661" s="18"/>
      <c r="E661" s="18"/>
      <c r="F661" s="18"/>
      <c r="G661" s="18"/>
      <c r="I661" s="18"/>
      <c r="J661" s="18"/>
      <c r="K661" s="18"/>
      <c r="L661" s="18"/>
      <c r="M661" s="18"/>
      <c r="N661" s="18"/>
      <c r="O661" s="18"/>
      <c r="P661" s="42"/>
      <c r="Q661" s="18"/>
      <c r="R661" s="18"/>
      <c r="S661" s="18"/>
      <c r="T661" s="18"/>
      <c r="U661" s="42"/>
      <c r="V661" s="18"/>
      <c r="W661" s="18"/>
      <c r="X661" s="18"/>
    </row>
    <row r="662" spans="1:24" ht="15">
      <c r="A662" s="4"/>
      <c r="B662" s="24"/>
      <c r="C662" s="11"/>
      <c r="D662" s="18"/>
      <c r="E662" s="18"/>
      <c r="F662" s="18"/>
      <c r="G662" s="18"/>
      <c r="I662" s="18"/>
      <c r="J662" s="18"/>
      <c r="K662" s="18"/>
      <c r="L662" s="18"/>
      <c r="M662" s="18"/>
      <c r="N662" s="18"/>
      <c r="O662" s="18"/>
      <c r="P662" s="42"/>
      <c r="Q662" s="18"/>
      <c r="R662" s="18"/>
      <c r="S662" s="18"/>
      <c r="T662" s="18"/>
      <c r="U662" s="42"/>
      <c r="V662" s="18"/>
      <c r="W662" s="18"/>
      <c r="X662" s="18"/>
    </row>
    <row r="663" spans="1:24" ht="15">
      <c r="A663" s="4"/>
      <c r="B663" s="24"/>
      <c r="C663" s="11"/>
      <c r="D663" s="10" t="s">
        <v>4</v>
      </c>
      <c r="E663" s="10"/>
      <c r="F663" s="10" t="s">
        <v>5</v>
      </c>
      <c r="G663" s="10" t="s">
        <v>6</v>
      </c>
      <c r="H663" s="10"/>
      <c r="I663" s="10" t="s">
        <v>7</v>
      </c>
      <c r="J663" s="10" t="s">
        <v>8</v>
      </c>
      <c r="K663" s="10" t="s">
        <v>9</v>
      </c>
      <c r="L663" s="10" t="s">
        <v>10</v>
      </c>
      <c r="M663" s="10" t="s">
        <v>11</v>
      </c>
      <c r="N663" s="10" t="s">
        <v>12</v>
      </c>
      <c r="O663" s="10" t="s">
        <v>13</v>
      </c>
      <c r="P663" s="10"/>
      <c r="Q663" s="10" t="s">
        <v>14</v>
      </c>
      <c r="R663" s="10" t="s">
        <v>15</v>
      </c>
      <c r="S663" s="10"/>
      <c r="T663" s="10" t="s">
        <v>16</v>
      </c>
      <c r="U663" s="10"/>
      <c r="V663" s="10" t="s">
        <v>17</v>
      </c>
      <c r="W663" s="10" t="s">
        <v>18</v>
      </c>
      <c r="X663" s="10" t="s">
        <v>19</v>
      </c>
    </row>
    <row r="664" spans="1:23" ht="15">
      <c r="A664" s="4"/>
      <c r="B664" s="24"/>
      <c r="C664" s="11"/>
      <c r="D664" s="10" t="s">
        <v>20</v>
      </c>
      <c r="E664" s="10"/>
      <c r="F664" s="14" t="s">
        <v>21</v>
      </c>
      <c r="G664" s="10"/>
      <c r="I664" s="39" t="s">
        <v>110</v>
      </c>
      <c r="J664" s="47" t="s">
        <v>111</v>
      </c>
      <c r="K664" s="39"/>
      <c r="L664" s="10" t="s">
        <v>20</v>
      </c>
      <c r="M664" s="10" t="s">
        <v>20</v>
      </c>
      <c r="N664" s="10" t="s">
        <v>20</v>
      </c>
      <c r="O664" s="10" t="s">
        <v>20</v>
      </c>
      <c r="P664" s="42"/>
      <c r="Q664" s="10" t="s">
        <v>20</v>
      </c>
      <c r="R664" s="10" t="s">
        <v>20</v>
      </c>
      <c r="S664" s="48"/>
      <c r="T664" s="10" t="s">
        <v>20</v>
      </c>
      <c r="U664" s="42"/>
      <c r="W664" s="39" t="s">
        <v>112</v>
      </c>
    </row>
    <row r="665" spans="1:24" ht="15">
      <c r="A665" s="4"/>
      <c r="B665" s="87" t="s">
        <v>183</v>
      </c>
      <c r="C665" s="11"/>
      <c r="D665" s="8" t="s">
        <v>113</v>
      </c>
      <c r="E665" s="6"/>
      <c r="F665" s="6" t="s">
        <v>114</v>
      </c>
      <c r="G665" s="49" t="s">
        <v>22</v>
      </c>
      <c r="I665" s="8" t="s">
        <v>113</v>
      </c>
      <c r="J665" s="6" t="s">
        <v>114</v>
      </c>
      <c r="K665" s="49" t="s">
        <v>24</v>
      </c>
      <c r="L665" s="13" t="s">
        <v>115</v>
      </c>
      <c r="M665" s="13" t="s">
        <v>116</v>
      </c>
      <c r="N665" s="13" t="s">
        <v>117</v>
      </c>
      <c r="O665" s="13" t="s">
        <v>118</v>
      </c>
      <c r="P665" s="42"/>
      <c r="Q665" s="13" t="s">
        <v>119</v>
      </c>
      <c r="R665" s="13" t="s">
        <v>120</v>
      </c>
      <c r="T665" s="13" t="s">
        <v>121</v>
      </c>
      <c r="U665" s="42"/>
      <c r="V665" s="10" t="s">
        <v>20</v>
      </c>
      <c r="W665" s="10" t="s">
        <v>21</v>
      </c>
      <c r="X665" s="10" t="s">
        <v>22</v>
      </c>
    </row>
    <row r="666" spans="1:24" ht="15">
      <c r="A666" s="4"/>
      <c r="B666" s="24"/>
      <c r="C666" s="11"/>
      <c r="D666" s="18"/>
      <c r="E666" s="18"/>
      <c r="F666" s="18"/>
      <c r="G666" s="18"/>
      <c r="I666" s="72" t="s">
        <v>0</v>
      </c>
      <c r="K666" s="42"/>
      <c r="L666" s="42"/>
      <c r="N666" s="42"/>
      <c r="O666" s="18"/>
      <c r="P666" s="42"/>
      <c r="U666" s="42"/>
      <c r="V666" s="18"/>
      <c r="W666" s="39" t="s">
        <v>122</v>
      </c>
      <c r="X666" s="18"/>
    </row>
    <row r="667" spans="1:24" ht="15">
      <c r="A667" s="4">
        <f>+A635+1</f>
        <v>19</v>
      </c>
      <c r="B667" s="5" t="s">
        <v>36</v>
      </c>
      <c r="C667" s="17" t="s">
        <v>37</v>
      </c>
      <c r="D667" s="27">
        <f>1249039.81+126227.5</f>
        <v>1375267.31</v>
      </c>
      <c r="E667" s="18" t="s">
        <v>0</v>
      </c>
      <c r="F667" s="27">
        <f>377791+26938</f>
        <v>404729</v>
      </c>
      <c r="G667" s="18">
        <f>D667-F667</f>
        <v>970538.31</v>
      </c>
      <c r="I667" s="27">
        <v>-648</v>
      </c>
      <c r="J667" s="27">
        <f>2102.61+4.26+11.46</f>
        <v>2118.3300000000004</v>
      </c>
      <c r="K667" s="36">
        <f>+I667-J667</f>
        <v>-2766.3300000000004</v>
      </c>
      <c r="L667" s="18">
        <v>0</v>
      </c>
      <c r="M667" s="27">
        <v>-166717</v>
      </c>
      <c r="N667" s="27">
        <v>17448</v>
      </c>
      <c r="O667" s="18">
        <v>0</v>
      </c>
      <c r="P667" s="42"/>
      <c r="Q667" s="31">
        <v>0</v>
      </c>
      <c r="R667" s="18">
        <v>0</v>
      </c>
      <c r="S667" s="18"/>
      <c r="T667" s="18">
        <v>0</v>
      </c>
      <c r="U667" s="42"/>
      <c r="V667" s="31">
        <f>+D667+I667+L667+M667+N667+O667+Q667+R667+T667</f>
        <v>1225350.31</v>
      </c>
      <c r="W667" s="18">
        <f>+F667+J667</f>
        <v>406847.33</v>
      </c>
      <c r="X667" s="18">
        <f>+V667-W667</f>
        <v>818502.98</v>
      </c>
    </row>
    <row r="668" spans="1:24" ht="15">
      <c r="A668" s="4">
        <f>+A667+1</f>
        <v>20</v>
      </c>
      <c r="B668" s="5" t="s">
        <v>36</v>
      </c>
      <c r="C668" s="22" t="s">
        <v>38</v>
      </c>
      <c r="D668" s="27">
        <v>1250267</v>
      </c>
      <c r="E668" s="18" t="s">
        <v>0</v>
      </c>
      <c r="F668" s="27">
        <v>398665</v>
      </c>
      <c r="G668" s="18">
        <f>D668-F668</f>
        <v>851602</v>
      </c>
      <c r="I668" s="27">
        <v>-648</v>
      </c>
      <c r="J668" s="31">
        <v>2098</v>
      </c>
      <c r="K668" s="18">
        <v>-1707</v>
      </c>
      <c r="L668" s="18">
        <v>0</v>
      </c>
      <c r="M668" s="27">
        <v>-166769</v>
      </c>
      <c r="N668" s="27">
        <v>17448</v>
      </c>
      <c r="O668" s="18">
        <v>0</v>
      </c>
      <c r="P668" s="42"/>
      <c r="Q668" s="31">
        <v>0</v>
      </c>
      <c r="R668" s="18">
        <v>0</v>
      </c>
      <c r="S668" s="18"/>
      <c r="T668" s="18">
        <v>0</v>
      </c>
      <c r="U668" s="42"/>
      <c r="V668" s="31">
        <f>+D668+I668+L668+M668+N668+O668+Q668+R668+T668</f>
        <v>1100298</v>
      </c>
      <c r="W668" s="18">
        <f>+F668+J668</f>
        <v>400763</v>
      </c>
      <c r="X668" s="18">
        <f>+V668-W668</f>
        <v>699535</v>
      </c>
    </row>
    <row r="669" spans="1:24" ht="15">
      <c r="A669" s="4">
        <f>+A668+1</f>
        <v>21</v>
      </c>
      <c r="B669" s="24" t="s">
        <v>46</v>
      </c>
      <c r="C669" s="40" t="s">
        <v>78</v>
      </c>
      <c r="D669" s="18">
        <f>+D667-D668</f>
        <v>125000.31000000006</v>
      </c>
      <c r="E669" s="18"/>
      <c r="F669" s="18">
        <f>+F667-F668</f>
        <v>6064</v>
      </c>
      <c r="G669" s="18">
        <f>+G667-G668</f>
        <v>118936.31000000006</v>
      </c>
      <c r="I669" s="18">
        <f aca="true" t="shared" si="84" ref="I669:O669">+I667-I668</f>
        <v>0</v>
      </c>
      <c r="J669" s="18">
        <f t="shared" si="84"/>
        <v>20.330000000000382</v>
      </c>
      <c r="K669" s="18">
        <f t="shared" si="84"/>
        <v>-1059.3300000000004</v>
      </c>
      <c r="L669" s="18">
        <f t="shared" si="84"/>
        <v>0</v>
      </c>
      <c r="M669" s="18">
        <f t="shared" si="84"/>
        <v>52</v>
      </c>
      <c r="N669" s="18">
        <f t="shared" si="84"/>
        <v>0</v>
      </c>
      <c r="O669" s="18">
        <f t="shared" si="84"/>
        <v>0</v>
      </c>
      <c r="P669" s="42"/>
      <c r="Q669" s="18">
        <f>+Q667-Q668</f>
        <v>0</v>
      </c>
      <c r="R669" s="18">
        <f>+R667-R668</f>
        <v>0</v>
      </c>
      <c r="S669" s="18"/>
      <c r="T669" s="18">
        <f>+T667-T668</f>
        <v>0</v>
      </c>
      <c r="U669" s="42"/>
      <c r="V669" s="31">
        <f>+V667-V668</f>
        <v>125052.31000000006</v>
      </c>
      <c r="W669" s="31">
        <f>+W667-W668</f>
        <v>6084.330000000016</v>
      </c>
      <c r="X669" s="18">
        <f>+X667-X668</f>
        <v>118967.97999999998</v>
      </c>
    </row>
    <row r="670" spans="1:24" ht="28.5">
      <c r="A670" s="4">
        <f>+A669+1</f>
        <v>22</v>
      </c>
      <c r="B670" s="88" t="s">
        <v>182</v>
      </c>
      <c r="C670" s="11"/>
      <c r="D670" s="18">
        <v>0</v>
      </c>
      <c r="E670" s="18"/>
      <c r="F670" s="18">
        <v>0</v>
      </c>
      <c r="G670" s="18">
        <f>+D670-F670</f>
        <v>0</v>
      </c>
      <c r="I670" s="18">
        <v>0</v>
      </c>
      <c r="J670" s="18">
        <v>0</v>
      </c>
      <c r="K670" s="18">
        <f>+I670-J670</f>
        <v>0</v>
      </c>
      <c r="L670" s="18">
        <v>0</v>
      </c>
      <c r="M670" s="18">
        <v>0</v>
      </c>
      <c r="N670" s="18">
        <f>+L670-M670</f>
        <v>0</v>
      </c>
      <c r="O670" s="18">
        <v>0</v>
      </c>
      <c r="P670" s="42"/>
      <c r="Q670" s="18">
        <v>0</v>
      </c>
      <c r="R670" s="18">
        <v>0</v>
      </c>
      <c r="S670" s="18"/>
      <c r="T670" s="18">
        <v>0</v>
      </c>
      <c r="U670" s="42"/>
      <c r="V670" s="31">
        <f>+D670+I670+L670+M670+N670+O670+Q670+R670+T670</f>
        <v>0</v>
      </c>
      <c r="W670" s="18">
        <f>+F670+J670</f>
        <v>0</v>
      </c>
      <c r="X670" s="18">
        <f>+V670-W670</f>
        <v>0</v>
      </c>
    </row>
    <row r="671" spans="1:24" ht="24.75">
      <c r="A671" s="4">
        <f>+A670+1</f>
        <v>23</v>
      </c>
      <c r="B671" s="89" t="s">
        <v>39</v>
      </c>
      <c r="C671" s="40"/>
      <c r="D671" s="27">
        <v>-151968</v>
      </c>
      <c r="E671" s="18" t="s">
        <v>0</v>
      </c>
      <c r="F671" s="27">
        <v>515693</v>
      </c>
      <c r="G671" s="18">
        <f>D671-F671</f>
        <v>-667661</v>
      </c>
      <c r="I671" s="27">
        <v>0</v>
      </c>
      <c r="J671" s="27">
        <v>0</v>
      </c>
      <c r="K671" s="18">
        <f>+I671-J671</f>
        <v>0</v>
      </c>
      <c r="L671" s="18">
        <v>39195</v>
      </c>
      <c r="M671" s="27">
        <v>-55393</v>
      </c>
      <c r="N671" s="27">
        <v>20407</v>
      </c>
      <c r="O671" s="27">
        <v>-13669.19</v>
      </c>
      <c r="P671" s="42"/>
      <c r="Q671" s="55">
        <v>0</v>
      </c>
      <c r="R671" s="21">
        <v>0</v>
      </c>
      <c r="S671" s="18"/>
      <c r="T671" s="18">
        <v>0</v>
      </c>
      <c r="U671" s="42"/>
      <c r="V671" s="31">
        <f>+D671+I671+M671+N671+L671+O671+Q671+R671+T671</f>
        <v>-161428.19</v>
      </c>
      <c r="W671" s="18">
        <f>+F671+J671</f>
        <v>515693</v>
      </c>
      <c r="X671" s="36">
        <f>+V671-W671</f>
        <v>-677121.19</v>
      </c>
    </row>
    <row r="672" spans="1:24" ht="15">
      <c r="A672" s="6" t="s">
        <v>41</v>
      </c>
      <c r="B672" s="41"/>
      <c r="C672" s="40"/>
      <c r="D672" s="18"/>
      <c r="E672" s="18"/>
      <c r="F672" s="18" t="s">
        <v>0</v>
      </c>
      <c r="G672" s="18"/>
      <c r="I672" s="18"/>
      <c r="J672" s="18"/>
      <c r="K672" s="18"/>
      <c r="L672" s="18"/>
      <c r="M672" s="18"/>
      <c r="N672" s="18"/>
      <c r="O672" s="18"/>
      <c r="P672" s="42"/>
      <c r="Q672" s="18"/>
      <c r="R672" s="18"/>
      <c r="S672" s="18"/>
      <c r="T672" s="18"/>
      <c r="U672" s="42"/>
      <c r="V672" s="30"/>
      <c r="W672" s="30"/>
      <c r="X672" s="36"/>
    </row>
    <row r="673" spans="1:24" ht="15">
      <c r="A673" s="4">
        <f>+A671+1</f>
        <v>24</v>
      </c>
      <c r="B673" s="5" t="s">
        <v>42</v>
      </c>
      <c r="C673" s="22" t="s">
        <v>38</v>
      </c>
      <c r="D673" s="27">
        <f>1243191.49+107767.88</f>
        <v>1350959.37</v>
      </c>
      <c r="E673" s="18" t="s">
        <v>0</v>
      </c>
      <c r="F673" s="27">
        <f>33976+466466</f>
        <v>500442</v>
      </c>
      <c r="G673" s="18">
        <f>D673-F673</f>
        <v>850517.3700000001</v>
      </c>
      <c r="I673" s="18">
        <v>-735</v>
      </c>
      <c r="J673" s="26">
        <v>-1887</v>
      </c>
      <c r="K673" s="18">
        <f>+I673-J673</f>
        <v>1152</v>
      </c>
      <c r="L673" s="27">
        <v>0</v>
      </c>
      <c r="M673" s="27">
        <v>-135284</v>
      </c>
      <c r="N673" s="27">
        <v>16894</v>
      </c>
      <c r="O673" s="18">
        <v>0</v>
      </c>
      <c r="P673" s="42"/>
      <c r="Q673" s="31">
        <v>0</v>
      </c>
      <c r="R673" s="18">
        <v>0</v>
      </c>
      <c r="S673" s="18" t="s">
        <v>0</v>
      </c>
      <c r="T673" s="18">
        <v>-4</v>
      </c>
      <c r="U673" s="42"/>
      <c r="V673" s="31">
        <f>+D673+I673+L673+M673+N673+O673+Q673+R673+T673</f>
        <v>1231830.37</v>
      </c>
      <c r="W673" s="18">
        <f>+F673+J673</f>
        <v>498555</v>
      </c>
      <c r="X673" s="18">
        <f>+V673-W673</f>
        <v>733275.3700000001</v>
      </c>
    </row>
    <row r="674" spans="1:24" ht="15">
      <c r="A674" s="4">
        <f>+A673+1</f>
        <v>25</v>
      </c>
      <c r="B674" s="5" t="s">
        <v>43</v>
      </c>
      <c r="C674" s="11"/>
      <c r="D674" s="18"/>
      <c r="E674" s="18"/>
      <c r="F674" s="18">
        <v>0</v>
      </c>
      <c r="G674" s="18">
        <f>+D674-F674</f>
        <v>0</v>
      </c>
      <c r="I674" s="18">
        <v>0</v>
      </c>
      <c r="J674" s="18">
        <v>0</v>
      </c>
      <c r="K674" s="18">
        <f>+I674-J674</f>
        <v>0</v>
      </c>
      <c r="L674" s="18">
        <v>0</v>
      </c>
      <c r="M674" s="18">
        <v>0</v>
      </c>
      <c r="N674" s="18">
        <f>+L674-M674</f>
        <v>0</v>
      </c>
      <c r="O674" s="18">
        <v>0</v>
      </c>
      <c r="P674" s="42"/>
      <c r="Q674" s="18">
        <v>0</v>
      </c>
      <c r="R674" s="18">
        <v>0</v>
      </c>
      <c r="S674" s="18"/>
      <c r="T674" s="18">
        <v>0</v>
      </c>
      <c r="U674" s="42"/>
      <c r="V674" s="31">
        <f>+D674+I674+L674+O674+Q674+R674+T674</f>
        <v>0</v>
      </c>
      <c r="W674" s="18">
        <f>+F674+J674+M674</f>
        <v>0</v>
      </c>
      <c r="X674" s="18">
        <f>+V674-W674</f>
        <v>0</v>
      </c>
    </row>
    <row r="675" spans="1:24" ht="26.25">
      <c r="A675" s="4">
        <f>+A674+1</f>
        <v>26</v>
      </c>
      <c r="B675" s="24" t="s">
        <v>79</v>
      </c>
      <c r="C675" s="11"/>
      <c r="D675" s="18">
        <f>+D673-D674</f>
        <v>1350959.37</v>
      </c>
      <c r="E675" s="18"/>
      <c r="F675" s="18">
        <f>+F673-F674</f>
        <v>500442</v>
      </c>
      <c r="G675" s="18">
        <f>+G673-G674</f>
        <v>850517.3700000001</v>
      </c>
      <c r="I675" s="18">
        <f aca="true" t="shared" si="85" ref="I675:N675">+I673-I674</f>
        <v>-735</v>
      </c>
      <c r="J675" s="18">
        <f t="shared" si="85"/>
        <v>-1887</v>
      </c>
      <c r="K675" s="18">
        <f t="shared" si="85"/>
        <v>1152</v>
      </c>
      <c r="L675" s="18">
        <f t="shared" si="85"/>
        <v>0</v>
      </c>
      <c r="M675" s="18">
        <f t="shared" si="85"/>
        <v>-135284</v>
      </c>
      <c r="N675" s="18">
        <f t="shared" si="85"/>
        <v>16894</v>
      </c>
      <c r="O675" s="18">
        <v>0</v>
      </c>
      <c r="P675" s="42"/>
      <c r="Q675" s="18">
        <f>+Q673-Q674</f>
        <v>0</v>
      </c>
      <c r="R675" s="18">
        <f>+R673-R674</f>
        <v>0</v>
      </c>
      <c r="S675" s="18"/>
      <c r="T675" s="18">
        <f>+T673-T674</f>
        <v>-4</v>
      </c>
      <c r="U675" s="42"/>
      <c r="V675" s="27">
        <f>+V673-V674</f>
        <v>1231830.37</v>
      </c>
      <c r="W675" s="27">
        <f>+W673-W674</f>
        <v>498555</v>
      </c>
      <c r="X675" s="31">
        <f>+X673-X674</f>
        <v>733275.3700000001</v>
      </c>
    </row>
    <row r="676" spans="1:24" ht="28.5">
      <c r="A676" s="4">
        <f>+A675+1</f>
        <v>27</v>
      </c>
      <c r="B676" s="88" t="s">
        <v>181</v>
      </c>
      <c r="C676" s="11"/>
      <c r="D676" s="18">
        <v>0</v>
      </c>
      <c r="E676" s="18"/>
      <c r="F676" s="18">
        <v>0</v>
      </c>
      <c r="G676" s="18">
        <f>+D676-F676</f>
        <v>0</v>
      </c>
      <c r="I676" s="18">
        <v>0</v>
      </c>
      <c r="J676" s="18">
        <v>0</v>
      </c>
      <c r="K676" s="18">
        <f>+I676-J676</f>
        <v>0</v>
      </c>
      <c r="L676" s="18">
        <v>0</v>
      </c>
      <c r="M676" s="18">
        <v>0</v>
      </c>
      <c r="N676" s="18">
        <f>+L676-M676</f>
        <v>0</v>
      </c>
      <c r="O676" s="18">
        <v>0</v>
      </c>
      <c r="P676" s="42"/>
      <c r="Q676" s="18">
        <v>0</v>
      </c>
      <c r="R676" s="18">
        <v>0</v>
      </c>
      <c r="S676" s="18"/>
      <c r="T676" s="18">
        <v>0</v>
      </c>
      <c r="U676" s="42"/>
      <c r="V676" s="31">
        <f>+D676+I676+L676+O676+Q676+R676+T676</f>
        <v>0</v>
      </c>
      <c r="W676" s="18">
        <f>+F676+J676+M676</f>
        <v>0</v>
      </c>
      <c r="X676" s="18">
        <f>+V676-W676</f>
        <v>0</v>
      </c>
    </row>
    <row r="677" spans="1:24" ht="15">
      <c r="A677" s="4">
        <f>+A676+1</f>
        <v>28</v>
      </c>
      <c r="B677" s="24" t="s">
        <v>46</v>
      </c>
      <c r="C677" s="11" t="s">
        <v>47</v>
      </c>
      <c r="D677" s="51">
        <f>+D669+D670+D675+D676+D671</f>
        <v>1323991.6800000002</v>
      </c>
      <c r="E677" s="18"/>
      <c r="F677" s="52">
        <f>+F669+F670+F675+F676+F671</f>
        <v>1022199</v>
      </c>
      <c r="G677" s="18">
        <f>+G669+G670+G675+G676+G671</f>
        <v>301792.68000000017</v>
      </c>
      <c r="I677" s="51">
        <f aca="true" t="shared" si="86" ref="I677:O677">+I669+I670+I675+I676+I671</f>
        <v>-735</v>
      </c>
      <c r="J677" s="52">
        <f t="shared" si="86"/>
        <v>-1866.6699999999996</v>
      </c>
      <c r="K677" s="18">
        <f t="shared" si="86"/>
        <v>92.66999999999962</v>
      </c>
      <c r="L677" s="18">
        <f t="shared" si="86"/>
        <v>39195</v>
      </c>
      <c r="M677" s="18">
        <f t="shared" si="86"/>
        <v>-190625</v>
      </c>
      <c r="N677" s="18">
        <f t="shared" si="86"/>
        <v>37301</v>
      </c>
      <c r="O677" s="18">
        <f t="shared" si="86"/>
        <v>-13669.19</v>
      </c>
      <c r="P677" s="42"/>
      <c r="Q677" s="18">
        <f>+Q669+Q670+Q675+Q676+Q671</f>
        <v>0</v>
      </c>
      <c r="R677" s="18">
        <f>+R669+R670+R675+R676+R671</f>
        <v>0</v>
      </c>
      <c r="S677" s="18"/>
      <c r="T677" s="18">
        <f>+T669+T670+T675+T676+T671</f>
        <v>-4</v>
      </c>
      <c r="U677" s="42"/>
      <c r="V677" s="18">
        <f>+V669+V670+V675+V676+V671</f>
        <v>1195454.4900000002</v>
      </c>
      <c r="W677" s="18">
        <f>+W669+W670+W675+W676+W671</f>
        <v>1020332.3300000001</v>
      </c>
      <c r="X677" s="18">
        <f>+X669+X670+X675+X676+X671</f>
        <v>175122.16000000015</v>
      </c>
    </row>
    <row r="678" spans="1:24" ht="15">
      <c r="A678" s="4"/>
      <c r="B678" s="24" t="s">
        <v>0</v>
      </c>
      <c r="C678" s="11"/>
      <c r="D678" s="27" t="s">
        <v>0</v>
      </c>
      <c r="E678" s="18"/>
      <c r="F678" s="18"/>
      <c r="G678" s="18"/>
      <c r="I678" s="18"/>
      <c r="J678" s="18"/>
      <c r="K678" s="18"/>
      <c r="L678" s="18"/>
      <c r="M678" s="42"/>
      <c r="N678" s="73" t="s">
        <v>0</v>
      </c>
      <c r="O678" s="42"/>
      <c r="P678" s="42"/>
      <c r="Q678" s="42"/>
      <c r="U678" s="42"/>
      <c r="V678" s="18"/>
      <c r="W678" s="18"/>
      <c r="X678" s="18"/>
    </row>
    <row r="679" spans="1:24" ht="15">
      <c r="A679" s="4"/>
      <c r="B679" s="92" t="s">
        <v>0</v>
      </c>
      <c r="C679" s="11"/>
      <c r="D679" s="6" t="s">
        <v>48</v>
      </c>
      <c r="E679" s="6"/>
      <c r="F679" s="10" t="s">
        <v>49</v>
      </c>
      <c r="G679" s="10" t="s">
        <v>50</v>
      </c>
      <c r="I679" s="10" t="s">
        <v>51</v>
      </c>
      <c r="J679" s="10" t="s">
        <v>52</v>
      </c>
      <c r="K679" s="10" t="s">
        <v>53</v>
      </c>
      <c r="L679" s="10" t="s">
        <v>54</v>
      </c>
      <c r="M679" s="10" t="s">
        <v>55</v>
      </c>
      <c r="N679" s="10" t="s">
        <v>56</v>
      </c>
      <c r="O679" s="10" t="s">
        <v>57</v>
      </c>
      <c r="P679" s="18"/>
      <c r="Q679" s="10" t="s">
        <v>58</v>
      </c>
      <c r="R679" s="10" t="s">
        <v>59</v>
      </c>
      <c r="S679" s="10"/>
      <c r="T679" s="10" t="s">
        <v>60</v>
      </c>
      <c r="U679" s="18"/>
      <c r="V679" s="10" t="s">
        <v>61</v>
      </c>
      <c r="W679" s="10" t="s">
        <v>62</v>
      </c>
      <c r="X679" s="10" t="s">
        <v>63</v>
      </c>
    </row>
    <row r="680" spans="1:24" ht="15">
      <c r="A680" s="4"/>
      <c r="B680" s="24"/>
      <c r="C680" s="11"/>
      <c r="D680" s="14" t="s">
        <v>20</v>
      </c>
      <c r="E680" s="18"/>
      <c r="F680" s="14" t="s">
        <v>20</v>
      </c>
      <c r="G680" s="14" t="s">
        <v>20</v>
      </c>
      <c r="I680" s="14" t="s">
        <v>20</v>
      </c>
      <c r="J680" s="14" t="s">
        <v>21</v>
      </c>
      <c r="K680" s="14" t="s">
        <v>21</v>
      </c>
      <c r="L680" s="14" t="s">
        <v>21</v>
      </c>
      <c r="M680" s="14" t="s">
        <v>21</v>
      </c>
      <c r="N680" s="14" t="s">
        <v>21</v>
      </c>
      <c r="O680" s="14" t="s">
        <v>21</v>
      </c>
      <c r="P680" s="14"/>
      <c r="Q680" s="14" t="s">
        <v>21</v>
      </c>
      <c r="R680" s="14" t="s">
        <v>21</v>
      </c>
      <c r="T680" s="14" t="s">
        <v>21</v>
      </c>
      <c r="U680" s="42"/>
      <c r="V680" s="18"/>
      <c r="W680" s="39" t="s">
        <v>123</v>
      </c>
      <c r="X680" s="18"/>
    </row>
    <row r="681" spans="1:24" ht="15">
      <c r="A681" s="4"/>
      <c r="B681" s="87" t="s">
        <v>183</v>
      </c>
      <c r="C681" s="11"/>
      <c r="D681" s="53" t="s">
        <v>124</v>
      </c>
      <c r="E681" s="18"/>
      <c r="F681" s="53" t="s">
        <v>125</v>
      </c>
      <c r="G681" s="53" t="s">
        <v>126</v>
      </c>
      <c r="I681" s="53" t="s">
        <v>127</v>
      </c>
      <c r="J681" s="53" t="s">
        <v>128</v>
      </c>
      <c r="K681" s="53" t="s">
        <v>129</v>
      </c>
      <c r="L681" s="53" t="s">
        <v>130</v>
      </c>
      <c r="M681" s="53" t="s">
        <v>131</v>
      </c>
      <c r="N681" s="24" t="s">
        <v>132</v>
      </c>
      <c r="O681" s="24" t="s">
        <v>98</v>
      </c>
      <c r="P681" s="24"/>
      <c r="Q681" s="24" t="s">
        <v>99</v>
      </c>
      <c r="R681" s="24" t="s">
        <v>133</v>
      </c>
      <c r="S681" s="42"/>
      <c r="T681" s="24" t="s">
        <v>134</v>
      </c>
      <c r="U681" s="42"/>
      <c r="V681" s="10" t="s">
        <v>20</v>
      </c>
      <c r="W681" s="10" t="s">
        <v>21</v>
      </c>
      <c r="X681" s="10" t="s">
        <v>22</v>
      </c>
    </row>
    <row r="682" spans="1:24" ht="15">
      <c r="A682" s="4"/>
      <c r="B682" s="24"/>
      <c r="C682" s="11"/>
      <c r="D682" s="18"/>
      <c r="E682" s="18"/>
      <c r="F682" s="18"/>
      <c r="I682" s="18"/>
      <c r="J682" s="18"/>
      <c r="O682" s="42"/>
      <c r="P682" s="42"/>
      <c r="Q682" s="42"/>
      <c r="R682" s="42"/>
      <c r="S682" s="42"/>
      <c r="T682" s="42"/>
      <c r="U682" s="42"/>
      <c r="V682" s="18"/>
      <c r="W682" s="39"/>
      <c r="X682" s="18"/>
    </row>
    <row r="683" spans="1:24" ht="15">
      <c r="A683" s="4">
        <f>+A677+1</f>
        <v>29</v>
      </c>
      <c r="B683" s="5" t="s">
        <v>36</v>
      </c>
      <c r="C683" s="17" t="s">
        <v>37</v>
      </c>
      <c r="D683" s="18">
        <v>0</v>
      </c>
      <c r="E683" s="18"/>
      <c r="F683" s="18">
        <v>0</v>
      </c>
      <c r="G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/>
      <c r="Q683" s="18">
        <v>0</v>
      </c>
      <c r="R683" s="18">
        <v>0</v>
      </c>
      <c r="S683" s="42"/>
      <c r="T683" s="18">
        <v>0</v>
      </c>
      <c r="U683" s="42"/>
      <c r="V683" s="18">
        <f>+V667+D683+F683+G683+I683</f>
        <v>1225350.31</v>
      </c>
      <c r="W683" s="18">
        <f>+W667+J683+K683+L683+M683+N683+O683+Q683+R683+T683</f>
        <v>406847.33</v>
      </c>
      <c r="X683" s="18">
        <f>+V683-W683</f>
        <v>818502.98</v>
      </c>
    </row>
    <row r="684" spans="1:24" ht="15">
      <c r="A684" s="4">
        <f>+A683+1</f>
        <v>30</v>
      </c>
      <c r="B684" s="5" t="s">
        <v>36</v>
      </c>
      <c r="C684" s="22" t="s">
        <v>38</v>
      </c>
      <c r="D684" s="18">
        <v>0</v>
      </c>
      <c r="E684" s="18"/>
      <c r="F684" s="18">
        <v>0</v>
      </c>
      <c r="G684" s="18"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/>
      <c r="Q684" s="18">
        <v>0</v>
      </c>
      <c r="R684" s="18">
        <v>0</v>
      </c>
      <c r="S684" s="42"/>
      <c r="T684" s="18">
        <v>0</v>
      </c>
      <c r="U684" s="42"/>
      <c r="V684" s="18">
        <f>+V668+D684+F684+G684+I684</f>
        <v>1100298</v>
      </c>
      <c r="W684" s="18">
        <f>+W668+J684+K684+L684+M684+N684+O684+Q684+R684+T684</f>
        <v>400763</v>
      </c>
      <c r="X684" s="18">
        <f>+V684-W684</f>
        <v>699535</v>
      </c>
    </row>
    <row r="685" spans="1:24" ht="15">
      <c r="A685" s="4">
        <f>+A684+1</f>
        <v>31</v>
      </c>
      <c r="B685" s="24" t="s">
        <v>46</v>
      </c>
      <c r="C685" s="40" t="s">
        <v>78</v>
      </c>
      <c r="D685" s="18">
        <f>+D683-D684</f>
        <v>0</v>
      </c>
      <c r="E685" s="18"/>
      <c r="F685" s="18">
        <f>+F683-F684</f>
        <v>0</v>
      </c>
      <c r="G685" s="18">
        <f>+G683-G684</f>
        <v>0</v>
      </c>
      <c r="I685" s="18">
        <f aca="true" t="shared" si="87" ref="I685:O685">+I683-I684</f>
        <v>0</v>
      </c>
      <c r="J685" s="18">
        <f t="shared" si="87"/>
        <v>0</v>
      </c>
      <c r="K685" s="18">
        <f t="shared" si="87"/>
        <v>0</v>
      </c>
      <c r="L685" s="18">
        <f t="shared" si="87"/>
        <v>0</v>
      </c>
      <c r="M685" s="18">
        <f t="shared" si="87"/>
        <v>0</v>
      </c>
      <c r="N685" s="18">
        <f t="shared" si="87"/>
        <v>0</v>
      </c>
      <c r="O685" s="18">
        <f t="shared" si="87"/>
        <v>0</v>
      </c>
      <c r="P685" s="18"/>
      <c r="Q685" s="18">
        <f>+Q683-Q684</f>
        <v>0</v>
      </c>
      <c r="R685" s="18">
        <f>+R683-R684</f>
        <v>0</v>
      </c>
      <c r="S685" s="42"/>
      <c r="T685" s="18">
        <f>+T683-T684</f>
        <v>0</v>
      </c>
      <c r="U685" s="42"/>
      <c r="V685" s="27">
        <f>+V683-V684</f>
        <v>125052.31000000006</v>
      </c>
      <c r="W685" s="27">
        <f>+W683-W684</f>
        <v>6084.330000000016</v>
      </c>
      <c r="X685" s="18">
        <f>+X683-X684</f>
        <v>118967.97999999998</v>
      </c>
    </row>
    <row r="686" spans="1:24" ht="28.5">
      <c r="A686" s="4">
        <f>+A685+1</f>
        <v>32</v>
      </c>
      <c r="B686" s="88" t="s">
        <v>182</v>
      </c>
      <c r="C686" s="11"/>
      <c r="D686" s="18">
        <v>0</v>
      </c>
      <c r="E686" s="18"/>
      <c r="F686" s="18">
        <v>0</v>
      </c>
      <c r="G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/>
      <c r="Q686" s="18">
        <v>0</v>
      </c>
      <c r="R686" s="18">
        <v>0</v>
      </c>
      <c r="S686" s="42"/>
      <c r="T686" s="18">
        <v>0</v>
      </c>
      <c r="U686" s="42"/>
      <c r="V686" s="18">
        <f>+V670+D686+F686+G686+I686</f>
        <v>0</v>
      </c>
      <c r="W686" s="18">
        <f>+W670+J686+K686+L686+M686+N686+O686+Q686+R686+T686</f>
        <v>0</v>
      </c>
      <c r="X686" s="18">
        <f>+V686-W686</f>
        <v>0</v>
      </c>
    </row>
    <row r="687" spans="1:24" ht="24.75">
      <c r="A687" s="4">
        <f>+A686+1</f>
        <v>33</v>
      </c>
      <c r="B687" s="89" t="s">
        <v>39</v>
      </c>
      <c r="C687" s="40"/>
      <c r="D687" s="27">
        <v>-15215.2</v>
      </c>
      <c r="E687" s="27" t="s">
        <v>0</v>
      </c>
      <c r="F687" s="27">
        <v>1031</v>
      </c>
      <c r="G687" s="27">
        <v>0</v>
      </c>
      <c r="H687" t="s">
        <v>0</v>
      </c>
      <c r="I687" s="27">
        <v>0</v>
      </c>
      <c r="J687" s="27">
        <v>-156.8</v>
      </c>
      <c r="K687" s="27">
        <v>0</v>
      </c>
      <c r="L687" s="27">
        <v>0</v>
      </c>
      <c r="M687" s="18">
        <v>0</v>
      </c>
      <c r="N687" s="18">
        <v>0</v>
      </c>
      <c r="O687" s="18">
        <v>0</v>
      </c>
      <c r="P687" s="18"/>
      <c r="Q687" s="18">
        <v>0</v>
      </c>
      <c r="R687" s="18">
        <v>0</v>
      </c>
      <c r="S687" s="42"/>
      <c r="T687" s="18">
        <v>31</v>
      </c>
      <c r="U687" s="42"/>
      <c r="V687" s="18">
        <f>+V671+D687+F687+G687+I687</f>
        <v>-175612.39</v>
      </c>
      <c r="W687" s="18">
        <f>+W671+J687+K687+L687+M687+N687+O687+Q687+R687+T687</f>
        <v>515567.2</v>
      </c>
      <c r="X687" s="36">
        <f>+V687-W687</f>
        <v>-691179.5900000001</v>
      </c>
    </row>
    <row r="688" spans="1:24" ht="15">
      <c r="A688" s="6" t="s">
        <v>41</v>
      </c>
      <c r="B688" s="41"/>
      <c r="C688" s="40"/>
      <c r="D688" s="18"/>
      <c r="E688" s="18"/>
      <c r="F688" s="18"/>
      <c r="G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42"/>
      <c r="T688" s="18"/>
      <c r="U688" s="42"/>
      <c r="V688" s="18"/>
      <c r="W688" s="54"/>
      <c r="X688" s="36"/>
    </row>
    <row r="689" spans="1:24" ht="15">
      <c r="A689" s="4">
        <f>+A687+1</f>
        <v>34</v>
      </c>
      <c r="B689" s="5" t="s">
        <v>42</v>
      </c>
      <c r="C689" s="22" t="s">
        <v>38</v>
      </c>
      <c r="D689" s="18">
        <v>0</v>
      </c>
      <c r="E689" s="18"/>
      <c r="F689" s="18">
        <v>0</v>
      </c>
      <c r="G689" s="18">
        <v>0</v>
      </c>
      <c r="I689" s="18">
        <v>0</v>
      </c>
      <c r="J689" s="18">
        <v>0</v>
      </c>
      <c r="K689" s="18">
        <v>0</v>
      </c>
      <c r="L689" s="18"/>
      <c r="M689" s="18">
        <v>0</v>
      </c>
      <c r="N689" s="18">
        <v>0</v>
      </c>
      <c r="O689" s="18">
        <v>0</v>
      </c>
      <c r="P689" s="18"/>
      <c r="Q689" s="18">
        <v>0</v>
      </c>
      <c r="R689" s="18">
        <v>0</v>
      </c>
      <c r="S689" s="42"/>
      <c r="T689" s="18">
        <v>0</v>
      </c>
      <c r="U689" s="42"/>
      <c r="V689" s="18">
        <f>+V673+D689+F689+G689+I689</f>
        <v>1231830.37</v>
      </c>
      <c r="W689" s="18">
        <f>+W673+J689+K689+L689+M689+N689+O689+Q689+R689+T689</f>
        <v>498555</v>
      </c>
      <c r="X689" s="18">
        <f>+V689-W689</f>
        <v>733275.3700000001</v>
      </c>
    </row>
    <row r="690" spans="1:24" ht="15">
      <c r="A690" s="4">
        <f>+A689+1</f>
        <v>35</v>
      </c>
      <c r="B690" s="5" t="s">
        <v>43</v>
      </c>
      <c r="C690" s="11"/>
      <c r="D690" s="18">
        <v>0</v>
      </c>
      <c r="E690" s="18"/>
      <c r="F690" s="18">
        <v>0</v>
      </c>
      <c r="G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/>
      <c r="Q690" s="18">
        <v>0</v>
      </c>
      <c r="R690" s="18">
        <v>0</v>
      </c>
      <c r="S690" s="42"/>
      <c r="T690" s="18">
        <v>0</v>
      </c>
      <c r="U690" s="42"/>
      <c r="V690" s="18">
        <f>+V674+D690+F690+G690+I690</f>
        <v>0</v>
      </c>
      <c r="W690" s="18">
        <f>+W674+J690+K690+L690+M690+N690+O690+Q690+R690+T690</f>
        <v>0</v>
      </c>
      <c r="X690" s="18">
        <f>+V690-W690</f>
        <v>0</v>
      </c>
    </row>
    <row r="691" spans="1:24" ht="26.25">
      <c r="A691" s="4">
        <f>+A690+1</f>
        <v>36</v>
      </c>
      <c r="B691" s="24" t="s">
        <v>79</v>
      </c>
      <c r="C691" s="11"/>
      <c r="D691" s="18">
        <f>+D689-D690</f>
        <v>0</v>
      </c>
      <c r="E691" s="18"/>
      <c r="F691" s="18">
        <f>+F689-F690</f>
        <v>0</v>
      </c>
      <c r="G691" s="18">
        <f>+G689-G690</f>
        <v>0</v>
      </c>
      <c r="I691" s="18">
        <f aca="true" t="shared" si="88" ref="I691:O691">+I689-I690</f>
        <v>0</v>
      </c>
      <c r="J691" s="18">
        <f t="shared" si="88"/>
        <v>0</v>
      </c>
      <c r="K691" s="18">
        <f t="shared" si="88"/>
        <v>0</v>
      </c>
      <c r="L691" s="18">
        <f t="shared" si="88"/>
        <v>0</v>
      </c>
      <c r="M691" s="18">
        <f t="shared" si="88"/>
        <v>0</v>
      </c>
      <c r="N691" s="18">
        <f t="shared" si="88"/>
        <v>0</v>
      </c>
      <c r="O691" s="18">
        <f t="shared" si="88"/>
        <v>0</v>
      </c>
      <c r="P691" s="18"/>
      <c r="Q691" s="18">
        <f>+Q689-Q690</f>
        <v>0</v>
      </c>
      <c r="R691" s="18">
        <f>+R689-R690</f>
        <v>0</v>
      </c>
      <c r="S691" s="42"/>
      <c r="T691" s="18">
        <f>+T689-T690</f>
        <v>0</v>
      </c>
      <c r="U691" s="42"/>
      <c r="V691" s="55">
        <f>+V689-V690</f>
        <v>1231830.37</v>
      </c>
      <c r="W691" s="55">
        <f>+W689-W690</f>
        <v>498555</v>
      </c>
      <c r="X691" s="31">
        <f>+X689-X690</f>
        <v>733275.3700000001</v>
      </c>
    </row>
    <row r="692" spans="1:24" ht="28.5">
      <c r="A692" s="4">
        <f>+A691+1</f>
        <v>37</v>
      </c>
      <c r="B692" s="88" t="s">
        <v>181</v>
      </c>
      <c r="C692" s="11"/>
      <c r="D692" s="18">
        <v>0</v>
      </c>
      <c r="E692" s="18"/>
      <c r="F692" s="18">
        <v>0</v>
      </c>
      <c r="G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/>
      <c r="Q692" s="18">
        <v>0</v>
      </c>
      <c r="R692" s="18">
        <v>0</v>
      </c>
      <c r="S692" s="42"/>
      <c r="T692" s="18">
        <v>0</v>
      </c>
      <c r="U692" s="42"/>
      <c r="V692" s="18">
        <f>+V676+D692+F692+G692+I692</f>
        <v>0</v>
      </c>
      <c r="W692" s="18">
        <f>+W676+J692+K692+L692+M692+N692+O692+Q692+R692+T692</f>
        <v>0</v>
      </c>
      <c r="X692" s="18">
        <f>+V692-W692</f>
        <v>0</v>
      </c>
    </row>
    <row r="693" spans="1:24" ht="15">
      <c r="A693" s="4">
        <f>+A692+1</f>
        <v>38</v>
      </c>
      <c r="B693" s="24" t="s">
        <v>46</v>
      </c>
      <c r="C693" s="11" t="s">
        <v>47</v>
      </c>
      <c r="D693" s="18">
        <f>+D685+D686+D691+D692+D687</f>
        <v>-15215.2</v>
      </c>
      <c r="E693" s="18"/>
      <c r="F693" s="18">
        <f>+F685+F686+F691+F692+F687</f>
        <v>1031</v>
      </c>
      <c r="G693" s="18">
        <f>+G685+G686+G691+G692+G687</f>
        <v>0</v>
      </c>
      <c r="I693" s="18">
        <f aca="true" t="shared" si="89" ref="I693:O693">+I685+I686+I691+I692+I687</f>
        <v>0</v>
      </c>
      <c r="J693" s="18">
        <f t="shared" si="89"/>
        <v>-156.8</v>
      </c>
      <c r="K693" s="18">
        <f t="shared" si="89"/>
        <v>0</v>
      </c>
      <c r="L693" s="18">
        <f t="shared" si="89"/>
        <v>0</v>
      </c>
      <c r="M693" s="18">
        <f t="shared" si="89"/>
        <v>0</v>
      </c>
      <c r="N693" s="18">
        <f t="shared" si="89"/>
        <v>0</v>
      </c>
      <c r="O693" s="18">
        <f t="shared" si="89"/>
        <v>0</v>
      </c>
      <c r="P693" s="18"/>
      <c r="Q693" s="18">
        <f>+Q685+Q686+Q691+Q692+Q687</f>
        <v>0</v>
      </c>
      <c r="R693" s="18">
        <f>+R685+R686+R691+R692+R687</f>
        <v>0</v>
      </c>
      <c r="S693" s="42"/>
      <c r="T693" s="18">
        <f>+T685+T686+T691+T692+T687</f>
        <v>31</v>
      </c>
      <c r="U693" s="42"/>
      <c r="V693" s="18">
        <f>+V685+V686+V691+V692+V687</f>
        <v>1181270.29</v>
      </c>
      <c r="W693" s="18">
        <f>+W685+W686+W691+W692+W687</f>
        <v>1020206.53</v>
      </c>
      <c r="X693" s="18">
        <f>+X685+X686+X691+X692+X687</f>
        <v>161063.76</v>
      </c>
    </row>
    <row r="694" spans="1:24" ht="15">
      <c r="A694" s="4"/>
      <c r="B694" s="24"/>
      <c r="C694" s="11"/>
      <c r="D694" s="18"/>
      <c r="E694" s="18"/>
      <c r="F694" s="18"/>
      <c r="G694" s="18"/>
      <c r="N694" s="42"/>
      <c r="O694" s="42"/>
      <c r="P694" s="42"/>
      <c r="Q694" s="42"/>
      <c r="R694" s="42"/>
      <c r="S694" s="42"/>
      <c r="T694" s="42"/>
      <c r="U694" s="42"/>
      <c r="V694" s="18"/>
      <c r="W694" s="18"/>
      <c r="X694" s="18"/>
    </row>
    <row r="695" spans="1:24" ht="15">
      <c r="A695" s="4"/>
      <c r="B695" s="24"/>
      <c r="C695" s="11"/>
      <c r="D695" s="18"/>
      <c r="E695" s="18"/>
      <c r="F695" s="18"/>
      <c r="G695" s="18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18"/>
      <c r="W695" s="18"/>
      <c r="X695" s="18"/>
    </row>
    <row r="696" spans="1:24" ht="15">
      <c r="A696" s="4"/>
      <c r="B696" s="24"/>
      <c r="C696" s="11"/>
      <c r="D696" s="18"/>
      <c r="E696" s="18"/>
      <c r="F696" s="18"/>
      <c r="G696" s="18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18"/>
      <c r="W696" s="18"/>
      <c r="X696" s="18"/>
    </row>
    <row r="697" spans="1:24" ht="15">
      <c r="A697" s="4"/>
      <c r="B697" s="24"/>
      <c r="C697" s="11"/>
      <c r="D697" s="18"/>
      <c r="E697" s="18"/>
      <c r="F697" s="18"/>
      <c r="G697" s="18"/>
      <c r="H697" s="56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18"/>
      <c r="W697" s="18"/>
      <c r="X697" s="18"/>
    </row>
    <row r="698" spans="1:24" ht="15">
      <c r="A698" s="4"/>
      <c r="B698" s="24"/>
      <c r="C698" s="11"/>
      <c r="D698" s="18"/>
      <c r="E698" s="18"/>
      <c r="F698" s="18"/>
      <c r="G698" s="18"/>
      <c r="H698" s="56"/>
      <c r="I698" s="57" t="s">
        <v>135</v>
      </c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18"/>
      <c r="W698" s="18"/>
      <c r="X698" s="18"/>
    </row>
    <row r="699" spans="1:24" ht="15">
      <c r="A699" s="4"/>
      <c r="B699" s="24"/>
      <c r="C699" s="11"/>
      <c r="D699" s="18"/>
      <c r="E699" s="18"/>
      <c r="F699" s="18"/>
      <c r="G699" s="18"/>
      <c r="H699" s="56"/>
      <c r="I699" s="58"/>
      <c r="L699" s="42"/>
      <c r="T699" s="42"/>
      <c r="U699" s="42"/>
      <c r="V699" s="18"/>
      <c r="W699" s="18"/>
      <c r="X699" s="18"/>
    </row>
    <row r="700" spans="1:24" ht="15">
      <c r="A700" s="4"/>
      <c r="B700" s="24"/>
      <c r="C700" s="11"/>
      <c r="D700" s="18"/>
      <c r="E700" s="18"/>
      <c r="F700" s="18"/>
      <c r="G700" s="18"/>
      <c r="H700" s="56"/>
      <c r="I700" s="59" t="s">
        <v>136</v>
      </c>
      <c r="L700" s="74">
        <v>9245414</v>
      </c>
      <c r="T700" s="42"/>
      <c r="U700" s="42"/>
      <c r="V700" s="18"/>
      <c r="W700" s="18"/>
      <c r="X700" s="18"/>
    </row>
    <row r="701" spans="1:24" ht="15">
      <c r="A701" s="4"/>
      <c r="B701" s="24"/>
      <c r="C701" s="11"/>
      <c r="D701" s="18"/>
      <c r="E701" s="18"/>
      <c r="F701" s="18"/>
      <c r="G701" s="18"/>
      <c r="H701" s="56"/>
      <c r="I701" s="59"/>
      <c r="L701" s="18"/>
      <c r="T701" s="42"/>
      <c r="U701" s="42"/>
      <c r="V701" s="18"/>
      <c r="W701" s="18"/>
      <c r="X701" s="18"/>
    </row>
    <row r="702" spans="1:24" ht="15">
      <c r="A702" s="4"/>
      <c r="B702" s="24"/>
      <c r="C702" s="11"/>
      <c r="D702" s="44" t="s">
        <v>137</v>
      </c>
      <c r="E702" s="18"/>
      <c r="F702" s="10" t="s">
        <v>138</v>
      </c>
      <c r="G702" s="44" t="s">
        <v>24</v>
      </c>
      <c r="H702" s="56"/>
      <c r="I702" s="59" t="s">
        <v>139</v>
      </c>
      <c r="L702" s="27">
        <v>4304848</v>
      </c>
      <c r="N702" s="6" t="s">
        <v>137</v>
      </c>
      <c r="O702" s="6" t="s">
        <v>137</v>
      </c>
      <c r="P702" s="42"/>
      <c r="Q702" s="6" t="s">
        <v>138</v>
      </c>
      <c r="R702" s="6" t="s">
        <v>138</v>
      </c>
      <c r="S702" s="6"/>
      <c r="T702" s="42"/>
      <c r="U702" s="42"/>
      <c r="V702" s="18"/>
      <c r="W702" s="18"/>
      <c r="X702" s="18"/>
    </row>
    <row r="703" spans="1:24" ht="15">
      <c r="A703" s="4"/>
      <c r="B703" s="24"/>
      <c r="C703" s="11"/>
      <c r="D703" s="18"/>
      <c r="E703" s="18"/>
      <c r="F703" s="18"/>
      <c r="G703" s="18"/>
      <c r="H703" s="56"/>
      <c r="I703" s="59"/>
      <c r="L703" s="18"/>
      <c r="N703" s="8" t="s">
        <v>140</v>
      </c>
      <c r="O703" s="49" t="s">
        <v>141</v>
      </c>
      <c r="P703" s="42"/>
      <c r="Q703" s="8" t="s">
        <v>140</v>
      </c>
      <c r="R703" s="49" t="s">
        <v>141</v>
      </c>
      <c r="S703" s="49"/>
      <c r="T703" s="42"/>
      <c r="U703" s="42"/>
      <c r="V703" s="18"/>
      <c r="W703" s="18"/>
      <c r="X703" s="18"/>
    </row>
    <row r="704" spans="1:24" ht="15">
      <c r="A704" s="4">
        <f>+A692+1</f>
        <v>38</v>
      </c>
      <c r="B704" s="5" t="s">
        <v>36</v>
      </c>
      <c r="C704" s="17" t="s">
        <v>37</v>
      </c>
      <c r="D704" s="31">
        <f>+V645+V683</f>
        <v>6950760.3100000005</v>
      </c>
      <c r="E704" s="18"/>
      <c r="F704" s="31">
        <f>+W645+W683</f>
        <v>4947654.33</v>
      </c>
      <c r="G704" s="18">
        <f>+D704-F704</f>
        <v>2003105.9800000004</v>
      </c>
      <c r="H704" s="56"/>
      <c r="I704" s="59" t="s">
        <v>142</v>
      </c>
      <c r="J704" s="18"/>
      <c r="K704" s="18"/>
      <c r="L704" s="36">
        <f>+F620</f>
        <v>4294987</v>
      </c>
      <c r="N704" s="60"/>
      <c r="O704" s="6"/>
      <c r="P704" s="42"/>
      <c r="Q704" s="61"/>
      <c r="R704" s="61"/>
      <c r="S704" s="61"/>
      <c r="T704" s="42"/>
      <c r="U704" s="42"/>
      <c r="V704" s="18"/>
      <c r="W704" s="18"/>
      <c r="X704" s="18"/>
    </row>
    <row r="705" spans="1:21" ht="15">
      <c r="A705" s="4">
        <f>+A704+1</f>
        <v>39</v>
      </c>
      <c r="B705" s="5" t="s">
        <v>36</v>
      </c>
      <c r="C705" s="22" t="s">
        <v>38</v>
      </c>
      <c r="D705" s="31">
        <f>+V646+V684</f>
        <v>6826477</v>
      </c>
      <c r="E705" s="18"/>
      <c r="F705" s="31">
        <f>+W646+W684</f>
        <v>4924053</v>
      </c>
      <c r="G705" s="18">
        <f>+D705-F705</f>
        <v>1902424</v>
      </c>
      <c r="H705" s="56"/>
      <c r="I705" s="58"/>
      <c r="J705" s="18"/>
      <c r="K705" s="18"/>
      <c r="L705" s="60"/>
      <c r="N705" s="62">
        <f>+D706</f>
        <v>124283.31000000052</v>
      </c>
      <c r="O705" s="63">
        <f>+D712</f>
        <v>6400204.9</v>
      </c>
      <c r="P705" s="42"/>
      <c r="Q705" s="31">
        <f>+F612</f>
        <v>17517</v>
      </c>
      <c r="R705" s="31">
        <f>+F614</f>
        <v>0</v>
      </c>
      <c r="S705" s="31"/>
      <c r="T705" s="42"/>
      <c r="U705" s="42"/>
    </row>
    <row r="706" spans="1:25" ht="15">
      <c r="A706" s="4">
        <f>+A705+1</f>
        <v>40</v>
      </c>
      <c r="B706" s="24" t="s">
        <v>46</v>
      </c>
      <c r="C706" s="40" t="s">
        <v>78</v>
      </c>
      <c r="D706" s="26">
        <f>+D704-D705</f>
        <v>124283.31000000052</v>
      </c>
      <c r="E706" s="18"/>
      <c r="F706" s="26">
        <f>+F704-F705</f>
        <v>23601.330000000075</v>
      </c>
      <c r="G706" s="18">
        <f>+G704-G705</f>
        <v>100681.98000000045</v>
      </c>
      <c r="H706" s="56"/>
      <c r="I706" s="58" t="s">
        <v>143</v>
      </c>
      <c r="J706" s="18"/>
      <c r="K706" s="18"/>
      <c r="L706">
        <v>0</v>
      </c>
      <c r="N706" s="62">
        <f>+D707</f>
        <v>0</v>
      </c>
      <c r="O706" s="63">
        <f>+D713</f>
        <v>0</v>
      </c>
      <c r="P706" s="42"/>
      <c r="Q706" s="31">
        <f>+F613</f>
        <v>0</v>
      </c>
      <c r="R706" s="31">
        <f>+F618</f>
        <v>4277470</v>
      </c>
      <c r="S706" s="31"/>
      <c r="U706" s="18"/>
      <c r="V706" s="10" t="s">
        <v>20</v>
      </c>
      <c r="W706" s="10" t="s">
        <v>21</v>
      </c>
      <c r="X706" s="10" t="s">
        <v>22</v>
      </c>
      <c r="Y706" s="18"/>
    </row>
    <row r="707" spans="1:25" ht="28.5">
      <c r="A707" s="4">
        <f>+A706+1</f>
        <v>41</v>
      </c>
      <c r="B707" s="88" t="s">
        <v>182</v>
      </c>
      <c r="C707" s="11"/>
      <c r="D707" s="26">
        <f>+V648+V686</f>
        <v>0</v>
      </c>
      <c r="E707" s="26"/>
      <c r="F707" s="26">
        <f>+W648+W686</f>
        <v>0</v>
      </c>
      <c r="G707" s="18">
        <f>+D707-F707</f>
        <v>0</v>
      </c>
      <c r="H707" s="56"/>
      <c r="I707" s="58"/>
      <c r="J707" s="18"/>
      <c r="K707" s="18"/>
      <c r="L707" s="60" t="s">
        <v>144</v>
      </c>
      <c r="N707" s="62">
        <f>+F706</f>
        <v>23601.330000000075</v>
      </c>
      <c r="O707" s="63">
        <f>+F712</f>
        <v>4776025</v>
      </c>
      <c r="P707" s="42"/>
      <c r="R707" s="31">
        <f>+F619</f>
        <v>0</v>
      </c>
      <c r="S707" s="31"/>
      <c r="U707" s="18"/>
      <c r="Y707" s="18"/>
    </row>
    <row r="708" spans="1:25" ht="24.75">
      <c r="A708" s="4">
        <f>+A707+1</f>
        <v>42</v>
      </c>
      <c r="B708" s="89" t="s">
        <v>39</v>
      </c>
      <c r="C708" s="40"/>
      <c r="D708" s="30">
        <f>+V649+V687</f>
        <v>-563714.69</v>
      </c>
      <c r="E708" s="30"/>
      <c r="F708" s="30">
        <f>+W649+W687</f>
        <v>515567.2</v>
      </c>
      <c r="G708" s="18">
        <f>+D708-F708</f>
        <v>-1079281.89</v>
      </c>
      <c r="H708" s="56"/>
      <c r="I708" s="64" t="s">
        <v>145</v>
      </c>
      <c r="J708" s="18"/>
      <c r="K708" s="18"/>
      <c r="L708" s="31">
        <f>+L700-L702-L704-L706</f>
        <v>645579</v>
      </c>
      <c r="N708" s="62">
        <f>+F707</f>
        <v>0</v>
      </c>
      <c r="O708" s="63">
        <f>+F713</f>
        <v>0</v>
      </c>
      <c r="P708" s="42"/>
      <c r="Q708" s="31"/>
      <c r="R708" s="31"/>
      <c r="S708" s="31"/>
      <c r="U708" s="65"/>
      <c r="V708" s="66"/>
      <c r="W708" s="66"/>
      <c r="X708" s="65"/>
      <c r="Y708" s="65"/>
    </row>
    <row r="709" spans="1:25" ht="15">
      <c r="A709" s="6" t="s">
        <v>41</v>
      </c>
      <c r="B709" s="41"/>
      <c r="C709" s="40"/>
      <c r="D709" s="18"/>
      <c r="E709" s="18"/>
      <c r="F709" s="18"/>
      <c r="G709" s="18"/>
      <c r="H709" s="56"/>
      <c r="I709" s="58"/>
      <c r="J709" s="18"/>
      <c r="K709" s="18"/>
      <c r="N709" s="62">
        <f>+F612</f>
        <v>17517</v>
      </c>
      <c r="O709" s="63">
        <f>+F618</f>
        <v>4277470</v>
      </c>
      <c r="P709" s="42"/>
      <c r="Q709" s="31"/>
      <c r="U709" s="65"/>
      <c r="V709" s="67"/>
      <c r="W709" s="67"/>
      <c r="X709" s="68"/>
      <c r="Y709" s="65"/>
    </row>
    <row r="710" spans="1:25" ht="15">
      <c r="A710" s="4">
        <f>+A708+1</f>
        <v>43</v>
      </c>
      <c r="B710" s="5" t="s">
        <v>42</v>
      </c>
      <c r="C710" s="22" t="s">
        <v>38</v>
      </c>
      <c r="D710" s="31">
        <f>+V651+V689</f>
        <v>6421734.9</v>
      </c>
      <c r="E710" s="18"/>
      <c r="F710" s="31">
        <f>+W651+W689</f>
        <v>4796429</v>
      </c>
      <c r="G710" s="18">
        <f>+D710-F710</f>
        <v>1625305.9000000004</v>
      </c>
      <c r="H710" s="56"/>
      <c r="I710" s="59" t="s">
        <v>22</v>
      </c>
      <c r="J710" s="18"/>
      <c r="K710" s="18"/>
      <c r="L710" s="30">
        <f>+X715</f>
        <v>645579.9900000012</v>
      </c>
      <c r="N710" s="62"/>
      <c r="O710" s="63">
        <f>+D708</f>
        <v>-563714.69</v>
      </c>
      <c r="P710" s="42"/>
      <c r="Q710" s="31"/>
      <c r="R710" s="31"/>
      <c r="S710" s="31"/>
      <c r="T710" s="69" t="s">
        <v>78</v>
      </c>
      <c r="U710" s="65"/>
      <c r="V710" s="26">
        <f>+D706+D707-F706-F707+F612</f>
        <v>118198.98000000045</v>
      </c>
      <c r="W710" s="26">
        <f>+F612+F613</f>
        <v>17517</v>
      </c>
      <c r="X710" s="26">
        <f>+V710-W710</f>
        <v>100681.98000000045</v>
      </c>
      <c r="Y710" s="65"/>
    </row>
    <row r="711" spans="1:25" ht="15">
      <c r="A711" s="4">
        <f>+A710+1</f>
        <v>44</v>
      </c>
      <c r="B711" s="5" t="s">
        <v>43</v>
      </c>
      <c r="C711" s="11"/>
      <c r="D711" s="31">
        <f>+V652+V690</f>
        <v>21530</v>
      </c>
      <c r="E711" s="18"/>
      <c r="F711" s="31">
        <f>+W652+W690</f>
        <v>20404</v>
      </c>
      <c r="G711" s="18">
        <f>+D711-F711</f>
        <v>1126</v>
      </c>
      <c r="H711" s="56"/>
      <c r="I711" s="59"/>
      <c r="J711" s="18"/>
      <c r="K711" s="18"/>
      <c r="L711" s="60" t="s">
        <v>144</v>
      </c>
      <c r="O711" s="63">
        <f>+F708</f>
        <v>515567.2</v>
      </c>
      <c r="P711" s="42"/>
      <c r="Q711" s="31"/>
      <c r="R711" s="31"/>
      <c r="S711" s="31"/>
      <c r="T711" s="11" t="s">
        <v>146</v>
      </c>
      <c r="U711" s="65"/>
      <c r="V711" s="30">
        <f>+D712+D713-F712-F713+F618+D708-F708+F614</f>
        <v>4822368.010000001</v>
      </c>
      <c r="W711" s="30">
        <f>+F614+F618+F619</f>
        <v>4277470</v>
      </c>
      <c r="X711" s="30">
        <f>+V711-W711</f>
        <v>544898.0100000007</v>
      </c>
      <c r="Y711" s="65"/>
    </row>
    <row r="712" spans="1:25" ht="26.25">
      <c r="A712" s="4">
        <f>+A711+1</f>
        <v>45</v>
      </c>
      <c r="B712" s="24" t="s">
        <v>79</v>
      </c>
      <c r="C712" s="11"/>
      <c r="D712" s="30">
        <f>+D710-D711</f>
        <v>6400204.9</v>
      </c>
      <c r="E712" s="18"/>
      <c r="F712" s="30">
        <f>+F710-F711</f>
        <v>4776025</v>
      </c>
      <c r="G712" s="18">
        <f>+G710-G711</f>
        <v>1624179.9000000004</v>
      </c>
      <c r="H712" s="56"/>
      <c r="I712" s="58"/>
      <c r="J712" s="18"/>
      <c r="K712" s="18"/>
      <c r="N712" s="62"/>
      <c r="O712" s="63">
        <f>+F614</f>
        <v>0</v>
      </c>
      <c r="P712" s="42"/>
      <c r="Q712" s="31"/>
      <c r="R712" s="31"/>
      <c r="S712" s="31"/>
      <c r="T712" s="11"/>
      <c r="U712" s="65"/>
      <c r="V712" s="30"/>
      <c r="W712" s="30"/>
      <c r="X712" s="30"/>
      <c r="Y712" s="65"/>
    </row>
    <row r="713" spans="1:25" ht="28.5">
      <c r="A713" s="4">
        <f>+A712+1</f>
        <v>46</v>
      </c>
      <c r="B713" s="88" t="s">
        <v>181</v>
      </c>
      <c r="C713" s="11"/>
      <c r="D713" s="30">
        <f>+V654+V692</f>
        <v>0</v>
      </c>
      <c r="E713" s="30"/>
      <c r="F713" s="30">
        <f>+W654+W692</f>
        <v>0</v>
      </c>
      <c r="G713" s="18">
        <f>+D713-F713</f>
        <v>0</v>
      </c>
      <c r="H713" s="56"/>
      <c r="N713" s="62"/>
      <c r="O713" s="62"/>
      <c r="P713" s="42"/>
      <c r="Q713" s="31"/>
      <c r="R713" s="31"/>
      <c r="S713" s="31"/>
      <c r="T713" s="11"/>
      <c r="U713" s="65"/>
      <c r="V713" s="30"/>
      <c r="W713" s="30"/>
      <c r="X713" s="30"/>
      <c r="Y713" s="65"/>
    </row>
    <row r="714" spans="1:25" ht="15">
      <c r="A714" s="4">
        <f>+A713+1</f>
        <v>47</v>
      </c>
      <c r="B714" s="24" t="s">
        <v>46</v>
      </c>
      <c r="C714" s="11" t="s">
        <v>47</v>
      </c>
      <c r="D714" s="18">
        <f>+D706+D707+D712+D713+D708</f>
        <v>5960773.520000001</v>
      </c>
      <c r="E714" s="18"/>
      <c r="F714" s="18">
        <f>+F706+F707+F712+F713+F708</f>
        <v>5315193.53</v>
      </c>
      <c r="G714" s="18">
        <f>+G706+G707+G712+G713+G708</f>
        <v>645579.9900000009</v>
      </c>
      <c r="H714" s="56"/>
      <c r="I714" s="59" t="s">
        <v>147</v>
      </c>
      <c r="J714" s="18"/>
      <c r="K714" s="18"/>
      <c r="L714" s="36">
        <f>+L708-L710</f>
        <v>-0.99000000115484</v>
      </c>
      <c r="N714" s="70">
        <f>+N705+N706-N707-N708+N709</f>
        <v>118198.98000000045</v>
      </c>
      <c r="O714" s="71">
        <f>+O705+O706-O707-O708+O709+O710-O711+O712</f>
        <v>4822368.010000001</v>
      </c>
      <c r="P714" s="42"/>
      <c r="Q714" s="26">
        <f>SUM(Q705:Q706)</f>
        <v>17517</v>
      </c>
      <c r="R714" s="30">
        <f>SUM(R705:R708)</f>
        <v>4277470</v>
      </c>
      <c r="S714" s="30"/>
      <c r="T714" s="11"/>
      <c r="U714" s="65"/>
      <c r="V714" s="30"/>
      <c r="W714" s="30"/>
      <c r="X714" s="30"/>
      <c r="Y714" s="65"/>
    </row>
    <row r="715" spans="1:25" ht="15">
      <c r="A715" s="4"/>
      <c r="B715" s="24"/>
      <c r="C715" s="11"/>
      <c r="D715" s="18"/>
      <c r="E715" s="18"/>
      <c r="F715" s="18"/>
      <c r="G715" s="18"/>
      <c r="H715" s="56"/>
      <c r="L715" s="60" t="s">
        <v>148</v>
      </c>
      <c r="M715" s="42"/>
      <c r="N715" s="42"/>
      <c r="O715" s="42"/>
      <c r="P715" s="42"/>
      <c r="Q715" s="42"/>
      <c r="R715" s="42"/>
      <c r="S715" s="42"/>
      <c r="T715" s="10" t="s">
        <v>22</v>
      </c>
      <c r="U715" s="65"/>
      <c r="V715" s="36"/>
      <c r="W715" s="36"/>
      <c r="X715" s="36">
        <f>+X710+X711</f>
        <v>645579.9900000012</v>
      </c>
      <c r="Y715" s="65"/>
    </row>
    <row r="716" spans="1:25" ht="15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6" ht="15">
      <c r="A717" s="4"/>
      <c r="B717"/>
      <c r="F717"/>
    </row>
    <row r="718" spans="1:6" ht="15">
      <c r="A718" s="4"/>
      <c r="B718"/>
      <c r="F718"/>
    </row>
    <row r="719" spans="1:6" ht="15">
      <c r="A719" s="4"/>
      <c r="B719"/>
      <c r="F719"/>
    </row>
    <row r="720" spans="1:6" ht="15">
      <c r="A720" s="4"/>
      <c r="B720"/>
      <c r="F720"/>
    </row>
    <row r="721" spans="1:25" ht="15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6" ht="15">
      <c r="A722" s="4" t="s">
        <v>0</v>
      </c>
      <c r="B722" s="5"/>
      <c r="C722" s="6" t="s">
        <v>1</v>
      </c>
      <c r="F722"/>
    </row>
    <row r="723" spans="1:6" ht="15">
      <c r="A723" s="4"/>
      <c r="B723" s="5"/>
      <c r="C723" s="6" t="s">
        <v>2</v>
      </c>
      <c r="F723"/>
    </row>
    <row r="724" spans="1:6" ht="15">
      <c r="A724" s="4"/>
      <c r="B724" s="5"/>
      <c r="C724" s="7" t="s">
        <v>154</v>
      </c>
      <c r="F724"/>
    </row>
    <row r="725" spans="1:6" ht="15">
      <c r="A725" s="4"/>
      <c r="B725" s="5"/>
      <c r="C725" s="8"/>
      <c r="F725"/>
    </row>
    <row r="726" spans="1:25" ht="15">
      <c r="A726" s="4"/>
      <c r="B726" s="5"/>
      <c r="C726" s="9"/>
      <c r="D726" s="10" t="s">
        <v>4</v>
      </c>
      <c r="E726" s="10"/>
      <c r="F726" s="10" t="s">
        <v>5</v>
      </c>
      <c r="G726" s="10" t="s">
        <v>6</v>
      </c>
      <c r="H726" s="10"/>
      <c r="I726" s="10" t="s">
        <v>7</v>
      </c>
      <c r="J726" s="10" t="s">
        <v>8</v>
      </c>
      <c r="K726" s="10" t="s">
        <v>9</v>
      </c>
      <c r="L726" s="10" t="s">
        <v>10</v>
      </c>
      <c r="M726" s="10" t="s">
        <v>11</v>
      </c>
      <c r="N726" s="10" t="s">
        <v>12</v>
      </c>
      <c r="O726" s="10" t="s">
        <v>13</v>
      </c>
      <c r="P726" s="10"/>
      <c r="Q726" s="10" t="s">
        <v>14</v>
      </c>
      <c r="R726" s="10" t="s">
        <v>15</v>
      </c>
      <c r="S726" s="10"/>
      <c r="T726" s="10" t="s">
        <v>16</v>
      </c>
      <c r="U726" s="10"/>
      <c r="V726" s="10" t="s">
        <v>17</v>
      </c>
      <c r="W726" s="10" t="s">
        <v>18</v>
      </c>
      <c r="X726" s="10" t="s">
        <v>19</v>
      </c>
      <c r="Y726" s="10"/>
    </row>
    <row r="727" spans="1:24" ht="15">
      <c r="A727" s="4"/>
      <c r="B727" s="87" t="s">
        <v>174</v>
      </c>
      <c r="C727" s="5"/>
      <c r="D727" s="10" t="s">
        <v>20</v>
      </c>
      <c r="E727" s="10"/>
      <c r="F727" s="10" t="s">
        <v>21</v>
      </c>
      <c r="G727" s="10" t="s">
        <v>22</v>
      </c>
      <c r="I727" s="10" t="s">
        <v>20</v>
      </c>
      <c r="J727" s="10" t="s">
        <v>20</v>
      </c>
      <c r="K727" s="10" t="s">
        <v>20</v>
      </c>
      <c r="L727" s="10" t="s">
        <v>20</v>
      </c>
      <c r="M727" s="10" t="s">
        <v>20</v>
      </c>
      <c r="N727" s="10" t="s">
        <v>20</v>
      </c>
      <c r="O727" s="10" t="s">
        <v>20</v>
      </c>
      <c r="Q727" s="10" t="s">
        <v>20</v>
      </c>
      <c r="R727" s="10" t="s">
        <v>20</v>
      </c>
      <c r="S727" s="10"/>
      <c r="T727" s="10" t="s">
        <v>20</v>
      </c>
      <c r="V727" s="10" t="s">
        <v>20</v>
      </c>
      <c r="W727" s="10" t="s">
        <v>20</v>
      </c>
      <c r="X727" s="10" t="s">
        <v>20</v>
      </c>
    </row>
    <row r="728" spans="1:24" ht="42.75">
      <c r="A728" s="4"/>
      <c r="B728" s="5"/>
      <c r="C728" s="11"/>
      <c r="D728" s="12" t="s">
        <v>23</v>
      </c>
      <c r="E728" s="13"/>
      <c r="F728" s="12" t="s">
        <v>175</v>
      </c>
      <c r="G728" s="13" t="s">
        <v>24</v>
      </c>
      <c r="I728" s="13" t="s">
        <v>25</v>
      </c>
      <c r="J728" s="8" t="s">
        <v>26</v>
      </c>
      <c r="K728" s="13" t="s">
        <v>27</v>
      </c>
      <c r="L728" s="13" t="s">
        <v>28</v>
      </c>
      <c r="M728" s="13" t="s">
        <v>29</v>
      </c>
      <c r="N728" s="13" t="s">
        <v>30</v>
      </c>
      <c r="O728" s="13" t="s">
        <v>31</v>
      </c>
      <c r="Q728" s="14">
        <v>4470115</v>
      </c>
      <c r="R728" s="13" t="s">
        <v>32</v>
      </c>
      <c r="S728" s="13"/>
      <c r="T728" s="14">
        <v>4470119</v>
      </c>
      <c r="V728" s="8" t="s">
        <v>33</v>
      </c>
      <c r="W728" s="8" t="s">
        <v>34</v>
      </c>
      <c r="X728" s="8" t="s">
        <v>35</v>
      </c>
    </row>
    <row r="729" spans="1:23" ht="15">
      <c r="A729" s="4"/>
      <c r="B729" s="5"/>
      <c r="C729" s="11"/>
      <c r="D729" s="13"/>
      <c r="E729" s="13"/>
      <c r="F729" s="13"/>
      <c r="G729" s="15"/>
      <c r="I729" s="13"/>
      <c r="J729" s="13"/>
      <c r="K729" s="13"/>
      <c r="L729" s="13"/>
      <c r="M729" s="13"/>
      <c r="N729" s="13"/>
      <c r="O729" s="13"/>
      <c r="Q729" s="14"/>
      <c r="R729" s="13"/>
      <c r="S729" s="14"/>
      <c r="T729" s="16"/>
      <c r="V729" s="14"/>
      <c r="W729" s="13"/>
    </row>
    <row r="730" spans="1:25" ht="15">
      <c r="A730" s="4">
        <v>1</v>
      </c>
      <c r="B730" s="5" t="s">
        <v>36</v>
      </c>
      <c r="C730" s="17" t="s">
        <v>37</v>
      </c>
      <c r="D730" s="27">
        <v>4625730</v>
      </c>
      <c r="E730" s="19"/>
      <c r="F730" s="20">
        <v>4266668</v>
      </c>
      <c r="G730" s="21">
        <f>+D730-F730</f>
        <v>359062</v>
      </c>
      <c r="H730" s="18"/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/>
      <c r="Q730" s="18">
        <v>0</v>
      </c>
      <c r="R730" s="18">
        <v>0</v>
      </c>
      <c r="S730" s="18"/>
      <c r="T730" s="18">
        <v>0</v>
      </c>
      <c r="U730" s="18"/>
      <c r="V730" s="18">
        <v>0</v>
      </c>
      <c r="W730" s="18">
        <v>0</v>
      </c>
      <c r="X730" s="18">
        <v>0</v>
      </c>
      <c r="Y730" s="18"/>
    </row>
    <row r="731" spans="1:25" ht="15">
      <c r="A731" s="4">
        <f>+A730+1</f>
        <v>2</v>
      </c>
      <c r="B731" s="5" t="s">
        <v>36</v>
      </c>
      <c r="C731" s="22" t="s">
        <v>38</v>
      </c>
      <c r="D731" s="27">
        <v>4630371</v>
      </c>
      <c r="E731" s="19"/>
      <c r="F731" s="23">
        <v>4277470</v>
      </c>
      <c r="G731" s="21">
        <f>+D731-F731</f>
        <v>352901</v>
      </c>
      <c r="H731" s="18"/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/>
      <c r="Q731" s="18">
        <v>0</v>
      </c>
      <c r="R731" s="18">
        <v>0</v>
      </c>
      <c r="S731" s="18"/>
      <c r="T731" s="18">
        <v>0</v>
      </c>
      <c r="U731" s="18"/>
      <c r="V731" s="18">
        <v>0</v>
      </c>
      <c r="W731" s="18">
        <v>0</v>
      </c>
      <c r="X731" s="18">
        <v>0</v>
      </c>
      <c r="Y731" s="18"/>
    </row>
    <row r="732" spans="1:25" ht="22.5">
      <c r="A732" s="4">
        <f>+A731+1</f>
        <v>3</v>
      </c>
      <c r="B732" s="24" t="s">
        <v>176</v>
      </c>
      <c r="C732" s="25" t="s">
        <v>177</v>
      </c>
      <c r="D732" s="18">
        <f>+D730-D731</f>
        <v>-4641</v>
      </c>
      <c r="E732" s="19"/>
      <c r="F732" s="26">
        <f>+F730-F731</f>
        <v>-10802</v>
      </c>
      <c r="G732" s="18">
        <f>+G730-G731</f>
        <v>6161</v>
      </c>
      <c r="H732" s="18"/>
      <c r="I732" s="18">
        <f aca="true" t="shared" si="90" ref="I732:O732">+I730-I731</f>
        <v>0</v>
      </c>
      <c r="J732" s="18">
        <f t="shared" si="90"/>
        <v>0</v>
      </c>
      <c r="K732" s="18">
        <f t="shared" si="90"/>
        <v>0</v>
      </c>
      <c r="L732" s="18">
        <f t="shared" si="90"/>
        <v>0</v>
      </c>
      <c r="M732" s="18">
        <f t="shared" si="90"/>
        <v>0</v>
      </c>
      <c r="N732" s="18">
        <f t="shared" si="90"/>
        <v>0</v>
      </c>
      <c r="O732" s="18">
        <f t="shared" si="90"/>
        <v>0</v>
      </c>
      <c r="P732" s="18"/>
      <c r="Q732" s="18">
        <f>+Q730-Q731</f>
        <v>0</v>
      </c>
      <c r="R732" s="18">
        <f>+R730-R731</f>
        <v>0</v>
      </c>
      <c r="S732" s="18"/>
      <c r="T732" s="18">
        <f>+T730-T731</f>
        <v>0</v>
      </c>
      <c r="U732" s="18"/>
      <c r="V732" s="18">
        <f>+V730-V731</f>
        <v>0</v>
      </c>
      <c r="W732" s="18">
        <f>+W730-W731</f>
        <v>0</v>
      </c>
      <c r="X732" s="18">
        <f>+X730-X731</f>
        <v>0</v>
      </c>
      <c r="Y732" s="18"/>
    </row>
    <row r="733" spans="1:25" ht="28.5">
      <c r="A733" s="4">
        <f>+A732+1</f>
        <v>4</v>
      </c>
      <c r="B733" s="88" t="s">
        <v>178</v>
      </c>
      <c r="C733" s="25" t="s">
        <v>179</v>
      </c>
      <c r="D733" s="18">
        <v>0</v>
      </c>
      <c r="E733" s="19"/>
      <c r="F733" s="26">
        <v>0</v>
      </c>
      <c r="G733" s="18">
        <f>+D733-F733</f>
        <v>0</v>
      </c>
      <c r="H733" s="18"/>
      <c r="I733" s="27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/>
      <c r="Q733" s="18">
        <v>0</v>
      </c>
      <c r="R733" s="18">
        <v>0</v>
      </c>
      <c r="S733" s="18"/>
      <c r="T733" s="18">
        <v>0</v>
      </c>
      <c r="U733" s="18"/>
      <c r="V733" s="18">
        <v>0</v>
      </c>
      <c r="W733" s="18">
        <v>0</v>
      </c>
      <c r="X733" s="18">
        <v>0</v>
      </c>
      <c r="Y733" s="18"/>
    </row>
    <row r="734" spans="1:25" ht="24.75">
      <c r="A734" s="4">
        <f>+A733+1</f>
        <v>5</v>
      </c>
      <c r="B734" s="89" t="s">
        <v>39</v>
      </c>
      <c r="C734" s="28" t="s">
        <v>40</v>
      </c>
      <c r="D734" s="27">
        <v>70726</v>
      </c>
      <c r="E734" s="29"/>
      <c r="F734" s="30">
        <v>0</v>
      </c>
      <c r="G734" s="31">
        <f>+D734-F734</f>
        <v>70726</v>
      </c>
      <c r="H734" s="18"/>
      <c r="I734" s="27">
        <v>0</v>
      </c>
      <c r="J734" s="27">
        <v>-234</v>
      </c>
      <c r="K734" s="27">
        <v>0</v>
      </c>
      <c r="L734" s="27">
        <v>60694</v>
      </c>
      <c r="M734" s="27">
        <v>12006</v>
      </c>
      <c r="N734" s="27">
        <v>-18</v>
      </c>
      <c r="O734" s="27">
        <v>-898</v>
      </c>
      <c r="P734" s="18"/>
      <c r="Q734" s="27">
        <v>647</v>
      </c>
      <c r="R734" s="27">
        <v>0</v>
      </c>
      <c r="S734" s="27"/>
      <c r="T734" s="27">
        <v>0</v>
      </c>
      <c r="U734" s="27"/>
      <c r="V734" s="27">
        <v>0</v>
      </c>
      <c r="W734" s="27">
        <v>0</v>
      </c>
      <c r="X734" s="27">
        <v>-19797</v>
      </c>
      <c r="Y734" s="18"/>
    </row>
    <row r="735" spans="1:25" ht="15">
      <c r="A735" s="6" t="s">
        <v>41</v>
      </c>
      <c r="B735" s="90"/>
      <c r="C735" s="11"/>
      <c r="D735" s="18"/>
      <c r="E735" s="19"/>
      <c r="F735" s="18"/>
      <c r="G735" s="18"/>
      <c r="H735" s="18"/>
      <c r="I735" s="18"/>
      <c r="J735" s="18"/>
      <c r="K735" s="18"/>
      <c r="L735" s="18"/>
      <c r="M735" s="18"/>
      <c r="N735" s="18"/>
      <c r="O735" s="18" t="s">
        <v>0</v>
      </c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5">
      <c r="A736" s="4">
        <f>+A734+1</f>
        <v>6</v>
      </c>
      <c r="B736" s="5" t="s">
        <v>42</v>
      </c>
      <c r="C736" s="22" t="s">
        <v>38</v>
      </c>
      <c r="D736" s="27">
        <v>3612151</v>
      </c>
      <c r="E736" s="19"/>
      <c r="F736" s="23">
        <v>3398731</v>
      </c>
      <c r="G736" s="18">
        <f>+D736-F736</f>
        <v>213420</v>
      </c>
      <c r="H736" s="18"/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/>
      <c r="Q736" s="18">
        <v>0</v>
      </c>
      <c r="R736" s="18">
        <v>0</v>
      </c>
      <c r="S736" s="18"/>
      <c r="T736" s="18">
        <v>0</v>
      </c>
      <c r="U736" s="18"/>
      <c r="V736" s="18">
        <v>0</v>
      </c>
      <c r="W736" s="18">
        <v>0</v>
      </c>
      <c r="X736" s="18">
        <v>0</v>
      </c>
      <c r="Y736" s="18"/>
    </row>
    <row r="737" spans="1:25" ht="15">
      <c r="A737" s="4">
        <f>+A736+1</f>
        <v>7</v>
      </c>
      <c r="B737" s="5" t="s">
        <v>43</v>
      </c>
      <c r="C737" s="11"/>
      <c r="D737" s="27"/>
      <c r="E737" s="19"/>
      <c r="F737" s="23">
        <v>6870</v>
      </c>
      <c r="G737" s="18">
        <f>+D737-F737</f>
        <v>-6870</v>
      </c>
      <c r="H737" s="18"/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31">
        <v>0</v>
      </c>
      <c r="P737" s="18"/>
      <c r="Q737" s="18">
        <v>0</v>
      </c>
      <c r="R737" s="18">
        <v>0</v>
      </c>
      <c r="S737" s="18"/>
      <c r="T737" s="18">
        <v>0</v>
      </c>
      <c r="U737" s="18"/>
      <c r="V737" s="18">
        <v>0</v>
      </c>
      <c r="W737" s="18">
        <v>0</v>
      </c>
      <c r="X737" s="18">
        <v>0</v>
      </c>
      <c r="Y737" s="18"/>
    </row>
    <row r="738" spans="1:25" ht="35.25">
      <c r="A738" s="4">
        <f>+A737+1</f>
        <v>8</v>
      </c>
      <c r="B738" s="24" t="s">
        <v>180</v>
      </c>
      <c r="C738" s="32" t="s">
        <v>44</v>
      </c>
      <c r="D738" s="33">
        <f>+D736-D737</f>
        <v>3612151</v>
      </c>
      <c r="E738" s="34"/>
      <c r="F738" s="91">
        <f>+F736-F737</f>
        <v>3391861</v>
      </c>
      <c r="G738" s="18">
        <f>+G736-G737</f>
        <v>220290</v>
      </c>
      <c r="H738" s="18"/>
      <c r="I738" s="18">
        <f aca="true" t="shared" si="91" ref="I738:O738">+I736-I737</f>
        <v>0</v>
      </c>
      <c r="J738" s="18">
        <f t="shared" si="91"/>
        <v>0</v>
      </c>
      <c r="K738" s="18">
        <f t="shared" si="91"/>
        <v>0</v>
      </c>
      <c r="L738" s="18">
        <f t="shared" si="91"/>
        <v>0</v>
      </c>
      <c r="M738" s="18">
        <f t="shared" si="91"/>
        <v>0</v>
      </c>
      <c r="N738" s="18">
        <f t="shared" si="91"/>
        <v>0</v>
      </c>
      <c r="O738" s="18">
        <f t="shared" si="91"/>
        <v>0</v>
      </c>
      <c r="P738" s="18"/>
      <c r="Q738" s="18">
        <f>+Q736-Q737</f>
        <v>0</v>
      </c>
      <c r="R738" s="18">
        <f>+R736-R737</f>
        <v>0</v>
      </c>
      <c r="S738" s="18"/>
      <c r="T738" s="18">
        <f>+T736-T737</f>
        <v>0</v>
      </c>
      <c r="U738" s="18"/>
      <c r="V738" s="18">
        <f>+V736-V737</f>
        <v>0</v>
      </c>
      <c r="W738" s="18">
        <f>+W736-W737</f>
        <v>0</v>
      </c>
      <c r="X738" s="18">
        <f>+X736-X737</f>
        <v>0</v>
      </c>
      <c r="Y738" s="18"/>
    </row>
    <row r="739" spans="1:25" ht="28.5">
      <c r="A739" s="4">
        <f>+A738+1</f>
        <v>9</v>
      </c>
      <c r="B739" s="88" t="s">
        <v>181</v>
      </c>
      <c r="C739" s="35" t="s">
        <v>45</v>
      </c>
      <c r="D739" s="18">
        <v>0</v>
      </c>
      <c r="E739" s="19"/>
      <c r="F739" s="31">
        <v>0</v>
      </c>
      <c r="G739" s="31">
        <f>+D739-F739</f>
        <v>0</v>
      </c>
      <c r="H739" s="18"/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31">
        <v>0</v>
      </c>
      <c r="P739" s="18"/>
      <c r="Q739" s="18">
        <v>0</v>
      </c>
      <c r="R739" s="18">
        <v>0</v>
      </c>
      <c r="S739" s="18"/>
      <c r="T739" s="18">
        <v>0</v>
      </c>
      <c r="U739" s="18"/>
      <c r="V739" s="18">
        <v>0</v>
      </c>
      <c r="W739" s="18">
        <v>0</v>
      </c>
      <c r="X739" s="18">
        <v>0</v>
      </c>
      <c r="Y739" s="18"/>
    </row>
    <row r="740" spans="1:25" ht="15">
      <c r="A740" s="4">
        <f>+A739+1</f>
        <v>10</v>
      </c>
      <c r="B740" s="24" t="s">
        <v>46</v>
      </c>
      <c r="C740" s="11" t="s">
        <v>47</v>
      </c>
      <c r="D740" s="36">
        <f>+D732+D733+D734+D738+D739</f>
        <v>3678236</v>
      </c>
      <c r="E740" s="19"/>
      <c r="F740" s="36">
        <f>+F732+F733+F734+F738+F739</f>
        <v>3381059</v>
      </c>
      <c r="G740" s="18">
        <f>+G732+G733+G738+G739+G734</f>
        <v>297177</v>
      </c>
      <c r="H740" s="18"/>
      <c r="I740" s="18">
        <f aca="true" t="shared" si="92" ref="I740:O740">+I732+I733+I738+I739+I734</f>
        <v>0</v>
      </c>
      <c r="J740" s="21">
        <f t="shared" si="92"/>
        <v>-234</v>
      </c>
      <c r="K740" s="18">
        <f t="shared" si="92"/>
        <v>0</v>
      </c>
      <c r="L740" s="18">
        <f t="shared" si="92"/>
        <v>60694</v>
      </c>
      <c r="M740" s="18">
        <f t="shared" si="92"/>
        <v>12006</v>
      </c>
      <c r="N740" s="18">
        <f t="shared" si="92"/>
        <v>-18</v>
      </c>
      <c r="O740" s="18">
        <f t="shared" si="92"/>
        <v>-898</v>
      </c>
      <c r="P740" s="18"/>
      <c r="Q740" s="18">
        <f>+Q732+Q733+Q738+Q739+Q734</f>
        <v>647</v>
      </c>
      <c r="R740" s="18">
        <f>+R732+R733+R738+R739+R734</f>
        <v>0</v>
      </c>
      <c r="S740" s="18"/>
      <c r="T740" s="18">
        <f>+T732+T733+T738+T739+T734</f>
        <v>0</v>
      </c>
      <c r="U740" s="18"/>
      <c r="V740" s="18">
        <f>+V732+V733+V738+V739+V734</f>
        <v>0</v>
      </c>
      <c r="W740" s="18">
        <f>+W732+W733+W738+W739+W734</f>
        <v>0</v>
      </c>
      <c r="X740" s="18">
        <f>+X732+X733+X738+X739+X734</f>
        <v>-19797</v>
      </c>
      <c r="Y740" s="18"/>
    </row>
    <row r="741" spans="1:25" ht="15">
      <c r="A741" s="4"/>
      <c r="B741" s="24"/>
      <c r="C741" s="11" t="s">
        <v>0</v>
      </c>
      <c r="D741" s="27" t="s">
        <v>0</v>
      </c>
      <c r="E741" s="18"/>
      <c r="F741" s="3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5">
      <c r="A742" s="4"/>
      <c r="B742" s="24"/>
      <c r="C742" s="37"/>
      <c r="D742" s="18">
        <v>3678236</v>
      </c>
      <c r="E742" s="18"/>
      <c r="F742" s="3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5">
      <c r="A743" s="4"/>
      <c r="B743" s="24"/>
      <c r="C743" s="11"/>
      <c r="D743" s="6" t="s">
        <v>48</v>
      </c>
      <c r="E743" s="6"/>
      <c r="F743" s="10" t="s">
        <v>49</v>
      </c>
      <c r="G743" s="10" t="s">
        <v>50</v>
      </c>
      <c r="I743" s="10" t="s">
        <v>51</v>
      </c>
      <c r="J743" s="10" t="s">
        <v>52</v>
      </c>
      <c r="K743" s="10" t="s">
        <v>53</v>
      </c>
      <c r="L743" s="10" t="s">
        <v>54</v>
      </c>
      <c r="M743" s="10" t="s">
        <v>55</v>
      </c>
      <c r="N743" s="10" t="s">
        <v>56</v>
      </c>
      <c r="O743" s="10" t="s">
        <v>57</v>
      </c>
      <c r="P743" s="18"/>
      <c r="Q743" s="10" t="s">
        <v>58</v>
      </c>
      <c r="R743" s="10" t="s">
        <v>59</v>
      </c>
      <c r="S743" s="10"/>
      <c r="T743" s="10" t="s">
        <v>60</v>
      </c>
      <c r="U743" s="18"/>
      <c r="V743" s="10" t="s">
        <v>61</v>
      </c>
      <c r="W743" s="10" t="s">
        <v>62</v>
      </c>
      <c r="X743" s="10" t="s">
        <v>63</v>
      </c>
      <c r="Y743" s="18"/>
    </row>
    <row r="744" spans="1:25" ht="15">
      <c r="A744" s="4"/>
      <c r="B744"/>
      <c r="C744" s="11"/>
      <c r="D744" s="10" t="s">
        <v>20</v>
      </c>
      <c r="E744" s="38"/>
      <c r="F744" s="10" t="s">
        <v>20</v>
      </c>
      <c r="G744" s="10" t="s">
        <v>20</v>
      </c>
      <c r="I744" s="10" t="s">
        <v>20</v>
      </c>
      <c r="J744" s="10" t="s">
        <v>20</v>
      </c>
      <c r="K744" s="10" t="s">
        <v>20</v>
      </c>
      <c r="L744" s="10" t="s">
        <v>20</v>
      </c>
      <c r="M744" s="10" t="s">
        <v>20</v>
      </c>
      <c r="N744" s="10" t="s">
        <v>20</v>
      </c>
      <c r="O744" s="10" t="s">
        <v>20</v>
      </c>
      <c r="P744" s="18"/>
      <c r="Q744" s="10" t="s">
        <v>20</v>
      </c>
      <c r="R744" s="10" t="s">
        <v>20</v>
      </c>
      <c r="S744" s="14"/>
      <c r="T744" s="10" t="s">
        <v>20</v>
      </c>
      <c r="U744" s="18"/>
      <c r="W744" s="39" t="s">
        <v>64</v>
      </c>
      <c r="Y744" s="18"/>
    </row>
    <row r="745" spans="1:25" ht="15">
      <c r="A745" s="4"/>
      <c r="B745" s="87" t="s">
        <v>174</v>
      </c>
      <c r="C745" s="11"/>
      <c r="D745" s="8" t="s">
        <v>155</v>
      </c>
      <c r="E745" s="6"/>
      <c r="F745" s="8" t="s">
        <v>66</v>
      </c>
      <c r="G745" s="8" t="s">
        <v>67</v>
      </c>
      <c r="H745" s="19"/>
      <c r="I745" s="8" t="s">
        <v>68</v>
      </c>
      <c r="J745" s="8" t="s">
        <v>69</v>
      </c>
      <c r="K745" s="8" t="s">
        <v>70</v>
      </c>
      <c r="L745" s="8" t="s">
        <v>71</v>
      </c>
      <c r="M745" s="8" t="s">
        <v>72</v>
      </c>
      <c r="N745" s="8" t="s">
        <v>73</v>
      </c>
      <c r="O745" s="8" t="s">
        <v>74</v>
      </c>
      <c r="P745" s="6"/>
      <c r="Q745" s="8" t="s">
        <v>75</v>
      </c>
      <c r="R745" s="8" t="s">
        <v>76</v>
      </c>
      <c r="S745" s="8"/>
      <c r="T745" s="8" t="s">
        <v>77</v>
      </c>
      <c r="U745" s="18"/>
      <c r="V745" s="10" t="s">
        <v>20</v>
      </c>
      <c r="W745" s="14" t="s">
        <v>21</v>
      </c>
      <c r="X745" s="10" t="s">
        <v>22</v>
      </c>
      <c r="Y745" s="18"/>
    </row>
    <row r="746" spans="1:8" ht="15">
      <c r="A746" s="4"/>
      <c r="B746" s="24"/>
      <c r="C746" s="11"/>
      <c r="E746" s="14"/>
      <c r="F746"/>
      <c r="H746" s="18"/>
    </row>
    <row r="747" spans="1:24" ht="15">
      <c r="A747" s="4">
        <f>+A740+1</f>
        <v>11</v>
      </c>
      <c r="B747" s="5" t="s">
        <v>36</v>
      </c>
      <c r="C747" s="17" t="s">
        <v>37</v>
      </c>
      <c r="D747" s="18">
        <v>0</v>
      </c>
      <c r="E747" s="18"/>
      <c r="F747" s="18">
        <v>0</v>
      </c>
      <c r="G747" s="18">
        <v>0</v>
      </c>
      <c r="I747" s="27">
        <v>531069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Q747" s="18">
        <v>0</v>
      </c>
      <c r="R747" s="18">
        <v>0</v>
      </c>
      <c r="S747" s="18"/>
      <c r="T747" s="18">
        <v>0</v>
      </c>
      <c r="V747" s="18">
        <f>+D730+I730+J730+K730+L730+M730+N730+O730+Q730+R730+T730+V730+W730+X730+D747+F747+G747+I747+J747+K747+L747+M747+N747+O747+Q747+R747+T747</f>
        <v>5156799</v>
      </c>
      <c r="W747" s="18">
        <f>+F730</f>
        <v>4266668</v>
      </c>
      <c r="X747" s="18">
        <f>+V747-W747</f>
        <v>890131</v>
      </c>
    </row>
    <row r="748" spans="1:24" ht="15">
      <c r="A748" s="4">
        <f>+A747+1</f>
        <v>12</v>
      </c>
      <c r="B748" s="5" t="s">
        <v>36</v>
      </c>
      <c r="C748" s="22" t="s">
        <v>38</v>
      </c>
      <c r="D748" s="18">
        <v>0</v>
      </c>
      <c r="E748" s="18"/>
      <c r="F748" s="18">
        <v>0</v>
      </c>
      <c r="G748" s="18">
        <v>0</v>
      </c>
      <c r="I748" s="27">
        <v>531557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Q748" s="18">
        <v>0</v>
      </c>
      <c r="R748" s="18">
        <v>0</v>
      </c>
      <c r="S748" s="18"/>
      <c r="T748" s="18">
        <v>0</v>
      </c>
      <c r="V748" s="18">
        <f>+D731+I731+J731+K731+L731+M731+N731+O731+Q731+R731+T731+V731+W731+X731+D748+F748+G748+I748+J748+K748+L748+M748+N748+O748+Q748+R748+T748</f>
        <v>5161928</v>
      </c>
      <c r="W748" s="18">
        <f>+F731</f>
        <v>4277470</v>
      </c>
      <c r="X748" s="18">
        <f>+V748-W748</f>
        <v>884458</v>
      </c>
    </row>
    <row r="749" spans="1:24" ht="15">
      <c r="A749" s="4">
        <f>+A748+1</f>
        <v>13</v>
      </c>
      <c r="B749" s="24" t="s">
        <v>46</v>
      </c>
      <c r="C749" s="40" t="s">
        <v>78</v>
      </c>
      <c r="D749" s="18">
        <f>+D747-D748</f>
        <v>0</v>
      </c>
      <c r="E749" s="18"/>
      <c r="F749" s="18">
        <f>+F747-F748</f>
        <v>0</v>
      </c>
      <c r="G749" s="18">
        <f>+G747-G748</f>
        <v>0</v>
      </c>
      <c r="I749" s="18">
        <f aca="true" t="shared" si="93" ref="I749:O749">+I747-I748</f>
        <v>-488</v>
      </c>
      <c r="J749" s="18">
        <f t="shared" si="93"/>
        <v>0</v>
      </c>
      <c r="K749" s="18">
        <f t="shared" si="93"/>
        <v>0</v>
      </c>
      <c r="L749" s="18">
        <f t="shared" si="93"/>
        <v>0</v>
      </c>
      <c r="M749" s="18">
        <f t="shared" si="93"/>
        <v>0</v>
      </c>
      <c r="N749" s="18">
        <f t="shared" si="93"/>
        <v>0</v>
      </c>
      <c r="O749" s="18">
        <f t="shared" si="93"/>
        <v>0</v>
      </c>
      <c r="Q749" s="18">
        <f>+Q747-Q748</f>
        <v>0</v>
      </c>
      <c r="R749" s="18">
        <f>+R747-R748</f>
        <v>0</v>
      </c>
      <c r="S749" s="18"/>
      <c r="T749" s="18">
        <f>+T747-T748</f>
        <v>0</v>
      </c>
      <c r="V749" s="27">
        <f>+V747-V748</f>
        <v>-5129</v>
      </c>
      <c r="W749" s="27">
        <f>+W747-W748</f>
        <v>-10802</v>
      </c>
      <c r="X749" s="18">
        <f>+X747-X748</f>
        <v>5673</v>
      </c>
    </row>
    <row r="750" spans="1:24" ht="28.5">
      <c r="A750" s="4">
        <f>+A749+1</f>
        <v>14</v>
      </c>
      <c r="B750" s="88" t="s">
        <v>182</v>
      </c>
      <c r="C750" s="11"/>
      <c r="D750" s="18">
        <v>0</v>
      </c>
      <c r="E750" s="18"/>
      <c r="F750" s="18">
        <v>0</v>
      </c>
      <c r="G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Q750" s="18">
        <v>0</v>
      </c>
      <c r="R750" s="18">
        <v>0</v>
      </c>
      <c r="S750" s="18"/>
      <c r="T750" s="18">
        <v>0</v>
      </c>
      <c r="V750" s="18">
        <f>+D733+I733+J733+K733+L733+M733+N733+O733+Q733+R733+T733+V733+W733+X733+D750+F750+G750+I750+J750+K750+L750+M750+N750+O750+Q750+R750+T750</f>
        <v>0</v>
      </c>
      <c r="W750" s="18">
        <f>+F733</f>
        <v>0</v>
      </c>
      <c r="X750" s="18">
        <f>+V750-W750</f>
        <v>0</v>
      </c>
    </row>
    <row r="751" spans="1:24" ht="24.75">
      <c r="A751" s="4">
        <f>+A750+1</f>
        <v>15</v>
      </c>
      <c r="B751" s="89" t="s">
        <v>39</v>
      </c>
      <c r="C751" s="40"/>
      <c r="D751" s="27">
        <v>5084</v>
      </c>
      <c r="E751" s="18" t="s">
        <v>0</v>
      </c>
      <c r="F751" s="27">
        <v>0</v>
      </c>
      <c r="G751" s="27">
        <v>0</v>
      </c>
      <c r="H751" t="s">
        <v>0</v>
      </c>
      <c r="I751" s="27">
        <v>0</v>
      </c>
      <c r="J751" s="27">
        <v>23711</v>
      </c>
      <c r="K751" s="27">
        <v>0</v>
      </c>
      <c r="L751" s="27">
        <v>0</v>
      </c>
      <c r="M751" s="27">
        <v>13971</v>
      </c>
      <c r="N751" s="27">
        <v>-108680</v>
      </c>
      <c r="O751" s="27">
        <v>789</v>
      </c>
      <c r="Q751" s="27">
        <v>0</v>
      </c>
      <c r="R751" s="27">
        <v>0</v>
      </c>
      <c r="S751" s="27"/>
      <c r="T751" s="27">
        <v>0</v>
      </c>
      <c r="V751" s="18">
        <f>+D734+I734+J734+K734+L734+M734+N734+O734+Q734+R734+T734+V734+W734+X734+D751+F751+G751+I751+J751+K751+L751+M751+N751+O751+Q751+R751+T751</f>
        <v>58001</v>
      </c>
      <c r="W751" s="18">
        <f>+F734</f>
        <v>0</v>
      </c>
      <c r="X751" s="18">
        <f>+V751-W751</f>
        <v>58001</v>
      </c>
    </row>
    <row r="752" spans="1:24" ht="15">
      <c r="A752" s="6" t="s">
        <v>41</v>
      </c>
      <c r="B752" s="41"/>
      <c r="C752" s="40"/>
      <c r="D752" s="18"/>
      <c r="E752" s="18"/>
      <c r="F752" s="18"/>
      <c r="G752" s="18"/>
      <c r="I752" s="18"/>
      <c r="J752" s="18"/>
      <c r="K752" s="18"/>
      <c r="L752" s="18"/>
      <c r="M752" s="18"/>
      <c r="N752" s="18"/>
      <c r="O752" s="18"/>
      <c r="Q752" s="18"/>
      <c r="R752" s="18"/>
      <c r="S752" s="18"/>
      <c r="T752" s="18"/>
      <c r="V752" s="18"/>
      <c r="W752" s="18"/>
      <c r="X752" s="18"/>
    </row>
    <row r="753" spans="1:24" ht="15">
      <c r="A753" s="4">
        <f>+A751+1</f>
        <v>16</v>
      </c>
      <c r="B753" s="5" t="s">
        <v>42</v>
      </c>
      <c r="C753" s="22" t="s">
        <v>38</v>
      </c>
      <c r="D753" s="18">
        <v>0</v>
      </c>
      <c r="E753" s="18"/>
      <c r="F753" s="18">
        <v>0</v>
      </c>
      <c r="G753" s="18">
        <v>0</v>
      </c>
      <c r="I753" s="27">
        <v>559590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/>
      <c r="Q753" s="18">
        <v>0</v>
      </c>
      <c r="R753" s="18">
        <v>0</v>
      </c>
      <c r="S753" s="18"/>
      <c r="T753" s="18">
        <v>0</v>
      </c>
      <c r="U753" s="18"/>
      <c r="V753" s="18">
        <f>+D736+I736+J736+K736+L736+M736+N736+O736+Q736+R736+T736+V736+W736+X736+D753+F753+G753+I753+J753+K753+L753+M753+N753+O753+Q753+R753+T753</f>
        <v>4171741</v>
      </c>
      <c r="W753" s="18">
        <f>+F736</f>
        <v>3398731</v>
      </c>
      <c r="X753" s="18">
        <f>+V753-W753</f>
        <v>773010</v>
      </c>
    </row>
    <row r="754" spans="1:24" ht="15">
      <c r="A754" s="4">
        <f>+A753+1</f>
        <v>17</v>
      </c>
      <c r="B754" s="5" t="s">
        <v>43</v>
      </c>
      <c r="C754" s="11"/>
      <c r="D754" s="18">
        <v>0</v>
      </c>
      <c r="E754" s="18"/>
      <c r="F754" s="18">
        <v>0</v>
      </c>
      <c r="G754" s="18">
        <v>0</v>
      </c>
      <c r="I754" s="27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/>
      <c r="Q754" s="18">
        <v>0</v>
      </c>
      <c r="R754" s="18">
        <v>0</v>
      </c>
      <c r="S754" s="18"/>
      <c r="T754" s="18">
        <v>0</v>
      </c>
      <c r="U754" s="18"/>
      <c r="V754" s="18">
        <f>+D737+I737+J737+K737+L737+M737+N737+O737+Q737+R737+T737+V737+W737+X737+D754+F754+G754+I754+J754+K754+L754+M754+N754+O754+Q754+R754+T754</f>
        <v>0</v>
      </c>
      <c r="W754" s="18">
        <f>+F737</f>
        <v>6870</v>
      </c>
      <c r="X754" s="18">
        <f>+V754-W754</f>
        <v>-6870</v>
      </c>
    </row>
    <row r="755" spans="1:24" ht="26.25">
      <c r="A755" s="4">
        <f>+A754+1</f>
        <v>18</v>
      </c>
      <c r="B755" s="24" t="s">
        <v>79</v>
      </c>
      <c r="C755" s="11"/>
      <c r="D755" s="18">
        <f>+D753-D754</f>
        <v>0</v>
      </c>
      <c r="E755" s="18"/>
      <c r="F755" s="18">
        <f>+F753-F754</f>
        <v>0</v>
      </c>
      <c r="G755" s="18">
        <f>+G753-G754</f>
        <v>0</v>
      </c>
      <c r="I755" s="18">
        <f aca="true" t="shared" si="94" ref="I755:O755">+I753-I754</f>
        <v>559590</v>
      </c>
      <c r="J755" s="18">
        <f t="shared" si="94"/>
        <v>0</v>
      </c>
      <c r="K755" s="18">
        <f t="shared" si="94"/>
        <v>0</v>
      </c>
      <c r="L755" s="18">
        <f t="shared" si="94"/>
        <v>0</v>
      </c>
      <c r="M755" s="18">
        <f t="shared" si="94"/>
        <v>0</v>
      </c>
      <c r="N755" s="18">
        <f t="shared" si="94"/>
        <v>0</v>
      </c>
      <c r="O755" s="18">
        <f t="shared" si="94"/>
        <v>0</v>
      </c>
      <c r="P755" s="18"/>
      <c r="Q755" s="18">
        <f>+Q753-Q754</f>
        <v>0</v>
      </c>
      <c r="R755" s="18">
        <f>+R753-R754</f>
        <v>0</v>
      </c>
      <c r="S755" s="18"/>
      <c r="T755" s="18">
        <f>+T753-T754</f>
        <v>0</v>
      </c>
      <c r="U755" s="18"/>
      <c r="V755" s="27">
        <f>+V753-V754</f>
        <v>4171741</v>
      </c>
      <c r="W755" s="27">
        <f>+W753-W754</f>
        <v>3391861</v>
      </c>
      <c r="X755" s="18">
        <f>+X753-X754</f>
        <v>779880</v>
      </c>
    </row>
    <row r="756" spans="1:24" ht="28.5">
      <c r="A756" s="4">
        <f>+A755+1</f>
        <v>19</v>
      </c>
      <c r="B756" s="88" t="s">
        <v>181</v>
      </c>
      <c r="C756" s="11"/>
      <c r="D756" s="18">
        <v>0</v>
      </c>
      <c r="E756" s="18"/>
      <c r="F756" s="18">
        <v>0</v>
      </c>
      <c r="G756" s="18"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/>
      <c r="Q756" s="18">
        <v>0</v>
      </c>
      <c r="R756" s="18">
        <v>0</v>
      </c>
      <c r="S756" s="18"/>
      <c r="T756" s="18">
        <v>0</v>
      </c>
      <c r="U756" s="18"/>
      <c r="V756" s="18">
        <f>+D739+I739+J739+K739+L739+M739+N739+O739+Q739+R739+T739+V739+W739+X739+D756+F756+G756+I756+J756+K756+L756+M756+N756+O756+Q756+R756+T756</f>
        <v>0</v>
      </c>
      <c r="W756" s="18">
        <f>+F739+K756+L756+M756+N756+O756+Q756+R756+T756</f>
        <v>0</v>
      </c>
      <c r="X756" s="18">
        <f>+V756-W756</f>
        <v>0</v>
      </c>
    </row>
    <row r="757" spans="1:24" ht="15">
      <c r="A757" s="4">
        <f>+A756+1</f>
        <v>20</v>
      </c>
      <c r="B757" s="24" t="s">
        <v>46</v>
      </c>
      <c r="C757" s="11" t="s">
        <v>47</v>
      </c>
      <c r="D757" s="18">
        <f>+D749+D750+D755+D756+D751</f>
        <v>5084</v>
      </c>
      <c r="E757" s="18"/>
      <c r="F757" s="18">
        <f>+F749+F750+F755+F756+F751</f>
        <v>0</v>
      </c>
      <c r="G757" s="18">
        <f>+G749+G750+G755+G756+G751</f>
        <v>0</v>
      </c>
      <c r="I757" s="18">
        <f aca="true" t="shared" si="95" ref="I757:O757">+I749+I750+I755+I756+I751</f>
        <v>559102</v>
      </c>
      <c r="J757" s="18">
        <f t="shared" si="95"/>
        <v>23711</v>
      </c>
      <c r="K757" s="18">
        <f t="shared" si="95"/>
        <v>0</v>
      </c>
      <c r="L757" s="18">
        <f t="shared" si="95"/>
        <v>0</v>
      </c>
      <c r="M757" s="18">
        <f t="shared" si="95"/>
        <v>13971</v>
      </c>
      <c r="N757" s="18">
        <f t="shared" si="95"/>
        <v>-108680</v>
      </c>
      <c r="O757" s="18">
        <f t="shared" si="95"/>
        <v>789</v>
      </c>
      <c r="P757" s="42"/>
      <c r="Q757" s="18">
        <f>+Q749+Q750+Q755+Q756+Q751</f>
        <v>0</v>
      </c>
      <c r="R757" s="18">
        <f>+R749+R750+R755+R756+R751</f>
        <v>0</v>
      </c>
      <c r="S757" s="18"/>
      <c r="T757" s="18">
        <f>+T749+T750+T755+T756+T751</f>
        <v>0</v>
      </c>
      <c r="U757" s="42"/>
      <c r="V757" s="18">
        <f>SUM(V749,V751,V755,V756)</f>
        <v>4224613</v>
      </c>
      <c r="W757" s="18">
        <f>+W749+W750+W755+W756+W751</f>
        <v>3381059</v>
      </c>
      <c r="X757" s="18">
        <f>+X749+X750+X755+X756+X751</f>
        <v>843554</v>
      </c>
    </row>
    <row r="758" spans="1:24" ht="15">
      <c r="A758" s="4"/>
      <c r="B758" s="24"/>
      <c r="C758" s="11"/>
      <c r="D758" s="18"/>
      <c r="E758" s="18"/>
      <c r="F758" s="18"/>
      <c r="G758" s="18"/>
      <c r="I758" s="18"/>
      <c r="J758" s="18"/>
      <c r="K758" s="18"/>
      <c r="L758" s="18"/>
      <c r="M758" s="18"/>
      <c r="N758" s="18"/>
      <c r="O758" s="18"/>
      <c r="P758" s="42"/>
      <c r="Q758" s="18"/>
      <c r="R758" s="18"/>
      <c r="S758" s="18"/>
      <c r="T758" s="18"/>
      <c r="U758" s="42"/>
      <c r="V758" s="18"/>
      <c r="W758" s="18"/>
      <c r="X758" s="18"/>
    </row>
    <row r="759" spans="1:24" ht="15">
      <c r="A759" s="4"/>
      <c r="B759" s="24"/>
      <c r="C759" s="11"/>
      <c r="D759" s="18"/>
      <c r="E759" s="18"/>
      <c r="F759" s="18"/>
      <c r="G759" s="18"/>
      <c r="I759" s="18"/>
      <c r="J759" s="18"/>
      <c r="K759" s="18"/>
      <c r="L759" s="18"/>
      <c r="M759" s="18"/>
      <c r="N759" s="18"/>
      <c r="O759" s="18"/>
      <c r="P759" s="42"/>
      <c r="Q759" s="18"/>
      <c r="R759" s="18"/>
      <c r="S759" s="18"/>
      <c r="T759" s="18"/>
      <c r="U759" s="42"/>
      <c r="V759" s="18"/>
      <c r="W759" s="18"/>
      <c r="X759" s="18"/>
    </row>
    <row r="760" spans="1:24" ht="15">
      <c r="A760" s="4"/>
      <c r="B760" s="24"/>
      <c r="C760" s="11"/>
      <c r="D760" s="18"/>
      <c r="E760" s="18"/>
      <c r="F760" s="18"/>
      <c r="G760" s="18"/>
      <c r="I760" s="18"/>
      <c r="J760" s="18"/>
      <c r="K760" s="18"/>
      <c r="L760" s="18"/>
      <c r="M760" s="18"/>
      <c r="N760" s="18"/>
      <c r="O760" s="18"/>
      <c r="P760" s="42"/>
      <c r="Q760" s="18"/>
      <c r="R760" s="18"/>
      <c r="S760" s="18"/>
      <c r="T760" s="18"/>
      <c r="U760" s="42"/>
      <c r="V760" s="18"/>
      <c r="W760" s="18"/>
      <c r="X760" s="18"/>
    </row>
    <row r="761" spans="1:25" ht="15">
      <c r="A761" s="4"/>
      <c r="B761" s="24"/>
      <c r="C761" s="11"/>
      <c r="D761" s="10" t="s">
        <v>80</v>
      </c>
      <c r="E761" s="10"/>
      <c r="F761" s="10" t="s">
        <v>81</v>
      </c>
      <c r="G761" s="10" t="s">
        <v>82</v>
      </c>
      <c r="I761" s="10" t="s">
        <v>83</v>
      </c>
      <c r="J761" s="10" t="s">
        <v>84</v>
      </c>
      <c r="K761" s="10" t="s">
        <v>85</v>
      </c>
      <c r="L761" s="10" t="s">
        <v>86</v>
      </c>
      <c r="M761" s="43" t="s">
        <v>87</v>
      </c>
      <c r="N761" s="43" t="s">
        <v>88</v>
      </c>
      <c r="O761" s="44" t="s">
        <v>89</v>
      </c>
      <c r="P761" s="42"/>
      <c r="Q761" s="43" t="s">
        <v>90</v>
      </c>
      <c r="R761" s="43" t="s">
        <v>91</v>
      </c>
      <c r="S761" s="43"/>
      <c r="T761" s="43" t="s">
        <v>92</v>
      </c>
      <c r="U761" s="42"/>
      <c r="V761" s="43" t="s">
        <v>93</v>
      </c>
      <c r="W761" s="43" t="s">
        <v>94</v>
      </c>
      <c r="X761" s="43" t="s">
        <v>95</v>
      </c>
      <c r="Y761" s="18"/>
    </row>
    <row r="762" spans="1:25" ht="15">
      <c r="A762" s="4"/>
      <c r="B762"/>
      <c r="C762" s="11"/>
      <c r="D762" s="10" t="s">
        <v>20</v>
      </c>
      <c r="E762" s="38"/>
      <c r="F762" s="10" t="s">
        <v>20</v>
      </c>
      <c r="G762" s="10" t="s">
        <v>20</v>
      </c>
      <c r="I762" s="10" t="s">
        <v>20</v>
      </c>
      <c r="J762" s="10" t="s">
        <v>20</v>
      </c>
      <c r="K762" s="10" t="s">
        <v>20</v>
      </c>
      <c r="L762" s="10" t="s">
        <v>20</v>
      </c>
      <c r="M762" s="10" t="s">
        <v>20</v>
      </c>
      <c r="N762" s="10" t="s">
        <v>20</v>
      </c>
      <c r="O762" s="10" t="s">
        <v>20</v>
      </c>
      <c r="P762" s="18"/>
      <c r="Q762" s="10" t="s">
        <v>20</v>
      </c>
      <c r="R762" s="10" t="s">
        <v>20</v>
      </c>
      <c r="S762" s="14"/>
      <c r="T762" s="10" t="s">
        <v>20</v>
      </c>
      <c r="U762" s="18"/>
      <c r="W762" s="39" t="s">
        <v>96</v>
      </c>
      <c r="Y762" s="18"/>
    </row>
    <row r="763" spans="1:25" ht="15">
      <c r="A763" s="4"/>
      <c r="B763" s="87" t="s">
        <v>174</v>
      </c>
      <c r="C763" s="11"/>
      <c r="D763" s="8" t="s">
        <v>156</v>
      </c>
      <c r="E763" s="6"/>
      <c r="F763" s="8" t="s">
        <v>157</v>
      </c>
      <c r="G763" s="45" t="s">
        <v>99</v>
      </c>
      <c r="H763" s="19"/>
      <c r="I763" s="45" t="s">
        <v>100</v>
      </c>
      <c r="J763" s="45" t="s">
        <v>101</v>
      </c>
      <c r="K763" s="45" t="s">
        <v>102</v>
      </c>
      <c r="L763" s="45" t="s">
        <v>103</v>
      </c>
      <c r="M763" s="45" t="s">
        <v>104</v>
      </c>
      <c r="N763" s="45" t="s">
        <v>105</v>
      </c>
      <c r="O763" s="45" t="s">
        <v>106</v>
      </c>
      <c r="P763" s="6"/>
      <c r="Q763" s="45" t="s">
        <v>107</v>
      </c>
      <c r="R763" s="45" t="s">
        <v>108</v>
      </c>
      <c r="S763" s="45"/>
      <c r="T763" s="45" t="s">
        <v>109</v>
      </c>
      <c r="U763" s="18"/>
      <c r="V763" s="10" t="s">
        <v>20</v>
      </c>
      <c r="W763" s="10" t="s">
        <v>21</v>
      </c>
      <c r="X763" s="10" t="s">
        <v>22</v>
      </c>
      <c r="Y763" s="18"/>
    </row>
    <row r="764" spans="1:9" ht="15">
      <c r="A764" s="4"/>
      <c r="B764" s="24"/>
      <c r="C764" s="11"/>
      <c r="E764" s="14"/>
      <c r="F764"/>
      <c r="H764" s="18"/>
      <c r="I764" s="16"/>
    </row>
    <row r="765" spans="1:24" ht="15">
      <c r="A765" s="4">
        <f>+A758+1</f>
        <v>1</v>
      </c>
      <c r="B765" s="5" t="s">
        <v>36</v>
      </c>
      <c r="C765" s="17" t="s">
        <v>37</v>
      </c>
      <c r="D765" s="18">
        <v>0</v>
      </c>
      <c r="E765" s="18"/>
      <c r="F765" s="18">
        <v>0</v>
      </c>
      <c r="G765" s="18">
        <v>0</v>
      </c>
      <c r="I765" s="18">
        <v>0</v>
      </c>
      <c r="J765" s="18">
        <v>0</v>
      </c>
      <c r="K765" s="46">
        <v>13632</v>
      </c>
      <c r="L765" s="27">
        <v>-6048</v>
      </c>
      <c r="M765" s="18">
        <v>0</v>
      </c>
      <c r="N765" s="18">
        <v>0</v>
      </c>
      <c r="O765" s="18">
        <v>0</v>
      </c>
      <c r="Q765" s="18">
        <v>0</v>
      </c>
      <c r="R765" s="18">
        <v>0</v>
      </c>
      <c r="S765" s="18"/>
      <c r="T765" s="18">
        <v>0</v>
      </c>
      <c r="V765" s="18">
        <f>+V747+D765+F765+G765+I765+J765+K765+L765+M765+N765+O765+Q765+R765+T765</f>
        <v>5164383</v>
      </c>
      <c r="W765" s="18">
        <f>+W747</f>
        <v>4266668</v>
      </c>
      <c r="X765" s="18">
        <f>+V765-W765</f>
        <v>897715</v>
      </c>
    </row>
    <row r="766" spans="1:24" ht="15">
      <c r="A766" s="4">
        <f>+A765+1</f>
        <v>2</v>
      </c>
      <c r="B766" s="5" t="s">
        <v>36</v>
      </c>
      <c r="C766" s="22" t="s">
        <v>38</v>
      </c>
      <c r="D766" s="18">
        <v>0</v>
      </c>
      <c r="E766" s="18"/>
      <c r="F766" s="18">
        <v>0</v>
      </c>
      <c r="G766" s="18">
        <v>0</v>
      </c>
      <c r="I766" s="18">
        <v>0</v>
      </c>
      <c r="J766" s="18">
        <v>0</v>
      </c>
      <c r="K766" s="46">
        <v>13632</v>
      </c>
      <c r="L766" s="27">
        <v>-6915</v>
      </c>
      <c r="M766" s="18">
        <v>0</v>
      </c>
      <c r="N766" s="18">
        <v>0</v>
      </c>
      <c r="O766" s="18">
        <v>0</v>
      </c>
      <c r="Q766" s="18">
        <v>0</v>
      </c>
      <c r="R766" s="18">
        <v>0</v>
      </c>
      <c r="S766" s="18"/>
      <c r="T766" s="18">
        <v>0</v>
      </c>
      <c r="V766" s="18">
        <f>+V748+D766+F766+G766+I766+J766+K766+L766+M766+N766+O766+Q766+R766+T766</f>
        <v>5168645</v>
      </c>
      <c r="W766" s="18">
        <f>+W748</f>
        <v>4277470</v>
      </c>
      <c r="X766" s="18">
        <f>+V766-W766</f>
        <v>891175</v>
      </c>
    </row>
    <row r="767" spans="1:24" ht="15">
      <c r="A767" s="4">
        <f>+A766+1</f>
        <v>3</v>
      </c>
      <c r="B767" s="24" t="s">
        <v>46</v>
      </c>
      <c r="C767" s="40" t="s">
        <v>78</v>
      </c>
      <c r="D767" s="18">
        <f>+D765-D766</f>
        <v>0</v>
      </c>
      <c r="E767" s="18"/>
      <c r="F767" s="18">
        <f>+F765-F766</f>
        <v>0</v>
      </c>
      <c r="G767" s="18">
        <f>+G765-G766</f>
        <v>0</v>
      </c>
      <c r="I767" s="18">
        <f aca="true" t="shared" si="96" ref="I767:O767">+I765-I766</f>
        <v>0</v>
      </c>
      <c r="J767" s="18">
        <f t="shared" si="96"/>
        <v>0</v>
      </c>
      <c r="K767" s="18">
        <f t="shared" si="96"/>
        <v>0</v>
      </c>
      <c r="L767" s="18">
        <f t="shared" si="96"/>
        <v>867</v>
      </c>
      <c r="M767" s="18">
        <f t="shared" si="96"/>
        <v>0</v>
      </c>
      <c r="N767" s="18">
        <f t="shared" si="96"/>
        <v>0</v>
      </c>
      <c r="O767" s="18">
        <f t="shared" si="96"/>
        <v>0</v>
      </c>
      <c r="Q767" s="18">
        <f>+Q765-Q766</f>
        <v>0</v>
      </c>
      <c r="R767" s="18">
        <f>+R765-R766</f>
        <v>0</v>
      </c>
      <c r="S767" s="18"/>
      <c r="T767" s="18">
        <f>+T765-T766</f>
        <v>0</v>
      </c>
      <c r="V767" s="27">
        <f>+V765-V766</f>
        <v>-4262</v>
      </c>
      <c r="W767" s="27">
        <f>+W765-W766</f>
        <v>-10802</v>
      </c>
      <c r="X767" s="18">
        <f>+X765-X766</f>
        <v>6540</v>
      </c>
    </row>
    <row r="768" spans="1:24" ht="28.5">
      <c r="A768" s="4">
        <f>+A767+1</f>
        <v>4</v>
      </c>
      <c r="B768" s="88" t="s">
        <v>182</v>
      </c>
      <c r="C768" s="11"/>
      <c r="D768" s="18">
        <v>0</v>
      </c>
      <c r="E768" s="18"/>
      <c r="F768" s="18">
        <v>0</v>
      </c>
      <c r="G768" s="18">
        <v>0</v>
      </c>
      <c r="I768" s="18">
        <v>0</v>
      </c>
      <c r="J768" s="27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Q768" s="18">
        <v>0</v>
      </c>
      <c r="R768" s="18">
        <v>0</v>
      </c>
      <c r="S768" s="18"/>
      <c r="T768" s="18">
        <v>0</v>
      </c>
      <c r="V768" s="18">
        <f>+V750+D768+F768+G768+I768+J768+K768+L768+M768+N768+O768+Q768+R768+T768</f>
        <v>0</v>
      </c>
      <c r="W768" s="18">
        <f>+W750</f>
        <v>0</v>
      </c>
      <c r="X768" s="18">
        <f>+V768-W768</f>
        <v>0</v>
      </c>
    </row>
    <row r="769" spans="1:24" ht="24.75">
      <c r="A769" s="4">
        <f>+A768+1</f>
        <v>5</v>
      </c>
      <c r="B769" s="89" t="s">
        <v>39</v>
      </c>
      <c r="C769" s="40"/>
      <c r="D769" s="27">
        <v>3</v>
      </c>
      <c r="E769" s="18"/>
      <c r="F769" s="27">
        <v>62072</v>
      </c>
      <c r="G769" s="27">
        <v>682</v>
      </c>
      <c r="I769" s="27">
        <v>0</v>
      </c>
      <c r="J769" s="27">
        <v>0</v>
      </c>
      <c r="K769" s="27">
        <f>-446719</f>
        <v>-446719</v>
      </c>
      <c r="L769" s="27">
        <v>0</v>
      </c>
      <c r="M769" s="27">
        <v>-22302</v>
      </c>
      <c r="N769" s="27">
        <v>0</v>
      </c>
      <c r="O769" s="27">
        <v>-16819</v>
      </c>
      <c r="Q769" s="27">
        <v>0</v>
      </c>
      <c r="R769" s="27">
        <v>-3403</v>
      </c>
      <c r="S769" s="27"/>
      <c r="T769" s="27">
        <v>-16505</v>
      </c>
      <c r="V769" s="18">
        <f>+V751+D769+F769+G769+I769+J769+K769+L769+M769+N769+O769+Q769+R769+T769</f>
        <v>-384990</v>
      </c>
      <c r="W769" s="18">
        <f>+W751</f>
        <v>0</v>
      </c>
      <c r="X769" s="18">
        <f>+V769-W769</f>
        <v>-384990</v>
      </c>
    </row>
    <row r="770" spans="1:24" ht="15">
      <c r="A770" s="6" t="s">
        <v>41</v>
      </c>
      <c r="B770" s="41"/>
      <c r="C770" s="40"/>
      <c r="D770" s="18"/>
      <c r="E770" s="18"/>
      <c r="F770" s="18"/>
      <c r="G770" s="18"/>
      <c r="I770" s="18"/>
      <c r="J770" s="18"/>
      <c r="K770" s="27"/>
      <c r="L770" s="18"/>
      <c r="M770" s="18"/>
      <c r="N770" s="18"/>
      <c r="O770" s="18"/>
      <c r="Q770" s="18"/>
      <c r="R770" s="18"/>
      <c r="S770" s="18"/>
      <c r="T770" s="18"/>
      <c r="V770" s="18"/>
      <c r="W770" s="18"/>
      <c r="X770" s="18"/>
    </row>
    <row r="771" spans="1:24" ht="15">
      <c r="A771" s="4">
        <f>+A769+1</f>
        <v>6</v>
      </c>
      <c r="B771" s="5" t="s">
        <v>42</v>
      </c>
      <c r="C771" s="22" t="s">
        <v>38</v>
      </c>
      <c r="D771" s="18">
        <v>0</v>
      </c>
      <c r="E771" s="18"/>
      <c r="F771" s="18">
        <v>0</v>
      </c>
      <c r="G771" s="18">
        <v>0</v>
      </c>
      <c r="I771" s="18">
        <v>0</v>
      </c>
      <c r="J771" s="18">
        <v>0</v>
      </c>
      <c r="K771" s="46">
        <v>-207</v>
      </c>
      <c r="L771" s="27">
        <v>-7395</v>
      </c>
      <c r="M771" s="18">
        <v>0</v>
      </c>
      <c r="N771" s="18">
        <v>0</v>
      </c>
      <c r="O771" s="18">
        <v>0</v>
      </c>
      <c r="P771" s="18"/>
      <c r="Q771" s="18">
        <v>0</v>
      </c>
      <c r="R771" s="18">
        <v>0</v>
      </c>
      <c r="S771" s="18"/>
      <c r="T771" s="18">
        <v>0</v>
      </c>
      <c r="U771" s="18"/>
      <c r="V771" s="18">
        <f>+V753+D771+F771+G771+I771+J771+K771+L771+M771+N771+O771+Q771+R771+T771</f>
        <v>4164139</v>
      </c>
      <c r="W771" s="18">
        <f>+W753</f>
        <v>3398731</v>
      </c>
      <c r="X771" s="18">
        <f>+V771-W771</f>
        <v>765408</v>
      </c>
    </row>
    <row r="772" spans="1:24" ht="15">
      <c r="A772" s="4">
        <f>+A771+1</f>
        <v>7</v>
      </c>
      <c r="B772" s="5" t="s">
        <v>43</v>
      </c>
      <c r="C772" s="11"/>
      <c r="D772" s="18">
        <v>0</v>
      </c>
      <c r="E772" s="18"/>
      <c r="F772" s="18">
        <v>0</v>
      </c>
      <c r="G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/>
      <c r="Q772" s="18">
        <v>0</v>
      </c>
      <c r="R772" s="18">
        <v>0</v>
      </c>
      <c r="S772" s="18"/>
      <c r="T772" s="18">
        <v>0</v>
      </c>
      <c r="U772" s="18"/>
      <c r="V772" s="18">
        <f>+V754+D772+F772+G772+I772+J772+K772+L772+M772+N772+O772+Q772+R772+T772</f>
        <v>0</v>
      </c>
      <c r="W772" s="18">
        <f>+W754</f>
        <v>6870</v>
      </c>
      <c r="X772" s="18">
        <f>+V772-W772</f>
        <v>-6870</v>
      </c>
    </row>
    <row r="773" spans="1:24" ht="26.25">
      <c r="A773" s="4">
        <f>+A772+1</f>
        <v>8</v>
      </c>
      <c r="B773" s="24" t="s">
        <v>79</v>
      </c>
      <c r="C773" s="11"/>
      <c r="D773" s="18">
        <f>+D771-D772</f>
        <v>0</v>
      </c>
      <c r="E773" s="18"/>
      <c r="F773" s="18">
        <f>+F771-F772</f>
        <v>0</v>
      </c>
      <c r="G773" s="18">
        <f>+G771-G772</f>
        <v>0</v>
      </c>
      <c r="I773" s="18">
        <f aca="true" t="shared" si="97" ref="I773:O773">+I771-I772</f>
        <v>0</v>
      </c>
      <c r="J773" s="18">
        <f t="shared" si="97"/>
        <v>0</v>
      </c>
      <c r="K773" s="18">
        <f t="shared" si="97"/>
        <v>-207</v>
      </c>
      <c r="L773" s="18">
        <f t="shared" si="97"/>
        <v>-7395</v>
      </c>
      <c r="M773" s="18">
        <f t="shared" si="97"/>
        <v>0</v>
      </c>
      <c r="N773" s="18">
        <f t="shared" si="97"/>
        <v>0</v>
      </c>
      <c r="O773" s="18">
        <f t="shared" si="97"/>
        <v>0</v>
      </c>
      <c r="P773" s="18"/>
      <c r="Q773" s="18">
        <f>+Q771-Q772</f>
        <v>0</v>
      </c>
      <c r="R773" s="18">
        <f>+R771-R772</f>
        <v>0</v>
      </c>
      <c r="S773" s="18"/>
      <c r="T773" s="18">
        <f>+T771-T772</f>
        <v>0</v>
      </c>
      <c r="U773" s="18"/>
      <c r="V773" s="27">
        <f>+V771-V772</f>
        <v>4164139</v>
      </c>
      <c r="W773" s="27">
        <f>+W771-W772</f>
        <v>3391861</v>
      </c>
      <c r="X773" s="18">
        <f>+X771-X772</f>
        <v>772278</v>
      </c>
    </row>
    <row r="774" spans="1:24" ht="28.5">
      <c r="A774" s="4">
        <f>+A773+1</f>
        <v>9</v>
      </c>
      <c r="B774" s="88" t="s">
        <v>181</v>
      </c>
      <c r="C774" s="11"/>
      <c r="D774" s="18">
        <v>0</v>
      </c>
      <c r="E774" s="18"/>
      <c r="F774" s="18">
        <v>0</v>
      </c>
      <c r="G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/>
      <c r="Q774" s="18">
        <v>0</v>
      </c>
      <c r="R774" s="18">
        <v>0</v>
      </c>
      <c r="S774" s="18"/>
      <c r="T774" s="18">
        <v>0</v>
      </c>
      <c r="U774" s="18"/>
      <c r="V774" s="18">
        <f>+V756+D774+F774+G774+I774+J774+K774+L774+M774+N774+O774+Q774+R774+T774</f>
        <v>0</v>
      </c>
      <c r="W774" s="18">
        <f>+W756</f>
        <v>0</v>
      </c>
      <c r="X774" s="18">
        <f>+V774-W774</f>
        <v>0</v>
      </c>
    </row>
    <row r="775" spans="1:24" ht="15">
      <c r="A775" s="4">
        <f>+A774+1</f>
        <v>10</v>
      </c>
      <c r="B775" s="24" t="s">
        <v>46</v>
      </c>
      <c r="C775" s="11" t="s">
        <v>47</v>
      </c>
      <c r="D775" s="18">
        <f>+D767+D768+D773+D774+D769</f>
        <v>3</v>
      </c>
      <c r="E775" s="18"/>
      <c r="F775" s="18">
        <f>+F767+F768+F773+F774+F769</f>
        <v>62072</v>
      </c>
      <c r="G775" s="18">
        <f>+G767+G768+G773+G774+G769</f>
        <v>682</v>
      </c>
      <c r="I775" s="18">
        <f aca="true" t="shared" si="98" ref="I775:O775">+I767+I768+I773+I774+I769</f>
        <v>0</v>
      </c>
      <c r="J775" s="18">
        <f t="shared" si="98"/>
        <v>0</v>
      </c>
      <c r="K775" s="18">
        <f t="shared" si="98"/>
        <v>-446926</v>
      </c>
      <c r="L775" s="18">
        <f t="shared" si="98"/>
        <v>-6528</v>
      </c>
      <c r="M775" s="18">
        <f t="shared" si="98"/>
        <v>-22302</v>
      </c>
      <c r="N775" s="18">
        <f t="shared" si="98"/>
        <v>0</v>
      </c>
      <c r="O775" s="18">
        <f t="shared" si="98"/>
        <v>-16819</v>
      </c>
      <c r="P775" s="42"/>
      <c r="Q775" s="18">
        <f>+Q767+Q768+Q773+Q774+Q769</f>
        <v>0</v>
      </c>
      <c r="R775" s="18">
        <f>+R767+R768+R773+R774+R769</f>
        <v>-3403</v>
      </c>
      <c r="S775" s="18"/>
      <c r="T775" s="18">
        <f>+T767+T768+T773+T774+T769</f>
        <v>-16505</v>
      </c>
      <c r="U775" s="42"/>
      <c r="V775" s="18">
        <f>+V767+V768+V773+V774+V769</f>
        <v>3774887</v>
      </c>
      <c r="W775" s="18">
        <f>+W767+W768+W773+W774+W769</f>
        <v>3381059</v>
      </c>
      <c r="X775" s="18">
        <f>+X767+X768+X773+X774+X769</f>
        <v>393828</v>
      </c>
    </row>
    <row r="776" spans="1:24" ht="15">
      <c r="A776" s="4"/>
      <c r="B776" s="24"/>
      <c r="C776" s="11"/>
      <c r="D776" s="18"/>
      <c r="E776" s="18"/>
      <c r="F776" s="18"/>
      <c r="G776" s="18"/>
      <c r="I776" s="18"/>
      <c r="J776" s="18"/>
      <c r="K776" s="27" t="s">
        <v>0</v>
      </c>
      <c r="L776" s="18"/>
      <c r="M776" s="18"/>
      <c r="N776" s="18"/>
      <c r="O776" s="18"/>
      <c r="P776" s="42"/>
      <c r="Q776" s="18"/>
      <c r="R776" s="18"/>
      <c r="S776" s="18"/>
      <c r="T776" s="18"/>
      <c r="U776" s="42"/>
      <c r="V776" s="18"/>
      <c r="W776" s="18"/>
      <c r="X776" s="18"/>
    </row>
    <row r="777" spans="1:24" ht="15">
      <c r="A777" s="4"/>
      <c r="B777" s="24"/>
      <c r="C777" s="11"/>
      <c r="D777" s="18"/>
      <c r="E777" s="18"/>
      <c r="F777" s="18"/>
      <c r="G777" s="18"/>
      <c r="I777" s="18"/>
      <c r="J777" s="18"/>
      <c r="K777" s="27" t="s">
        <v>0</v>
      </c>
      <c r="L777" s="18"/>
      <c r="M777" s="18"/>
      <c r="N777" s="18"/>
      <c r="O777" s="18"/>
      <c r="P777" s="42"/>
      <c r="Q777" s="18"/>
      <c r="R777" s="18"/>
      <c r="S777" s="18"/>
      <c r="T777" s="18"/>
      <c r="U777" s="42"/>
      <c r="V777" s="18"/>
      <c r="W777" s="18"/>
      <c r="X777" s="18"/>
    </row>
    <row r="778" spans="1:24" ht="15">
      <c r="A778" s="4"/>
      <c r="B778" s="24"/>
      <c r="C778" s="11"/>
      <c r="D778" s="18"/>
      <c r="E778" s="18"/>
      <c r="F778" s="18"/>
      <c r="G778" s="18"/>
      <c r="I778" s="18"/>
      <c r="J778" s="18"/>
      <c r="K778" s="18"/>
      <c r="L778" s="18"/>
      <c r="M778" s="18"/>
      <c r="N778" s="18"/>
      <c r="O778" s="18"/>
      <c r="P778" s="42"/>
      <c r="Q778" s="18"/>
      <c r="R778" s="18"/>
      <c r="S778" s="18"/>
      <c r="T778" s="18"/>
      <c r="U778" s="42"/>
      <c r="V778" s="18"/>
      <c r="W778" s="18"/>
      <c r="X778" s="18"/>
    </row>
    <row r="779" spans="1:24" ht="15">
      <c r="A779" s="4"/>
      <c r="B779" s="24"/>
      <c r="C779" s="11"/>
      <c r="D779" s="18"/>
      <c r="E779" s="18"/>
      <c r="F779" s="18"/>
      <c r="G779" s="18"/>
      <c r="I779" s="18"/>
      <c r="J779" s="18"/>
      <c r="K779" s="18"/>
      <c r="L779" s="18"/>
      <c r="M779" s="18"/>
      <c r="N779" s="18"/>
      <c r="O779" s="18"/>
      <c r="P779" s="42"/>
      <c r="Q779" s="18"/>
      <c r="R779" s="18"/>
      <c r="S779" s="18"/>
      <c r="T779" s="18"/>
      <c r="U779" s="42"/>
      <c r="V779" s="18"/>
      <c r="W779" s="18"/>
      <c r="X779" s="18"/>
    </row>
    <row r="780" spans="1:24" ht="15">
      <c r="A780" s="4"/>
      <c r="B780" s="24"/>
      <c r="C780" s="11"/>
      <c r="D780" s="18"/>
      <c r="E780" s="18"/>
      <c r="F780" s="18"/>
      <c r="G780" s="18"/>
      <c r="I780" s="18"/>
      <c r="J780" s="18"/>
      <c r="K780" s="18"/>
      <c r="L780" s="18"/>
      <c r="M780" s="18"/>
      <c r="N780" s="18"/>
      <c r="O780" s="18"/>
      <c r="P780" s="42"/>
      <c r="Q780" s="18"/>
      <c r="R780" s="18"/>
      <c r="S780" s="18"/>
      <c r="T780" s="18"/>
      <c r="U780" s="42"/>
      <c r="V780" s="18"/>
      <c r="W780" s="18"/>
      <c r="X780" s="18"/>
    </row>
    <row r="781" spans="1:24" ht="15">
      <c r="A781" s="4"/>
      <c r="B781" s="24"/>
      <c r="C781" s="11"/>
      <c r="D781" s="18"/>
      <c r="E781" s="18"/>
      <c r="F781" s="18"/>
      <c r="G781" s="18"/>
      <c r="I781" s="18"/>
      <c r="J781" s="18"/>
      <c r="K781" s="18"/>
      <c r="L781" s="18"/>
      <c r="M781" s="18"/>
      <c r="N781" s="18"/>
      <c r="O781" s="18"/>
      <c r="P781" s="42"/>
      <c r="Q781" s="18"/>
      <c r="R781" s="18"/>
      <c r="S781" s="18"/>
      <c r="T781" s="18"/>
      <c r="U781" s="42"/>
      <c r="V781" s="18"/>
      <c r="W781" s="18"/>
      <c r="X781" s="18"/>
    </row>
    <row r="782" spans="1:24" ht="15">
      <c r="A782" s="4"/>
      <c r="B782" s="24"/>
      <c r="C782" s="11"/>
      <c r="D782" s="18"/>
      <c r="E782" s="18"/>
      <c r="F782" s="18"/>
      <c r="G782" s="18"/>
      <c r="I782" s="18"/>
      <c r="J782" s="18"/>
      <c r="K782" s="18"/>
      <c r="L782" s="18"/>
      <c r="M782" s="18"/>
      <c r="N782" s="18"/>
      <c r="O782" s="18"/>
      <c r="P782" s="42"/>
      <c r="Q782" s="18"/>
      <c r="R782" s="18"/>
      <c r="S782" s="18"/>
      <c r="T782" s="18"/>
      <c r="U782" s="42"/>
      <c r="V782" s="18"/>
      <c r="W782" s="18"/>
      <c r="X782" s="18"/>
    </row>
    <row r="783" spans="1:24" ht="15">
      <c r="A783" s="4"/>
      <c r="B783" s="24"/>
      <c r="C783" s="11"/>
      <c r="D783" s="10" t="s">
        <v>4</v>
      </c>
      <c r="E783" s="10"/>
      <c r="F783" s="10" t="s">
        <v>5</v>
      </c>
      <c r="G783" s="10" t="s">
        <v>6</v>
      </c>
      <c r="H783" s="10"/>
      <c r="I783" s="10" t="s">
        <v>7</v>
      </c>
      <c r="J783" s="10" t="s">
        <v>8</v>
      </c>
      <c r="K783" s="10" t="s">
        <v>9</v>
      </c>
      <c r="L783" s="10" t="s">
        <v>10</v>
      </c>
      <c r="M783" s="10" t="s">
        <v>11</v>
      </c>
      <c r="N783" s="10" t="s">
        <v>12</v>
      </c>
      <c r="O783" s="10" t="s">
        <v>13</v>
      </c>
      <c r="P783" s="10"/>
      <c r="Q783" s="10" t="s">
        <v>14</v>
      </c>
      <c r="R783" s="10" t="s">
        <v>15</v>
      </c>
      <c r="S783" s="10"/>
      <c r="T783" s="10" t="s">
        <v>16</v>
      </c>
      <c r="U783" s="10"/>
      <c r="V783" s="10" t="s">
        <v>17</v>
      </c>
      <c r="W783" s="10" t="s">
        <v>18</v>
      </c>
      <c r="X783" s="10" t="s">
        <v>19</v>
      </c>
    </row>
    <row r="784" spans="1:23" ht="15">
      <c r="A784" s="4"/>
      <c r="B784" s="24"/>
      <c r="C784" s="11"/>
      <c r="D784" s="10" t="s">
        <v>20</v>
      </c>
      <c r="E784" s="10"/>
      <c r="F784" s="14" t="s">
        <v>21</v>
      </c>
      <c r="G784" s="10"/>
      <c r="I784" s="39" t="s">
        <v>110</v>
      </c>
      <c r="J784" s="47" t="s">
        <v>111</v>
      </c>
      <c r="K784" s="39"/>
      <c r="L784" s="10" t="s">
        <v>20</v>
      </c>
      <c r="M784" s="10" t="s">
        <v>20</v>
      </c>
      <c r="N784" s="10" t="s">
        <v>20</v>
      </c>
      <c r="O784" s="10" t="s">
        <v>20</v>
      </c>
      <c r="P784" s="42"/>
      <c r="Q784" s="10" t="s">
        <v>20</v>
      </c>
      <c r="R784" s="10" t="s">
        <v>20</v>
      </c>
      <c r="S784" s="48"/>
      <c r="T784" s="10" t="s">
        <v>20</v>
      </c>
      <c r="U784" s="42"/>
      <c r="W784" s="39" t="s">
        <v>112</v>
      </c>
    </row>
    <row r="785" spans="1:24" ht="15">
      <c r="A785" s="4"/>
      <c r="B785" s="87" t="s">
        <v>183</v>
      </c>
      <c r="C785" s="11"/>
      <c r="D785" s="8" t="s">
        <v>113</v>
      </c>
      <c r="E785" s="6"/>
      <c r="F785" s="6" t="s">
        <v>114</v>
      </c>
      <c r="G785" s="49" t="s">
        <v>22</v>
      </c>
      <c r="I785" s="8" t="s">
        <v>113</v>
      </c>
      <c r="J785" s="6" t="s">
        <v>114</v>
      </c>
      <c r="K785" s="49" t="s">
        <v>24</v>
      </c>
      <c r="L785" s="13" t="s">
        <v>115</v>
      </c>
      <c r="M785" s="13" t="s">
        <v>116</v>
      </c>
      <c r="N785" s="13" t="s">
        <v>117</v>
      </c>
      <c r="O785" s="13" t="s">
        <v>118</v>
      </c>
      <c r="P785" s="42"/>
      <c r="Q785" s="13" t="s">
        <v>119</v>
      </c>
      <c r="R785" s="13" t="s">
        <v>120</v>
      </c>
      <c r="T785" s="13" t="s">
        <v>121</v>
      </c>
      <c r="U785" s="42"/>
      <c r="V785" s="10" t="s">
        <v>20</v>
      </c>
      <c r="W785" s="10" t="s">
        <v>21</v>
      </c>
      <c r="X785" s="10" t="s">
        <v>22</v>
      </c>
    </row>
    <row r="786" spans="1:24" ht="15">
      <c r="A786" s="4"/>
      <c r="B786" s="24"/>
      <c r="C786" s="11"/>
      <c r="D786" s="18"/>
      <c r="E786" s="18"/>
      <c r="F786" s="18"/>
      <c r="G786" s="18"/>
      <c r="I786" s="72" t="s">
        <v>0</v>
      </c>
      <c r="K786" s="42"/>
      <c r="L786" s="42"/>
      <c r="N786" s="42"/>
      <c r="O786" s="18"/>
      <c r="P786" s="42"/>
      <c r="U786" s="42"/>
      <c r="V786" s="18"/>
      <c r="W786" s="39" t="s">
        <v>122</v>
      </c>
      <c r="X786" s="18"/>
    </row>
    <row r="787" spans="1:24" ht="15">
      <c r="A787" s="4">
        <f>+A755+1</f>
        <v>19</v>
      </c>
      <c r="B787" s="5" t="s">
        <v>36</v>
      </c>
      <c r="C787" s="17" t="s">
        <v>37</v>
      </c>
      <c r="D787" s="27">
        <v>1227464</v>
      </c>
      <c r="E787" s="18" t="s">
        <v>0</v>
      </c>
      <c r="F787" s="27">
        <v>509381</v>
      </c>
      <c r="G787" s="18">
        <f>D787-F787</f>
        <v>718083</v>
      </c>
      <c r="I787" s="27">
        <v>-719</v>
      </c>
      <c r="J787" s="27">
        <v>1887</v>
      </c>
      <c r="K787" s="36">
        <f>+I787-J787</f>
        <v>-2606</v>
      </c>
      <c r="L787" s="18">
        <v>0</v>
      </c>
      <c r="M787" s="27">
        <v>-135123</v>
      </c>
      <c r="N787" s="27">
        <v>16894</v>
      </c>
      <c r="O787" s="18">
        <v>0</v>
      </c>
      <c r="P787" s="42"/>
      <c r="Q787" s="31">
        <v>0</v>
      </c>
      <c r="R787" s="18">
        <v>0</v>
      </c>
      <c r="S787" s="18"/>
      <c r="T787" s="18">
        <v>0</v>
      </c>
      <c r="U787" s="42"/>
      <c r="V787" s="31">
        <f>+D787+I787+L787+M787+N787+O787+Q787+R787+T787</f>
        <v>1108516</v>
      </c>
      <c r="W787" s="18">
        <f>+F787+J787</f>
        <v>511268</v>
      </c>
      <c r="X787" s="18">
        <f>+V787-W787</f>
        <v>597248</v>
      </c>
    </row>
    <row r="788" spans="1:24" ht="15">
      <c r="A788" s="4">
        <f>+A787+1</f>
        <v>20</v>
      </c>
      <c r="B788" s="5" t="s">
        <v>36</v>
      </c>
      <c r="C788" s="22" t="s">
        <v>38</v>
      </c>
      <c r="D788" s="27">
        <v>1350959</v>
      </c>
      <c r="E788" s="18" t="s">
        <v>0</v>
      </c>
      <c r="F788" s="27">
        <f>466466+102554</f>
        <v>569020</v>
      </c>
      <c r="G788" s="18">
        <f>D788-F788</f>
        <v>781939</v>
      </c>
      <c r="I788" s="27">
        <v>-735</v>
      </c>
      <c r="J788" s="31">
        <v>1887</v>
      </c>
      <c r="K788" s="18">
        <v>-1707</v>
      </c>
      <c r="L788" s="18">
        <v>0</v>
      </c>
      <c r="M788" s="27">
        <v>-135284</v>
      </c>
      <c r="N788" s="27">
        <v>16894</v>
      </c>
      <c r="O788" s="18">
        <v>0</v>
      </c>
      <c r="P788" s="42"/>
      <c r="Q788" s="31">
        <v>0</v>
      </c>
      <c r="R788" s="18">
        <v>0</v>
      </c>
      <c r="S788" s="18"/>
      <c r="T788" s="18">
        <v>0</v>
      </c>
      <c r="U788" s="42"/>
      <c r="V788" s="31">
        <f>+D788+I788+L788+M788+N788+O788+Q788+R788+T788</f>
        <v>1231834</v>
      </c>
      <c r="W788" s="18">
        <f>+F788+J788</f>
        <v>570907</v>
      </c>
      <c r="X788" s="18">
        <f>+V788-W788</f>
        <v>660927</v>
      </c>
    </row>
    <row r="789" spans="1:24" ht="15">
      <c r="A789" s="4">
        <f>+A788+1</f>
        <v>21</v>
      </c>
      <c r="B789" s="24" t="s">
        <v>46</v>
      </c>
      <c r="C789" s="40" t="s">
        <v>78</v>
      </c>
      <c r="D789" s="18">
        <f>+D787-D788</f>
        <v>-123495</v>
      </c>
      <c r="E789" s="18"/>
      <c r="F789" s="18">
        <f>+F787-F788</f>
        <v>-59639</v>
      </c>
      <c r="G789" s="18">
        <f>+G787-G788</f>
        <v>-63856</v>
      </c>
      <c r="I789" s="18">
        <f aca="true" t="shared" si="99" ref="I789:O789">+I787-I788</f>
        <v>16</v>
      </c>
      <c r="J789" s="18">
        <f t="shared" si="99"/>
        <v>0</v>
      </c>
      <c r="K789" s="18">
        <f t="shared" si="99"/>
        <v>-899</v>
      </c>
      <c r="L789" s="18">
        <f t="shared" si="99"/>
        <v>0</v>
      </c>
      <c r="M789" s="18">
        <f t="shared" si="99"/>
        <v>161</v>
      </c>
      <c r="N789" s="18">
        <f t="shared" si="99"/>
        <v>0</v>
      </c>
      <c r="O789" s="18">
        <f t="shared" si="99"/>
        <v>0</v>
      </c>
      <c r="P789" s="42"/>
      <c r="Q789" s="18">
        <f>+Q787-Q788</f>
        <v>0</v>
      </c>
      <c r="R789" s="18">
        <f>+R787-R788</f>
        <v>0</v>
      </c>
      <c r="S789" s="18"/>
      <c r="T789" s="18">
        <f>+T787-T788</f>
        <v>0</v>
      </c>
      <c r="U789" s="42"/>
      <c r="V789" s="31">
        <f>+V787-V788</f>
        <v>-123318</v>
      </c>
      <c r="W789" s="31">
        <f>+W787-W788</f>
        <v>-59639</v>
      </c>
      <c r="X789" s="18">
        <f>+X787-X788</f>
        <v>-63679</v>
      </c>
    </row>
    <row r="790" spans="1:24" ht="28.5">
      <c r="A790" s="4">
        <f>+A789+1</f>
        <v>22</v>
      </c>
      <c r="B790" s="88" t="s">
        <v>182</v>
      </c>
      <c r="C790" s="11"/>
      <c r="D790" s="18">
        <v>0</v>
      </c>
      <c r="E790" s="18"/>
      <c r="F790" s="18">
        <v>0</v>
      </c>
      <c r="G790" s="18">
        <f>+D790-F790</f>
        <v>0</v>
      </c>
      <c r="I790" s="18">
        <v>0</v>
      </c>
      <c r="J790" s="18">
        <v>0</v>
      </c>
      <c r="K790" s="18">
        <f>+I790-J790</f>
        <v>0</v>
      </c>
      <c r="L790" s="18">
        <v>0</v>
      </c>
      <c r="M790" s="18">
        <v>0</v>
      </c>
      <c r="N790" s="18">
        <f>+L790-M790</f>
        <v>0</v>
      </c>
      <c r="O790" s="18">
        <v>0</v>
      </c>
      <c r="P790" s="42"/>
      <c r="Q790" s="18">
        <v>0</v>
      </c>
      <c r="R790" s="18">
        <v>0</v>
      </c>
      <c r="S790" s="18"/>
      <c r="T790" s="18">
        <v>0</v>
      </c>
      <c r="U790" s="42"/>
      <c r="V790" s="31">
        <f>+D790+I790+L790+M790+N790+O790+Q790+R790+T790</f>
        <v>0</v>
      </c>
      <c r="W790" s="18">
        <f>+F790+J790</f>
        <v>0</v>
      </c>
      <c r="X790" s="18">
        <f>+V790-W790</f>
        <v>0</v>
      </c>
    </row>
    <row r="791" spans="1:24" ht="24.75">
      <c r="A791" s="4">
        <f>+A790+1</f>
        <v>23</v>
      </c>
      <c r="B791" s="89" t="s">
        <v>39</v>
      </c>
      <c r="C791" s="40"/>
      <c r="D791" s="27">
        <v>207963</v>
      </c>
      <c r="E791" s="18" t="s">
        <v>0</v>
      </c>
      <c r="F791" s="27">
        <f>628164-24</f>
        <v>628140</v>
      </c>
      <c r="G791" s="18">
        <f>D791-F791</f>
        <v>-420177</v>
      </c>
      <c r="I791" s="27">
        <v>0</v>
      </c>
      <c r="J791" s="27">
        <v>0</v>
      </c>
      <c r="K791" s="18">
        <f>+I791-J791</f>
        <v>0</v>
      </c>
      <c r="L791" s="18">
        <v>37926</v>
      </c>
      <c r="M791" s="27">
        <v>-65276</v>
      </c>
      <c r="N791" s="27">
        <v>18030</v>
      </c>
      <c r="O791" s="27">
        <v>-11787</v>
      </c>
      <c r="P791" s="42"/>
      <c r="Q791" s="55">
        <v>0</v>
      </c>
      <c r="R791" s="21">
        <v>0</v>
      </c>
      <c r="S791" s="18"/>
      <c r="T791" s="18">
        <v>-4</v>
      </c>
      <c r="U791" s="42"/>
      <c r="V791" s="31">
        <f>+D791+I791+M791+N791+L791+O791+Q791+R791+T791</f>
        <v>186852</v>
      </c>
      <c r="W791" s="18">
        <f>+F791+J791</f>
        <v>628140</v>
      </c>
      <c r="X791" s="36">
        <f>+V791-W791</f>
        <v>-441288</v>
      </c>
    </row>
    <row r="792" spans="1:24" ht="15">
      <c r="A792" s="6" t="s">
        <v>41</v>
      </c>
      <c r="B792" s="41"/>
      <c r="C792" s="40"/>
      <c r="D792" s="18"/>
      <c r="E792" s="18"/>
      <c r="F792" s="18" t="s">
        <v>0</v>
      </c>
      <c r="G792" s="18"/>
      <c r="I792" s="18"/>
      <c r="J792" s="18"/>
      <c r="K792" s="18"/>
      <c r="L792" s="18"/>
      <c r="M792" s="18"/>
      <c r="N792" s="18"/>
      <c r="O792" s="18"/>
      <c r="P792" s="42"/>
      <c r="Q792" s="18"/>
      <c r="R792" s="18"/>
      <c r="S792" s="18"/>
      <c r="T792" s="18" t="s">
        <v>0</v>
      </c>
      <c r="U792" s="42"/>
      <c r="V792" s="30"/>
      <c r="W792" s="30"/>
      <c r="X792" s="36"/>
    </row>
    <row r="793" spans="1:24" ht="15">
      <c r="A793" s="4">
        <f>+A791+1</f>
        <v>24</v>
      </c>
      <c r="B793" s="5" t="s">
        <v>42</v>
      </c>
      <c r="C793" s="22" t="s">
        <v>38</v>
      </c>
      <c r="D793" s="27">
        <v>1243191</v>
      </c>
      <c r="E793" s="18" t="s">
        <v>0</v>
      </c>
      <c r="F793" s="27">
        <f>SUM(430216+-33976)</f>
        <v>396240</v>
      </c>
      <c r="G793" s="18">
        <f>D793-F793</f>
        <v>846951</v>
      </c>
      <c r="I793" s="18">
        <v>-719</v>
      </c>
      <c r="J793" s="26">
        <v>1887</v>
      </c>
      <c r="K793" s="18">
        <f>+I793-J793</f>
        <v>-2606</v>
      </c>
      <c r="L793" s="27">
        <v>0</v>
      </c>
      <c r="M793" s="27">
        <v>-205428</v>
      </c>
      <c r="N793" s="27">
        <v>20376</v>
      </c>
      <c r="O793" s="18">
        <v>0</v>
      </c>
      <c r="P793" s="42"/>
      <c r="Q793" s="31">
        <v>0</v>
      </c>
      <c r="R793" s="18">
        <v>0</v>
      </c>
      <c r="S793" s="18" t="s">
        <v>0</v>
      </c>
      <c r="T793" s="18">
        <v>0</v>
      </c>
      <c r="U793" s="42"/>
      <c r="V793" s="31">
        <f>+D793+I793+L793+M793+N793+O793+Q793+R793+T793</f>
        <v>1057420</v>
      </c>
      <c r="W793" s="18">
        <f>+F793+J793</f>
        <v>398127</v>
      </c>
      <c r="X793" s="18">
        <f>+V793-W793</f>
        <v>659293</v>
      </c>
    </row>
    <row r="794" spans="1:24" ht="15">
      <c r="A794" s="4">
        <f>+A793+1</f>
        <v>25</v>
      </c>
      <c r="B794" s="5" t="s">
        <v>43</v>
      </c>
      <c r="C794" s="11"/>
      <c r="D794" s="18"/>
      <c r="E794" s="18"/>
      <c r="F794" s="18">
        <v>0</v>
      </c>
      <c r="G794" s="18">
        <f>+D794-F794</f>
        <v>0</v>
      </c>
      <c r="I794" s="18">
        <v>0</v>
      </c>
      <c r="J794" s="18">
        <v>0</v>
      </c>
      <c r="K794" s="18">
        <f>+I794-J794</f>
        <v>0</v>
      </c>
      <c r="L794" s="18">
        <v>0</v>
      </c>
      <c r="M794" s="18">
        <v>0</v>
      </c>
      <c r="N794" s="18">
        <f>+L794-M794</f>
        <v>0</v>
      </c>
      <c r="O794" s="18">
        <v>0</v>
      </c>
      <c r="P794" s="42"/>
      <c r="Q794" s="18">
        <v>0</v>
      </c>
      <c r="R794" s="18">
        <v>0</v>
      </c>
      <c r="S794" s="18"/>
      <c r="T794" s="18">
        <v>0</v>
      </c>
      <c r="U794" s="42"/>
      <c r="V794" s="31">
        <f>+D794+I794+L794+O794+Q794+R794+T794</f>
        <v>0</v>
      </c>
      <c r="W794" s="18">
        <f>+F794+J794+M794</f>
        <v>0</v>
      </c>
      <c r="X794" s="18">
        <f>+V794-W794</f>
        <v>0</v>
      </c>
    </row>
    <row r="795" spans="1:24" ht="26.25">
      <c r="A795" s="4">
        <f>+A794+1</f>
        <v>26</v>
      </c>
      <c r="B795" s="24" t="s">
        <v>79</v>
      </c>
      <c r="C795" s="11"/>
      <c r="D795" s="18">
        <f>+D793-D794</f>
        <v>1243191</v>
      </c>
      <c r="E795" s="18"/>
      <c r="F795" s="18">
        <f>+F793-F794</f>
        <v>396240</v>
      </c>
      <c r="G795" s="18">
        <f>+G793-G794</f>
        <v>846951</v>
      </c>
      <c r="I795" s="18">
        <f aca="true" t="shared" si="100" ref="I795:N795">+I793-I794</f>
        <v>-719</v>
      </c>
      <c r="J795" s="18">
        <f t="shared" si="100"/>
        <v>1887</v>
      </c>
      <c r="K795" s="18">
        <f t="shared" si="100"/>
        <v>-2606</v>
      </c>
      <c r="L795" s="18">
        <f t="shared" si="100"/>
        <v>0</v>
      </c>
      <c r="M795" s="18">
        <f t="shared" si="100"/>
        <v>-205428</v>
      </c>
      <c r="N795" s="18">
        <f t="shared" si="100"/>
        <v>20376</v>
      </c>
      <c r="O795" s="18">
        <v>0</v>
      </c>
      <c r="P795" s="42"/>
      <c r="Q795" s="18">
        <f>+Q793-Q794</f>
        <v>0</v>
      </c>
      <c r="R795" s="18">
        <f>+R793-R794</f>
        <v>0</v>
      </c>
      <c r="S795" s="18"/>
      <c r="T795" s="18">
        <f>+T793-T794</f>
        <v>0</v>
      </c>
      <c r="U795" s="42"/>
      <c r="V795" s="27">
        <f>+V793-V794</f>
        <v>1057420</v>
      </c>
      <c r="W795" s="27">
        <f>+W793-W794</f>
        <v>398127</v>
      </c>
      <c r="X795" s="31">
        <f>+X793-X794</f>
        <v>659293</v>
      </c>
    </row>
    <row r="796" spans="1:24" ht="28.5">
      <c r="A796" s="4">
        <f>+A795+1</f>
        <v>27</v>
      </c>
      <c r="B796" s="88" t="s">
        <v>181</v>
      </c>
      <c r="C796" s="11"/>
      <c r="D796" s="18">
        <v>0</v>
      </c>
      <c r="E796" s="18"/>
      <c r="F796" s="18">
        <v>0</v>
      </c>
      <c r="G796" s="18">
        <f>+D796-F796</f>
        <v>0</v>
      </c>
      <c r="I796" s="18">
        <v>0</v>
      </c>
      <c r="J796" s="18">
        <v>0</v>
      </c>
      <c r="K796" s="18">
        <f>+I796-J796</f>
        <v>0</v>
      </c>
      <c r="L796" s="18">
        <v>0</v>
      </c>
      <c r="M796" s="18">
        <v>0</v>
      </c>
      <c r="N796" s="18">
        <f>+L796-M796</f>
        <v>0</v>
      </c>
      <c r="O796" s="18">
        <v>0</v>
      </c>
      <c r="P796" s="42"/>
      <c r="Q796" s="18">
        <v>0</v>
      </c>
      <c r="R796" s="18">
        <v>0</v>
      </c>
      <c r="S796" s="18"/>
      <c r="T796" s="18">
        <v>0</v>
      </c>
      <c r="U796" s="42"/>
      <c r="V796" s="31">
        <f>+D796+I796+L796+O796+Q796+R796+T796</f>
        <v>0</v>
      </c>
      <c r="W796" s="18">
        <f>+F796+J796+M796</f>
        <v>0</v>
      </c>
      <c r="X796" s="18">
        <f>+V796-W796</f>
        <v>0</v>
      </c>
    </row>
    <row r="797" spans="1:24" ht="15">
      <c r="A797" s="4">
        <f>+A796+1</f>
        <v>28</v>
      </c>
      <c r="B797" s="24" t="s">
        <v>46</v>
      </c>
      <c r="C797" s="11" t="s">
        <v>47</v>
      </c>
      <c r="D797" s="51">
        <f>+D789+D790+D795+D796+D791</f>
        <v>1327659</v>
      </c>
      <c r="E797" s="18"/>
      <c r="F797" s="52">
        <f>+F789+F790+F795+F796+F791</f>
        <v>964741</v>
      </c>
      <c r="G797" s="18">
        <f>+G789+G790+G795+G796+G791</f>
        <v>362918</v>
      </c>
      <c r="I797" s="51">
        <f aca="true" t="shared" si="101" ref="I797:O797">+I789+I790+I795+I796+I791</f>
        <v>-703</v>
      </c>
      <c r="J797" s="52">
        <f t="shared" si="101"/>
        <v>1887</v>
      </c>
      <c r="K797" s="18">
        <f t="shared" si="101"/>
        <v>-3505</v>
      </c>
      <c r="L797" s="18">
        <f t="shared" si="101"/>
        <v>37926</v>
      </c>
      <c r="M797" s="18">
        <f t="shared" si="101"/>
        <v>-270543</v>
      </c>
      <c r="N797" s="18">
        <f t="shared" si="101"/>
        <v>38406</v>
      </c>
      <c r="O797" s="18">
        <f t="shared" si="101"/>
        <v>-11787</v>
      </c>
      <c r="P797" s="42"/>
      <c r="Q797" s="18">
        <f>+Q789+Q790+Q795+Q796+Q791</f>
        <v>0</v>
      </c>
      <c r="R797" s="18">
        <f>+R789+R790+R795+R796+R791</f>
        <v>0</v>
      </c>
      <c r="S797" s="18"/>
      <c r="T797" s="18">
        <f>+T789+T790+T795+T796+T791</f>
        <v>-4</v>
      </c>
      <c r="U797" s="42"/>
      <c r="V797" s="18">
        <f>+V789+V790+V795+V796+V791</f>
        <v>1120954</v>
      </c>
      <c r="W797" s="18">
        <f>+W789+W790+W795+W796+W791</f>
        <v>966628</v>
      </c>
      <c r="X797" s="18">
        <f>+X789+X790+X795+X796+X791</f>
        <v>154326</v>
      </c>
    </row>
    <row r="798" spans="1:24" ht="15">
      <c r="A798" s="4"/>
      <c r="B798" s="24" t="s">
        <v>0</v>
      </c>
      <c r="C798" s="11"/>
      <c r="D798" s="27" t="s">
        <v>0</v>
      </c>
      <c r="E798" s="18"/>
      <c r="F798" s="18" t="s">
        <v>0</v>
      </c>
      <c r="G798" s="18"/>
      <c r="I798" s="18"/>
      <c r="J798" s="18"/>
      <c r="K798" s="18"/>
      <c r="L798" s="18"/>
      <c r="M798" s="42"/>
      <c r="N798" s="73" t="s">
        <v>0</v>
      </c>
      <c r="O798" s="42"/>
      <c r="P798" s="42"/>
      <c r="Q798" s="42"/>
      <c r="U798" s="42"/>
      <c r="V798" s="18"/>
      <c r="W798" s="18"/>
      <c r="X798" s="18"/>
    </row>
    <row r="799" spans="1:24" ht="15">
      <c r="A799" s="4"/>
      <c r="B799" s="92" t="s">
        <v>0</v>
      </c>
      <c r="C799" s="11"/>
      <c r="D799" s="6" t="s">
        <v>48</v>
      </c>
      <c r="E799" s="6"/>
      <c r="F799" s="10" t="s">
        <v>49</v>
      </c>
      <c r="G799" s="10" t="s">
        <v>50</v>
      </c>
      <c r="I799" s="10" t="s">
        <v>51</v>
      </c>
      <c r="J799" s="10" t="s">
        <v>52</v>
      </c>
      <c r="K799" s="10" t="s">
        <v>53</v>
      </c>
      <c r="L799" s="10" t="s">
        <v>54</v>
      </c>
      <c r="M799" s="10" t="s">
        <v>55</v>
      </c>
      <c r="N799" s="10" t="s">
        <v>56</v>
      </c>
      <c r="O799" s="10" t="s">
        <v>57</v>
      </c>
      <c r="P799" s="18"/>
      <c r="Q799" s="10" t="s">
        <v>58</v>
      </c>
      <c r="R799" s="10" t="s">
        <v>59</v>
      </c>
      <c r="S799" s="10"/>
      <c r="T799" s="10" t="s">
        <v>60</v>
      </c>
      <c r="U799" s="18"/>
      <c r="V799" s="10" t="s">
        <v>61</v>
      </c>
      <c r="W799" s="10" t="s">
        <v>62</v>
      </c>
      <c r="X799" s="10" t="s">
        <v>63</v>
      </c>
    </row>
    <row r="800" spans="1:24" ht="15">
      <c r="A800" s="4"/>
      <c r="B800" s="24"/>
      <c r="C800" s="11"/>
      <c r="D800" s="14" t="s">
        <v>20</v>
      </c>
      <c r="E800" s="18"/>
      <c r="F800" s="14" t="s">
        <v>20</v>
      </c>
      <c r="G800" s="14" t="s">
        <v>20</v>
      </c>
      <c r="I800" s="14" t="s">
        <v>20</v>
      </c>
      <c r="J800" s="14" t="s">
        <v>21</v>
      </c>
      <c r="K800" s="14" t="s">
        <v>21</v>
      </c>
      <c r="L800" s="14" t="s">
        <v>21</v>
      </c>
      <c r="M800" s="14" t="s">
        <v>21</v>
      </c>
      <c r="N800" s="14" t="s">
        <v>21</v>
      </c>
      <c r="O800" s="14" t="s">
        <v>21</v>
      </c>
      <c r="P800" s="14"/>
      <c r="Q800" s="14" t="s">
        <v>21</v>
      </c>
      <c r="R800" s="14" t="s">
        <v>21</v>
      </c>
      <c r="T800" s="14" t="s">
        <v>21</v>
      </c>
      <c r="U800" s="42"/>
      <c r="V800" s="18"/>
      <c r="W800" s="39" t="s">
        <v>123</v>
      </c>
      <c r="X800" s="18"/>
    </row>
    <row r="801" spans="1:24" ht="15">
      <c r="A801" s="4"/>
      <c r="B801" s="87" t="s">
        <v>183</v>
      </c>
      <c r="C801" s="11"/>
      <c r="D801" s="53" t="s">
        <v>124</v>
      </c>
      <c r="E801" s="18"/>
      <c r="F801" s="53" t="s">
        <v>125</v>
      </c>
      <c r="G801" s="53" t="s">
        <v>126</v>
      </c>
      <c r="I801" s="53" t="s">
        <v>127</v>
      </c>
      <c r="J801" s="53" t="s">
        <v>128</v>
      </c>
      <c r="K801" s="53" t="s">
        <v>129</v>
      </c>
      <c r="L801" s="53" t="s">
        <v>130</v>
      </c>
      <c r="M801" s="53" t="s">
        <v>131</v>
      </c>
      <c r="N801" s="24" t="s">
        <v>132</v>
      </c>
      <c r="O801" s="24" t="s">
        <v>98</v>
      </c>
      <c r="P801" s="24"/>
      <c r="Q801" s="24" t="s">
        <v>99</v>
      </c>
      <c r="R801" s="24" t="s">
        <v>133</v>
      </c>
      <c r="S801" s="42"/>
      <c r="T801" s="24" t="s">
        <v>134</v>
      </c>
      <c r="U801" s="42"/>
      <c r="V801" s="10" t="s">
        <v>20</v>
      </c>
      <c r="W801" s="10" t="s">
        <v>21</v>
      </c>
      <c r="X801" s="10" t="s">
        <v>22</v>
      </c>
    </row>
    <row r="802" spans="1:24" ht="15">
      <c r="A802" s="4"/>
      <c r="B802" s="24"/>
      <c r="C802" s="11"/>
      <c r="D802" s="18"/>
      <c r="E802" s="18"/>
      <c r="F802" s="18"/>
      <c r="I802" s="18"/>
      <c r="J802" s="18"/>
      <c r="O802" s="42"/>
      <c r="P802" s="42"/>
      <c r="Q802" s="42"/>
      <c r="R802" s="42"/>
      <c r="S802" s="42"/>
      <c r="T802" s="42"/>
      <c r="U802" s="42"/>
      <c r="V802" s="18"/>
      <c r="W802" s="39"/>
      <c r="X802" s="18"/>
    </row>
    <row r="803" spans="1:24" ht="15">
      <c r="A803" s="4">
        <f>+A797+1</f>
        <v>29</v>
      </c>
      <c r="B803" s="5" t="s">
        <v>36</v>
      </c>
      <c r="C803" s="17" t="s">
        <v>37</v>
      </c>
      <c r="D803" s="18">
        <v>0</v>
      </c>
      <c r="E803" s="18"/>
      <c r="F803" s="18">
        <v>0</v>
      </c>
      <c r="G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0</v>
      </c>
      <c r="P803" s="18"/>
      <c r="Q803" s="18">
        <v>0</v>
      </c>
      <c r="R803" s="18">
        <v>0</v>
      </c>
      <c r="S803" s="42"/>
      <c r="T803" s="18">
        <v>0</v>
      </c>
      <c r="U803" s="42"/>
      <c r="V803" s="18">
        <f>+V787+D803+F803+G803+I803</f>
        <v>1108516</v>
      </c>
      <c r="W803" s="18">
        <f>+W787+J803+K803+L803+M803+N803+O803+Q803+R803+T803</f>
        <v>511268</v>
      </c>
      <c r="X803" s="18">
        <f>+V803-W803</f>
        <v>597248</v>
      </c>
    </row>
    <row r="804" spans="1:24" ht="15">
      <c r="A804" s="4">
        <f>+A803+1</f>
        <v>30</v>
      </c>
      <c r="B804" s="5" t="s">
        <v>36</v>
      </c>
      <c r="C804" s="22" t="s">
        <v>38</v>
      </c>
      <c r="D804" s="18">
        <v>0</v>
      </c>
      <c r="E804" s="18"/>
      <c r="F804" s="18">
        <v>0</v>
      </c>
      <c r="G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8">
        <v>0</v>
      </c>
      <c r="P804" s="18"/>
      <c r="Q804" s="18">
        <v>0</v>
      </c>
      <c r="R804" s="18">
        <v>0</v>
      </c>
      <c r="S804" s="42"/>
      <c r="T804" s="18">
        <v>0</v>
      </c>
      <c r="U804" s="42"/>
      <c r="V804" s="18">
        <f>+V788+D804+F804+G804+I804</f>
        <v>1231834</v>
      </c>
      <c r="W804" s="18">
        <f>+W788+J804+K804+L804+M804+N804+O804+Q804+R804+T804</f>
        <v>570907</v>
      </c>
      <c r="X804" s="18">
        <f>+V804-W804</f>
        <v>660927</v>
      </c>
    </row>
    <row r="805" spans="1:24" ht="15">
      <c r="A805" s="4">
        <f>+A804+1</f>
        <v>31</v>
      </c>
      <c r="B805" s="24" t="s">
        <v>46</v>
      </c>
      <c r="C805" s="40" t="s">
        <v>78</v>
      </c>
      <c r="D805" s="18">
        <f>+D803-D804</f>
        <v>0</v>
      </c>
      <c r="E805" s="18"/>
      <c r="F805" s="18">
        <f>+F803-F804</f>
        <v>0</v>
      </c>
      <c r="G805" s="18">
        <f>+G803-G804</f>
        <v>0</v>
      </c>
      <c r="I805" s="18">
        <f aca="true" t="shared" si="102" ref="I805:O805">+I803-I804</f>
        <v>0</v>
      </c>
      <c r="J805" s="18">
        <f t="shared" si="102"/>
        <v>0</v>
      </c>
      <c r="K805" s="18">
        <f t="shared" si="102"/>
        <v>0</v>
      </c>
      <c r="L805" s="18">
        <f t="shared" si="102"/>
        <v>0</v>
      </c>
      <c r="M805" s="18">
        <f t="shared" si="102"/>
        <v>0</v>
      </c>
      <c r="N805" s="18">
        <f t="shared" si="102"/>
        <v>0</v>
      </c>
      <c r="O805" s="18">
        <f t="shared" si="102"/>
        <v>0</v>
      </c>
      <c r="P805" s="18"/>
      <c r="Q805" s="18">
        <f>+Q803-Q804</f>
        <v>0</v>
      </c>
      <c r="R805" s="18">
        <f>+R803-R804</f>
        <v>0</v>
      </c>
      <c r="S805" s="42"/>
      <c r="T805" s="18">
        <f>+T803-T804</f>
        <v>0</v>
      </c>
      <c r="U805" s="42"/>
      <c r="V805" s="27">
        <f>+V803-V804</f>
        <v>-123318</v>
      </c>
      <c r="W805" s="27">
        <f>+W803-W804</f>
        <v>-59639</v>
      </c>
      <c r="X805" s="18">
        <f>+X803-X804</f>
        <v>-63679</v>
      </c>
    </row>
    <row r="806" spans="1:24" ht="28.5">
      <c r="A806" s="4">
        <f>+A805+1</f>
        <v>32</v>
      </c>
      <c r="B806" s="88" t="s">
        <v>182</v>
      </c>
      <c r="C806" s="11"/>
      <c r="D806" s="18">
        <v>0</v>
      </c>
      <c r="E806" s="18"/>
      <c r="F806" s="18">
        <v>0</v>
      </c>
      <c r="G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/>
      <c r="Q806" s="18">
        <v>0</v>
      </c>
      <c r="R806" s="18">
        <v>0</v>
      </c>
      <c r="S806" s="42"/>
      <c r="T806" s="18">
        <v>0</v>
      </c>
      <c r="U806" s="42"/>
      <c r="V806" s="18">
        <f>+V790+D806+F806+G806+I806</f>
        <v>0</v>
      </c>
      <c r="W806" s="18">
        <f>+W790+J806+K806+L806+M806+N806+O806+Q806+R806+T806</f>
        <v>0</v>
      </c>
      <c r="X806" s="18">
        <f>+V806-W806</f>
        <v>0</v>
      </c>
    </row>
    <row r="807" spans="1:24" ht="24.75">
      <c r="A807" s="4">
        <f>+A806+1</f>
        <v>33</v>
      </c>
      <c r="B807" s="89" t="s">
        <v>39</v>
      </c>
      <c r="C807" s="40"/>
      <c r="D807" s="27">
        <v>210</v>
      </c>
      <c r="E807" s="27" t="s">
        <v>0</v>
      </c>
      <c r="F807" s="27">
        <v>-333</v>
      </c>
      <c r="G807" s="27">
        <v>-7226</v>
      </c>
      <c r="H807" t="s">
        <v>0</v>
      </c>
      <c r="I807" s="27">
        <v>0</v>
      </c>
      <c r="J807" s="27">
        <v>88</v>
      </c>
      <c r="K807" s="27">
        <v>0</v>
      </c>
      <c r="L807" s="27">
        <v>0</v>
      </c>
      <c r="M807" s="18">
        <v>0</v>
      </c>
      <c r="N807" s="18">
        <v>0</v>
      </c>
      <c r="O807" s="18">
        <v>0</v>
      </c>
      <c r="P807" s="18"/>
      <c r="Q807" s="18">
        <v>0</v>
      </c>
      <c r="R807" s="18">
        <v>0</v>
      </c>
      <c r="S807" s="42"/>
      <c r="T807" s="18">
        <v>16</v>
      </c>
      <c r="U807" s="42"/>
      <c r="V807" s="18">
        <f>+V791+D807+F807+G807+I807</f>
        <v>179503</v>
      </c>
      <c r="W807" s="18">
        <f>+W791+J807+K807+L807+M807+N807+O807+Q807+R807+T807</f>
        <v>628244</v>
      </c>
      <c r="X807" s="36">
        <f>+V807-W807</f>
        <v>-448741</v>
      </c>
    </row>
    <row r="808" spans="1:24" ht="15">
      <c r="A808" s="6" t="s">
        <v>41</v>
      </c>
      <c r="B808" s="41"/>
      <c r="C808" s="40"/>
      <c r="D808" s="18"/>
      <c r="E808" s="18"/>
      <c r="F808" s="18"/>
      <c r="G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42"/>
      <c r="T808" s="18"/>
      <c r="U808" s="42"/>
      <c r="V808" s="18"/>
      <c r="W808" s="54"/>
      <c r="X808" s="36"/>
    </row>
    <row r="809" spans="1:24" ht="15">
      <c r="A809" s="4">
        <f>+A807+1</f>
        <v>34</v>
      </c>
      <c r="B809" s="5" t="s">
        <v>42</v>
      </c>
      <c r="C809" s="22" t="s">
        <v>38</v>
      </c>
      <c r="D809" s="18">
        <v>0</v>
      </c>
      <c r="E809" s="18"/>
      <c r="F809" s="18">
        <v>0</v>
      </c>
      <c r="G809" s="18">
        <v>0</v>
      </c>
      <c r="I809" s="18">
        <v>0</v>
      </c>
      <c r="J809" s="18">
        <v>0</v>
      </c>
      <c r="K809" s="18">
        <v>0</v>
      </c>
      <c r="L809" s="18"/>
      <c r="M809" s="18">
        <v>0</v>
      </c>
      <c r="N809" s="18">
        <v>0</v>
      </c>
      <c r="O809" s="18">
        <v>0</v>
      </c>
      <c r="P809" s="18"/>
      <c r="Q809" s="18">
        <v>0</v>
      </c>
      <c r="R809" s="18">
        <v>0</v>
      </c>
      <c r="S809" s="42"/>
      <c r="T809" s="18">
        <v>0</v>
      </c>
      <c r="U809" s="42"/>
      <c r="V809" s="18">
        <f>+V793+D809+F809+G809+I809</f>
        <v>1057420</v>
      </c>
      <c r="W809" s="18">
        <f>+W793+J809+K809+L809+M809+N809+O809+Q809+R809+T809</f>
        <v>398127</v>
      </c>
      <c r="X809" s="18">
        <f>+V809-W809</f>
        <v>659293</v>
      </c>
    </row>
    <row r="810" spans="1:24" ht="15">
      <c r="A810" s="4">
        <f>+A809+1</f>
        <v>35</v>
      </c>
      <c r="B810" s="5" t="s">
        <v>43</v>
      </c>
      <c r="C810" s="11"/>
      <c r="D810" s="18">
        <v>0</v>
      </c>
      <c r="E810" s="18"/>
      <c r="F810" s="18">
        <v>0</v>
      </c>
      <c r="G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/>
      <c r="Q810" s="18">
        <v>0</v>
      </c>
      <c r="R810" s="18">
        <v>0</v>
      </c>
      <c r="S810" s="42"/>
      <c r="T810" s="18">
        <v>0</v>
      </c>
      <c r="U810" s="42"/>
      <c r="V810" s="18">
        <f>+V794+D810+F810+G810+I810</f>
        <v>0</v>
      </c>
      <c r="W810" s="18">
        <f>+W794+J810+K810+L810+M810+N810+O810+Q810+R810+T810</f>
        <v>0</v>
      </c>
      <c r="X810" s="18">
        <f>+V810-W810</f>
        <v>0</v>
      </c>
    </row>
    <row r="811" spans="1:24" ht="26.25">
      <c r="A811" s="4">
        <f>+A810+1</f>
        <v>36</v>
      </c>
      <c r="B811" s="24" t="s">
        <v>79</v>
      </c>
      <c r="C811" s="11"/>
      <c r="D811" s="18">
        <f>+D809-D810</f>
        <v>0</v>
      </c>
      <c r="E811" s="18"/>
      <c r="F811" s="18">
        <f>+F809-F810</f>
        <v>0</v>
      </c>
      <c r="G811" s="18">
        <f>+G809-G810</f>
        <v>0</v>
      </c>
      <c r="I811" s="18">
        <f aca="true" t="shared" si="103" ref="I811:O811">+I809-I810</f>
        <v>0</v>
      </c>
      <c r="J811" s="18">
        <f t="shared" si="103"/>
        <v>0</v>
      </c>
      <c r="K811" s="18">
        <f t="shared" si="103"/>
        <v>0</v>
      </c>
      <c r="L811" s="18">
        <f t="shared" si="103"/>
        <v>0</v>
      </c>
      <c r="M811" s="18">
        <f t="shared" si="103"/>
        <v>0</v>
      </c>
      <c r="N811" s="18">
        <f t="shared" si="103"/>
        <v>0</v>
      </c>
      <c r="O811" s="18">
        <f t="shared" si="103"/>
        <v>0</v>
      </c>
      <c r="P811" s="18"/>
      <c r="Q811" s="18">
        <f>+Q809-Q810</f>
        <v>0</v>
      </c>
      <c r="R811" s="18">
        <f>+R809-R810</f>
        <v>0</v>
      </c>
      <c r="S811" s="42"/>
      <c r="T811" s="18">
        <f>+T809-T810</f>
        <v>0</v>
      </c>
      <c r="U811" s="42"/>
      <c r="V811" s="55">
        <f>+V809-V810</f>
        <v>1057420</v>
      </c>
      <c r="W811" s="55">
        <f>+W809-W810</f>
        <v>398127</v>
      </c>
      <c r="X811" s="31">
        <f>+X809-X810</f>
        <v>659293</v>
      </c>
    </row>
    <row r="812" spans="1:24" ht="28.5">
      <c r="A812" s="4">
        <f>+A811+1</f>
        <v>37</v>
      </c>
      <c r="B812" s="88" t="s">
        <v>181</v>
      </c>
      <c r="C812" s="11"/>
      <c r="D812" s="18">
        <v>0</v>
      </c>
      <c r="E812" s="18"/>
      <c r="F812" s="18">
        <v>0</v>
      </c>
      <c r="G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/>
      <c r="Q812" s="18">
        <v>0</v>
      </c>
      <c r="R812" s="18">
        <v>0</v>
      </c>
      <c r="S812" s="42"/>
      <c r="T812" s="18">
        <v>0</v>
      </c>
      <c r="U812" s="42"/>
      <c r="V812" s="18">
        <f>+V796+D812+F812+G812+I812</f>
        <v>0</v>
      </c>
      <c r="W812" s="18">
        <f>+W796+J812+K812+L812+M812+N812+O812+Q812+R812+T812</f>
        <v>0</v>
      </c>
      <c r="X812" s="18">
        <f>+V812-W812</f>
        <v>0</v>
      </c>
    </row>
    <row r="813" spans="1:24" ht="15">
      <c r="A813" s="4">
        <f>+A812+1</f>
        <v>38</v>
      </c>
      <c r="B813" s="24" t="s">
        <v>46</v>
      </c>
      <c r="C813" s="11" t="s">
        <v>47</v>
      </c>
      <c r="D813" s="18">
        <f>+D805+D806+D811+D812+D807</f>
        <v>210</v>
      </c>
      <c r="E813" s="18"/>
      <c r="F813" s="18">
        <f>+F805+F806+F811+F812+F807</f>
        <v>-333</v>
      </c>
      <c r="G813" s="18">
        <f>+G805+G806+G811+G812+G807</f>
        <v>-7226</v>
      </c>
      <c r="I813" s="18">
        <f aca="true" t="shared" si="104" ref="I813:O813">+I805+I806+I811+I812+I807</f>
        <v>0</v>
      </c>
      <c r="J813" s="18">
        <f t="shared" si="104"/>
        <v>88</v>
      </c>
      <c r="K813" s="18">
        <f t="shared" si="104"/>
        <v>0</v>
      </c>
      <c r="L813" s="18">
        <f t="shared" si="104"/>
        <v>0</v>
      </c>
      <c r="M813" s="18">
        <f t="shared" si="104"/>
        <v>0</v>
      </c>
      <c r="N813" s="18">
        <f t="shared" si="104"/>
        <v>0</v>
      </c>
      <c r="O813" s="18">
        <f t="shared" si="104"/>
        <v>0</v>
      </c>
      <c r="P813" s="18"/>
      <c r="Q813" s="18">
        <f>+Q805+Q806+Q811+Q812+Q807</f>
        <v>0</v>
      </c>
      <c r="R813" s="18">
        <f>+R805+R806+R811+R812+R807</f>
        <v>0</v>
      </c>
      <c r="S813" s="42"/>
      <c r="T813" s="18">
        <f>+T805+T806+T811+T812+T807</f>
        <v>16</v>
      </c>
      <c r="U813" s="42"/>
      <c r="V813" s="18">
        <f>+V805+V806+V811+V812+V807</f>
        <v>1113605</v>
      </c>
      <c r="W813" s="18">
        <f>+W805+W806+W811+W812+W807</f>
        <v>966732</v>
      </c>
      <c r="X813" s="18">
        <f>+X805+X806+X811+X812+X807</f>
        <v>146873</v>
      </c>
    </row>
    <row r="814" spans="1:24" ht="15">
      <c r="A814" s="4"/>
      <c r="B814" s="24"/>
      <c r="C814" s="11"/>
      <c r="D814" s="18"/>
      <c r="E814" s="18"/>
      <c r="F814" s="18"/>
      <c r="G814" s="18"/>
      <c r="N814" s="42"/>
      <c r="O814" s="42"/>
      <c r="P814" s="42"/>
      <c r="Q814" s="42"/>
      <c r="R814" s="42"/>
      <c r="S814" s="42"/>
      <c r="T814" s="42"/>
      <c r="U814" s="42"/>
      <c r="V814" s="18"/>
      <c r="W814" s="18"/>
      <c r="X814" s="18"/>
    </row>
    <row r="815" spans="1:24" ht="15">
      <c r="A815" s="4"/>
      <c r="B815" s="24"/>
      <c r="C815" s="11"/>
      <c r="D815" s="18"/>
      <c r="E815" s="18"/>
      <c r="F815" s="18"/>
      <c r="G815" s="18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18"/>
      <c r="W815" s="18"/>
      <c r="X815" s="18"/>
    </row>
    <row r="816" spans="1:24" ht="15">
      <c r="A816" s="4"/>
      <c r="B816" s="24"/>
      <c r="C816" s="11"/>
      <c r="D816" s="18"/>
      <c r="E816" s="18"/>
      <c r="F816" s="18"/>
      <c r="G816" s="18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18"/>
      <c r="W816" s="18"/>
      <c r="X816" s="18"/>
    </row>
    <row r="817" spans="1:24" ht="15">
      <c r="A817" s="4"/>
      <c r="B817" s="24"/>
      <c r="C817" s="11"/>
      <c r="D817" s="18"/>
      <c r="E817" s="18"/>
      <c r="F817" s="18"/>
      <c r="G817" s="18"/>
      <c r="H817" s="56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18"/>
      <c r="W817" s="18"/>
      <c r="X817" s="18"/>
    </row>
    <row r="818" spans="1:24" ht="15">
      <c r="A818" s="4"/>
      <c r="B818" s="24"/>
      <c r="C818" s="11"/>
      <c r="D818" s="18"/>
      <c r="E818" s="18"/>
      <c r="F818" s="18"/>
      <c r="G818" s="18"/>
      <c r="H818" s="56"/>
      <c r="I818" s="57" t="s">
        <v>135</v>
      </c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18"/>
      <c r="W818" s="18"/>
      <c r="X818" s="18"/>
    </row>
    <row r="819" spans="1:24" ht="15">
      <c r="A819" s="4"/>
      <c r="B819" s="24"/>
      <c r="C819" s="11"/>
      <c r="D819" s="18"/>
      <c r="E819" s="18"/>
      <c r="F819" s="18"/>
      <c r="G819" s="18"/>
      <c r="H819" s="56"/>
      <c r="I819" s="58"/>
      <c r="L819" s="42"/>
      <c r="T819" s="42"/>
      <c r="U819" s="42"/>
      <c r="V819" s="18"/>
      <c r="W819" s="18"/>
      <c r="X819" s="18"/>
    </row>
    <row r="820" spans="1:24" ht="15">
      <c r="A820" s="4"/>
      <c r="B820" s="24"/>
      <c r="C820" s="11"/>
      <c r="D820" s="18"/>
      <c r="E820" s="18"/>
      <c r="F820" s="18"/>
      <c r="G820" s="18"/>
      <c r="H820" s="56"/>
      <c r="I820" s="59" t="s">
        <v>136</v>
      </c>
      <c r="L820" s="74">
        <v>5481869.93</v>
      </c>
      <c r="T820" s="42"/>
      <c r="U820" s="42"/>
      <c r="V820" s="18"/>
      <c r="W820" s="18"/>
      <c r="X820" s="18"/>
    </row>
    <row r="821" spans="1:24" ht="15">
      <c r="A821" s="4"/>
      <c r="B821" s="24"/>
      <c r="C821" s="11"/>
      <c r="D821" s="18"/>
      <c r="E821" s="18"/>
      <c r="F821" s="18"/>
      <c r="G821" s="18"/>
      <c r="H821" s="56"/>
      <c r="I821" s="59"/>
      <c r="L821" s="18"/>
      <c r="T821" s="42"/>
      <c r="U821" s="42"/>
      <c r="V821" s="18"/>
      <c r="W821" s="18"/>
      <c r="X821" s="18"/>
    </row>
    <row r="822" spans="1:24" ht="15">
      <c r="A822" s="4"/>
      <c r="B822" s="24"/>
      <c r="C822" s="11"/>
      <c r="D822" s="44" t="s">
        <v>137</v>
      </c>
      <c r="E822" s="18"/>
      <c r="F822" s="10" t="s">
        <v>138</v>
      </c>
      <c r="G822" s="44" t="s">
        <v>24</v>
      </c>
      <c r="H822" s="56"/>
      <c r="I822" s="59" t="s">
        <v>139</v>
      </c>
      <c r="L822" s="27">
        <v>1560109.75</v>
      </c>
      <c r="N822" s="6" t="s">
        <v>137</v>
      </c>
      <c r="O822" s="6" t="s">
        <v>137</v>
      </c>
      <c r="P822" s="42"/>
      <c r="Q822" s="6" t="s">
        <v>138</v>
      </c>
      <c r="R822" s="6" t="s">
        <v>138</v>
      </c>
      <c r="S822" s="6"/>
      <c r="T822" s="42"/>
      <c r="U822" s="42"/>
      <c r="V822" s="18"/>
      <c r="W822" s="18"/>
      <c r="X822" s="18"/>
    </row>
    <row r="823" spans="1:24" ht="15">
      <c r="A823" s="4"/>
      <c r="B823" s="24"/>
      <c r="C823" s="11"/>
      <c r="D823" s="18"/>
      <c r="E823" s="18"/>
      <c r="F823" s="18"/>
      <c r="G823" s="18"/>
      <c r="H823" s="56"/>
      <c r="I823" s="59"/>
      <c r="L823" s="18"/>
      <c r="N823" s="8" t="s">
        <v>140</v>
      </c>
      <c r="O823" s="49" t="s">
        <v>141</v>
      </c>
      <c r="P823" s="42"/>
      <c r="Q823" s="8" t="s">
        <v>140</v>
      </c>
      <c r="R823" s="49" t="s">
        <v>141</v>
      </c>
      <c r="S823" s="49"/>
      <c r="T823" s="42"/>
      <c r="U823" s="42"/>
      <c r="V823" s="18"/>
      <c r="W823" s="18"/>
      <c r="X823" s="18"/>
    </row>
    <row r="824" spans="1:24" ht="15">
      <c r="A824" s="4">
        <f>+A812+1</f>
        <v>38</v>
      </c>
      <c r="B824" s="5" t="s">
        <v>36</v>
      </c>
      <c r="C824" s="17" t="s">
        <v>37</v>
      </c>
      <c r="D824" s="31">
        <f>+V765+V803</f>
        <v>6272899</v>
      </c>
      <c r="E824" s="18"/>
      <c r="F824" s="31">
        <f>+W765+W803</f>
        <v>4777936</v>
      </c>
      <c r="G824" s="18">
        <f>+D824-F824</f>
        <v>1494963</v>
      </c>
      <c r="H824" s="56"/>
      <c r="I824" s="59" t="s">
        <v>142</v>
      </c>
      <c r="J824" s="18"/>
      <c r="K824" s="18"/>
      <c r="L824" s="36">
        <f>+F740</f>
        <v>3381059</v>
      </c>
      <c r="N824" s="60"/>
      <c r="O824" s="6"/>
      <c r="P824" s="42"/>
      <c r="Q824" s="61"/>
      <c r="R824" s="61"/>
      <c r="S824" s="61"/>
      <c r="T824" s="42"/>
      <c r="U824" s="42"/>
      <c r="V824" s="18"/>
      <c r="W824" s="18"/>
      <c r="X824" s="18"/>
    </row>
    <row r="825" spans="1:21" ht="15">
      <c r="A825" s="4">
        <f>+A824+1</f>
        <v>39</v>
      </c>
      <c r="B825" s="5" t="s">
        <v>36</v>
      </c>
      <c r="C825" s="22" t="s">
        <v>38</v>
      </c>
      <c r="D825" s="31">
        <f>+V766+V804</f>
        <v>6400479</v>
      </c>
      <c r="E825" s="18"/>
      <c r="F825" s="31">
        <f>+W766+W804</f>
        <v>4848377</v>
      </c>
      <c r="G825" s="18">
        <f>+D825-F825</f>
        <v>1552102</v>
      </c>
      <c r="H825" s="56"/>
      <c r="I825" s="58"/>
      <c r="J825" s="18"/>
      <c r="K825" s="18"/>
      <c r="L825" s="60"/>
      <c r="N825" s="62">
        <f>+D826</f>
        <v>-127580</v>
      </c>
      <c r="O825" s="63">
        <f>+D832</f>
        <v>5221559</v>
      </c>
      <c r="P825" s="42"/>
      <c r="Q825" s="31">
        <f>+F732</f>
        <v>-10802</v>
      </c>
      <c r="R825" s="31">
        <f>+F734</f>
        <v>0</v>
      </c>
      <c r="S825" s="31"/>
      <c r="T825" s="42"/>
      <c r="U825" s="42"/>
    </row>
    <row r="826" spans="1:25" ht="15">
      <c r="A826" s="4">
        <f>+A825+1</f>
        <v>40</v>
      </c>
      <c r="B826" s="24" t="s">
        <v>46</v>
      </c>
      <c r="C826" s="40" t="s">
        <v>78</v>
      </c>
      <c r="D826" s="26">
        <f>+D824-D825</f>
        <v>-127580</v>
      </c>
      <c r="E826" s="18"/>
      <c r="F826" s="26">
        <f>+F824-F825</f>
        <v>-70441</v>
      </c>
      <c r="G826" s="18">
        <f>+G824-G825</f>
        <v>-57139</v>
      </c>
      <c r="H826" s="56"/>
      <c r="I826" s="58" t="s">
        <v>143</v>
      </c>
      <c r="J826" s="18"/>
      <c r="K826" s="18"/>
      <c r="L826">
        <v>0</v>
      </c>
      <c r="N826" s="62">
        <f>+D827</f>
        <v>0</v>
      </c>
      <c r="O826" s="63">
        <f>+D833</f>
        <v>0</v>
      </c>
      <c r="P826" s="42"/>
      <c r="Q826" s="31">
        <f>+F733</f>
        <v>0</v>
      </c>
      <c r="R826" s="31">
        <f>+F738</f>
        <v>3391861</v>
      </c>
      <c r="S826" s="31"/>
      <c r="U826" s="18"/>
      <c r="V826" s="10" t="s">
        <v>20</v>
      </c>
      <c r="W826" s="10" t="s">
        <v>21</v>
      </c>
      <c r="X826" s="10" t="s">
        <v>22</v>
      </c>
      <c r="Y826" s="18"/>
    </row>
    <row r="827" spans="1:25" ht="28.5">
      <c r="A827" s="4">
        <f>+A826+1</f>
        <v>41</v>
      </c>
      <c r="B827" s="88" t="s">
        <v>182</v>
      </c>
      <c r="C827" s="11"/>
      <c r="D827" s="26">
        <f>+V768+V806</f>
        <v>0</v>
      </c>
      <c r="E827" s="26"/>
      <c r="F827" s="26">
        <f>+W768+W806</f>
        <v>0</v>
      </c>
      <c r="G827" s="18">
        <f>+D827-F827</f>
        <v>0</v>
      </c>
      <c r="H827" s="56"/>
      <c r="I827" s="58"/>
      <c r="J827" s="18"/>
      <c r="K827" s="18"/>
      <c r="L827" s="60" t="s">
        <v>144</v>
      </c>
      <c r="N827" s="62">
        <f>+F826</f>
        <v>-70441</v>
      </c>
      <c r="O827" s="63">
        <f>+F832</f>
        <v>3789988</v>
      </c>
      <c r="P827" s="42"/>
      <c r="R827" s="31">
        <f>+F739</f>
        <v>0</v>
      </c>
      <c r="S827" s="31"/>
      <c r="U827" s="18"/>
      <c r="Y827" s="18"/>
    </row>
    <row r="828" spans="1:25" ht="24.75">
      <c r="A828" s="4">
        <f>+A827+1</f>
        <v>42</v>
      </c>
      <c r="B828" s="89" t="s">
        <v>39</v>
      </c>
      <c r="C828" s="40"/>
      <c r="D828" s="30">
        <f>+V769+V807</f>
        <v>-205487</v>
      </c>
      <c r="E828" s="30"/>
      <c r="F828" s="30">
        <f>+W769+W807</f>
        <v>628244</v>
      </c>
      <c r="G828" s="18">
        <f>+D828-F828</f>
        <v>-833731</v>
      </c>
      <c r="H828" s="56"/>
      <c r="I828" s="64" t="s">
        <v>145</v>
      </c>
      <c r="J828" s="18"/>
      <c r="K828" s="18"/>
      <c r="L828" s="31">
        <f>+L820-L822-L824-L826</f>
        <v>540701.1799999997</v>
      </c>
      <c r="N828" s="62">
        <f>+F827</f>
        <v>0</v>
      </c>
      <c r="O828" s="63">
        <f>+F833</f>
        <v>0</v>
      </c>
      <c r="P828" s="42"/>
      <c r="Q828" s="31"/>
      <c r="R828" s="31"/>
      <c r="S828" s="31"/>
      <c r="U828" s="65"/>
      <c r="V828" s="66"/>
      <c r="W828" s="66"/>
      <c r="X828" s="65"/>
      <c r="Y828" s="65"/>
    </row>
    <row r="829" spans="1:25" ht="15">
      <c r="A829" s="6" t="s">
        <v>41</v>
      </c>
      <c r="B829" s="41"/>
      <c r="C829" s="40"/>
      <c r="D829" s="18"/>
      <c r="E829" s="18"/>
      <c r="F829" s="18"/>
      <c r="G829" s="18"/>
      <c r="H829" s="56"/>
      <c r="I829" s="58"/>
      <c r="J829" s="18"/>
      <c r="K829" s="18"/>
      <c r="N829" s="62">
        <f>+F732</f>
        <v>-10802</v>
      </c>
      <c r="O829" s="63">
        <f>+F738</f>
        <v>3391861</v>
      </c>
      <c r="P829" s="42"/>
      <c r="Q829" s="31"/>
      <c r="U829" s="65"/>
      <c r="V829" s="67"/>
      <c r="W829" s="67"/>
      <c r="X829" s="68"/>
      <c r="Y829" s="65"/>
    </row>
    <row r="830" spans="1:25" ht="15">
      <c r="A830" s="4">
        <f>+A828+1</f>
        <v>43</v>
      </c>
      <c r="B830" s="5" t="s">
        <v>42</v>
      </c>
      <c r="C830" s="22" t="s">
        <v>38</v>
      </c>
      <c r="D830" s="31">
        <f>+V771+V809</f>
        <v>5221559</v>
      </c>
      <c r="E830" s="18"/>
      <c r="F830" s="31">
        <f>+W771+W809</f>
        <v>3796858</v>
      </c>
      <c r="G830" s="18">
        <f>+D830-F830</f>
        <v>1424701</v>
      </c>
      <c r="H830" s="56"/>
      <c r="I830" s="59" t="s">
        <v>22</v>
      </c>
      <c r="J830" s="18"/>
      <c r="K830" s="18"/>
      <c r="L830" s="30">
        <f>+X835</f>
        <v>540701</v>
      </c>
      <c r="N830" s="62"/>
      <c r="O830" s="63">
        <f>+D828</f>
        <v>-205487</v>
      </c>
      <c r="P830" s="42"/>
      <c r="Q830" s="31"/>
      <c r="R830" s="31"/>
      <c r="S830" s="31"/>
      <c r="T830" s="69" t="s">
        <v>78</v>
      </c>
      <c r="U830" s="65"/>
      <c r="V830" s="26">
        <f>+D826+D827-F826-F827+F732</f>
        <v>-67941</v>
      </c>
      <c r="W830" s="26">
        <f>+F732+F733</f>
        <v>-10802</v>
      </c>
      <c r="X830" s="26">
        <f>+V830-W830</f>
        <v>-57139</v>
      </c>
      <c r="Y830" s="65"/>
    </row>
    <row r="831" spans="1:25" ht="15">
      <c r="A831" s="4">
        <f>+A830+1</f>
        <v>44</v>
      </c>
      <c r="B831" s="5" t="s">
        <v>43</v>
      </c>
      <c r="C831" s="11"/>
      <c r="D831" s="31">
        <f>+V772+V810</f>
        <v>0</v>
      </c>
      <c r="E831" s="18"/>
      <c r="F831" s="31">
        <f>+W772+W810</f>
        <v>6870</v>
      </c>
      <c r="G831" s="18">
        <f>+D831-F831</f>
        <v>-6870</v>
      </c>
      <c r="H831" s="56"/>
      <c r="I831" s="59"/>
      <c r="J831" s="18"/>
      <c r="K831" s="18"/>
      <c r="L831" s="60" t="s">
        <v>144</v>
      </c>
      <c r="O831" s="63">
        <f>+F828</f>
        <v>628244</v>
      </c>
      <c r="P831" s="42"/>
      <c r="Q831" s="31"/>
      <c r="R831" s="31"/>
      <c r="S831" s="31"/>
      <c r="T831" s="11" t="s">
        <v>146</v>
      </c>
      <c r="U831" s="65"/>
      <c r="V831" s="30">
        <f>+D832+D833-F832-F833+F738+D828-F828+F734</f>
        <v>3989701</v>
      </c>
      <c r="W831" s="30">
        <f>+F734+F738+F739</f>
        <v>3391861</v>
      </c>
      <c r="X831" s="30">
        <f>+V831-W831</f>
        <v>597840</v>
      </c>
      <c r="Y831" s="65"/>
    </row>
    <row r="832" spans="1:25" ht="26.25">
      <c r="A832" s="4">
        <f>+A831+1</f>
        <v>45</v>
      </c>
      <c r="B832" s="24" t="s">
        <v>79</v>
      </c>
      <c r="C832" s="11"/>
      <c r="D832" s="30">
        <f>+D830-D831</f>
        <v>5221559</v>
      </c>
      <c r="E832" s="18"/>
      <c r="F832" s="30">
        <f>+F830-F831</f>
        <v>3789988</v>
      </c>
      <c r="G832" s="18">
        <f>+G830-G831</f>
        <v>1431571</v>
      </c>
      <c r="H832" s="56"/>
      <c r="I832" s="58"/>
      <c r="J832" s="18"/>
      <c r="K832" s="18"/>
      <c r="N832" s="62"/>
      <c r="O832" s="63">
        <f>+F734</f>
        <v>0</v>
      </c>
      <c r="P832" s="42"/>
      <c r="Q832" s="31"/>
      <c r="R832" s="31"/>
      <c r="S832" s="31"/>
      <c r="T832" s="11"/>
      <c r="U832" s="65"/>
      <c r="V832" s="30"/>
      <c r="W832" s="30"/>
      <c r="X832" s="30"/>
      <c r="Y832" s="65"/>
    </row>
    <row r="833" spans="1:25" ht="28.5">
      <c r="A833" s="4">
        <f>+A832+1</f>
        <v>46</v>
      </c>
      <c r="B833" s="88" t="s">
        <v>181</v>
      </c>
      <c r="C833" s="11"/>
      <c r="D833" s="30">
        <f>+V774+V812</f>
        <v>0</v>
      </c>
      <c r="E833" s="30"/>
      <c r="F833" s="30">
        <f>+W774+W812</f>
        <v>0</v>
      </c>
      <c r="G833" s="18">
        <f>+D833-F833</f>
        <v>0</v>
      </c>
      <c r="H833" s="56"/>
      <c r="N833" s="62"/>
      <c r="O833" s="62"/>
      <c r="P833" s="42"/>
      <c r="Q833" s="31"/>
      <c r="R833" s="31"/>
      <c r="S833" s="31"/>
      <c r="T833" s="11"/>
      <c r="U833" s="65"/>
      <c r="V833" s="30"/>
      <c r="W833" s="30"/>
      <c r="X833" s="30"/>
      <c r="Y833" s="65"/>
    </row>
    <row r="834" spans="1:25" ht="15">
      <c r="A834" s="4">
        <f>+A833+1</f>
        <v>47</v>
      </c>
      <c r="B834" s="24" t="s">
        <v>46</v>
      </c>
      <c r="C834" s="11" t="s">
        <v>47</v>
      </c>
      <c r="D834" s="18">
        <f>+D826+D827+D832+D833+D828</f>
        <v>4888492</v>
      </c>
      <c r="E834" s="18"/>
      <c r="F834" s="18">
        <f>+F826+F827+F832+F833+F828</f>
        <v>4347791</v>
      </c>
      <c r="G834" s="18">
        <f>+G826+G827+G832+G833+G828</f>
        <v>540701</v>
      </c>
      <c r="H834" s="56"/>
      <c r="I834" s="59" t="s">
        <v>147</v>
      </c>
      <c r="J834" s="18"/>
      <c r="K834" s="18"/>
      <c r="L834" s="36">
        <f>+L828-L830</f>
        <v>0.17999999970197678</v>
      </c>
      <c r="N834" s="70">
        <f>+N825+N826-N827-N828+N829</f>
        <v>-67941</v>
      </c>
      <c r="O834" s="71">
        <f>+O825+O826-O827-O828+O829+O830-O831+O832</f>
        <v>3989701</v>
      </c>
      <c r="P834" s="42"/>
      <c r="Q834" s="26">
        <f>SUM(Q825:Q826)</f>
        <v>-10802</v>
      </c>
      <c r="R834" s="30">
        <f>SUM(R825:R828)</f>
        <v>3391861</v>
      </c>
      <c r="S834" s="30"/>
      <c r="T834" s="11"/>
      <c r="U834" s="65"/>
      <c r="V834" s="30"/>
      <c r="W834" s="30"/>
      <c r="X834" s="30"/>
      <c r="Y834" s="65"/>
    </row>
    <row r="835" spans="1:25" ht="15">
      <c r="A835" s="4"/>
      <c r="B835" s="24"/>
      <c r="C835" s="11"/>
      <c r="D835" s="18"/>
      <c r="E835" s="18"/>
      <c r="F835" s="18"/>
      <c r="G835" s="18"/>
      <c r="H835" s="56"/>
      <c r="L835" s="60" t="s">
        <v>148</v>
      </c>
      <c r="M835" s="42"/>
      <c r="N835" s="42"/>
      <c r="O835" s="42"/>
      <c r="P835" s="42"/>
      <c r="Q835" s="42"/>
      <c r="R835" s="42"/>
      <c r="S835" s="42"/>
      <c r="T835" s="10" t="s">
        <v>22</v>
      </c>
      <c r="U835" s="65"/>
      <c r="V835" s="36"/>
      <c r="W835" s="36"/>
      <c r="X835" s="36">
        <f>+X830+X831</f>
        <v>540701</v>
      </c>
      <c r="Y835" s="65"/>
    </row>
    <row r="836" spans="1:25" ht="15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6" ht="15">
      <c r="A837" s="4"/>
      <c r="B837"/>
      <c r="F837"/>
    </row>
    <row r="838" spans="1:6" ht="15">
      <c r="A838" s="4"/>
      <c r="B838"/>
      <c r="F838"/>
    </row>
    <row r="839" spans="1:6" ht="15">
      <c r="A839" s="4"/>
      <c r="B839"/>
      <c r="F839"/>
    </row>
    <row r="840" spans="1:6" ht="15">
      <c r="A840" s="4"/>
      <c r="B840"/>
      <c r="F840"/>
    </row>
    <row r="841" spans="1:25" ht="15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6" ht="15">
      <c r="A842" s="4" t="s">
        <v>0</v>
      </c>
      <c r="B842" s="5"/>
      <c r="C842" s="6" t="s">
        <v>1</v>
      </c>
      <c r="F842"/>
    </row>
    <row r="843" spans="1:6" ht="15">
      <c r="A843" s="4"/>
      <c r="B843" s="5"/>
      <c r="C843" s="6" t="s">
        <v>2</v>
      </c>
      <c r="F843"/>
    </row>
    <row r="844" spans="1:6" ht="15">
      <c r="A844" s="4"/>
      <c r="B844" s="5"/>
      <c r="C844" s="7" t="s">
        <v>158</v>
      </c>
      <c r="F844"/>
    </row>
    <row r="845" spans="1:6" ht="15">
      <c r="A845" s="4"/>
      <c r="B845" s="5"/>
      <c r="C845" s="8"/>
      <c r="F845"/>
    </row>
    <row r="846" spans="1:25" ht="15">
      <c r="A846" s="4"/>
      <c r="B846" s="5"/>
      <c r="C846" s="9"/>
      <c r="D846" s="10" t="s">
        <v>4</v>
      </c>
      <c r="E846" s="10"/>
      <c r="F846" s="10" t="s">
        <v>5</v>
      </c>
      <c r="G846" s="10" t="s">
        <v>6</v>
      </c>
      <c r="H846" s="10"/>
      <c r="I846" s="10" t="s">
        <v>7</v>
      </c>
      <c r="J846" s="10" t="s">
        <v>8</v>
      </c>
      <c r="K846" s="10" t="s">
        <v>9</v>
      </c>
      <c r="L846" s="10" t="s">
        <v>10</v>
      </c>
      <c r="M846" s="10" t="s">
        <v>11</v>
      </c>
      <c r="N846" s="10" t="s">
        <v>12</v>
      </c>
      <c r="O846" s="10" t="s">
        <v>13</v>
      </c>
      <c r="P846" s="10"/>
      <c r="Q846" s="10" t="s">
        <v>14</v>
      </c>
      <c r="R846" s="10" t="s">
        <v>15</v>
      </c>
      <c r="S846" s="10"/>
      <c r="T846" s="10" t="s">
        <v>16</v>
      </c>
      <c r="U846" s="10"/>
      <c r="V846" s="10" t="s">
        <v>17</v>
      </c>
      <c r="W846" s="10" t="s">
        <v>18</v>
      </c>
      <c r="X846" s="10" t="s">
        <v>19</v>
      </c>
      <c r="Y846" s="10"/>
    </row>
    <row r="847" spans="1:24" ht="15">
      <c r="A847" s="4"/>
      <c r="B847" s="87" t="s">
        <v>174</v>
      </c>
      <c r="C847" s="5"/>
      <c r="D847" s="10" t="s">
        <v>20</v>
      </c>
      <c r="E847" s="10"/>
      <c r="F847" s="10" t="s">
        <v>21</v>
      </c>
      <c r="G847" s="10" t="s">
        <v>22</v>
      </c>
      <c r="I847" s="10" t="s">
        <v>20</v>
      </c>
      <c r="J847" s="10" t="s">
        <v>20</v>
      </c>
      <c r="K847" s="10" t="s">
        <v>20</v>
      </c>
      <c r="L847" s="10" t="s">
        <v>20</v>
      </c>
      <c r="M847" s="10" t="s">
        <v>20</v>
      </c>
      <c r="N847" s="10" t="s">
        <v>20</v>
      </c>
      <c r="O847" s="10" t="s">
        <v>20</v>
      </c>
      <c r="Q847" s="10" t="s">
        <v>20</v>
      </c>
      <c r="R847" s="10" t="s">
        <v>20</v>
      </c>
      <c r="S847" s="10"/>
      <c r="T847" s="10" t="s">
        <v>20</v>
      </c>
      <c r="V847" s="10" t="s">
        <v>20</v>
      </c>
      <c r="W847" s="10" t="s">
        <v>20</v>
      </c>
      <c r="X847" s="10" t="s">
        <v>20</v>
      </c>
    </row>
    <row r="848" spans="1:24" ht="42.75">
      <c r="A848" s="4"/>
      <c r="B848" s="5"/>
      <c r="C848" s="11"/>
      <c r="D848" s="12" t="s">
        <v>23</v>
      </c>
      <c r="E848" s="13"/>
      <c r="F848" s="12" t="s">
        <v>175</v>
      </c>
      <c r="G848" s="13" t="s">
        <v>24</v>
      </c>
      <c r="I848" s="13" t="s">
        <v>25</v>
      </c>
      <c r="J848" s="8" t="s">
        <v>26</v>
      </c>
      <c r="K848" s="13" t="s">
        <v>27</v>
      </c>
      <c r="L848" s="13" t="s">
        <v>28</v>
      </c>
      <c r="M848" s="13" t="s">
        <v>29</v>
      </c>
      <c r="N848" s="13" t="s">
        <v>30</v>
      </c>
      <c r="O848" s="13" t="s">
        <v>31</v>
      </c>
      <c r="Q848" s="14">
        <v>4470115</v>
      </c>
      <c r="R848" s="13" t="s">
        <v>32</v>
      </c>
      <c r="S848" s="13"/>
      <c r="T848" s="14">
        <v>4470119</v>
      </c>
      <c r="V848" s="8" t="s">
        <v>33</v>
      </c>
      <c r="W848" s="8" t="s">
        <v>34</v>
      </c>
      <c r="X848" s="8" t="s">
        <v>35</v>
      </c>
    </row>
    <row r="849" spans="1:23" ht="15">
      <c r="A849" s="4"/>
      <c r="B849" s="5"/>
      <c r="C849" s="11"/>
      <c r="D849" s="13"/>
      <c r="E849" s="13"/>
      <c r="F849" s="13"/>
      <c r="G849" s="15"/>
      <c r="I849" s="13"/>
      <c r="J849" s="13"/>
      <c r="K849" s="13"/>
      <c r="L849" s="13"/>
      <c r="M849" s="13"/>
      <c r="N849" s="13"/>
      <c r="O849" s="13"/>
      <c r="Q849" s="14"/>
      <c r="R849" s="13"/>
      <c r="S849" s="14"/>
      <c r="T849" s="16"/>
      <c r="V849" s="14"/>
      <c r="W849" s="13"/>
    </row>
    <row r="850" spans="1:25" ht="15">
      <c r="A850" s="4">
        <v>1</v>
      </c>
      <c r="B850" s="5" t="s">
        <v>36</v>
      </c>
      <c r="C850" s="17" t="s">
        <v>37</v>
      </c>
      <c r="D850" s="27">
        <v>3603168</v>
      </c>
      <c r="E850" s="19"/>
      <c r="F850" s="20">
        <v>3385223</v>
      </c>
      <c r="G850" s="21">
        <f>+D850-F850</f>
        <v>217945</v>
      </c>
      <c r="H850" s="18"/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/>
      <c r="Q850" s="18">
        <v>0</v>
      </c>
      <c r="R850" s="18">
        <v>0</v>
      </c>
      <c r="S850" s="18"/>
      <c r="T850" s="18">
        <v>0</v>
      </c>
      <c r="U850" s="18"/>
      <c r="V850" s="18">
        <v>0</v>
      </c>
      <c r="W850" s="18">
        <v>0</v>
      </c>
      <c r="X850" s="18">
        <v>0</v>
      </c>
      <c r="Y850" s="18"/>
    </row>
    <row r="851" spans="1:25" ht="15">
      <c r="A851" s="4">
        <f>+A850+1</f>
        <v>2</v>
      </c>
      <c r="B851" s="5" t="s">
        <v>36</v>
      </c>
      <c r="C851" s="22" t="s">
        <v>38</v>
      </c>
      <c r="D851" s="27">
        <v>3612151</v>
      </c>
      <c r="E851" s="19"/>
      <c r="F851" s="23">
        <v>3391861</v>
      </c>
      <c r="G851" s="21">
        <f>+D851-F851</f>
        <v>220290</v>
      </c>
      <c r="H851" s="18"/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0</v>
      </c>
      <c r="P851" s="18"/>
      <c r="Q851" s="18">
        <v>0</v>
      </c>
      <c r="R851" s="18">
        <v>0</v>
      </c>
      <c r="S851" s="18"/>
      <c r="T851" s="18">
        <v>0</v>
      </c>
      <c r="U851" s="18"/>
      <c r="V851" s="18">
        <v>0</v>
      </c>
      <c r="W851" s="18">
        <v>0</v>
      </c>
      <c r="X851" s="18">
        <v>0</v>
      </c>
      <c r="Y851" s="18"/>
    </row>
    <row r="852" spans="1:25" ht="22.5">
      <c r="A852" s="4">
        <f>+A851+1</f>
        <v>3</v>
      </c>
      <c r="B852" s="24" t="s">
        <v>176</v>
      </c>
      <c r="C852" s="25" t="s">
        <v>177</v>
      </c>
      <c r="D852" s="18">
        <f>+D850-D851</f>
        <v>-8983</v>
      </c>
      <c r="E852" s="19"/>
      <c r="F852" s="26">
        <f>+F850-F851</f>
        <v>-6638</v>
      </c>
      <c r="G852" s="18">
        <f>+G850-G851</f>
        <v>-2345</v>
      </c>
      <c r="H852" s="18"/>
      <c r="I852" s="18">
        <f aca="true" t="shared" si="105" ref="I852:O852">+I850-I851</f>
        <v>0</v>
      </c>
      <c r="J852" s="18">
        <f t="shared" si="105"/>
        <v>0</v>
      </c>
      <c r="K852" s="18">
        <f t="shared" si="105"/>
        <v>0</v>
      </c>
      <c r="L852" s="18">
        <f t="shared" si="105"/>
        <v>0</v>
      </c>
      <c r="M852" s="18">
        <f t="shared" si="105"/>
        <v>0</v>
      </c>
      <c r="N852" s="18">
        <f t="shared" si="105"/>
        <v>0</v>
      </c>
      <c r="O852" s="18">
        <f t="shared" si="105"/>
        <v>0</v>
      </c>
      <c r="P852" s="18"/>
      <c r="Q852" s="18">
        <f>+Q850-Q851</f>
        <v>0</v>
      </c>
      <c r="R852" s="18">
        <f>+R850-R851</f>
        <v>0</v>
      </c>
      <c r="S852" s="18"/>
      <c r="T852" s="18">
        <f>+T850-T851</f>
        <v>0</v>
      </c>
      <c r="U852" s="18"/>
      <c r="V852" s="18">
        <f>+V850-V851</f>
        <v>0</v>
      </c>
      <c r="W852" s="18">
        <f>+W850-W851</f>
        <v>0</v>
      </c>
      <c r="X852" s="18">
        <f>+X850-X851</f>
        <v>0</v>
      </c>
      <c r="Y852" s="18"/>
    </row>
    <row r="853" spans="1:25" ht="28.5">
      <c r="A853" s="4">
        <f>+A852+1</f>
        <v>4</v>
      </c>
      <c r="B853" s="88" t="s">
        <v>178</v>
      </c>
      <c r="C853" s="25" t="s">
        <v>179</v>
      </c>
      <c r="D853" s="18">
        <v>0</v>
      </c>
      <c r="E853" s="19"/>
      <c r="F853" s="26">
        <v>0</v>
      </c>
      <c r="G853" s="18">
        <f>+D853-F853</f>
        <v>0</v>
      </c>
      <c r="H853" s="18"/>
      <c r="I853" s="27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8">
        <v>0</v>
      </c>
      <c r="P853" s="18"/>
      <c r="Q853" s="18">
        <v>0</v>
      </c>
      <c r="R853" s="18">
        <v>0</v>
      </c>
      <c r="S853" s="18"/>
      <c r="T853" s="18">
        <v>0</v>
      </c>
      <c r="U853" s="18"/>
      <c r="V853" s="18">
        <v>0</v>
      </c>
      <c r="W853" s="18">
        <v>0</v>
      </c>
      <c r="X853" s="18">
        <v>0</v>
      </c>
      <c r="Y853" s="18"/>
    </row>
    <row r="854" spans="1:25" ht="24.75">
      <c r="A854" s="4">
        <f>+A853+1</f>
        <v>5</v>
      </c>
      <c r="B854" s="89" t="s">
        <v>39</v>
      </c>
      <c r="C854" s="28" t="s">
        <v>40</v>
      </c>
      <c r="D854" s="27">
        <v>-110918</v>
      </c>
      <c r="E854" s="29"/>
      <c r="F854" s="30">
        <v>0</v>
      </c>
      <c r="G854" s="31">
        <f>+D854-F854</f>
        <v>-110918</v>
      </c>
      <c r="H854" s="18"/>
      <c r="I854" s="27">
        <v>0</v>
      </c>
      <c r="J854" s="27">
        <v>74</v>
      </c>
      <c r="K854" s="27">
        <v>0</v>
      </c>
      <c r="L854" s="27">
        <v>204</v>
      </c>
      <c r="M854" s="27">
        <v>5113</v>
      </c>
      <c r="N854" s="27">
        <v>-228</v>
      </c>
      <c r="O854" s="27">
        <v>-1616</v>
      </c>
      <c r="P854" s="18"/>
      <c r="Q854" s="27">
        <v>5149</v>
      </c>
      <c r="R854" s="27">
        <v>0</v>
      </c>
      <c r="S854" s="27"/>
      <c r="T854" s="27">
        <v>0</v>
      </c>
      <c r="U854" s="27"/>
      <c r="V854" s="27">
        <v>0</v>
      </c>
      <c r="W854" s="27">
        <v>0</v>
      </c>
      <c r="X854" s="27">
        <v>-109650</v>
      </c>
      <c r="Y854" s="18"/>
    </row>
    <row r="855" spans="1:25" ht="15">
      <c r="A855" s="6" t="s">
        <v>41</v>
      </c>
      <c r="B855" s="90"/>
      <c r="C855" s="11"/>
      <c r="D855" s="18"/>
      <c r="E855" s="19"/>
      <c r="F855" s="18"/>
      <c r="G855" s="18"/>
      <c r="H855" s="18"/>
      <c r="I855" s="18"/>
      <c r="J855" s="18"/>
      <c r="K855" s="18"/>
      <c r="L855" s="18"/>
      <c r="M855" s="18"/>
      <c r="N855" s="18"/>
      <c r="O855" s="18" t="s">
        <v>0</v>
      </c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5">
      <c r="A856" s="4">
        <f>+A854+1</f>
        <v>6</v>
      </c>
      <c r="B856" s="5" t="s">
        <v>42</v>
      </c>
      <c r="C856" s="22" t="s">
        <v>38</v>
      </c>
      <c r="D856" s="27">
        <v>5937770</v>
      </c>
      <c r="E856" s="19"/>
      <c r="F856" s="23">
        <v>4969294</v>
      </c>
      <c r="G856" s="18">
        <f>+D856-F856</f>
        <v>968476</v>
      </c>
      <c r="H856" s="18"/>
      <c r="I856" s="18">
        <v>0</v>
      </c>
      <c r="J856" s="18">
        <v>0</v>
      </c>
      <c r="K856" s="18">
        <v>0</v>
      </c>
      <c r="L856" s="18">
        <v>0</v>
      </c>
      <c r="M856" s="18">
        <v>0</v>
      </c>
      <c r="N856" s="18">
        <v>0</v>
      </c>
      <c r="O856" s="18">
        <v>0</v>
      </c>
      <c r="P856" s="18"/>
      <c r="Q856" s="18">
        <v>0</v>
      </c>
      <c r="R856" s="18">
        <v>0</v>
      </c>
      <c r="S856" s="18"/>
      <c r="T856" s="18">
        <v>0</v>
      </c>
      <c r="U856" s="18"/>
      <c r="V856" s="18">
        <v>0</v>
      </c>
      <c r="W856" s="18">
        <v>0</v>
      </c>
      <c r="X856" s="18">
        <v>0</v>
      </c>
      <c r="Y856" s="18"/>
    </row>
    <row r="857" spans="1:25" ht="15">
      <c r="A857" s="4">
        <f>+A856+1</f>
        <v>7</v>
      </c>
      <c r="B857" s="5" t="s">
        <v>43</v>
      </c>
      <c r="C857" s="11"/>
      <c r="D857" s="27">
        <v>10268</v>
      </c>
      <c r="E857" s="19"/>
      <c r="F857" s="23">
        <v>7088</v>
      </c>
      <c r="G857" s="18">
        <f>+D857-F857</f>
        <v>3180</v>
      </c>
      <c r="H857" s="18"/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31">
        <v>0</v>
      </c>
      <c r="P857" s="18"/>
      <c r="Q857" s="18">
        <v>0</v>
      </c>
      <c r="R857" s="18">
        <v>0</v>
      </c>
      <c r="S857" s="18"/>
      <c r="T857" s="18">
        <v>0</v>
      </c>
      <c r="U857" s="18"/>
      <c r="V857" s="18">
        <v>0</v>
      </c>
      <c r="W857" s="18">
        <v>0</v>
      </c>
      <c r="X857" s="18">
        <v>0</v>
      </c>
      <c r="Y857" s="18"/>
    </row>
    <row r="858" spans="1:25" ht="35.25">
      <c r="A858" s="4">
        <f>+A857+1</f>
        <v>8</v>
      </c>
      <c r="B858" s="24" t="s">
        <v>180</v>
      </c>
      <c r="C858" s="32" t="s">
        <v>44</v>
      </c>
      <c r="D858" s="33">
        <f>+D856-D857</f>
        <v>5927502</v>
      </c>
      <c r="E858" s="34"/>
      <c r="F858" s="91">
        <f>+F856-F857</f>
        <v>4962206</v>
      </c>
      <c r="G858" s="18">
        <f>+G856-G857</f>
        <v>965296</v>
      </c>
      <c r="H858" s="18"/>
      <c r="I858" s="18">
        <f aca="true" t="shared" si="106" ref="I858:O858">+I856-I857</f>
        <v>0</v>
      </c>
      <c r="J858" s="18">
        <f t="shared" si="106"/>
        <v>0</v>
      </c>
      <c r="K858" s="18">
        <f t="shared" si="106"/>
        <v>0</v>
      </c>
      <c r="L858" s="18">
        <f t="shared" si="106"/>
        <v>0</v>
      </c>
      <c r="M858" s="18">
        <f t="shared" si="106"/>
        <v>0</v>
      </c>
      <c r="N858" s="18">
        <f t="shared" si="106"/>
        <v>0</v>
      </c>
      <c r="O858" s="18">
        <f t="shared" si="106"/>
        <v>0</v>
      </c>
      <c r="P858" s="18"/>
      <c r="Q858" s="18">
        <f>+Q856-Q857</f>
        <v>0</v>
      </c>
      <c r="R858" s="18">
        <f>+R856-R857</f>
        <v>0</v>
      </c>
      <c r="S858" s="18"/>
      <c r="T858" s="18">
        <f>+T856-T857</f>
        <v>0</v>
      </c>
      <c r="U858" s="18"/>
      <c r="V858" s="18">
        <f>+V856-V857</f>
        <v>0</v>
      </c>
      <c r="W858" s="18">
        <f>+W856-W857</f>
        <v>0</v>
      </c>
      <c r="X858" s="18">
        <f>+X856-X857</f>
        <v>0</v>
      </c>
      <c r="Y858" s="18"/>
    </row>
    <row r="859" spans="1:25" ht="28.5">
      <c r="A859" s="4">
        <f>+A858+1</f>
        <v>9</v>
      </c>
      <c r="B859" s="88" t="s">
        <v>181</v>
      </c>
      <c r="C859" s="35" t="s">
        <v>45</v>
      </c>
      <c r="D859" s="18">
        <v>0</v>
      </c>
      <c r="E859" s="19"/>
      <c r="F859" s="31">
        <v>0</v>
      </c>
      <c r="G859" s="31">
        <f>+D859-F859</f>
        <v>0</v>
      </c>
      <c r="H859" s="18"/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31">
        <v>0</v>
      </c>
      <c r="P859" s="18"/>
      <c r="Q859" s="18">
        <v>0</v>
      </c>
      <c r="R859" s="18">
        <v>0</v>
      </c>
      <c r="S859" s="18"/>
      <c r="T859" s="18">
        <v>0</v>
      </c>
      <c r="U859" s="18"/>
      <c r="V859" s="18">
        <v>0</v>
      </c>
      <c r="W859" s="18">
        <v>0</v>
      </c>
      <c r="X859" s="18">
        <v>0</v>
      </c>
      <c r="Y859" s="18"/>
    </row>
    <row r="860" spans="1:25" ht="15">
      <c r="A860" s="4">
        <f>+A859+1</f>
        <v>10</v>
      </c>
      <c r="B860" s="24" t="s">
        <v>46</v>
      </c>
      <c r="C860" s="11" t="s">
        <v>47</v>
      </c>
      <c r="D860" s="36">
        <f>+D852+D853+D854+D858+D859</f>
        <v>5807601</v>
      </c>
      <c r="E860" s="19"/>
      <c r="F860" s="36">
        <f>+F852+F853+F854+F858+F859</f>
        <v>4955568</v>
      </c>
      <c r="G860" s="18">
        <f>+G852+G853+G858+G859+G854</f>
        <v>852033</v>
      </c>
      <c r="H860" s="18"/>
      <c r="I860" s="18">
        <f aca="true" t="shared" si="107" ref="I860:O860">+I852+I853+I858+I859+I854</f>
        <v>0</v>
      </c>
      <c r="J860" s="21">
        <f t="shared" si="107"/>
        <v>74</v>
      </c>
      <c r="K860" s="18">
        <f t="shared" si="107"/>
        <v>0</v>
      </c>
      <c r="L860" s="18">
        <f t="shared" si="107"/>
        <v>204</v>
      </c>
      <c r="M860" s="18">
        <f t="shared" si="107"/>
        <v>5113</v>
      </c>
      <c r="N860" s="18">
        <f t="shared" si="107"/>
        <v>-228</v>
      </c>
      <c r="O860" s="18">
        <f t="shared" si="107"/>
        <v>-1616</v>
      </c>
      <c r="P860" s="18"/>
      <c r="Q860" s="18">
        <f>+Q852+Q853+Q858+Q859+Q854</f>
        <v>5149</v>
      </c>
      <c r="R860" s="18">
        <f>+R852+R853+R858+R859+R854</f>
        <v>0</v>
      </c>
      <c r="S860" s="18"/>
      <c r="T860" s="18">
        <f>+T852+T853+T858+T859+T854</f>
        <v>0</v>
      </c>
      <c r="U860" s="18"/>
      <c r="V860" s="18">
        <f>+V852+V853+V858+V859+V854</f>
        <v>0</v>
      </c>
      <c r="W860" s="18">
        <f>+W852+W853+W858+W859+W854</f>
        <v>0</v>
      </c>
      <c r="X860" s="18">
        <f>+X852+X853+X858+X859+X854</f>
        <v>-109650</v>
      </c>
      <c r="Y860" s="18"/>
    </row>
    <row r="861" spans="1:25" ht="15">
      <c r="A861" s="4"/>
      <c r="B861" s="24"/>
      <c r="C861" s="11" t="s">
        <v>0</v>
      </c>
      <c r="D861" s="27" t="s">
        <v>0</v>
      </c>
      <c r="E861" s="18"/>
      <c r="F861" s="36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5">
      <c r="A862" s="4"/>
      <c r="B862" s="24"/>
      <c r="C862" s="37"/>
      <c r="D862" s="18">
        <f>296364+496885+777461+4236891</f>
        <v>5807601</v>
      </c>
      <c r="E862" s="18"/>
      <c r="F862" s="36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5">
      <c r="A863" s="4"/>
      <c r="B863" s="24"/>
      <c r="C863" s="11"/>
      <c r="D863" s="6" t="s">
        <v>48</v>
      </c>
      <c r="E863" s="6"/>
      <c r="F863" s="10" t="s">
        <v>49</v>
      </c>
      <c r="G863" s="10" t="s">
        <v>50</v>
      </c>
      <c r="I863" s="10" t="s">
        <v>51</v>
      </c>
      <c r="J863" s="10" t="s">
        <v>52</v>
      </c>
      <c r="K863" s="10" t="s">
        <v>53</v>
      </c>
      <c r="L863" s="10" t="s">
        <v>54</v>
      </c>
      <c r="M863" s="10" t="s">
        <v>55</v>
      </c>
      <c r="N863" s="10" t="s">
        <v>56</v>
      </c>
      <c r="O863" s="10" t="s">
        <v>57</v>
      </c>
      <c r="P863" s="18"/>
      <c r="Q863" s="10" t="s">
        <v>58</v>
      </c>
      <c r="R863" s="10" t="s">
        <v>59</v>
      </c>
      <c r="S863" s="10"/>
      <c r="T863" s="10" t="s">
        <v>60</v>
      </c>
      <c r="U863" s="18"/>
      <c r="V863" s="10" t="s">
        <v>61</v>
      </c>
      <c r="W863" s="10" t="s">
        <v>62</v>
      </c>
      <c r="X863" s="10" t="s">
        <v>63</v>
      </c>
      <c r="Y863" s="18"/>
    </row>
    <row r="864" spans="1:25" ht="15">
      <c r="A864" s="4"/>
      <c r="B864"/>
      <c r="C864" s="11"/>
      <c r="D864" s="10" t="s">
        <v>20</v>
      </c>
      <c r="E864" s="38"/>
      <c r="F864" s="10" t="s">
        <v>20</v>
      </c>
      <c r="G864" s="10" t="s">
        <v>20</v>
      </c>
      <c r="I864" s="10" t="s">
        <v>20</v>
      </c>
      <c r="J864" s="10" t="s">
        <v>20</v>
      </c>
      <c r="K864" s="10" t="s">
        <v>20</v>
      </c>
      <c r="L864" s="10" t="s">
        <v>20</v>
      </c>
      <c r="M864" s="10" t="s">
        <v>20</v>
      </c>
      <c r="N864" s="10" t="s">
        <v>20</v>
      </c>
      <c r="O864" s="10" t="s">
        <v>20</v>
      </c>
      <c r="P864" s="18"/>
      <c r="Q864" s="10" t="s">
        <v>20</v>
      </c>
      <c r="R864" s="10" t="s">
        <v>20</v>
      </c>
      <c r="S864" s="14"/>
      <c r="T864" s="10" t="s">
        <v>20</v>
      </c>
      <c r="U864" s="18"/>
      <c r="W864" s="39" t="s">
        <v>64</v>
      </c>
      <c r="Y864" s="18"/>
    </row>
    <row r="865" spans="1:25" ht="15">
      <c r="A865" s="4"/>
      <c r="B865" s="87" t="s">
        <v>174</v>
      </c>
      <c r="C865" s="11"/>
      <c r="D865" s="8" t="s">
        <v>155</v>
      </c>
      <c r="E865" s="6"/>
      <c r="F865" s="8" t="s">
        <v>66</v>
      </c>
      <c r="G865" s="8" t="s">
        <v>67</v>
      </c>
      <c r="H865" s="19"/>
      <c r="I865" s="8" t="s">
        <v>68</v>
      </c>
      <c r="J865" s="8" t="s">
        <v>69</v>
      </c>
      <c r="K865" s="8" t="s">
        <v>70</v>
      </c>
      <c r="L865" s="8" t="s">
        <v>71</v>
      </c>
      <c r="M865" s="8" t="s">
        <v>72</v>
      </c>
      <c r="N865" s="8" t="s">
        <v>73</v>
      </c>
      <c r="O865" s="8" t="s">
        <v>74</v>
      </c>
      <c r="P865" s="6"/>
      <c r="Q865" s="8" t="s">
        <v>75</v>
      </c>
      <c r="R865" s="8" t="s">
        <v>76</v>
      </c>
      <c r="S865" s="8"/>
      <c r="T865" s="8" t="s">
        <v>77</v>
      </c>
      <c r="U865" s="18"/>
      <c r="V865" s="10" t="s">
        <v>20</v>
      </c>
      <c r="W865" s="14" t="s">
        <v>21</v>
      </c>
      <c r="X865" s="10" t="s">
        <v>22</v>
      </c>
      <c r="Y865" s="18"/>
    </row>
    <row r="866" spans="1:8" ht="15">
      <c r="A866" s="4"/>
      <c r="B866" s="24"/>
      <c r="C866" s="11"/>
      <c r="E866" s="14"/>
      <c r="F866"/>
      <c r="H866" s="18"/>
    </row>
    <row r="867" spans="1:24" ht="15">
      <c r="A867" s="4">
        <f>+A860+1</f>
        <v>11</v>
      </c>
      <c r="B867" s="5" t="s">
        <v>36</v>
      </c>
      <c r="C867" s="17" t="s">
        <v>37</v>
      </c>
      <c r="D867" s="18">
        <v>0</v>
      </c>
      <c r="E867" s="18"/>
      <c r="F867" s="18">
        <v>0</v>
      </c>
      <c r="G867" s="18">
        <v>0</v>
      </c>
      <c r="I867" s="27">
        <v>536356</v>
      </c>
      <c r="J867" s="18">
        <v>0</v>
      </c>
      <c r="K867" s="18">
        <v>0</v>
      </c>
      <c r="L867" s="18">
        <v>0</v>
      </c>
      <c r="M867" s="18">
        <v>0</v>
      </c>
      <c r="N867" s="18">
        <v>0</v>
      </c>
      <c r="O867" s="18">
        <v>0</v>
      </c>
      <c r="Q867" s="18">
        <v>0</v>
      </c>
      <c r="R867" s="18">
        <v>0</v>
      </c>
      <c r="S867" s="18"/>
      <c r="T867" s="18">
        <v>0</v>
      </c>
      <c r="V867" s="18">
        <f>+D850+I850+J850+K850+L850+M850+N850+O850+Q850+R850+T850+V850+W850+X850+D867+F867+G867+I867+J867+K867+L867+M867+N867+O867+Q867+R867+T867</f>
        <v>4139524</v>
      </c>
      <c r="W867" s="18">
        <f>+F850</f>
        <v>3385223</v>
      </c>
      <c r="X867" s="18">
        <f>+V867-W867</f>
        <v>754301</v>
      </c>
    </row>
    <row r="868" spans="1:24" ht="15">
      <c r="A868" s="4">
        <f>+A867+1</f>
        <v>12</v>
      </c>
      <c r="B868" s="5" t="s">
        <v>36</v>
      </c>
      <c r="C868" s="22" t="s">
        <v>38</v>
      </c>
      <c r="D868" s="18">
        <v>0</v>
      </c>
      <c r="E868" s="18"/>
      <c r="F868" s="18">
        <v>0</v>
      </c>
      <c r="G868" s="18">
        <v>0</v>
      </c>
      <c r="I868" s="27">
        <v>559590</v>
      </c>
      <c r="J868" s="18">
        <v>0</v>
      </c>
      <c r="K868" s="18">
        <v>0</v>
      </c>
      <c r="L868" s="18">
        <v>0</v>
      </c>
      <c r="M868" s="18">
        <v>0</v>
      </c>
      <c r="N868" s="18">
        <v>0</v>
      </c>
      <c r="O868" s="18">
        <v>0</v>
      </c>
      <c r="Q868" s="18">
        <v>0</v>
      </c>
      <c r="R868" s="18">
        <v>0</v>
      </c>
      <c r="S868" s="18"/>
      <c r="T868" s="18">
        <v>0</v>
      </c>
      <c r="V868" s="18">
        <f>+D851+I851+J851+K851+L851+M851+N851+O851+Q851+R851+T851+V851+W851+X851+D868+F868+G868+I868+J868+K868+L868+M868+N868+O868+Q868+R868+T868</f>
        <v>4171741</v>
      </c>
      <c r="W868" s="18">
        <f>+F851</f>
        <v>3391861</v>
      </c>
      <c r="X868" s="18">
        <f>+V868-W868</f>
        <v>779880</v>
      </c>
    </row>
    <row r="869" spans="1:24" ht="15">
      <c r="A869" s="4">
        <f>+A868+1</f>
        <v>13</v>
      </c>
      <c r="B869" s="24" t="s">
        <v>46</v>
      </c>
      <c r="C869" s="40" t="s">
        <v>78</v>
      </c>
      <c r="D869" s="18">
        <f>+D867-D868</f>
        <v>0</v>
      </c>
      <c r="E869" s="18"/>
      <c r="F869" s="18">
        <f>+F867-F868</f>
        <v>0</v>
      </c>
      <c r="G869" s="18">
        <f>+G867-G868</f>
        <v>0</v>
      </c>
      <c r="I869" s="18">
        <f aca="true" t="shared" si="108" ref="I869:O869">+I867-I868</f>
        <v>-23234</v>
      </c>
      <c r="J869" s="18">
        <f t="shared" si="108"/>
        <v>0</v>
      </c>
      <c r="K869" s="18">
        <f t="shared" si="108"/>
        <v>0</v>
      </c>
      <c r="L869" s="18">
        <f t="shared" si="108"/>
        <v>0</v>
      </c>
      <c r="M869" s="18">
        <f t="shared" si="108"/>
        <v>0</v>
      </c>
      <c r="N869" s="18">
        <f t="shared" si="108"/>
        <v>0</v>
      </c>
      <c r="O869" s="18">
        <f t="shared" si="108"/>
        <v>0</v>
      </c>
      <c r="Q869" s="18">
        <f>+Q867-Q868</f>
        <v>0</v>
      </c>
      <c r="R869" s="18">
        <f>+R867-R868</f>
        <v>0</v>
      </c>
      <c r="S869" s="18"/>
      <c r="T869" s="18">
        <f>+T867-T868</f>
        <v>0</v>
      </c>
      <c r="V869" s="27">
        <f>+V867-V868</f>
        <v>-32217</v>
      </c>
      <c r="W869" s="27">
        <f>+W867-W868</f>
        <v>-6638</v>
      </c>
      <c r="X869" s="18">
        <f>+X867-X868</f>
        <v>-25579</v>
      </c>
    </row>
    <row r="870" spans="1:24" ht="28.5">
      <c r="A870" s="4">
        <f>+A869+1</f>
        <v>14</v>
      </c>
      <c r="B870" s="88" t="s">
        <v>182</v>
      </c>
      <c r="C870" s="11"/>
      <c r="D870" s="18">
        <v>0</v>
      </c>
      <c r="E870" s="18"/>
      <c r="F870" s="18">
        <v>0</v>
      </c>
      <c r="G870" s="18">
        <v>0</v>
      </c>
      <c r="I870" s="18">
        <v>0</v>
      </c>
      <c r="J870" s="18">
        <v>0</v>
      </c>
      <c r="K870" s="18">
        <v>0</v>
      </c>
      <c r="L870" s="18">
        <v>0</v>
      </c>
      <c r="M870" s="18">
        <v>0</v>
      </c>
      <c r="N870" s="18">
        <v>0</v>
      </c>
      <c r="O870" s="18">
        <v>0</v>
      </c>
      <c r="Q870" s="18">
        <v>0</v>
      </c>
      <c r="R870" s="18">
        <v>0</v>
      </c>
      <c r="S870" s="18"/>
      <c r="T870" s="18">
        <v>0</v>
      </c>
      <c r="V870" s="18">
        <f>+D853+I853+J853+K853+L853+M853+N853+O853+Q853+R853+T853+V853+W853+X853+D870+F870+G870+I870+J870+K870+L870+M870+N870+O870+Q870+R870+T870</f>
        <v>0</v>
      </c>
      <c r="W870" s="18">
        <f>+F853</f>
        <v>0</v>
      </c>
      <c r="X870" s="18">
        <f>+V870-W870</f>
        <v>0</v>
      </c>
    </row>
    <row r="871" spans="1:24" ht="24.75">
      <c r="A871" s="4">
        <f>+A870+1</f>
        <v>15</v>
      </c>
      <c r="B871" s="89" t="s">
        <v>39</v>
      </c>
      <c r="C871" s="40"/>
      <c r="D871" s="27">
        <v>6212</v>
      </c>
      <c r="E871" s="18" t="s">
        <v>0</v>
      </c>
      <c r="F871" s="27">
        <v>0</v>
      </c>
      <c r="G871" s="27">
        <v>0</v>
      </c>
      <c r="H871" t="s">
        <v>0</v>
      </c>
      <c r="I871" s="27">
        <v>0</v>
      </c>
      <c r="J871" s="27">
        <v>24209</v>
      </c>
      <c r="K871" s="27">
        <v>0</v>
      </c>
      <c r="L871" s="27">
        <v>0</v>
      </c>
      <c r="M871" s="27">
        <v>53679</v>
      </c>
      <c r="N871" s="27">
        <v>-239639</v>
      </c>
      <c r="O871" s="27">
        <v>10831</v>
      </c>
      <c r="Q871" s="27">
        <v>0</v>
      </c>
      <c r="R871" s="27">
        <v>0</v>
      </c>
      <c r="S871" s="27"/>
      <c r="T871" s="27">
        <v>0</v>
      </c>
      <c r="V871" s="18">
        <f>+D854+I854+J854+K854+L854+M854+N854+O854+Q854+R854+T854+V854+W854+X854+D871+F871+G871+I871+J871+K871+L871+M871+N871+O871+Q871+R871+T871</f>
        <v>-356580</v>
      </c>
      <c r="W871" s="18">
        <f>+F854</f>
        <v>0</v>
      </c>
      <c r="X871" s="18">
        <f>+V871-W871</f>
        <v>-356580</v>
      </c>
    </row>
    <row r="872" spans="1:24" ht="15">
      <c r="A872" s="6" t="s">
        <v>41</v>
      </c>
      <c r="B872" s="41"/>
      <c r="C872" s="40"/>
      <c r="D872" s="18"/>
      <c r="E872" s="18"/>
      <c r="F872" s="18"/>
      <c r="G872" s="18"/>
      <c r="I872" s="18"/>
      <c r="J872" s="18"/>
      <c r="K872" s="18"/>
      <c r="L872" s="18"/>
      <c r="M872" s="18"/>
      <c r="N872" s="18"/>
      <c r="O872" s="18"/>
      <c r="Q872" s="18"/>
      <c r="R872" s="18"/>
      <c r="S872" s="18"/>
      <c r="T872" s="18"/>
      <c r="V872" s="18"/>
      <c r="W872" s="18"/>
      <c r="X872" s="18"/>
    </row>
    <row r="873" spans="1:24" ht="15">
      <c r="A873" s="4">
        <f>+A871+1</f>
        <v>16</v>
      </c>
      <c r="B873" s="5" t="s">
        <v>42</v>
      </c>
      <c r="C873" s="22" t="s">
        <v>38</v>
      </c>
      <c r="D873" s="18">
        <v>0</v>
      </c>
      <c r="E873" s="18"/>
      <c r="F873" s="18">
        <v>0</v>
      </c>
      <c r="G873" s="18">
        <v>0</v>
      </c>
      <c r="I873" s="27">
        <v>310225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8">
        <v>0</v>
      </c>
      <c r="P873" s="18"/>
      <c r="Q873" s="18">
        <v>0</v>
      </c>
      <c r="R873" s="18">
        <v>0</v>
      </c>
      <c r="S873" s="18"/>
      <c r="T873" s="18">
        <v>0</v>
      </c>
      <c r="U873" s="18"/>
      <c r="V873" s="18">
        <f>+D856+I856+J856+K856+L856+M856+N856+O856+Q856+R856+T856+V856+W856+X856+D873+F873+G873+I873+J873+K873+L873+M873+N873+O873+Q873+R873+T873</f>
        <v>6247995</v>
      </c>
      <c r="W873" s="18">
        <f>+F856</f>
        <v>4969294</v>
      </c>
      <c r="X873" s="18">
        <f>+V873-W873</f>
        <v>1278701</v>
      </c>
    </row>
    <row r="874" spans="1:24" ht="15">
      <c r="A874" s="4">
        <f>+A873+1</f>
        <v>17</v>
      </c>
      <c r="B874" s="5" t="s">
        <v>43</v>
      </c>
      <c r="C874" s="11"/>
      <c r="D874" s="18">
        <v>0</v>
      </c>
      <c r="E874" s="18"/>
      <c r="F874" s="18">
        <v>0</v>
      </c>
      <c r="G874" s="18">
        <v>0</v>
      </c>
      <c r="I874" s="27">
        <v>0</v>
      </c>
      <c r="J874" s="18">
        <v>0</v>
      </c>
      <c r="K874" s="18">
        <v>0</v>
      </c>
      <c r="L874" s="18">
        <v>0</v>
      </c>
      <c r="M874" s="18">
        <v>0</v>
      </c>
      <c r="N874" s="18">
        <v>0</v>
      </c>
      <c r="O874" s="18">
        <v>0</v>
      </c>
      <c r="P874" s="18"/>
      <c r="Q874" s="18">
        <v>0</v>
      </c>
      <c r="R874" s="18">
        <v>0</v>
      </c>
      <c r="S874" s="18"/>
      <c r="T874" s="18">
        <v>0</v>
      </c>
      <c r="U874" s="18"/>
      <c r="V874" s="18">
        <f>+D857+I857+J857+K857+L857+M857+N857+O857+Q857+R857+T857+V857+W857+X857+D874+F874+G874+I874+J874+K874+L874+M874+N874+O874+Q874+R874+T874</f>
        <v>10268</v>
      </c>
      <c r="W874" s="18">
        <f>+F857</f>
        <v>7088</v>
      </c>
      <c r="X874" s="18">
        <f>+V874-W874</f>
        <v>3180</v>
      </c>
    </row>
    <row r="875" spans="1:24" ht="26.25">
      <c r="A875" s="4">
        <f>+A874+1</f>
        <v>18</v>
      </c>
      <c r="B875" s="24" t="s">
        <v>79</v>
      </c>
      <c r="C875" s="11"/>
      <c r="D875" s="18">
        <f>+D873-D874</f>
        <v>0</v>
      </c>
      <c r="E875" s="18"/>
      <c r="F875" s="18">
        <f>+F873-F874</f>
        <v>0</v>
      </c>
      <c r="G875" s="18">
        <f>+G873-G874</f>
        <v>0</v>
      </c>
      <c r="I875" s="18">
        <f aca="true" t="shared" si="109" ref="I875:O875">+I873-I874</f>
        <v>310225</v>
      </c>
      <c r="J875" s="18">
        <f t="shared" si="109"/>
        <v>0</v>
      </c>
      <c r="K875" s="18">
        <f t="shared" si="109"/>
        <v>0</v>
      </c>
      <c r="L875" s="18">
        <f t="shared" si="109"/>
        <v>0</v>
      </c>
      <c r="M875" s="18">
        <f t="shared" si="109"/>
        <v>0</v>
      </c>
      <c r="N875" s="18">
        <f t="shared" si="109"/>
        <v>0</v>
      </c>
      <c r="O875" s="18">
        <f t="shared" si="109"/>
        <v>0</v>
      </c>
      <c r="P875" s="18"/>
      <c r="Q875" s="18">
        <f>+Q873-Q874</f>
        <v>0</v>
      </c>
      <c r="R875" s="18">
        <f>+R873-R874</f>
        <v>0</v>
      </c>
      <c r="S875" s="18"/>
      <c r="T875" s="18">
        <f>+T873-T874</f>
        <v>0</v>
      </c>
      <c r="U875" s="18"/>
      <c r="V875" s="27">
        <f>+V873-V874</f>
        <v>6237727</v>
      </c>
      <c r="W875" s="27">
        <f>+W873-W874</f>
        <v>4962206</v>
      </c>
      <c r="X875" s="18">
        <f>+X873-X874</f>
        <v>1275521</v>
      </c>
    </row>
    <row r="876" spans="1:24" ht="28.5">
      <c r="A876" s="4">
        <f>+A875+1</f>
        <v>19</v>
      </c>
      <c r="B876" s="88" t="s">
        <v>181</v>
      </c>
      <c r="C876" s="11"/>
      <c r="D876" s="18">
        <v>0</v>
      </c>
      <c r="E876" s="18"/>
      <c r="F876" s="18">
        <v>0</v>
      </c>
      <c r="G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0</v>
      </c>
      <c r="O876" s="18">
        <v>0</v>
      </c>
      <c r="P876" s="18"/>
      <c r="Q876" s="18">
        <v>0</v>
      </c>
      <c r="R876" s="18">
        <v>0</v>
      </c>
      <c r="S876" s="18"/>
      <c r="T876" s="18">
        <v>0</v>
      </c>
      <c r="U876" s="18"/>
      <c r="V876" s="18">
        <f>+D859+I859+J859+K859+L859+M859+N859+O859+Q859+R859+T859+V859+W859+X859+D876+F876+G876+I876+J876+K876+L876+M876+N876+O876+Q876+R876+T876</f>
        <v>0</v>
      </c>
      <c r="W876" s="18">
        <f>+F859+K876+L876+M876+N876+O876+Q876+R876+T876</f>
        <v>0</v>
      </c>
      <c r="X876" s="18">
        <f>+V876-W876</f>
        <v>0</v>
      </c>
    </row>
    <row r="877" spans="1:24" ht="15">
      <c r="A877" s="4">
        <f>+A876+1</f>
        <v>20</v>
      </c>
      <c r="B877" s="24" t="s">
        <v>46</v>
      </c>
      <c r="C877" s="11" t="s">
        <v>47</v>
      </c>
      <c r="D877" s="18">
        <f>+D869+D870+D875+D876+D871</f>
        <v>6212</v>
      </c>
      <c r="E877" s="18"/>
      <c r="F877" s="18">
        <f>+F869+F870+F875+F876+F871</f>
        <v>0</v>
      </c>
      <c r="G877" s="18">
        <f>+G869+G870+G875+G876+G871</f>
        <v>0</v>
      </c>
      <c r="I877" s="18">
        <f aca="true" t="shared" si="110" ref="I877:O877">+I869+I870+I875+I876+I871</f>
        <v>286991</v>
      </c>
      <c r="J877" s="18">
        <f t="shared" si="110"/>
        <v>24209</v>
      </c>
      <c r="K877" s="18">
        <f t="shared" si="110"/>
        <v>0</v>
      </c>
      <c r="L877" s="18">
        <f t="shared" si="110"/>
        <v>0</v>
      </c>
      <c r="M877" s="18">
        <f t="shared" si="110"/>
        <v>53679</v>
      </c>
      <c r="N877" s="18">
        <f t="shared" si="110"/>
        <v>-239639</v>
      </c>
      <c r="O877" s="18">
        <f t="shared" si="110"/>
        <v>10831</v>
      </c>
      <c r="P877" s="42"/>
      <c r="Q877" s="18">
        <f>+Q869+Q870+Q875+Q876+Q871</f>
        <v>0</v>
      </c>
      <c r="R877" s="18">
        <f>+R869+R870+R875+R876+R871</f>
        <v>0</v>
      </c>
      <c r="S877" s="18"/>
      <c r="T877" s="18">
        <f>+T869+T870+T875+T876+T871</f>
        <v>0</v>
      </c>
      <c r="U877" s="42"/>
      <c r="V877" s="18">
        <f>SUM(V869,V871,V875,V876)</f>
        <v>5848930</v>
      </c>
      <c r="W877" s="18">
        <f>+W869+W870+W875+W876+W871</f>
        <v>4955568</v>
      </c>
      <c r="X877" s="18">
        <f>+X869+X870+X875+X876+X871</f>
        <v>893362</v>
      </c>
    </row>
    <row r="878" spans="1:24" ht="15">
      <c r="A878" s="4"/>
      <c r="B878" s="24"/>
      <c r="C878" s="11"/>
      <c r="D878" s="18"/>
      <c r="E878" s="18"/>
      <c r="F878" s="18"/>
      <c r="G878" s="18"/>
      <c r="I878" s="18"/>
      <c r="J878" s="18"/>
      <c r="K878" s="18"/>
      <c r="L878" s="18"/>
      <c r="M878" s="18"/>
      <c r="N878" s="18"/>
      <c r="O878" s="18"/>
      <c r="P878" s="42"/>
      <c r="Q878" s="18"/>
      <c r="R878" s="18"/>
      <c r="S878" s="18"/>
      <c r="T878" s="18"/>
      <c r="U878" s="42"/>
      <c r="V878" s="18"/>
      <c r="W878" s="18"/>
      <c r="X878" s="18"/>
    </row>
    <row r="879" spans="1:24" ht="15">
      <c r="A879" s="4"/>
      <c r="B879" s="24"/>
      <c r="C879" s="11"/>
      <c r="D879" s="18"/>
      <c r="E879" s="18"/>
      <c r="F879" s="18"/>
      <c r="G879" s="18"/>
      <c r="I879" s="18"/>
      <c r="J879" s="18"/>
      <c r="K879" s="18"/>
      <c r="L879" s="18"/>
      <c r="M879" s="18"/>
      <c r="N879" s="18"/>
      <c r="O879" s="18"/>
      <c r="P879" s="42"/>
      <c r="Q879" s="18"/>
      <c r="R879" s="18"/>
      <c r="S879" s="18"/>
      <c r="T879" s="18"/>
      <c r="U879" s="42"/>
      <c r="V879" s="18"/>
      <c r="W879" s="18"/>
      <c r="X879" s="18"/>
    </row>
    <row r="880" spans="1:24" ht="15">
      <c r="A880" s="4"/>
      <c r="B880" s="24"/>
      <c r="C880" s="11"/>
      <c r="D880" s="18"/>
      <c r="E880" s="18"/>
      <c r="F880" s="18"/>
      <c r="G880" s="18"/>
      <c r="I880" s="18"/>
      <c r="J880" s="18"/>
      <c r="K880" s="18"/>
      <c r="L880" s="18"/>
      <c r="M880" s="18"/>
      <c r="N880" s="18"/>
      <c r="O880" s="18"/>
      <c r="P880" s="42"/>
      <c r="Q880" s="18"/>
      <c r="R880" s="18"/>
      <c r="S880" s="18"/>
      <c r="T880" s="18"/>
      <c r="U880" s="42"/>
      <c r="V880" s="18"/>
      <c r="W880" s="18"/>
      <c r="X880" s="18"/>
    </row>
    <row r="881" spans="1:25" ht="15">
      <c r="A881" s="4"/>
      <c r="B881" s="24"/>
      <c r="C881" s="11"/>
      <c r="D881" s="10" t="s">
        <v>80</v>
      </c>
      <c r="E881" s="10"/>
      <c r="F881" s="10" t="s">
        <v>81</v>
      </c>
      <c r="G881" s="10" t="s">
        <v>82</v>
      </c>
      <c r="I881" s="10" t="s">
        <v>83</v>
      </c>
      <c r="J881" s="10" t="s">
        <v>84</v>
      </c>
      <c r="K881" s="10" t="s">
        <v>85</v>
      </c>
      <c r="L881" s="10" t="s">
        <v>86</v>
      </c>
      <c r="M881" s="43" t="s">
        <v>87</v>
      </c>
      <c r="N881" s="43" t="s">
        <v>88</v>
      </c>
      <c r="O881" s="44" t="s">
        <v>89</v>
      </c>
      <c r="P881" s="42"/>
      <c r="Q881" s="43" t="s">
        <v>90</v>
      </c>
      <c r="R881" s="43" t="s">
        <v>91</v>
      </c>
      <c r="S881" s="43"/>
      <c r="T881" s="43" t="s">
        <v>92</v>
      </c>
      <c r="U881" s="42"/>
      <c r="V881" s="43" t="s">
        <v>93</v>
      </c>
      <c r="W881" s="43" t="s">
        <v>94</v>
      </c>
      <c r="X881" s="43" t="s">
        <v>95</v>
      </c>
      <c r="Y881" s="18"/>
    </row>
    <row r="882" spans="1:25" ht="15">
      <c r="A882" s="4"/>
      <c r="B882"/>
      <c r="C882" s="11"/>
      <c r="D882" s="10" t="s">
        <v>20</v>
      </c>
      <c r="E882" s="38"/>
      <c r="F882" s="10" t="s">
        <v>20</v>
      </c>
      <c r="G882" s="10" t="s">
        <v>20</v>
      </c>
      <c r="I882" s="10" t="s">
        <v>20</v>
      </c>
      <c r="J882" s="10" t="s">
        <v>20</v>
      </c>
      <c r="K882" s="10" t="s">
        <v>20</v>
      </c>
      <c r="L882" s="10" t="s">
        <v>20</v>
      </c>
      <c r="M882" s="10" t="s">
        <v>20</v>
      </c>
      <c r="N882" s="10" t="s">
        <v>20</v>
      </c>
      <c r="O882" s="10" t="s">
        <v>20</v>
      </c>
      <c r="P882" s="18"/>
      <c r="Q882" s="10" t="s">
        <v>20</v>
      </c>
      <c r="R882" s="10" t="s">
        <v>20</v>
      </c>
      <c r="S882" s="14"/>
      <c r="T882" s="10" t="s">
        <v>20</v>
      </c>
      <c r="U882" s="18"/>
      <c r="W882" s="39" t="s">
        <v>96</v>
      </c>
      <c r="Y882" s="18"/>
    </row>
    <row r="883" spans="1:25" ht="15">
      <c r="A883" s="4"/>
      <c r="B883" s="87" t="s">
        <v>174</v>
      </c>
      <c r="C883" s="11"/>
      <c r="D883" s="8" t="s">
        <v>156</v>
      </c>
      <c r="E883" s="6"/>
      <c r="F883" s="8" t="s">
        <v>157</v>
      </c>
      <c r="G883" s="45" t="s">
        <v>99</v>
      </c>
      <c r="H883" s="19"/>
      <c r="I883" s="45" t="s">
        <v>100</v>
      </c>
      <c r="J883" s="45" t="s">
        <v>101</v>
      </c>
      <c r="K883" s="45" t="s">
        <v>102</v>
      </c>
      <c r="L883" s="45" t="s">
        <v>103</v>
      </c>
      <c r="M883" s="45" t="s">
        <v>104</v>
      </c>
      <c r="N883" s="45" t="s">
        <v>105</v>
      </c>
      <c r="O883" s="45" t="s">
        <v>106</v>
      </c>
      <c r="P883" s="6"/>
      <c r="Q883" s="45" t="s">
        <v>107</v>
      </c>
      <c r="R883" s="45" t="s">
        <v>108</v>
      </c>
      <c r="S883" s="45"/>
      <c r="T883" s="45" t="s">
        <v>109</v>
      </c>
      <c r="U883" s="18"/>
      <c r="V883" s="10" t="s">
        <v>20</v>
      </c>
      <c r="W883" s="10" t="s">
        <v>21</v>
      </c>
      <c r="X883" s="10" t="s">
        <v>22</v>
      </c>
      <c r="Y883" s="18"/>
    </row>
    <row r="884" spans="1:9" ht="15">
      <c r="A884" s="4"/>
      <c r="B884" s="24"/>
      <c r="C884" s="11"/>
      <c r="E884" s="14"/>
      <c r="F884"/>
      <c r="H884" s="18"/>
      <c r="I884" s="16"/>
    </row>
    <row r="885" spans="1:24" ht="15">
      <c r="A885" s="4">
        <f>+A878+1</f>
        <v>1</v>
      </c>
      <c r="B885" s="5" t="s">
        <v>36</v>
      </c>
      <c r="C885" s="17" t="s">
        <v>37</v>
      </c>
      <c r="D885" s="18">
        <v>0</v>
      </c>
      <c r="E885" s="18"/>
      <c r="F885" s="18">
        <v>0</v>
      </c>
      <c r="G885" s="18">
        <v>0</v>
      </c>
      <c r="I885" s="18">
        <v>0</v>
      </c>
      <c r="J885" s="18">
        <v>0</v>
      </c>
      <c r="K885" s="46">
        <v>-207</v>
      </c>
      <c r="L885" s="27">
        <v>-7395</v>
      </c>
      <c r="M885" s="18">
        <v>0</v>
      </c>
      <c r="N885" s="18">
        <v>0</v>
      </c>
      <c r="O885" s="18">
        <v>0</v>
      </c>
      <c r="Q885" s="18">
        <v>0</v>
      </c>
      <c r="R885" s="18">
        <v>0</v>
      </c>
      <c r="S885" s="18"/>
      <c r="T885" s="18">
        <v>0</v>
      </c>
      <c r="V885" s="18">
        <f>+V867+D885+F885+G885+I885+J885+K885+L885+M885+N885+O885+Q885+R885+T885</f>
        <v>4131922</v>
      </c>
      <c r="W885" s="18">
        <f>+W867</f>
        <v>3385223</v>
      </c>
      <c r="X885" s="18">
        <f>+V885-W885</f>
        <v>746699</v>
      </c>
    </row>
    <row r="886" spans="1:24" ht="15">
      <c r="A886" s="4">
        <f>+A885+1</f>
        <v>2</v>
      </c>
      <c r="B886" s="5" t="s">
        <v>36</v>
      </c>
      <c r="C886" s="22" t="s">
        <v>38</v>
      </c>
      <c r="D886" s="18">
        <v>0</v>
      </c>
      <c r="E886" s="18"/>
      <c r="F886" s="18">
        <v>0</v>
      </c>
      <c r="G886" s="18">
        <v>0</v>
      </c>
      <c r="I886" s="18">
        <v>0</v>
      </c>
      <c r="J886" s="18">
        <v>0</v>
      </c>
      <c r="K886" s="46">
        <v>-207</v>
      </c>
      <c r="L886" s="27">
        <v>-7395</v>
      </c>
      <c r="M886" s="18">
        <v>0</v>
      </c>
      <c r="N886" s="18">
        <v>0</v>
      </c>
      <c r="O886" s="18">
        <v>0</v>
      </c>
      <c r="Q886" s="18">
        <v>0</v>
      </c>
      <c r="R886" s="18">
        <v>0</v>
      </c>
      <c r="S886" s="18"/>
      <c r="T886" s="18">
        <v>0</v>
      </c>
      <c r="V886" s="18">
        <f>+V868+D886+F886+G886+I886+J886+K886+L886+M886+N886+O886+Q886+R886+T886</f>
        <v>4164139</v>
      </c>
      <c r="W886" s="18">
        <f>+W868</f>
        <v>3391861</v>
      </c>
      <c r="X886" s="18">
        <f>+V886-W886</f>
        <v>772278</v>
      </c>
    </row>
    <row r="887" spans="1:24" ht="15">
      <c r="A887" s="4">
        <f>+A886+1</f>
        <v>3</v>
      </c>
      <c r="B887" s="24" t="s">
        <v>46</v>
      </c>
      <c r="C887" s="40" t="s">
        <v>78</v>
      </c>
      <c r="D887" s="18">
        <f>+D885-D886</f>
        <v>0</v>
      </c>
      <c r="E887" s="18"/>
      <c r="F887" s="18">
        <f>+F885-F886</f>
        <v>0</v>
      </c>
      <c r="G887" s="18">
        <f>+G885-G886</f>
        <v>0</v>
      </c>
      <c r="I887" s="18">
        <f aca="true" t="shared" si="111" ref="I887:O887">+I885-I886</f>
        <v>0</v>
      </c>
      <c r="J887" s="18">
        <f t="shared" si="111"/>
        <v>0</v>
      </c>
      <c r="K887" s="18">
        <f t="shared" si="111"/>
        <v>0</v>
      </c>
      <c r="L887" s="18">
        <f t="shared" si="111"/>
        <v>0</v>
      </c>
      <c r="M887" s="18">
        <f t="shared" si="111"/>
        <v>0</v>
      </c>
      <c r="N887" s="18">
        <f t="shared" si="111"/>
        <v>0</v>
      </c>
      <c r="O887" s="18">
        <f t="shared" si="111"/>
        <v>0</v>
      </c>
      <c r="Q887" s="18">
        <f>+Q885-Q886</f>
        <v>0</v>
      </c>
      <c r="R887" s="18">
        <f>+R885-R886</f>
        <v>0</v>
      </c>
      <c r="S887" s="18"/>
      <c r="T887" s="18">
        <f>+T885-T886</f>
        <v>0</v>
      </c>
      <c r="V887" s="27">
        <f>+V885-V886</f>
        <v>-32217</v>
      </c>
      <c r="W887" s="27">
        <f>+W885-W886</f>
        <v>-6638</v>
      </c>
      <c r="X887" s="18">
        <f>+X885-X886</f>
        <v>-25579</v>
      </c>
    </row>
    <row r="888" spans="1:24" ht="28.5">
      <c r="A888" s="4">
        <f>+A887+1</f>
        <v>4</v>
      </c>
      <c r="B888" s="88" t="s">
        <v>182</v>
      </c>
      <c r="C888" s="11"/>
      <c r="D888" s="18">
        <v>0</v>
      </c>
      <c r="E888" s="18"/>
      <c r="F888" s="18">
        <v>0</v>
      </c>
      <c r="G888" s="18">
        <v>0</v>
      </c>
      <c r="I888" s="18">
        <v>0</v>
      </c>
      <c r="J888" s="27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0</v>
      </c>
      <c r="Q888" s="18">
        <v>0</v>
      </c>
      <c r="R888" s="18">
        <v>0</v>
      </c>
      <c r="S888" s="18"/>
      <c r="T888" s="18">
        <v>0</v>
      </c>
      <c r="V888" s="18">
        <f>+V870+D888+F888+G888+I888+J888+K888+L888+M888+N888+O888+Q888+R888+T888</f>
        <v>0</v>
      </c>
      <c r="W888" s="18">
        <f>+W870</f>
        <v>0</v>
      </c>
      <c r="X888" s="18">
        <f>+V888-W888</f>
        <v>0</v>
      </c>
    </row>
    <row r="889" spans="1:24" ht="24.75">
      <c r="A889" s="4">
        <f>+A888+1</f>
        <v>5</v>
      </c>
      <c r="B889" s="89" t="s">
        <v>39</v>
      </c>
      <c r="C889" s="40"/>
      <c r="D889" s="27">
        <v>8650</v>
      </c>
      <c r="E889" s="18"/>
      <c r="F889" s="27">
        <v>144427</v>
      </c>
      <c r="G889" s="27">
        <v>1736</v>
      </c>
      <c r="I889" s="27">
        <v>0</v>
      </c>
      <c r="J889" s="27">
        <v>0</v>
      </c>
      <c r="K889" s="27">
        <v>-185728</v>
      </c>
      <c r="L889" s="27">
        <v>0</v>
      </c>
      <c r="M889" s="27">
        <v>-9122</v>
      </c>
      <c r="N889" s="27">
        <v>0</v>
      </c>
      <c r="O889" s="27">
        <v>-22488</v>
      </c>
      <c r="Q889" s="27">
        <v>0</v>
      </c>
      <c r="R889" s="27">
        <v>-4575</v>
      </c>
      <c r="S889" s="27"/>
      <c r="T889" s="27">
        <v>-22068</v>
      </c>
      <c r="V889" s="18">
        <f>+V871+D889+F889+G889+I889+J889+K889+L889+M889+N889+O889+Q889+R889+T889</f>
        <v>-445748</v>
      </c>
      <c r="W889" s="18">
        <f>+W871</f>
        <v>0</v>
      </c>
      <c r="X889" s="18">
        <f>+V889-W889</f>
        <v>-445748</v>
      </c>
    </row>
    <row r="890" spans="1:24" ht="15">
      <c r="A890" s="6" t="s">
        <v>41</v>
      </c>
      <c r="B890" s="41"/>
      <c r="C890" s="40"/>
      <c r="D890" s="18"/>
      <c r="E890" s="18"/>
      <c r="F890" s="18"/>
      <c r="G890" s="18"/>
      <c r="I890" s="18"/>
      <c r="J890" s="18"/>
      <c r="K890" s="27"/>
      <c r="L890" s="18"/>
      <c r="M890" s="18"/>
      <c r="N890" s="18"/>
      <c r="O890" s="18"/>
      <c r="Q890" s="18"/>
      <c r="R890" s="18"/>
      <c r="S890" s="18"/>
      <c r="T890" s="18"/>
      <c r="V890" s="18"/>
      <c r="W890" s="18"/>
      <c r="X890" s="18"/>
    </row>
    <row r="891" spans="1:24" ht="15">
      <c r="A891" s="4">
        <f>+A889+1</f>
        <v>6</v>
      </c>
      <c r="B891" s="5" t="s">
        <v>42</v>
      </c>
      <c r="C891" s="22" t="s">
        <v>38</v>
      </c>
      <c r="D891" s="18">
        <v>0</v>
      </c>
      <c r="E891" s="18"/>
      <c r="F891" s="18">
        <v>0</v>
      </c>
      <c r="G891" s="18">
        <v>0</v>
      </c>
      <c r="I891" s="18">
        <v>0</v>
      </c>
      <c r="J891" s="18">
        <v>0</v>
      </c>
      <c r="K891" s="46">
        <v>-518</v>
      </c>
      <c r="L891" s="27">
        <v>-7076</v>
      </c>
      <c r="M891" s="18">
        <v>0</v>
      </c>
      <c r="N891" s="18">
        <v>0</v>
      </c>
      <c r="O891" s="18">
        <v>0</v>
      </c>
      <c r="P891" s="18"/>
      <c r="Q891" s="18">
        <v>0</v>
      </c>
      <c r="R891" s="18">
        <v>0</v>
      </c>
      <c r="S891" s="18"/>
      <c r="T891" s="18">
        <v>0</v>
      </c>
      <c r="U891" s="18"/>
      <c r="V891" s="18">
        <f>+V873+D891+F891+G891+I891+J891+K891+L891+M891+N891+O891+Q891+R891+T891</f>
        <v>6240401</v>
      </c>
      <c r="W891" s="18">
        <f>+W873</f>
        <v>4969294</v>
      </c>
      <c r="X891" s="18">
        <f>+V891-W891</f>
        <v>1271107</v>
      </c>
    </row>
    <row r="892" spans="1:24" ht="15">
      <c r="A892" s="4">
        <f>+A891+1</f>
        <v>7</v>
      </c>
      <c r="B892" s="5" t="s">
        <v>43</v>
      </c>
      <c r="C892" s="11"/>
      <c r="D892" s="18">
        <v>0</v>
      </c>
      <c r="E892" s="18"/>
      <c r="F892" s="18">
        <v>0</v>
      </c>
      <c r="G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/>
      <c r="Q892" s="18">
        <v>0</v>
      </c>
      <c r="R892" s="18">
        <v>0</v>
      </c>
      <c r="S892" s="18"/>
      <c r="T892" s="18">
        <v>0</v>
      </c>
      <c r="U892" s="18"/>
      <c r="V892" s="18">
        <f>+V874+D892+F892+G892+I892+J892+K892+L892+M892+N892+O892+Q892+R892+T892</f>
        <v>10268</v>
      </c>
      <c r="W892" s="18">
        <f>+W874</f>
        <v>7088</v>
      </c>
      <c r="X892" s="18">
        <f>+V892-W892</f>
        <v>3180</v>
      </c>
    </row>
    <row r="893" spans="1:24" ht="26.25">
      <c r="A893" s="4">
        <f>+A892+1</f>
        <v>8</v>
      </c>
      <c r="B893" s="24" t="s">
        <v>79</v>
      </c>
      <c r="C893" s="11"/>
      <c r="D893" s="18">
        <f>+D891-D892</f>
        <v>0</v>
      </c>
      <c r="E893" s="18"/>
      <c r="F893" s="18">
        <f>+F891-F892</f>
        <v>0</v>
      </c>
      <c r="G893" s="18">
        <f>+G891-G892</f>
        <v>0</v>
      </c>
      <c r="I893" s="18">
        <f aca="true" t="shared" si="112" ref="I893:O893">+I891-I892</f>
        <v>0</v>
      </c>
      <c r="J893" s="18">
        <f t="shared" si="112"/>
        <v>0</v>
      </c>
      <c r="K893" s="18">
        <f t="shared" si="112"/>
        <v>-518</v>
      </c>
      <c r="L893" s="18">
        <f t="shared" si="112"/>
        <v>-7076</v>
      </c>
      <c r="M893" s="18">
        <f t="shared" si="112"/>
        <v>0</v>
      </c>
      <c r="N893" s="18">
        <f t="shared" si="112"/>
        <v>0</v>
      </c>
      <c r="O893" s="18">
        <f t="shared" si="112"/>
        <v>0</v>
      </c>
      <c r="P893" s="18"/>
      <c r="Q893" s="18">
        <f>+Q891-Q892</f>
        <v>0</v>
      </c>
      <c r="R893" s="18">
        <f>+R891-R892</f>
        <v>0</v>
      </c>
      <c r="S893" s="18"/>
      <c r="T893" s="18">
        <f>+T891-T892</f>
        <v>0</v>
      </c>
      <c r="U893" s="18"/>
      <c r="V893" s="27">
        <f>+V891-V892</f>
        <v>6230133</v>
      </c>
      <c r="W893" s="27">
        <f>+W891-W892</f>
        <v>4962206</v>
      </c>
      <c r="X893" s="18">
        <f>+X891-X892</f>
        <v>1267927</v>
      </c>
    </row>
    <row r="894" spans="1:24" ht="28.5">
      <c r="A894" s="4">
        <f>+A893+1</f>
        <v>9</v>
      </c>
      <c r="B894" s="88" t="s">
        <v>181</v>
      </c>
      <c r="C894" s="11"/>
      <c r="D894" s="18">
        <v>0</v>
      </c>
      <c r="E894" s="18"/>
      <c r="F894" s="18">
        <v>0</v>
      </c>
      <c r="G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8">
        <v>0</v>
      </c>
      <c r="P894" s="18"/>
      <c r="Q894" s="18">
        <v>0</v>
      </c>
      <c r="R894" s="18">
        <v>0</v>
      </c>
      <c r="S894" s="18"/>
      <c r="T894" s="18">
        <v>0</v>
      </c>
      <c r="U894" s="18"/>
      <c r="V894" s="18">
        <f>+V876+D894+F894+G894+I894+J894+K894+L894+M894+N894+O894+Q894+R894+T894</f>
        <v>0</v>
      </c>
      <c r="W894" s="18">
        <f>+W876</f>
        <v>0</v>
      </c>
      <c r="X894" s="18">
        <f>+V894-W894</f>
        <v>0</v>
      </c>
    </row>
    <row r="895" spans="1:24" ht="15">
      <c r="A895" s="4">
        <f>+A894+1</f>
        <v>10</v>
      </c>
      <c r="B895" s="24" t="s">
        <v>46</v>
      </c>
      <c r="C895" s="11" t="s">
        <v>47</v>
      </c>
      <c r="D895" s="18">
        <f>+D887+D888+D893+D894+D889</f>
        <v>8650</v>
      </c>
      <c r="E895" s="18"/>
      <c r="F895" s="18">
        <f>+F887+F888+F893+F894+F889</f>
        <v>144427</v>
      </c>
      <c r="G895" s="18">
        <f>+G887+G888+G893+G894+G889</f>
        <v>1736</v>
      </c>
      <c r="I895" s="18">
        <f aca="true" t="shared" si="113" ref="I895:O895">+I887+I888+I893+I894+I889</f>
        <v>0</v>
      </c>
      <c r="J895" s="18">
        <f t="shared" si="113"/>
        <v>0</v>
      </c>
      <c r="K895" s="18">
        <f t="shared" si="113"/>
        <v>-186246</v>
      </c>
      <c r="L895" s="18">
        <f t="shared" si="113"/>
        <v>-7076</v>
      </c>
      <c r="M895" s="18">
        <f t="shared" si="113"/>
        <v>-9122</v>
      </c>
      <c r="N895" s="18">
        <f t="shared" si="113"/>
        <v>0</v>
      </c>
      <c r="O895" s="18">
        <f t="shared" si="113"/>
        <v>-22488</v>
      </c>
      <c r="P895" s="42"/>
      <c r="Q895" s="18">
        <f>+Q887+Q888+Q893+Q894+Q889</f>
        <v>0</v>
      </c>
      <c r="R895" s="18">
        <f>+R887+R888+R893+R894+R889</f>
        <v>-4575</v>
      </c>
      <c r="S895" s="18"/>
      <c r="T895" s="18">
        <f>+T887+T888+T893+T894+T889</f>
        <v>-22068</v>
      </c>
      <c r="U895" s="42"/>
      <c r="V895" s="18">
        <f>+V887+V888+V893+V894+V889</f>
        <v>5752168</v>
      </c>
      <c r="W895" s="18">
        <f>+W887+W888+W893+W894+W889</f>
        <v>4955568</v>
      </c>
      <c r="X895" s="18">
        <f>+X887+X888+X893+X894+X889</f>
        <v>796600</v>
      </c>
    </row>
    <row r="896" spans="1:24" ht="15">
      <c r="A896" s="4"/>
      <c r="B896" s="24"/>
      <c r="C896" s="11"/>
      <c r="D896" s="18"/>
      <c r="E896" s="18"/>
      <c r="F896" s="18"/>
      <c r="G896" s="18"/>
      <c r="I896" s="18"/>
      <c r="J896" s="18"/>
      <c r="K896" s="27" t="s">
        <v>0</v>
      </c>
      <c r="L896" s="18"/>
      <c r="M896" s="18"/>
      <c r="N896" s="18"/>
      <c r="O896" s="18"/>
      <c r="P896" s="42"/>
      <c r="Q896" s="18"/>
      <c r="R896" s="18"/>
      <c r="S896" s="18"/>
      <c r="T896" s="18"/>
      <c r="U896" s="42"/>
      <c r="V896" s="18"/>
      <c r="W896" s="18"/>
      <c r="X896" s="18"/>
    </row>
    <row r="897" spans="1:24" ht="15">
      <c r="A897" s="4"/>
      <c r="B897" s="24"/>
      <c r="C897" s="11"/>
      <c r="D897" s="18"/>
      <c r="E897" s="18"/>
      <c r="F897" s="18"/>
      <c r="G897" s="18"/>
      <c r="I897" s="18"/>
      <c r="J897" s="18"/>
      <c r="K897" s="27" t="s">
        <v>0</v>
      </c>
      <c r="L897" s="18"/>
      <c r="M897" s="18"/>
      <c r="N897" s="18"/>
      <c r="O897" s="18"/>
      <c r="P897" s="42"/>
      <c r="Q897" s="18"/>
      <c r="R897" s="18"/>
      <c r="S897" s="18"/>
      <c r="T897" s="18"/>
      <c r="U897" s="42"/>
      <c r="V897" s="18"/>
      <c r="W897" s="18"/>
      <c r="X897" s="18"/>
    </row>
    <row r="898" spans="1:24" ht="15">
      <c r="A898" s="4"/>
      <c r="B898" s="24"/>
      <c r="C898" s="11"/>
      <c r="D898" s="18"/>
      <c r="E898" s="18"/>
      <c r="F898" s="18"/>
      <c r="G898" s="18"/>
      <c r="I898" s="18"/>
      <c r="J898" s="18"/>
      <c r="K898" s="18"/>
      <c r="L898" s="18"/>
      <c r="M898" s="18"/>
      <c r="N898" s="18"/>
      <c r="O898" s="18"/>
      <c r="P898" s="42"/>
      <c r="Q898" s="18"/>
      <c r="R898" s="18"/>
      <c r="S898" s="18"/>
      <c r="T898" s="18"/>
      <c r="U898" s="42"/>
      <c r="V898" s="18"/>
      <c r="W898" s="18"/>
      <c r="X898" s="18"/>
    </row>
    <row r="899" spans="1:24" ht="15">
      <c r="A899" s="4"/>
      <c r="B899" s="24"/>
      <c r="C899" s="11"/>
      <c r="D899" s="18"/>
      <c r="E899" s="18"/>
      <c r="F899" s="18"/>
      <c r="G899" s="18"/>
      <c r="I899" s="18"/>
      <c r="J899" s="18"/>
      <c r="K899" s="18"/>
      <c r="L899" s="18"/>
      <c r="M899" s="18"/>
      <c r="N899" s="18"/>
      <c r="O899" s="18"/>
      <c r="P899" s="42"/>
      <c r="Q899" s="18"/>
      <c r="R899" s="18"/>
      <c r="S899" s="18"/>
      <c r="T899" s="18"/>
      <c r="U899" s="42"/>
      <c r="V899" s="18"/>
      <c r="W899" s="18"/>
      <c r="X899" s="18"/>
    </row>
    <row r="900" spans="1:24" ht="15">
      <c r="A900" s="4"/>
      <c r="B900" s="24"/>
      <c r="C900" s="11"/>
      <c r="D900" s="18"/>
      <c r="E900" s="18"/>
      <c r="F900" s="18"/>
      <c r="G900" s="18"/>
      <c r="I900" s="18"/>
      <c r="J900" s="18"/>
      <c r="K900" s="18"/>
      <c r="L900" s="18"/>
      <c r="M900" s="18"/>
      <c r="N900" s="18"/>
      <c r="O900" s="18"/>
      <c r="P900" s="42"/>
      <c r="Q900" s="18"/>
      <c r="R900" s="18"/>
      <c r="S900" s="18"/>
      <c r="T900" s="18"/>
      <c r="U900" s="42"/>
      <c r="V900" s="18"/>
      <c r="W900" s="18"/>
      <c r="X900" s="18"/>
    </row>
    <row r="901" spans="1:24" ht="15">
      <c r="A901" s="4"/>
      <c r="B901" s="24"/>
      <c r="C901" s="11"/>
      <c r="D901" s="18"/>
      <c r="E901" s="18"/>
      <c r="F901" s="18"/>
      <c r="G901" s="18"/>
      <c r="I901" s="18"/>
      <c r="J901" s="18"/>
      <c r="K901" s="18"/>
      <c r="L901" s="18"/>
      <c r="M901" s="18"/>
      <c r="N901" s="18"/>
      <c r="O901" s="18"/>
      <c r="P901" s="42"/>
      <c r="Q901" s="18"/>
      <c r="R901" s="18"/>
      <c r="S901" s="18"/>
      <c r="T901" s="18"/>
      <c r="U901" s="42"/>
      <c r="V901" s="18"/>
      <c r="W901" s="18"/>
      <c r="X901" s="18"/>
    </row>
    <row r="902" spans="1:24" ht="15">
      <c r="A902" s="4"/>
      <c r="B902" s="24"/>
      <c r="C902" s="11"/>
      <c r="D902" s="18"/>
      <c r="E902" s="18"/>
      <c r="F902" s="18"/>
      <c r="G902" s="18"/>
      <c r="I902" s="18"/>
      <c r="J902" s="18"/>
      <c r="K902" s="18"/>
      <c r="L902" s="18"/>
      <c r="M902" s="18"/>
      <c r="N902" s="18"/>
      <c r="O902" s="18"/>
      <c r="P902" s="42"/>
      <c r="Q902" s="18"/>
      <c r="R902" s="18"/>
      <c r="S902" s="18"/>
      <c r="T902" s="18"/>
      <c r="U902" s="42"/>
      <c r="V902" s="18"/>
      <c r="W902" s="18"/>
      <c r="X902" s="18"/>
    </row>
    <row r="903" spans="1:24" ht="15">
      <c r="A903" s="4"/>
      <c r="B903" s="24"/>
      <c r="C903" s="11"/>
      <c r="D903" s="10" t="s">
        <v>4</v>
      </c>
      <c r="E903" s="10"/>
      <c r="F903" s="10" t="s">
        <v>5</v>
      </c>
      <c r="G903" s="10" t="s">
        <v>6</v>
      </c>
      <c r="H903" s="10"/>
      <c r="I903" s="10" t="s">
        <v>7</v>
      </c>
      <c r="J903" s="10" t="s">
        <v>8</v>
      </c>
      <c r="K903" s="10" t="s">
        <v>9</v>
      </c>
      <c r="L903" s="10" t="s">
        <v>10</v>
      </c>
      <c r="M903" s="10" t="s">
        <v>11</v>
      </c>
      <c r="N903" s="10" t="s">
        <v>12</v>
      </c>
      <c r="O903" s="10" t="s">
        <v>13</v>
      </c>
      <c r="P903" s="10"/>
      <c r="Q903" s="10" t="s">
        <v>14</v>
      </c>
      <c r="R903" s="10" t="s">
        <v>15</v>
      </c>
      <c r="S903" s="10"/>
      <c r="T903" s="10" t="s">
        <v>16</v>
      </c>
      <c r="U903" s="10"/>
      <c r="V903" s="10" t="s">
        <v>17</v>
      </c>
      <c r="W903" s="10" t="s">
        <v>18</v>
      </c>
      <c r="X903" s="10" t="s">
        <v>19</v>
      </c>
    </row>
    <row r="904" spans="1:23" ht="15">
      <c r="A904" s="4"/>
      <c r="B904" s="24"/>
      <c r="C904" s="11"/>
      <c r="D904" s="10" t="s">
        <v>20</v>
      </c>
      <c r="E904" s="10"/>
      <c r="F904" s="14" t="s">
        <v>21</v>
      </c>
      <c r="G904" s="10"/>
      <c r="I904" s="39" t="s">
        <v>110</v>
      </c>
      <c r="J904" s="47" t="s">
        <v>111</v>
      </c>
      <c r="K904" s="39"/>
      <c r="L904" s="10" t="s">
        <v>20</v>
      </c>
      <c r="M904" s="10" t="s">
        <v>20</v>
      </c>
      <c r="N904" s="10" t="s">
        <v>20</v>
      </c>
      <c r="O904" s="10" t="s">
        <v>20</v>
      </c>
      <c r="P904" s="42"/>
      <c r="Q904" s="10" t="s">
        <v>20</v>
      </c>
      <c r="R904" s="10" t="s">
        <v>20</v>
      </c>
      <c r="S904" s="48"/>
      <c r="T904" s="10" t="s">
        <v>20</v>
      </c>
      <c r="U904" s="42"/>
      <c r="W904" s="39" t="s">
        <v>112</v>
      </c>
    </row>
    <row r="905" spans="1:24" ht="15">
      <c r="A905" s="4"/>
      <c r="B905" s="87" t="s">
        <v>183</v>
      </c>
      <c r="C905" s="11"/>
      <c r="D905" s="8" t="s">
        <v>113</v>
      </c>
      <c r="E905" s="6"/>
      <c r="F905" s="6" t="s">
        <v>114</v>
      </c>
      <c r="G905" s="49" t="s">
        <v>22</v>
      </c>
      <c r="I905" s="8" t="s">
        <v>113</v>
      </c>
      <c r="J905" s="6" t="s">
        <v>114</v>
      </c>
      <c r="K905" s="49" t="s">
        <v>24</v>
      </c>
      <c r="L905" s="13" t="s">
        <v>115</v>
      </c>
      <c r="M905" s="13" t="s">
        <v>116</v>
      </c>
      <c r="N905" s="13" t="s">
        <v>117</v>
      </c>
      <c r="O905" s="13" t="s">
        <v>118</v>
      </c>
      <c r="P905" s="42"/>
      <c r="Q905" s="13" t="s">
        <v>119</v>
      </c>
      <c r="R905" s="13" t="s">
        <v>120</v>
      </c>
      <c r="T905" s="13" t="s">
        <v>121</v>
      </c>
      <c r="U905" s="42"/>
      <c r="V905" s="10" t="s">
        <v>20</v>
      </c>
      <c r="W905" s="10" t="s">
        <v>21</v>
      </c>
      <c r="X905" s="10" t="s">
        <v>22</v>
      </c>
    </row>
    <row r="906" spans="1:24" ht="15">
      <c r="A906" s="4"/>
      <c r="B906" s="24"/>
      <c r="C906" s="11"/>
      <c r="D906" s="18"/>
      <c r="E906" s="18"/>
      <c r="F906" s="18"/>
      <c r="G906" s="18"/>
      <c r="I906" s="72" t="s">
        <v>0</v>
      </c>
      <c r="K906" s="42"/>
      <c r="L906" s="42"/>
      <c r="N906" s="42"/>
      <c r="O906" s="18"/>
      <c r="P906" s="42"/>
      <c r="U906" s="42"/>
      <c r="V906" s="18"/>
      <c r="W906" s="39" t="s">
        <v>122</v>
      </c>
      <c r="X906" s="18"/>
    </row>
    <row r="907" spans="1:24" ht="15">
      <c r="A907" s="4">
        <f>+A875+1</f>
        <v>19</v>
      </c>
      <c r="B907" s="5" t="s">
        <v>36</v>
      </c>
      <c r="C907" s="17" t="s">
        <v>37</v>
      </c>
      <c r="D907" s="27">
        <v>1317310</v>
      </c>
      <c r="E907" s="18" t="s">
        <v>0</v>
      </c>
      <c r="F907" s="27">
        <v>437137</v>
      </c>
      <c r="G907" s="18">
        <f>D907-F907</f>
        <v>880173</v>
      </c>
      <c r="I907" s="27">
        <v>-692</v>
      </c>
      <c r="J907" s="27">
        <v>1331</v>
      </c>
      <c r="K907" s="36">
        <f>+I907-J907</f>
        <v>-2023</v>
      </c>
      <c r="L907" s="18">
        <v>0</v>
      </c>
      <c r="M907" s="27">
        <v>-205394</v>
      </c>
      <c r="N907" s="27">
        <v>3482</v>
      </c>
      <c r="O907" s="18">
        <v>0</v>
      </c>
      <c r="P907" s="42"/>
      <c r="Q907" s="31">
        <v>0</v>
      </c>
      <c r="R907" s="18">
        <v>0</v>
      </c>
      <c r="S907" s="18"/>
      <c r="T907" s="18">
        <v>0</v>
      </c>
      <c r="U907" s="42"/>
      <c r="V907" s="31">
        <f>+D907+I907+L907+M907+N907+O907+Q907+R907+T907</f>
        <v>1114706</v>
      </c>
      <c r="W907" s="18">
        <f>+F907+J907</f>
        <v>438468</v>
      </c>
      <c r="X907" s="18">
        <f>+V907-W907</f>
        <v>676238</v>
      </c>
    </row>
    <row r="908" spans="1:24" ht="15">
      <c r="A908" s="4">
        <f>+A907+1</f>
        <v>20</v>
      </c>
      <c r="B908" s="5" t="s">
        <v>36</v>
      </c>
      <c r="C908" s="22" t="s">
        <v>38</v>
      </c>
      <c r="D908" s="27">
        <v>1243191</v>
      </c>
      <c r="E908" s="18" t="s">
        <v>0</v>
      </c>
      <c r="F908" s="27">
        <v>396240</v>
      </c>
      <c r="G908" s="18">
        <f>D908-F908</f>
        <v>846951</v>
      </c>
      <c r="I908" s="27">
        <v>-719</v>
      </c>
      <c r="J908" s="31">
        <v>1887</v>
      </c>
      <c r="K908" s="18">
        <v>-1707</v>
      </c>
      <c r="L908" s="18">
        <v>0</v>
      </c>
      <c r="M908" s="27">
        <v>-205428</v>
      </c>
      <c r="N908" s="27">
        <v>20376</v>
      </c>
      <c r="O908" s="18">
        <v>0</v>
      </c>
      <c r="P908" s="42"/>
      <c r="Q908" s="31">
        <v>0</v>
      </c>
      <c r="R908" s="18">
        <v>0</v>
      </c>
      <c r="S908" s="18"/>
      <c r="T908" s="18">
        <v>0</v>
      </c>
      <c r="U908" s="42"/>
      <c r="V908" s="31">
        <f>+D908+I908+L908+M908+N908+O908+Q908+R908+T908</f>
        <v>1057420</v>
      </c>
      <c r="W908" s="18">
        <f>+F908+J908</f>
        <v>398127</v>
      </c>
      <c r="X908" s="18">
        <f>+V908-W908</f>
        <v>659293</v>
      </c>
    </row>
    <row r="909" spans="1:24" ht="15">
      <c r="A909" s="4">
        <f>+A908+1</f>
        <v>21</v>
      </c>
      <c r="B909" s="24" t="s">
        <v>46</v>
      </c>
      <c r="C909" s="40" t="s">
        <v>78</v>
      </c>
      <c r="D909" s="18">
        <f>+D907-D908</f>
        <v>74119</v>
      </c>
      <c r="E909" s="18"/>
      <c r="F909" s="18">
        <f>+F907-F908</f>
        <v>40897</v>
      </c>
      <c r="G909" s="18">
        <f>+G907-G908</f>
        <v>33222</v>
      </c>
      <c r="I909" s="18">
        <f aca="true" t="shared" si="114" ref="I909:O909">+I907-I908</f>
        <v>27</v>
      </c>
      <c r="J909" s="18">
        <f t="shared" si="114"/>
        <v>-556</v>
      </c>
      <c r="K909" s="18">
        <f t="shared" si="114"/>
        <v>-316</v>
      </c>
      <c r="L909" s="18">
        <f t="shared" si="114"/>
        <v>0</v>
      </c>
      <c r="M909" s="18">
        <f t="shared" si="114"/>
        <v>34</v>
      </c>
      <c r="N909" s="18">
        <f t="shared" si="114"/>
        <v>-16894</v>
      </c>
      <c r="O909" s="18">
        <f t="shared" si="114"/>
        <v>0</v>
      </c>
      <c r="P909" s="42"/>
      <c r="Q909" s="18">
        <f>+Q907-Q908</f>
        <v>0</v>
      </c>
      <c r="R909" s="18">
        <f>+R907-R908</f>
        <v>0</v>
      </c>
      <c r="S909" s="18"/>
      <c r="T909" s="18">
        <f>+T907-T908</f>
        <v>0</v>
      </c>
      <c r="U909" s="42"/>
      <c r="V909" s="31">
        <f>+V907-V908</f>
        <v>57286</v>
      </c>
      <c r="W909" s="31">
        <f>+W907-W908</f>
        <v>40341</v>
      </c>
      <c r="X909" s="18">
        <f>+X907-X908</f>
        <v>16945</v>
      </c>
    </row>
    <row r="910" spans="1:24" ht="28.5">
      <c r="A910" s="4">
        <f>+A909+1</f>
        <v>22</v>
      </c>
      <c r="B910" s="88" t="s">
        <v>182</v>
      </c>
      <c r="C910" s="11"/>
      <c r="D910" s="18">
        <v>0</v>
      </c>
      <c r="E910" s="18"/>
      <c r="F910" s="18">
        <v>0</v>
      </c>
      <c r="G910" s="18">
        <f>+D910-F910</f>
        <v>0</v>
      </c>
      <c r="I910" s="18">
        <v>0</v>
      </c>
      <c r="J910" s="18">
        <v>0</v>
      </c>
      <c r="K910" s="18">
        <f>+I910-J910</f>
        <v>0</v>
      </c>
      <c r="L910" s="18">
        <v>0</v>
      </c>
      <c r="M910" s="18">
        <v>0</v>
      </c>
      <c r="N910" s="18">
        <f>+L910-M910</f>
        <v>0</v>
      </c>
      <c r="O910" s="18">
        <v>0</v>
      </c>
      <c r="P910" s="42"/>
      <c r="Q910" s="18">
        <v>0</v>
      </c>
      <c r="R910" s="18">
        <v>0</v>
      </c>
      <c r="S910" s="18"/>
      <c r="T910" s="18">
        <v>0</v>
      </c>
      <c r="U910" s="42"/>
      <c r="V910" s="31">
        <f>+D910+I910+L910+M910+N910+O910+Q910+R910+T910</f>
        <v>0</v>
      </c>
      <c r="W910" s="18">
        <f>+F910+J910</f>
        <v>0</v>
      </c>
      <c r="X910" s="18">
        <f>+V910-W910</f>
        <v>0</v>
      </c>
    </row>
    <row r="911" spans="1:24" ht="24.75">
      <c r="A911" s="4">
        <f>+A910+1</f>
        <v>23</v>
      </c>
      <c r="B911" s="89" t="s">
        <v>39</v>
      </c>
      <c r="C911" s="40"/>
      <c r="D911" s="27">
        <v>-101742</v>
      </c>
      <c r="E911" s="18" t="s">
        <v>0</v>
      </c>
      <c r="F911" s="27">
        <v>444999</v>
      </c>
      <c r="G911" s="18">
        <f>D911-F911</f>
        <v>-546741</v>
      </c>
      <c r="I911" s="27">
        <v>0</v>
      </c>
      <c r="J911" s="27">
        <v>0</v>
      </c>
      <c r="K911" s="18">
        <f>+I911-J911</f>
        <v>0</v>
      </c>
      <c r="L911" s="18">
        <v>39195</v>
      </c>
      <c r="M911" s="27">
        <v>-99466</v>
      </c>
      <c r="N911" s="27">
        <v>53650</v>
      </c>
      <c r="O911" s="27">
        <v>-16047</v>
      </c>
      <c r="P911" s="42"/>
      <c r="Q911" s="55">
        <v>0</v>
      </c>
      <c r="R911" s="21">
        <v>8</v>
      </c>
      <c r="S911" s="18"/>
      <c r="T911" s="18">
        <v>198</v>
      </c>
      <c r="U911" s="42"/>
      <c r="V911" s="31">
        <f>+D911+I911+M911+N911+L911+O911+Q911+R911+T911</f>
        <v>-124204</v>
      </c>
      <c r="W911" s="18">
        <f>+F911+J911</f>
        <v>444999</v>
      </c>
      <c r="X911" s="36">
        <f>+V911-W911</f>
        <v>-569203</v>
      </c>
    </row>
    <row r="912" spans="1:24" ht="15">
      <c r="A912" s="6" t="s">
        <v>41</v>
      </c>
      <c r="B912" s="41"/>
      <c r="C912" s="40"/>
      <c r="D912" s="18"/>
      <c r="E912" s="18"/>
      <c r="F912" s="18" t="s">
        <v>0</v>
      </c>
      <c r="G912" s="18"/>
      <c r="I912" s="18"/>
      <c r="J912" s="18"/>
      <c r="K912" s="18"/>
      <c r="L912" s="18"/>
      <c r="M912" s="18"/>
      <c r="N912" s="18"/>
      <c r="O912" s="18"/>
      <c r="P912" s="42"/>
      <c r="Q912" s="18"/>
      <c r="R912" s="18"/>
      <c r="S912" s="18"/>
      <c r="T912" s="18" t="s">
        <v>0</v>
      </c>
      <c r="U912" s="42"/>
      <c r="V912" s="30"/>
      <c r="W912" s="30"/>
      <c r="X912" s="36"/>
    </row>
    <row r="913" spans="1:24" ht="15">
      <c r="A913" s="4">
        <f>+A911+1</f>
        <v>24</v>
      </c>
      <c r="B913" s="5" t="s">
        <v>42</v>
      </c>
      <c r="C913" s="22" t="s">
        <v>38</v>
      </c>
      <c r="D913" s="27">
        <v>1315237</v>
      </c>
      <c r="E913" s="18" t="s">
        <v>0</v>
      </c>
      <c r="F913" s="27">
        <v>402025</v>
      </c>
      <c r="G913" s="18">
        <f>D913-F913</f>
        <v>913212</v>
      </c>
      <c r="I913" s="18">
        <v>-711</v>
      </c>
      <c r="J913" s="26">
        <v>1164</v>
      </c>
      <c r="K913" s="18">
        <f>+I913-J913</f>
        <v>-1875</v>
      </c>
      <c r="L913" s="27">
        <v>0</v>
      </c>
      <c r="M913" s="27">
        <v>-198732</v>
      </c>
      <c r="N913" s="27">
        <v>112</v>
      </c>
      <c r="O913" s="18">
        <v>0</v>
      </c>
      <c r="P913" s="42"/>
      <c r="Q913" s="31">
        <v>0</v>
      </c>
      <c r="R913" s="18">
        <v>0</v>
      </c>
      <c r="S913" s="18" t="s">
        <v>0</v>
      </c>
      <c r="T913" s="18">
        <v>0</v>
      </c>
      <c r="U913" s="42"/>
      <c r="V913" s="31">
        <f>+D913+I913+L913+M913+N913+O913+Q913+R913+T913</f>
        <v>1115906</v>
      </c>
      <c r="W913" s="18">
        <f>+F913+J913</f>
        <v>403189</v>
      </c>
      <c r="X913" s="18">
        <f>+V913-W913</f>
        <v>712717</v>
      </c>
    </row>
    <row r="914" spans="1:24" ht="15">
      <c r="A914" s="4">
        <f>+A913+1</f>
        <v>25</v>
      </c>
      <c r="B914" s="5" t="s">
        <v>43</v>
      </c>
      <c r="C914" s="11"/>
      <c r="D914" s="18"/>
      <c r="E914" s="18"/>
      <c r="F914" s="18">
        <v>0</v>
      </c>
      <c r="G914" s="18">
        <f>+D914-F914</f>
        <v>0</v>
      </c>
      <c r="I914" s="18">
        <v>0</v>
      </c>
      <c r="J914" s="18">
        <v>0</v>
      </c>
      <c r="K914" s="18">
        <f>+I914-J914</f>
        <v>0</v>
      </c>
      <c r="L914" s="18">
        <v>0</v>
      </c>
      <c r="M914" s="18">
        <v>0</v>
      </c>
      <c r="N914" s="18">
        <f>+L914-M914</f>
        <v>0</v>
      </c>
      <c r="O914" s="18">
        <v>0</v>
      </c>
      <c r="P914" s="42"/>
      <c r="Q914" s="18">
        <v>0</v>
      </c>
      <c r="R914" s="18">
        <v>0</v>
      </c>
      <c r="S914" s="18"/>
      <c r="T914" s="18">
        <v>0</v>
      </c>
      <c r="U914" s="42"/>
      <c r="V914" s="31">
        <f>+D914+I914+L914+O914+Q914+R914+T914</f>
        <v>0</v>
      </c>
      <c r="W914" s="18">
        <f>+F914+J914+M914</f>
        <v>0</v>
      </c>
      <c r="X914" s="18">
        <f>+V914-W914</f>
        <v>0</v>
      </c>
    </row>
    <row r="915" spans="1:24" ht="26.25">
      <c r="A915" s="4">
        <f>+A914+1</f>
        <v>26</v>
      </c>
      <c r="B915" s="24" t="s">
        <v>79</v>
      </c>
      <c r="C915" s="11"/>
      <c r="D915" s="18">
        <f>+D913-D914</f>
        <v>1315237</v>
      </c>
      <c r="E915" s="18"/>
      <c r="F915" s="18">
        <f>+F913-F914</f>
        <v>402025</v>
      </c>
      <c r="G915" s="18">
        <f>+G913-G914</f>
        <v>913212</v>
      </c>
      <c r="I915" s="18">
        <f aca="true" t="shared" si="115" ref="I915:N915">+I913-I914</f>
        <v>-711</v>
      </c>
      <c r="J915" s="18">
        <f t="shared" si="115"/>
        <v>1164</v>
      </c>
      <c r="K915" s="18">
        <f t="shared" si="115"/>
        <v>-1875</v>
      </c>
      <c r="L915" s="18">
        <f t="shared" si="115"/>
        <v>0</v>
      </c>
      <c r="M915" s="18">
        <f t="shared" si="115"/>
        <v>-198732</v>
      </c>
      <c r="N915" s="18">
        <f t="shared" si="115"/>
        <v>112</v>
      </c>
      <c r="O915" s="18">
        <v>0</v>
      </c>
      <c r="P915" s="42"/>
      <c r="Q915" s="18">
        <f>+Q913-Q914</f>
        <v>0</v>
      </c>
      <c r="R915" s="18">
        <f>+R913-R914</f>
        <v>0</v>
      </c>
      <c r="S915" s="18"/>
      <c r="T915" s="18">
        <f>+T913-T914</f>
        <v>0</v>
      </c>
      <c r="U915" s="42"/>
      <c r="V915" s="27">
        <f>+V913-V914</f>
        <v>1115906</v>
      </c>
      <c r="W915" s="27">
        <f>+W913-W914</f>
        <v>403189</v>
      </c>
      <c r="X915" s="31">
        <f>+X913-X914</f>
        <v>712717</v>
      </c>
    </row>
    <row r="916" spans="1:24" ht="28.5">
      <c r="A916" s="4">
        <f>+A915+1</f>
        <v>27</v>
      </c>
      <c r="B916" s="88" t="s">
        <v>181</v>
      </c>
      <c r="C916" s="11"/>
      <c r="D916" s="18">
        <v>0</v>
      </c>
      <c r="E916" s="18"/>
      <c r="F916" s="18">
        <v>0</v>
      </c>
      <c r="G916" s="18">
        <f>+D916-F916</f>
        <v>0</v>
      </c>
      <c r="I916" s="18">
        <v>0</v>
      </c>
      <c r="J916" s="18">
        <v>0</v>
      </c>
      <c r="K916" s="18">
        <f>+I916-J916</f>
        <v>0</v>
      </c>
      <c r="L916" s="18">
        <v>0</v>
      </c>
      <c r="M916" s="18">
        <v>0</v>
      </c>
      <c r="N916" s="18">
        <f>+L916-M916</f>
        <v>0</v>
      </c>
      <c r="O916" s="18">
        <v>0</v>
      </c>
      <c r="P916" s="42"/>
      <c r="Q916" s="18">
        <v>0</v>
      </c>
      <c r="R916" s="18">
        <v>0</v>
      </c>
      <c r="S916" s="18"/>
      <c r="T916" s="18">
        <v>0</v>
      </c>
      <c r="U916" s="42"/>
      <c r="V916" s="31">
        <f>+D916+I916+L916+O916+Q916+R916+T916</f>
        <v>0</v>
      </c>
      <c r="W916" s="18">
        <f>+F916+J916+M916</f>
        <v>0</v>
      </c>
      <c r="X916" s="18">
        <f>+V916-W916</f>
        <v>0</v>
      </c>
    </row>
    <row r="917" spans="1:24" ht="15">
      <c r="A917" s="4">
        <f>+A916+1</f>
        <v>28</v>
      </c>
      <c r="B917" s="24" t="s">
        <v>46</v>
      </c>
      <c r="C917" s="11" t="s">
        <v>47</v>
      </c>
      <c r="D917" s="51">
        <f>+D909+D910+D915+D916+D911</f>
        <v>1287614</v>
      </c>
      <c r="E917" s="18"/>
      <c r="F917" s="52">
        <f>+F909+F910+F915+F916+F911</f>
        <v>887921</v>
      </c>
      <c r="G917" s="18">
        <f>+G909+G910+G915+G916+G911</f>
        <v>399693</v>
      </c>
      <c r="I917" s="51">
        <f aca="true" t="shared" si="116" ref="I917:O917">+I909+I910+I915+I916+I911</f>
        <v>-684</v>
      </c>
      <c r="J917" s="52">
        <f t="shared" si="116"/>
        <v>608</v>
      </c>
      <c r="K917" s="18">
        <f t="shared" si="116"/>
        <v>-2191</v>
      </c>
      <c r="L917" s="18">
        <f t="shared" si="116"/>
        <v>39195</v>
      </c>
      <c r="M917" s="18">
        <f t="shared" si="116"/>
        <v>-298164</v>
      </c>
      <c r="N917" s="18">
        <f t="shared" si="116"/>
        <v>36868</v>
      </c>
      <c r="O917" s="18">
        <f t="shared" si="116"/>
        <v>-16047</v>
      </c>
      <c r="P917" s="42"/>
      <c r="Q917" s="18">
        <f>+Q909+Q910+Q915+Q916+Q911</f>
        <v>0</v>
      </c>
      <c r="R917" s="18">
        <f>+R909+R910+R915+R916+R911</f>
        <v>8</v>
      </c>
      <c r="S917" s="18"/>
      <c r="T917" s="18">
        <f>+T909+T910+T915+T916+T911</f>
        <v>198</v>
      </c>
      <c r="U917" s="42"/>
      <c r="V917" s="18">
        <f>+V909+V910+V915+V916+V911</f>
        <v>1048988</v>
      </c>
      <c r="W917" s="18">
        <f>+W909+W910+W915+W916+W911</f>
        <v>888529</v>
      </c>
      <c r="X917" s="18">
        <f>+X909+X910+X915+X916+X911</f>
        <v>160459</v>
      </c>
    </row>
    <row r="918" spans="1:24" ht="15">
      <c r="A918" s="4"/>
      <c r="B918" s="24" t="s">
        <v>0</v>
      </c>
      <c r="C918" s="11"/>
      <c r="D918" s="27"/>
      <c r="E918" s="18"/>
      <c r="F918" s="18" t="s">
        <v>0</v>
      </c>
      <c r="G918" s="18"/>
      <c r="I918" s="18"/>
      <c r="J918" s="18"/>
      <c r="K918" s="18"/>
      <c r="L918" s="18"/>
      <c r="M918" s="42"/>
      <c r="N918" s="73" t="s">
        <v>0</v>
      </c>
      <c r="O918" s="42"/>
      <c r="P918" s="42"/>
      <c r="Q918" s="42"/>
      <c r="U918" s="42"/>
      <c r="V918" s="18"/>
      <c r="W918" s="18"/>
      <c r="X918" s="18"/>
    </row>
    <row r="919" spans="1:24" ht="15">
      <c r="A919" s="4"/>
      <c r="B919" s="92" t="s">
        <v>0</v>
      </c>
      <c r="C919" s="11"/>
      <c r="D919" s="6" t="s">
        <v>48</v>
      </c>
      <c r="E919" s="6"/>
      <c r="F919" s="10" t="s">
        <v>49</v>
      </c>
      <c r="G919" s="10" t="s">
        <v>50</v>
      </c>
      <c r="I919" s="10" t="s">
        <v>51</v>
      </c>
      <c r="J919" s="10" t="s">
        <v>52</v>
      </c>
      <c r="K919" s="10" t="s">
        <v>53</v>
      </c>
      <c r="L919" s="10" t="s">
        <v>54</v>
      </c>
      <c r="M919" s="10" t="s">
        <v>55</v>
      </c>
      <c r="N919" s="10" t="s">
        <v>56</v>
      </c>
      <c r="O919" s="10" t="s">
        <v>57</v>
      </c>
      <c r="P919" s="18"/>
      <c r="Q919" s="10" t="s">
        <v>58</v>
      </c>
      <c r="R919" s="10" t="s">
        <v>59</v>
      </c>
      <c r="S919" s="10"/>
      <c r="T919" s="10" t="s">
        <v>60</v>
      </c>
      <c r="U919" s="18"/>
      <c r="V919" s="10" t="s">
        <v>61</v>
      </c>
      <c r="W919" s="10" t="s">
        <v>62</v>
      </c>
      <c r="X919" s="10" t="s">
        <v>63</v>
      </c>
    </row>
    <row r="920" spans="1:24" ht="15">
      <c r="A920" s="4"/>
      <c r="B920" s="24"/>
      <c r="C920" s="11"/>
      <c r="D920" s="14" t="s">
        <v>20</v>
      </c>
      <c r="E920" s="18"/>
      <c r="F920" s="14" t="s">
        <v>20</v>
      </c>
      <c r="G920" s="14" t="s">
        <v>20</v>
      </c>
      <c r="I920" s="14" t="s">
        <v>20</v>
      </c>
      <c r="J920" s="14" t="s">
        <v>21</v>
      </c>
      <c r="K920" s="14" t="s">
        <v>21</v>
      </c>
      <c r="L920" s="14" t="s">
        <v>21</v>
      </c>
      <c r="M920" s="14" t="s">
        <v>21</v>
      </c>
      <c r="N920" s="14" t="s">
        <v>21</v>
      </c>
      <c r="O920" s="14" t="s">
        <v>21</v>
      </c>
      <c r="P920" s="14"/>
      <c r="Q920" s="14" t="s">
        <v>21</v>
      </c>
      <c r="R920" s="14" t="s">
        <v>21</v>
      </c>
      <c r="T920" s="14" t="s">
        <v>21</v>
      </c>
      <c r="U920" s="42"/>
      <c r="V920" s="18"/>
      <c r="W920" s="39" t="s">
        <v>123</v>
      </c>
      <c r="X920" s="18"/>
    </row>
    <row r="921" spans="1:24" ht="15">
      <c r="A921" s="4"/>
      <c r="B921" s="87" t="s">
        <v>183</v>
      </c>
      <c r="C921" s="11"/>
      <c r="D921" s="53" t="s">
        <v>124</v>
      </c>
      <c r="E921" s="18"/>
      <c r="F921" s="53" t="s">
        <v>125</v>
      </c>
      <c r="G921" s="53" t="s">
        <v>126</v>
      </c>
      <c r="I921" s="53" t="s">
        <v>127</v>
      </c>
      <c r="J921" s="53" t="s">
        <v>128</v>
      </c>
      <c r="K921" s="53" t="s">
        <v>129</v>
      </c>
      <c r="L921" s="53" t="s">
        <v>130</v>
      </c>
      <c r="M921" s="53" t="s">
        <v>131</v>
      </c>
      <c r="N921" s="24" t="s">
        <v>132</v>
      </c>
      <c r="O921" s="24" t="s">
        <v>98</v>
      </c>
      <c r="P921" s="24"/>
      <c r="Q921" s="24" t="s">
        <v>99</v>
      </c>
      <c r="R921" s="24" t="s">
        <v>133</v>
      </c>
      <c r="S921" s="42"/>
      <c r="T921" s="24" t="s">
        <v>134</v>
      </c>
      <c r="U921" s="42"/>
      <c r="V921" s="10" t="s">
        <v>20</v>
      </c>
      <c r="W921" s="10" t="s">
        <v>21</v>
      </c>
      <c r="X921" s="10" t="s">
        <v>22</v>
      </c>
    </row>
    <row r="922" spans="1:24" ht="15">
      <c r="A922" s="4"/>
      <c r="B922" s="24"/>
      <c r="C922" s="11"/>
      <c r="D922" s="18"/>
      <c r="E922" s="18"/>
      <c r="F922" s="18"/>
      <c r="I922" s="18"/>
      <c r="J922" s="18"/>
      <c r="O922" s="42"/>
      <c r="P922" s="42"/>
      <c r="Q922" s="42"/>
      <c r="R922" s="42"/>
      <c r="S922" s="42"/>
      <c r="T922" s="42"/>
      <c r="U922" s="42"/>
      <c r="V922" s="18"/>
      <c r="W922" s="39"/>
      <c r="X922" s="18"/>
    </row>
    <row r="923" spans="1:24" ht="15">
      <c r="A923" s="4">
        <f>+A917+1</f>
        <v>29</v>
      </c>
      <c r="B923" s="5" t="s">
        <v>36</v>
      </c>
      <c r="C923" s="17" t="s">
        <v>37</v>
      </c>
      <c r="D923" s="18">
        <v>0</v>
      </c>
      <c r="E923" s="18"/>
      <c r="F923" s="18">
        <v>0</v>
      </c>
      <c r="G923" s="18">
        <v>0</v>
      </c>
      <c r="I923" s="18">
        <v>0</v>
      </c>
      <c r="J923" s="18">
        <v>0</v>
      </c>
      <c r="K923" s="18">
        <v>0</v>
      </c>
      <c r="L923" s="18">
        <v>0</v>
      </c>
      <c r="M923" s="18">
        <v>0</v>
      </c>
      <c r="N923" s="18">
        <v>0</v>
      </c>
      <c r="O923" s="18">
        <v>0</v>
      </c>
      <c r="P923" s="18"/>
      <c r="Q923" s="18">
        <v>0</v>
      </c>
      <c r="R923" s="18">
        <v>0</v>
      </c>
      <c r="S923" s="42"/>
      <c r="T923" s="18">
        <v>0</v>
      </c>
      <c r="U923" s="42"/>
      <c r="V923" s="18">
        <f>+V907+D923+F923+G923+I923</f>
        <v>1114706</v>
      </c>
      <c r="W923" s="18">
        <f>+W907+J923+K923+L923+M923+N923+O923+Q923+R923+T923</f>
        <v>438468</v>
      </c>
      <c r="X923" s="18">
        <f>+V923-W923</f>
        <v>676238</v>
      </c>
    </row>
    <row r="924" spans="1:24" ht="15">
      <c r="A924" s="4">
        <f>+A923+1</f>
        <v>30</v>
      </c>
      <c r="B924" s="5" t="s">
        <v>36</v>
      </c>
      <c r="C924" s="22" t="s">
        <v>38</v>
      </c>
      <c r="D924" s="18">
        <v>0</v>
      </c>
      <c r="E924" s="18"/>
      <c r="F924" s="18">
        <v>0</v>
      </c>
      <c r="G924" s="18">
        <v>0</v>
      </c>
      <c r="I924" s="18">
        <v>0</v>
      </c>
      <c r="J924" s="18">
        <v>0</v>
      </c>
      <c r="K924" s="18">
        <v>0</v>
      </c>
      <c r="L924" s="18">
        <v>0</v>
      </c>
      <c r="M924" s="18">
        <v>0</v>
      </c>
      <c r="N924" s="18">
        <v>0</v>
      </c>
      <c r="O924" s="18">
        <v>0</v>
      </c>
      <c r="P924" s="18"/>
      <c r="Q924" s="18">
        <v>0</v>
      </c>
      <c r="R924" s="18">
        <v>0</v>
      </c>
      <c r="S924" s="42"/>
      <c r="T924" s="18">
        <v>0</v>
      </c>
      <c r="U924" s="42"/>
      <c r="V924" s="18">
        <f>+V908+D924+F924+G924+I924</f>
        <v>1057420</v>
      </c>
      <c r="W924" s="18">
        <f>+W908+J924+K924+L924+M924+N924+O924+Q924+R924+T924</f>
        <v>398127</v>
      </c>
      <c r="X924" s="18">
        <f>+V924-W924</f>
        <v>659293</v>
      </c>
    </row>
    <row r="925" spans="1:24" ht="15">
      <c r="A925" s="4">
        <f>+A924+1</f>
        <v>31</v>
      </c>
      <c r="B925" s="24" t="s">
        <v>46</v>
      </c>
      <c r="C925" s="40" t="s">
        <v>78</v>
      </c>
      <c r="D925" s="18">
        <f>+D923-D924</f>
        <v>0</v>
      </c>
      <c r="E925" s="18"/>
      <c r="F925" s="18">
        <f>+F923-F924</f>
        <v>0</v>
      </c>
      <c r="G925" s="18">
        <f>+G923-G924</f>
        <v>0</v>
      </c>
      <c r="I925" s="18">
        <f aca="true" t="shared" si="117" ref="I925:O925">+I923-I924</f>
        <v>0</v>
      </c>
      <c r="J925" s="18">
        <f t="shared" si="117"/>
        <v>0</v>
      </c>
      <c r="K925" s="18">
        <f t="shared" si="117"/>
        <v>0</v>
      </c>
      <c r="L925" s="18">
        <f t="shared" si="117"/>
        <v>0</v>
      </c>
      <c r="M925" s="18">
        <f t="shared" si="117"/>
        <v>0</v>
      </c>
      <c r="N925" s="18">
        <f t="shared" si="117"/>
        <v>0</v>
      </c>
      <c r="O925" s="18">
        <f t="shared" si="117"/>
        <v>0</v>
      </c>
      <c r="P925" s="18"/>
      <c r="Q925" s="18">
        <f>+Q923-Q924</f>
        <v>0</v>
      </c>
      <c r="R925" s="18">
        <f>+R923-R924</f>
        <v>0</v>
      </c>
      <c r="S925" s="42"/>
      <c r="T925" s="18">
        <f>+T923-T924</f>
        <v>0</v>
      </c>
      <c r="U925" s="42"/>
      <c r="V925" s="27">
        <f>+V923-V924</f>
        <v>57286</v>
      </c>
      <c r="W925" s="27">
        <f>+W923-W924</f>
        <v>40341</v>
      </c>
      <c r="X925" s="18">
        <f>+X923-X924</f>
        <v>16945</v>
      </c>
    </row>
    <row r="926" spans="1:24" ht="28.5">
      <c r="A926" s="4">
        <f>+A925+1</f>
        <v>32</v>
      </c>
      <c r="B926" s="88" t="s">
        <v>182</v>
      </c>
      <c r="C926" s="11"/>
      <c r="D926" s="18">
        <v>0</v>
      </c>
      <c r="E926" s="18"/>
      <c r="F926" s="18">
        <v>0</v>
      </c>
      <c r="G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18">
        <v>0</v>
      </c>
      <c r="O926" s="18">
        <v>0</v>
      </c>
      <c r="P926" s="18"/>
      <c r="Q926" s="18">
        <v>0</v>
      </c>
      <c r="R926" s="18">
        <v>0</v>
      </c>
      <c r="S926" s="42"/>
      <c r="T926" s="18">
        <v>0</v>
      </c>
      <c r="U926" s="42"/>
      <c r="V926" s="18">
        <f>+V910+D926+F926+G926+I926</f>
        <v>0</v>
      </c>
      <c r="W926" s="18">
        <f>+W910+J926+K926+L926+M926+N926+O926+Q926+R926+T926</f>
        <v>0</v>
      </c>
      <c r="X926" s="18">
        <f>+V926-W926</f>
        <v>0</v>
      </c>
    </row>
    <row r="927" spans="1:24" ht="24.75">
      <c r="A927" s="4">
        <f>+A926+1</f>
        <v>33</v>
      </c>
      <c r="B927" s="89" t="s">
        <v>39</v>
      </c>
      <c r="C927" s="40"/>
      <c r="D927" s="27">
        <v>29679</v>
      </c>
      <c r="E927" s="27" t="s">
        <v>0</v>
      </c>
      <c r="F927" s="27">
        <v>-278</v>
      </c>
      <c r="G927" s="27">
        <v>0</v>
      </c>
      <c r="H927" t="s">
        <v>0</v>
      </c>
      <c r="I927" s="27">
        <v>0</v>
      </c>
      <c r="J927" s="27">
        <v>314</v>
      </c>
      <c r="K927" s="27">
        <v>0</v>
      </c>
      <c r="L927" s="27">
        <v>0</v>
      </c>
      <c r="M927" s="18">
        <v>0</v>
      </c>
      <c r="N927" s="18">
        <v>0</v>
      </c>
      <c r="O927" s="18">
        <v>0</v>
      </c>
      <c r="P927" s="18"/>
      <c r="Q927" s="18">
        <v>0</v>
      </c>
      <c r="R927" s="18">
        <v>0</v>
      </c>
      <c r="S927" s="42"/>
      <c r="T927" s="18">
        <v>0</v>
      </c>
      <c r="U927" s="42"/>
      <c r="V927" s="18">
        <f>+V911+D927+F927+G927+I927</f>
        <v>-94803</v>
      </c>
      <c r="W927" s="18">
        <f>+W911+J927+K927+L927+M927+N927+O927+Q927+R927+T927</f>
        <v>445313</v>
      </c>
      <c r="X927" s="36">
        <f>+V927-W927</f>
        <v>-540116</v>
      </c>
    </row>
    <row r="928" spans="1:24" ht="15">
      <c r="A928" s="6" t="s">
        <v>41</v>
      </c>
      <c r="B928" s="41"/>
      <c r="C928" s="40"/>
      <c r="D928" s="18"/>
      <c r="E928" s="18"/>
      <c r="F928" s="18"/>
      <c r="G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42"/>
      <c r="T928" s="18"/>
      <c r="U928" s="42"/>
      <c r="V928" s="18"/>
      <c r="W928" s="54"/>
      <c r="X928" s="36"/>
    </row>
    <row r="929" spans="1:24" ht="15">
      <c r="A929" s="4">
        <f>+A927+1</f>
        <v>34</v>
      </c>
      <c r="B929" s="5" t="s">
        <v>42</v>
      </c>
      <c r="C929" s="22" t="s">
        <v>38</v>
      </c>
      <c r="D929" s="18">
        <v>0</v>
      </c>
      <c r="E929" s="18"/>
      <c r="F929" s="18">
        <v>0</v>
      </c>
      <c r="G929" s="18">
        <v>0</v>
      </c>
      <c r="I929" s="18">
        <v>0</v>
      </c>
      <c r="J929" s="18">
        <v>0</v>
      </c>
      <c r="K929" s="18">
        <v>0</v>
      </c>
      <c r="L929" s="18"/>
      <c r="M929" s="18">
        <v>0</v>
      </c>
      <c r="N929" s="18">
        <v>0</v>
      </c>
      <c r="O929" s="18">
        <v>0</v>
      </c>
      <c r="P929" s="18"/>
      <c r="Q929" s="18">
        <v>0</v>
      </c>
      <c r="R929" s="18">
        <v>0</v>
      </c>
      <c r="S929" s="42"/>
      <c r="T929" s="18">
        <v>0</v>
      </c>
      <c r="U929" s="42"/>
      <c r="V929" s="18">
        <f>+V913+D929+F929+G929+I929</f>
        <v>1115906</v>
      </c>
      <c r="W929" s="18">
        <f>+W913+J929+K929+L929+M929+N929+O929+Q929+R929+T929</f>
        <v>403189</v>
      </c>
      <c r="X929" s="18">
        <f>+V929-W929</f>
        <v>712717</v>
      </c>
    </row>
    <row r="930" spans="1:24" ht="15">
      <c r="A930" s="4">
        <f>+A929+1</f>
        <v>35</v>
      </c>
      <c r="B930" s="5" t="s">
        <v>43</v>
      </c>
      <c r="C930" s="11"/>
      <c r="D930" s="18">
        <v>0</v>
      </c>
      <c r="E930" s="18"/>
      <c r="F930" s="18">
        <v>0</v>
      </c>
      <c r="G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0</v>
      </c>
      <c r="O930" s="18">
        <v>0</v>
      </c>
      <c r="P930" s="18"/>
      <c r="Q930" s="18">
        <v>0</v>
      </c>
      <c r="R930" s="18">
        <v>0</v>
      </c>
      <c r="S930" s="42"/>
      <c r="T930" s="18">
        <v>0</v>
      </c>
      <c r="U930" s="42"/>
      <c r="V930" s="18">
        <f>+V914+D930+F930+G930+I930</f>
        <v>0</v>
      </c>
      <c r="W930" s="18">
        <f>+W914+J930+K930+L930+M930+N930+O930+Q930+R930+T930</f>
        <v>0</v>
      </c>
      <c r="X930" s="18">
        <f>+V930-W930</f>
        <v>0</v>
      </c>
    </row>
    <row r="931" spans="1:24" ht="26.25">
      <c r="A931" s="4">
        <f>+A930+1</f>
        <v>36</v>
      </c>
      <c r="B931" s="24" t="s">
        <v>79</v>
      </c>
      <c r="C931" s="11"/>
      <c r="D931" s="18">
        <f>+D929-D930</f>
        <v>0</v>
      </c>
      <c r="E931" s="18"/>
      <c r="F931" s="18">
        <f>+F929-F930</f>
        <v>0</v>
      </c>
      <c r="G931" s="18">
        <f>+G929-G930</f>
        <v>0</v>
      </c>
      <c r="I931" s="18">
        <f aca="true" t="shared" si="118" ref="I931:O931">+I929-I930</f>
        <v>0</v>
      </c>
      <c r="J931" s="18">
        <f t="shared" si="118"/>
        <v>0</v>
      </c>
      <c r="K931" s="18">
        <f t="shared" si="118"/>
        <v>0</v>
      </c>
      <c r="L931" s="18">
        <f t="shared" si="118"/>
        <v>0</v>
      </c>
      <c r="M931" s="18">
        <f t="shared" si="118"/>
        <v>0</v>
      </c>
      <c r="N931" s="18">
        <f t="shared" si="118"/>
        <v>0</v>
      </c>
      <c r="O931" s="18">
        <f t="shared" si="118"/>
        <v>0</v>
      </c>
      <c r="P931" s="18"/>
      <c r="Q931" s="18">
        <f>+Q929-Q930</f>
        <v>0</v>
      </c>
      <c r="R931" s="18">
        <f>+R929-R930</f>
        <v>0</v>
      </c>
      <c r="S931" s="42"/>
      <c r="T931" s="18">
        <f>+T929-T930</f>
        <v>0</v>
      </c>
      <c r="U931" s="42"/>
      <c r="V931" s="55">
        <f>+V929-V930</f>
        <v>1115906</v>
      </c>
      <c r="W931" s="55">
        <f>+W929-W930</f>
        <v>403189</v>
      </c>
      <c r="X931" s="31">
        <f>+X929-X930</f>
        <v>712717</v>
      </c>
    </row>
    <row r="932" spans="1:24" ht="28.5">
      <c r="A932" s="4">
        <f>+A931+1</f>
        <v>37</v>
      </c>
      <c r="B932" s="88" t="s">
        <v>181</v>
      </c>
      <c r="C932" s="11"/>
      <c r="D932" s="18">
        <v>0</v>
      </c>
      <c r="E932" s="18"/>
      <c r="F932" s="18">
        <v>0</v>
      </c>
      <c r="G932" s="18">
        <v>0</v>
      </c>
      <c r="I932" s="18">
        <v>0</v>
      </c>
      <c r="J932" s="18">
        <v>0</v>
      </c>
      <c r="K932" s="18">
        <v>0</v>
      </c>
      <c r="L932" s="18">
        <v>0</v>
      </c>
      <c r="M932" s="18">
        <v>0</v>
      </c>
      <c r="N932" s="18">
        <v>0</v>
      </c>
      <c r="O932" s="18">
        <v>0</v>
      </c>
      <c r="P932" s="18"/>
      <c r="Q932" s="18">
        <v>0</v>
      </c>
      <c r="R932" s="18">
        <v>0</v>
      </c>
      <c r="S932" s="42"/>
      <c r="T932" s="18">
        <v>0</v>
      </c>
      <c r="U932" s="42"/>
      <c r="V932" s="18">
        <f>+V916+D932+F932+G932+I932</f>
        <v>0</v>
      </c>
      <c r="W932" s="18">
        <f>+W916+J932+K932+L932+M932+N932+O932+Q932+R932+T932</f>
        <v>0</v>
      </c>
      <c r="X932" s="18">
        <f>+V932-W932</f>
        <v>0</v>
      </c>
    </row>
    <row r="933" spans="1:24" ht="15">
      <c r="A933" s="4">
        <f>+A932+1</f>
        <v>38</v>
      </c>
      <c r="B933" s="24" t="s">
        <v>46</v>
      </c>
      <c r="C933" s="11" t="s">
        <v>47</v>
      </c>
      <c r="D933" s="18">
        <f>+D925+D926+D931+D932+D927</f>
        <v>29679</v>
      </c>
      <c r="E933" s="18"/>
      <c r="F933" s="18">
        <f>+F925+F926+F931+F932+F927</f>
        <v>-278</v>
      </c>
      <c r="G933" s="18">
        <f>+G925+G926+G931+G932+G927</f>
        <v>0</v>
      </c>
      <c r="I933" s="18">
        <f aca="true" t="shared" si="119" ref="I933:O933">+I925+I926+I931+I932+I927</f>
        <v>0</v>
      </c>
      <c r="J933" s="18">
        <f t="shared" si="119"/>
        <v>314</v>
      </c>
      <c r="K933" s="18">
        <f t="shared" si="119"/>
        <v>0</v>
      </c>
      <c r="L933" s="18">
        <f t="shared" si="119"/>
        <v>0</v>
      </c>
      <c r="M933" s="18">
        <f t="shared" si="119"/>
        <v>0</v>
      </c>
      <c r="N933" s="18">
        <f t="shared" si="119"/>
        <v>0</v>
      </c>
      <c r="O933" s="18">
        <f t="shared" si="119"/>
        <v>0</v>
      </c>
      <c r="P933" s="18"/>
      <c r="Q933" s="18">
        <f>+Q925+Q926+Q931+Q932+Q927</f>
        <v>0</v>
      </c>
      <c r="R933" s="18">
        <f>+R925+R926+R931+R932+R927</f>
        <v>0</v>
      </c>
      <c r="S933" s="42"/>
      <c r="T933" s="18">
        <f>+T925+T926+T931+T932+T927</f>
        <v>0</v>
      </c>
      <c r="U933" s="42"/>
      <c r="V933" s="18">
        <f>+V925+V926+V931+V932+V927</f>
        <v>1078389</v>
      </c>
      <c r="W933" s="18">
        <f>+W925+W926+W931+W932+W927</f>
        <v>888843</v>
      </c>
      <c r="X933" s="18">
        <f>+X925+X926+X931+X932+X927</f>
        <v>189546</v>
      </c>
    </row>
    <row r="934" spans="1:24" ht="15">
      <c r="A934" s="4"/>
      <c r="B934" s="24"/>
      <c r="C934" s="11"/>
      <c r="D934" s="18"/>
      <c r="E934" s="18"/>
      <c r="F934" s="18"/>
      <c r="G934" s="18"/>
      <c r="N934" s="42"/>
      <c r="O934" s="42"/>
      <c r="P934" s="42"/>
      <c r="Q934" s="42"/>
      <c r="R934" s="42"/>
      <c r="S934" s="42"/>
      <c r="T934" s="42"/>
      <c r="U934" s="42"/>
      <c r="V934" s="18"/>
      <c r="W934" s="18"/>
      <c r="X934" s="18"/>
    </row>
    <row r="935" spans="1:24" ht="15">
      <c r="A935" s="4"/>
      <c r="B935" s="24"/>
      <c r="C935" s="11"/>
      <c r="D935" s="18"/>
      <c r="E935" s="18"/>
      <c r="F935" s="18"/>
      <c r="G935" s="18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18"/>
      <c r="W935" s="18"/>
      <c r="X935" s="18"/>
    </row>
    <row r="936" spans="1:24" ht="15">
      <c r="A936" s="4"/>
      <c r="B936" s="24"/>
      <c r="C936" s="11"/>
      <c r="D936" s="18"/>
      <c r="E936" s="18"/>
      <c r="F936" s="18"/>
      <c r="G936" s="18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18"/>
      <c r="W936" s="18"/>
      <c r="X936" s="18"/>
    </row>
    <row r="937" spans="1:24" ht="15">
      <c r="A937" s="4"/>
      <c r="B937" s="24"/>
      <c r="C937" s="11"/>
      <c r="D937" s="18"/>
      <c r="E937" s="18"/>
      <c r="F937" s="18"/>
      <c r="G937" s="18"/>
      <c r="H937" s="56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18"/>
      <c r="W937" s="18"/>
      <c r="X937" s="18"/>
    </row>
    <row r="938" spans="1:24" ht="15">
      <c r="A938" s="4"/>
      <c r="B938" s="24"/>
      <c r="C938" s="11"/>
      <c r="D938" s="18"/>
      <c r="E938" s="18"/>
      <c r="F938" s="18"/>
      <c r="G938" s="18"/>
      <c r="H938" s="56"/>
      <c r="I938" s="57" t="s">
        <v>135</v>
      </c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18"/>
      <c r="W938" s="18"/>
      <c r="X938" s="18"/>
    </row>
    <row r="939" spans="1:24" ht="15">
      <c r="A939" s="4"/>
      <c r="B939" s="24"/>
      <c r="C939" s="11"/>
      <c r="D939" s="18"/>
      <c r="E939" s="18"/>
      <c r="F939" s="18"/>
      <c r="G939" s="18"/>
      <c r="H939" s="56"/>
      <c r="I939" s="58"/>
      <c r="L939" s="42"/>
      <c r="T939" s="42"/>
      <c r="U939" s="42"/>
      <c r="V939" s="18"/>
      <c r="W939" s="18"/>
      <c r="X939" s="18"/>
    </row>
    <row r="940" spans="1:24" ht="15">
      <c r="A940" s="4"/>
      <c r="B940" s="24"/>
      <c r="C940" s="11"/>
      <c r="D940" s="18"/>
      <c r="E940" s="18"/>
      <c r="F940" s="18"/>
      <c r="G940" s="18"/>
      <c r="H940" s="56"/>
      <c r="I940" s="59" t="s">
        <v>136</v>
      </c>
      <c r="L940" s="74">
        <v>8245309</v>
      </c>
      <c r="T940" s="42"/>
      <c r="U940" s="42"/>
      <c r="V940" s="18"/>
      <c r="W940" s="18"/>
      <c r="X940" s="18"/>
    </row>
    <row r="941" spans="1:24" ht="15">
      <c r="A941" s="4"/>
      <c r="B941" s="24"/>
      <c r="C941" s="11"/>
      <c r="D941" s="18"/>
      <c r="E941" s="18"/>
      <c r="F941" s="18"/>
      <c r="G941" s="18"/>
      <c r="H941" s="56"/>
      <c r="I941" s="59"/>
      <c r="L941" s="18"/>
      <c r="T941" s="42"/>
      <c r="U941" s="42"/>
      <c r="V941" s="18"/>
      <c r="W941" s="18"/>
      <c r="X941" s="18"/>
    </row>
    <row r="942" spans="1:24" ht="15">
      <c r="A942" s="4"/>
      <c r="B942" s="24"/>
      <c r="C942" s="11"/>
      <c r="D942" s="44" t="s">
        <v>137</v>
      </c>
      <c r="E942" s="18"/>
      <c r="F942" s="10" t="s">
        <v>138</v>
      </c>
      <c r="G942" s="44" t="s">
        <v>24</v>
      </c>
      <c r="H942" s="56"/>
      <c r="I942" s="59" t="s">
        <v>139</v>
      </c>
      <c r="L942" s="27">
        <v>2303593</v>
      </c>
      <c r="N942" s="6" t="s">
        <v>137</v>
      </c>
      <c r="O942" s="6" t="s">
        <v>137</v>
      </c>
      <c r="P942" s="42"/>
      <c r="Q942" s="6" t="s">
        <v>138</v>
      </c>
      <c r="R942" s="6" t="s">
        <v>138</v>
      </c>
      <c r="S942" s="6"/>
      <c r="T942" s="42"/>
      <c r="U942" s="42"/>
      <c r="V942" s="18"/>
      <c r="W942" s="18"/>
      <c r="X942" s="18"/>
    </row>
    <row r="943" spans="1:24" ht="15">
      <c r="A943" s="4"/>
      <c r="B943" s="24"/>
      <c r="C943" s="11"/>
      <c r="D943" s="18"/>
      <c r="E943" s="18"/>
      <c r="F943" s="18"/>
      <c r="G943" s="18"/>
      <c r="H943" s="56"/>
      <c r="I943" s="59"/>
      <c r="L943" s="18"/>
      <c r="N943" s="8" t="s">
        <v>140</v>
      </c>
      <c r="O943" s="49" t="s">
        <v>141</v>
      </c>
      <c r="P943" s="42"/>
      <c r="Q943" s="8" t="s">
        <v>140</v>
      </c>
      <c r="R943" s="49" t="s">
        <v>141</v>
      </c>
      <c r="S943" s="49"/>
      <c r="T943" s="42"/>
      <c r="U943" s="42"/>
      <c r="V943" s="18"/>
      <c r="W943" s="18"/>
      <c r="X943" s="18"/>
    </row>
    <row r="944" spans="1:24" ht="15">
      <c r="A944" s="4">
        <f>+A932+1</f>
        <v>38</v>
      </c>
      <c r="B944" s="5" t="s">
        <v>36</v>
      </c>
      <c r="C944" s="17" t="s">
        <v>37</v>
      </c>
      <c r="D944" s="31">
        <f>+V885+V923</f>
        <v>5246628</v>
      </c>
      <c r="E944" s="18"/>
      <c r="F944" s="31">
        <f>+W885+W923</f>
        <v>3823691</v>
      </c>
      <c r="G944" s="18">
        <f>+D944-F944</f>
        <v>1422937</v>
      </c>
      <c r="H944" s="56"/>
      <c r="I944" s="59" t="s">
        <v>142</v>
      </c>
      <c r="J944" s="18"/>
      <c r="K944" s="18"/>
      <c r="L944" s="36">
        <f>+F860</f>
        <v>4955568</v>
      </c>
      <c r="N944" s="60"/>
      <c r="O944" s="6"/>
      <c r="P944" s="42"/>
      <c r="Q944" s="61"/>
      <c r="R944" s="61"/>
      <c r="S944" s="61"/>
      <c r="T944" s="42"/>
      <c r="U944" s="42"/>
      <c r="V944" s="18"/>
      <c r="W944" s="18"/>
      <c r="X944" s="18"/>
    </row>
    <row r="945" spans="1:21" ht="15">
      <c r="A945" s="4">
        <f>+A944+1</f>
        <v>39</v>
      </c>
      <c r="B945" s="5" t="s">
        <v>36</v>
      </c>
      <c r="C945" s="22" t="s">
        <v>38</v>
      </c>
      <c r="D945" s="31">
        <f>+V886+V924</f>
        <v>5221559</v>
      </c>
      <c r="E945" s="18"/>
      <c r="F945" s="31">
        <f>+W886+W924</f>
        <v>3789988</v>
      </c>
      <c r="G945" s="18">
        <f>+D945-F945</f>
        <v>1431571</v>
      </c>
      <c r="H945" s="56"/>
      <c r="I945" s="58"/>
      <c r="J945" s="18"/>
      <c r="K945" s="18"/>
      <c r="L945" s="60"/>
      <c r="N945" s="62">
        <f>+D946</f>
        <v>25069</v>
      </c>
      <c r="O945" s="63">
        <f>+D952</f>
        <v>7346039</v>
      </c>
      <c r="P945" s="42"/>
      <c r="Q945" s="31">
        <f>+F852</f>
        <v>-6638</v>
      </c>
      <c r="R945" s="31">
        <f>+F854</f>
        <v>0</v>
      </c>
      <c r="S945" s="31"/>
      <c r="T945" s="42"/>
      <c r="U945" s="42"/>
    </row>
    <row r="946" spans="1:25" ht="15">
      <c r="A946" s="4">
        <f>+A945+1</f>
        <v>40</v>
      </c>
      <c r="B946" s="24" t="s">
        <v>46</v>
      </c>
      <c r="C946" s="40" t="s">
        <v>78</v>
      </c>
      <c r="D946" s="26">
        <f>+D944-D945</f>
        <v>25069</v>
      </c>
      <c r="E946" s="18"/>
      <c r="F946" s="26">
        <f>+F944-F945</f>
        <v>33703</v>
      </c>
      <c r="G946" s="18">
        <f>+G944-G945</f>
        <v>-8634</v>
      </c>
      <c r="H946" s="56"/>
      <c r="I946" s="58" t="s">
        <v>143</v>
      </c>
      <c r="J946" s="18"/>
      <c r="K946" s="18"/>
      <c r="L946">
        <v>0</v>
      </c>
      <c r="N946" s="62">
        <f>+D947</f>
        <v>0</v>
      </c>
      <c r="O946" s="63">
        <f>+D953</f>
        <v>0</v>
      </c>
      <c r="P946" s="42"/>
      <c r="Q946" s="31">
        <f>+F853</f>
        <v>0</v>
      </c>
      <c r="R946" s="31">
        <f>+F858</f>
        <v>4962206</v>
      </c>
      <c r="S946" s="31"/>
      <c r="U946" s="18"/>
      <c r="V946" s="10" t="s">
        <v>20</v>
      </c>
      <c r="W946" s="10" t="s">
        <v>21</v>
      </c>
      <c r="X946" s="10" t="s">
        <v>22</v>
      </c>
      <c r="Y946" s="18"/>
    </row>
    <row r="947" spans="1:25" ht="28.5">
      <c r="A947" s="4">
        <f>+A946+1</f>
        <v>41</v>
      </c>
      <c r="B947" s="88" t="s">
        <v>182</v>
      </c>
      <c r="C947" s="11"/>
      <c r="D947" s="26">
        <f>+V888+V926</f>
        <v>0</v>
      </c>
      <c r="E947" s="26"/>
      <c r="F947" s="26">
        <f>+W888+W926</f>
        <v>0</v>
      </c>
      <c r="G947" s="18">
        <f>+D947-F947</f>
        <v>0</v>
      </c>
      <c r="H947" s="56"/>
      <c r="I947" s="58"/>
      <c r="J947" s="18"/>
      <c r="K947" s="18"/>
      <c r="L947" s="60" t="s">
        <v>144</v>
      </c>
      <c r="N947" s="62">
        <f>+F946</f>
        <v>33703</v>
      </c>
      <c r="O947" s="63">
        <f>+F952</f>
        <v>5365395</v>
      </c>
      <c r="P947" s="42"/>
      <c r="R947" s="31">
        <f>+F859</f>
        <v>0</v>
      </c>
      <c r="S947" s="31"/>
      <c r="U947" s="18"/>
      <c r="Y947" s="18"/>
    </row>
    <row r="948" spans="1:25" ht="24.75">
      <c r="A948" s="4">
        <f>+A947+1</f>
        <v>42</v>
      </c>
      <c r="B948" s="89" t="s">
        <v>39</v>
      </c>
      <c r="C948" s="40"/>
      <c r="D948" s="30">
        <f>+V889+V927</f>
        <v>-540551</v>
      </c>
      <c r="E948" s="30"/>
      <c r="F948" s="30">
        <f>+W889+W927</f>
        <v>445313</v>
      </c>
      <c r="G948" s="18">
        <f>+D948-F948</f>
        <v>-985864</v>
      </c>
      <c r="H948" s="56"/>
      <c r="I948" s="64" t="s">
        <v>145</v>
      </c>
      <c r="J948" s="18"/>
      <c r="K948" s="18"/>
      <c r="L948" s="31">
        <f>+L940-L942-L944-L946</f>
        <v>986148</v>
      </c>
      <c r="N948" s="62">
        <f>+F947</f>
        <v>0</v>
      </c>
      <c r="O948" s="63">
        <f>+F953</f>
        <v>0</v>
      </c>
      <c r="P948" s="42"/>
      <c r="Q948" s="31"/>
      <c r="R948" s="31"/>
      <c r="S948" s="31"/>
      <c r="U948" s="65"/>
      <c r="V948" s="66"/>
      <c r="W948" s="66"/>
      <c r="X948" s="65"/>
      <c r="Y948" s="65"/>
    </row>
    <row r="949" spans="1:25" ht="15">
      <c r="A949" s="6" t="s">
        <v>41</v>
      </c>
      <c r="B949" s="41"/>
      <c r="C949" s="40"/>
      <c r="D949" s="18"/>
      <c r="E949" s="18"/>
      <c r="F949" s="18"/>
      <c r="G949" s="18"/>
      <c r="H949" s="56"/>
      <c r="I949" s="58"/>
      <c r="J949" s="18"/>
      <c r="K949" s="18"/>
      <c r="N949" s="62">
        <f>+F852</f>
        <v>-6638</v>
      </c>
      <c r="O949" s="63">
        <f>+F858</f>
        <v>4962206</v>
      </c>
      <c r="P949" s="42"/>
      <c r="Q949" s="31"/>
      <c r="U949" s="65"/>
      <c r="V949" s="67"/>
      <c r="W949" s="67"/>
      <c r="X949" s="68"/>
      <c r="Y949" s="65"/>
    </row>
    <row r="950" spans="1:25" ht="15">
      <c r="A950" s="4">
        <f>+A948+1</f>
        <v>43</v>
      </c>
      <c r="B950" s="5" t="s">
        <v>42</v>
      </c>
      <c r="C950" s="22" t="s">
        <v>38</v>
      </c>
      <c r="D950" s="31">
        <f>+V891+V929</f>
        <v>7356307</v>
      </c>
      <c r="E950" s="18"/>
      <c r="F950" s="31">
        <f>+W891+W929</f>
        <v>5372483</v>
      </c>
      <c r="G950" s="18">
        <f>+D950-F950</f>
        <v>1983824</v>
      </c>
      <c r="H950" s="56"/>
      <c r="I950" s="59" t="s">
        <v>22</v>
      </c>
      <c r="J950" s="18"/>
      <c r="K950" s="18"/>
      <c r="L950" s="30">
        <f>+X955</f>
        <v>986146</v>
      </c>
      <c r="N950" s="62"/>
      <c r="O950" s="63">
        <f>+D948</f>
        <v>-540551</v>
      </c>
      <c r="P950" s="42"/>
      <c r="Q950" s="31"/>
      <c r="R950" s="31"/>
      <c r="S950" s="31"/>
      <c r="T950" s="69" t="s">
        <v>78</v>
      </c>
      <c r="U950" s="65"/>
      <c r="V950" s="26">
        <f>+D946+D947-F946-F947+F852</f>
        <v>-15272</v>
      </c>
      <c r="W950" s="26">
        <f>+F852+F853</f>
        <v>-6638</v>
      </c>
      <c r="X950" s="26">
        <f>+V950-W950</f>
        <v>-8634</v>
      </c>
      <c r="Y950" s="65"/>
    </row>
    <row r="951" spans="1:25" ht="15">
      <c r="A951" s="4">
        <f>+A950+1</f>
        <v>44</v>
      </c>
      <c r="B951" s="5" t="s">
        <v>43</v>
      </c>
      <c r="C951" s="11"/>
      <c r="D951" s="31">
        <f>+V892+V930</f>
        <v>10268</v>
      </c>
      <c r="E951" s="18"/>
      <c r="F951" s="31">
        <f>+W892+W930</f>
        <v>7088</v>
      </c>
      <c r="G951" s="18">
        <f>+D951-F951</f>
        <v>3180</v>
      </c>
      <c r="H951" s="56"/>
      <c r="I951" s="59"/>
      <c r="J951" s="18"/>
      <c r="K951" s="18"/>
      <c r="L951" s="60" t="s">
        <v>144</v>
      </c>
      <c r="O951" s="63">
        <f>+F948</f>
        <v>445313</v>
      </c>
      <c r="P951" s="42"/>
      <c r="Q951" s="31"/>
      <c r="R951" s="31"/>
      <c r="S951" s="31"/>
      <c r="T951" s="11" t="s">
        <v>146</v>
      </c>
      <c r="U951" s="65"/>
      <c r="V951" s="30">
        <f>+D952+D953-F952-F953+F858+D948-F948+F854</f>
        <v>5956986</v>
      </c>
      <c r="W951" s="30">
        <f>+F854+F858+F859</f>
        <v>4962206</v>
      </c>
      <c r="X951" s="30">
        <f>+V951-W951</f>
        <v>994780</v>
      </c>
      <c r="Y951" s="65"/>
    </row>
    <row r="952" spans="1:25" ht="26.25">
      <c r="A952" s="4">
        <f>+A951+1</f>
        <v>45</v>
      </c>
      <c r="B952" s="24" t="s">
        <v>79</v>
      </c>
      <c r="C952" s="11"/>
      <c r="D952" s="30">
        <f>+D950-D951</f>
        <v>7346039</v>
      </c>
      <c r="E952" s="18"/>
      <c r="F952" s="30">
        <f>+F950-F951</f>
        <v>5365395</v>
      </c>
      <c r="G952" s="18">
        <f>+G950-G951</f>
        <v>1980644</v>
      </c>
      <c r="H952" s="56"/>
      <c r="I952" s="58"/>
      <c r="J952" s="18"/>
      <c r="K952" s="18"/>
      <c r="N952" s="62"/>
      <c r="O952" s="63">
        <f>+F854</f>
        <v>0</v>
      </c>
      <c r="P952" s="42"/>
      <c r="Q952" s="31"/>
      <c r="R952" s="31"/>
      <c r="S952" s="31"/>
      <c r="T952" s="11"/>
      <c r="U952" s="65"/>
      <c r="V952" s="30"/>
      <c r="W952" s="30"/>
      <c r="X952" s="30"/>
      <c r="Y952" s="65"/>
    </row>
    <row r="953" spans="1:25" ht="28.5">
      <c r="A953" s="4">
        <f>+A952+1</f>
        <v>46</v>
      </c>
      <c r="B953" s="88" t="s">
        <v>181</v>
      </c>
      <c r="C953" s="11"/>
      <c r="D953" s="30">
        <f>+V894+V932</f>
        <v>0</v>
      </c>
      <c r="E953" s="30"/>
      <c r="F953" s="30">
        <f>+W894+W932</f>
        <v>0</v>
      </c>
      <c r="G953" s="18">
        <f>+D953-F953</f>
        <v>0</v>
      </c>
      <c r="H953" s="56"/>
      <c r="N953" s="62"/>
      <c r="O953" s="62"/>
      <c r="P953" s="42"/>
      <c r="Q953" s="31"/>
      <c r="R953" s="31"/>
      <c r="S953" s="31"/>
      <c r="T953" s="11"/>
      <c r="U953" s="65"/>
      <c r="V953" s="30"/>
      <c r="W953" s="30"/>
      <c r="X953" s="30"/>
      <c r="Y953" s="65"/>
    </row>
    <row r="954" spans="1:25" ht="15">
      <c r="A954" s="4">
        <f>+A953+1</f>
        <v>47</v>
      </c>
      <c r="B954" s="24" t="s">
        <v>46</v>
      </c>
      <c r="C954" s="11" t="s">
        <v>47</v>
      </c>
      <c r="D954" s="18">
        <f>+D946+D947+D952+D953+D948</f>
        <v>6830557</v>
      </c>
      <c r="E954" s="18"/>
      <c r="F954" s="18">
        <f>+F946+F947+F952+F953+F948</f>
        <v>5844411</v>
      </c>
      <c r="G954" s="18">
        <f>+G946+G947+G952+G953+G948</f>
        <v>986146</v>
      </c>
      <c r="H954" s="56"/>
      <c r="I954" s="59" t="s">
        <v>147</v>
      </c>
      <c r="J954" s="18"/>
      <c r="K954" s="18"/>
      <c r="L954" s="36">
        <f>+L948-L950</f>
        <v>2</v>
      </c>
      <c r="N954" s="70">
        <f>+N945+N946-N947-N948+N949</f>
        <v>-15272</v>
      </c>
      <c r="O954" s="71">
        <f>+O945+O946-O947-O948+O949+O950-O951+O952</f>
        <v>5956986</v>
      </c>
      <c r="P954" s="42"/>
      <c r="Q954" s="26">
        <f>SUM(Q945:Q946)</f>
        <v>-6638</v>
      </c>
      <c r="R954" s="30">
        <f>SUM(R945:R948)</f>
        <v>4962206</v>
      </c>
      <c r="S954" s="30"/>
      <c r="T954" s="11"/>
      <c r="U954" s="65"/>
      <c r="V954" s="30"/>
      <c r="W954" s="30"/>
      <c r="X954" s="30"/>
      <c r="Y954" s="65"/>
    </row>
    <row r="955" spans="1:25" ht="15">
      <c r="A955" s="4"/>
      <c r="B955" s="24"/>
      <c r="C955" s="11"/>
      <c r="D955" s="18"/>
      <c r="E955" s="18"/>
      <c r="F955" s="18"/>
      <c r="G955" s="18"/>
      <c r="H955" s="56"/>
      <c r="L955" s="60" t="s">
        <v>148</v>
      </c>
      <c r="M955" s="42"/>
      <c r="N955" s="42"/>
      <c r="O955" s="42"/>
      <c r="P955" s="42"/>
      <c r="Q955" s="42"/>
      <c r="R955" s="42"/>
      <c r="S955" s="42"/>
      <c r="T955" s="10" t="s">
        <v>22</v>
      </c>
      <c r="U955" s="65"/>
      <c r="V955" s="36"/>
      <c r="W955" s="36"/>
      <c r="X955" s="36">
        <f>+X950+X951</f>
        <v>986146</v>
      </c>
      <c r="Y955" s="65"/>
    </row>
    <row r="956" spans="1:25" ht="15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6" ht="15">
      <c r="A957" s="4"/>
      <c r="B957"/>
      <c r="F957"/>
    </row>
    <row r="958" spans="1:6" ht="15">
      <c r="A958" s="4"/>
      <c r="B958"/>
      <c r="F958"/>
    </row>
    <row r="959" spans="1:6" ht="15">
      <c r="A959" s="4"/>
      <c r="B959"/>
      <c r="F959"/>
    </row>
    <row r="960" spans="1:6" ht="15">
      <c r="A960" s="4"/>
      <c r="B960"/>
      <c r="F960"/>
    </row>
    <row r="961" spans="1:25" ht="15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6" ht="15">
      <c r="A962" s="4" t="s">
        <v>0</v>
      </c>
      <c r="B962" s="5"/>
      <c r="C962" s="6" t="s">
        <v>1</v>
      </c>
      <c r="F962"/>
    </row>
    <row r="963" spans="1:6" ht="15">
      <c r="A963" s="4"/>
      <c r="B963" s="5"/>
      <c r="C963" s="6" t="s">
        <v>2</v>
      </c>
      <c r="F963"/>
    </row>
    <row r="964" spans="1:6" ht="15">
      <c r="A964" s="4"/>
      <c r="B964" s="5"/>
      <c r="C964" s="7" t="s">
        <v>159</v>
      </c>
      <c r="F964"/>
    </row>
    <row r="965" spans="1:6" ht="15">
      <c r="A965" s="4"/>
      <c r="B965" s="5"/>
      <c r="C965" s="8"/>
      <c r="F965"/>
    </row>
    <row r="966" spans="1:25" ht="15">
      <c r="A966" s="4"/>
      <c r="B966" s="5"/>
      <c r="C966" s="9"/>
      <c r="D966" s="10" t="s">
        <v>4</v>
      </c>
      <c r="E966" s="10"/>
      <c r="F966" s="10" t="s">
        <v>5</v>
      </c>
      <c r="G966" s="10" t="s">
        <v>6</v>
      </c>
      <c r="H966" s="10"/>
      <c r="I966" s="10" t="s">
        <v>7</v>
      </c>
      <c r="J966" s="10" t="s">
        <v>8</v>
      </c>
      <c r="K966" s="10" t="s">
        <v>9</v>
      </c>
      <c r="L966" s="10" t="s">
        <v>10</v>
      </c>
      <c r="M966" s="10" t="s">
        <v>11</v>
      </c>
      <c r="N966" s="10" t="s">
        <v>12</v>
      </c>
      <c r="O966" s="10" t="s">
        <v>13</v>
      </c>
      <c r="P966" s="10"/>
      <c r="Q966" s="10" t="s">
        <v>14</v>
      </c>
      <c r="R966" s="10" t="s">
        <v>15</v>
      </c>
      <c r="S966" s="10"/>
      <c r="T966" s="10" t="s">
        <v>16</v>
      </c>
      <c r="U966" s="10"/>
      <c r="V966" s="10" t="s">
        <v>17</v>
      </c>
      <c r="W966" s="10" t="s">
        <v>18</v>
      </c>
      <c r="X966" s="10" t="s">
        <v>19</v>
      </c>
      <c r="Y966" s="10"/>
    </row>
    <row r="967" spans="1:24" ht="15">
      <c r="A967" s="4"/>
      <c r="B967" s="87" t="s">
        <v>174</v>
      </c>
      <c r="C967" s="5"/>
      <c r="D967" s="10" t="s">
        <v>20</v>
      </c>
      <c r="E967" s="10"/>
      <c r="F967" s="10" t="s">
        <v>21</v>
      </c>
      <c r="G967" s="10" t="s">
        <v>22</v>
      </c>
      <c r="I967" s="10" t="s">
        <v>20</v>
      </c>
      <c r="J967" s="10" t="s">
        <v>20</v>
      </c>
      <c r="K967" s="10" t="s">
        <v>20</v>
      </c>
      <c r="L967" s="10" t="s">
        <v>20</v>
      </c>
      <c r="M967" s="10" t="s">
        <v>20</v>
      </c>
      <c r="N967" s="10" t="s">
        <v>20</v>
      </c>
      <c r="O967" s="10" t="s">
        <v>20</v>
      </c>
      <c r="Q967" s="10" t="s">
        <v>20</v>
      </c>
      <c r="R967" s="10" t="s">
        <v>20</v>
      </c>
      <c r="S967" s="10"/>
      <c r="T967" s="10" t="s">
        <v>20</v>
      </c>
      <c r="V967" s="10" t="s">
        <v>20</v>
      </c>
      <c r="W967" s="10" t="s">
        <v>20</v>
      </c>
      <c r="X967" s="10" t="s">
        <v>20</v>
      </c>
    </row>
    <row r="968" spans="1:24" ht="42.75">
      <c r="A968" s="4"/>
      <c r="B968" s="5"/>
      <c r="C968" s="11"/>
      <c r="D968" s="12" t="s">
        <v>23</v>
      </c>
      <c r="E968" s="13"/>
      <c r="F968" s="12" t="s">
        <v>175</v>
      </c>
      <c r="G968" s="13" t="s">
        <v>24</v>
      </c>
      <c r="I968" s="13" t="s">
        <v>25</v>
      </c>
      <c r="J968" s="8" t="s">
        <v>26</v>
      </c>
      <c r="K968" s="13" t="s">
        <v>27</v>
      </c>
      <c r="L968" s="13" t="s">
        <v>28</v>
      </c>
      <c r="M968" s="13" t="s">
        <v>29</v>
      </c>
      <c r="N968" s="13" t="s">
        <v>30</v>
      </c>
      <c r="O968" s="13" t="s">
        <v>31</v>
      </c>
      <c r="Q968" s="14">
        <v>4470115</v>
      </c>
      <c r="R968" s="13" t="s">
        <v>32</v>
      </c>
      <c r="S968" s="13"/>
      <c r="T968" s="14">
        <v>4470119</v>
      </c>
      <c r="V968" s="8" t="s">
        <v>33</v>
      </c>
      <c r="W968" s="8" t="s">
        <v>34</v>
      </c>
      <c r="X968" s="8" t="s">
        <v>35</v>
      </c>
    </row>
    <row r="969" spans="1:23" ht="15">
      <c r="A969" s="4"/>
      <c r="B969" s="5"/>
      <c r="C969" s="11"/>
      <c r="D969" s="13"/>
      <c r="E969" s="13"/>
      <c r="F969" s="13"/>
      <c r="G969" s="15"/>
      <c r="I969" s="13"/>
      <c r="J969" s="13"/>
      <c r="K969" s="13"/>
      <c r="L969" s="13"/>
      <c r="M969" s="13"/>
      <c r="N969" s="13"/>
      <c r="O969" s="13"/>
      <c r="Q969" s="14"/>
      <c r="R969" s="13"/>
      <c r="S969" s="14"/>
      <c r="T969" s="16"/>
      <c r="V969" s="14"/>
      <c r="W969" s="13"/>
    </row>
    <row r="970" spans="1:25" ht="15">
      <c r="A970" s="4">
        <v>1</v>
      </c>
      <c r="B970" s="5" t="s">
        <v>36</v>
      </c>
      <c r="C970" s="17" t="s">
        <v>37</v>
      </c>
      <c r="D970" s="27">
        <f>236554+556336+766801+4367813</f>
        <v>5927504</v>
      </c>
      <c r="E970" s="19"/>
      <c r="F970" s="20">
        <v>4987474</v>
      </c>
      <c r="G970" s="21">
        <f>+D970-F970</f>
        <v>940030</v>
      </c>
      <c r="H970" s="18"/>
      <c r="I970" s="18">
        <v>0</v>
      </c>
      <c r="J970" s="18">
        <v>0</v>
      </c>
      <c r="K970" s="18">
        <v>0</v>
      </c>
      <c r="L970" s="18">
        <v>0</v>
      </c>
      <c r="M970" s="18">
        <v>0</v>
      </c>
      <c r="N970" s="18">
        <v>0</v>
      </c>
      <c r="O970" s="18">
        <v>0</v>
      </c>
      <c r="P970" s="18"/>
      <c r="Q970" s="18">
        <v>0</v>
      </c>
      <c r="R970" s="18">
        <v>0</v>
      </c>
      <c r="S970" s="18"/>
      <c r="T970" s="18">
        <v>0</v>
      </c>
      <c r="U970" s="18"/>
      <c r="V970" s="18">
        <v>0</v>
      </c>
      <c r="W970" s="18">
        <v>0</v>
      </c>
      <c r="X970" s="18">
        <v>0</v>
      </c>
      <c r="Y970" s="18"/>
    </row>
    <row r="971" spans="1:25" ht="15">
      <c r="A971" s="4">
        <f>+A970+1</f>
        <v>2</v>
      </c>
      <c r="B971" s="5" t="s">
        <v>36</v>
      </c>
      <c r="C971" s="22" t="s">
        <v>38</v>
      </c>
      <c r="D971" s="27">
        <f>239973+552915+781004+4353610</f>
        <v>5927502</v>
      </c>
      <c r="E971" s="19"/>
      <c r="F971" s="23">
        <v>4962206</v>
      </c>
      <c r="G971" s="21">
        <f>+D971-F971</f>
        <v>965296</v>
      </c>
      <c r="H971" s="18"/>
      <c r="I971" s="18">
        <v>0</v>
      </c>
      <c r="J971" s="18">
        <v>0</v>
      </c>
      <c r="K971" s="18">
        <v>0</v>
      </c>
      <c r="L971" s="18">
        <v>0</v>
      </c>
      <c r="M971" s="18">
        <v>0</v>
      </c>
      <c r="N971" s="18">
        <v>0</v>
      </c>
      <c r="O971" s="18">
        <v>0</v>
      </c>
      <c r="P971" s="18"/>
      <c r="Q971" s="18">
        <v>0</v>
      </c>
      <c r="R971" s="18">
        <v>0</v>
      </c>
      <c r="S971" s="18"/>
      <c r="T971" s="18">
        <v>0</v>
      </c>
      <c r="U971" s="18"/>
      <c r="V971" s="18">
        <v>0</v>
      </c>
      <c r="W971" s="18">
        <v>0</v>
      </c>
      <c r="X971" s="18">
        <v>0</v>
      </c>
      <c r="Y971" s="18"/>
    </row>
    <row r="972" spans="1:25" ht="22.5">
      <c r="A972" s="4">
        <f>+A971+1</f>
        <v>3</v>
      </c>
      <c r="B972" s="24" t="s">
        <v>176</v>
      </c>
      <c r="C972" s="25" t="s">
        <v>177</v>
      </c>
      <c r="D972" s="18">
        <f>+D970-D971</f>
        <v>2</v>
      </c>
      <c r="E972" s="19"/>
      <c r="F972" s="26">
        <f>+F970-F971</f>
        <v>25268</v>
      </c>
      <c r="G972" s="18">
        <f>+G970-G971</f>
        <v>-25266</v>
      </c>
      <c r="H972" s="18"/>
      <c r="I972" s="18">
        <f aca="true" t="shared" si="120" ref="I972:O972">+I970-I971</f>
        <v>0</v>
      </c>
      <c r="J972" s="18">
        <f t="shared" si="120"/>
        <v>0</v>
      </c>
      <c r="K972" s="18">
        <f t="shared" si="120"/>
        <v>0</v>
      </c>
      <c r="L972" s="18">
        <f t="shared" si="120"/>
        <v>0</v>
      </c>
      <c r="M972" s="18">
        <f t="shared" si="120"/>
        <v>0</v>
      </c>
      <c r="N972" s="18">
        <f t="shared" si="120"/>
        <v>0</v>
      </c>
      <c r="O972" s="18">
        <f t="shared" si="120"/>
        <v>0</v>
      </c>
      <c r="P972" s="18"/>
      <c r="Q972" s="18">
        <f>+Q970-Q971</f>
        <v>0</v>
      </c>
      <c r="R972" s="18">
        <f>+R970-R971</f>
        <v>0</v>
      </c>
      <c r="S972" s="18"/>
      <c r="T972" s="18">
        <f>+T970-T971</f>
        <v>0</v>
      </c>
      <c r="U972" s="18"/>
      <c r="V972" s="18">
        <f>+V970-V971</f>
        <v>0</v>
      </c>
      <c r="W972" s="18">
        <f>+W970-W971</f>
        <v>0</v>
      </c>
      <c r="X972" s="18">
        <f>+X970-X971</f>
        <v>0</v>
      </c>
      <c r="Y972" s="18"/>
    </row>
    <row r="973" spans="1:25" ht="28.5">
      <c r="A973" s="4">
        <f>+A972+1</f>
        <v>4</v>
      </c>
      <c r="B973" s="88" t="s">
        <v>178</v>
      </c>
      <c r="C973" s="25" t="s">
        <v>179</v>
      </c>
      <c r="D973" s="18">
        <v>0</v>
      </c>
      <c r="E973" s="19"/>
      <c r="F973" s="26">
        <v>0</v>
      </c>
      <c r="G973" s="18">
        <f>+D973-F973</f>
        <v>0</v>
      </c>
      <c r="H973" s="18"/>
      <c r="I973" s="27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v>0</v>
      </c>
      <c r="O973" s="18">
        <v>0</v>
      </c>
      <c r="P973" s="18"/>
      <c r="Q973" s="18">
        <v>0</v>
      </c>
      <c r="R973" s="18">
        <v>0</v>
      </c>
      <c r="S973" s="18"/>
      <c r="T973" s="18">
        <v>0</v>
      </c>
      <c r="U973" s="18"/>
      <c r="V973" s="18">
        <v>0</v>
      </c>
      <c r="W973" s="18">
        <v>0</v>
      </c>
      <c r="X973" s="18">
        <v>0</v>
      </c>
      <c r="Y973" s="18"/>
    </row>
    <row r="974" spans="1:25" ht="24.75">
      <c r="A974" s="4">
        <f>+A973+1</f>
        <v>5</v>
      </c>
      <c r="B974" s="89" t="s">
        <v>39</v>
      </c>
      <c r="C974" s="28" t="s">
        <v>40</v>
      </c>
      <c r="D974" s="27">
        <v>52361</v>
      </c>
      <c r="E974" s="29"/>
      <c r="F974" s="30">
        <v>0</v>
      </c>
      <c r="G974" s="31">
        <f>+D974-F974</f>
        <v>52361</v>
      </c>
      <c r="H974" s="18"/>
      <c r="I974" s="27">
        <v>0</v>
      </c>
      <c r="J974" s="27">
        <v>-710</v>
      </c>
      <c r="K974" s="27">
        <v>0</v>
      </c>
      <c r="L974" s="27">
        <v>142456</v>
      </c>
      <c r="M974" s="27">
        <v>28173</v>
      </c>
      <c r="N974" s="27">
        <v>-564</v>
      </c>
      <c r="O974" s="27">
        <v>-901</v>
      </c>
      <c r="P974" s="18"/>
      <c r="Q974" s="27">
        <v>-701</v>
      </c>
      <c r="R974" s="27">
        <v>0</v>
      </c>
      <c r="S974" s="27"/>
      <c r="T974" s="27">
        <v>0</v>
      </c>
      <c r="U974" s="27"/>
      <c r="V974" s="27">
        <v>0</v>
      </c>
      <c r="W974" s="27">
        <v>0</v>
      </c>
      <c r="X974" s="27">
        <v>-457467</v>
      </c>
      <c r="Y974" s="18"/>
    </row>
    <row r="975" spans="1:25" ht="15">
      <c r="A975" s="6" t="s">
        <v>41</v>
      </c>
      <c r="B975" s="90"/>
      <c r="C975" s="11"/>
      <c r="D975" s="18"/>
      <c r="E975" s="19"/>
      <c r="F975" s="18"/>
      <c r="G975" s="18"/>
      <c r="H975" s="18"/>
      <c r="I975" s="18"/>
      <c r="J975" s="18"/>
      <c r="K975" s="18"/>
      <c r="L975" s="18"/>
      <c r="M975" s="18"/>
      <c r="N975" s="18"/>
      <c r="O975" s="18" t="s">
        <v>0</v>
      </c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5">
      <c r="A976" s="4">
        <f>+A974+1</f>
        <v>6</v>
      </c>
      <c r="B976" s="5" t="s">
        <v>42</v>
      </c>
      <c r="C976" s="22" t="s">
        <v>38</v>
      </c>
      <c r="D976" s="27">
        <v>9808844</v>
      </c>
      <c r="E976" s="19"/>
      <c r="F976" s="23">
        <v>7223805</v>
      </c>
      <c r="G976" s="18">
        <f>+D976-F976</f>
        <v>2585039</v>
      </c>
      <c r="H976" s="18"/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v>0</v>
      </c>
      <c r="O976" s="18">
        <v>0</v>
      </c>
      <c r="P976" s="18"/>
      <c r="Q976" s="18">
        <v>0</v>
      </c>
      <c r="R976" s="18">
        <v>0</v>
      </c>
      <c r="S976" s="18"/>
      <c r="T976" s="18">
        <v>0</v>
      </c>
      <c r="U976" s="18"/>
      <c r="V976" s="18">
        <v>0</v>
      </c>
      <c r="W976" s="18">
        <v>0</v>
      </c>
      <c r="X976" s="18">
        <v>0</v>
      </c>
      <c r="Y976" s="18"/>
    </row>
    <row r="977" spans="1:25" ht="15">
      <c r="A977" s="4">
        <f>+A976+1</f>
        <v>7</v>
      </c>
      <c r="B977" s="5" t="s">
        <v>43</v>
      </c>
      <c r="C977" s="11"/>
      <c r="D977" s="27">
        <v>5256</v>
      </c>
      <c r="E977" s="19"/>
      <c r="F977" s="23">
        <v>3731</v>
      </c>
      <c r="G977" s="18">
        <f>+D977-F977</f>
        <v>1525</v>
      </c>
      <c r="H977" s="18"/>
      <c r="I977" s="18">
        <v>0</v>
      </c>
      <c r="J977" s="18">
        <v>0</v>
      </c>
      <c r="K977" s="18">
        <v>0</v>
      </c>
      <c r="L977" s="18">
        <v>0</v>
      </c>
      <c r="M977" s="18">
        <v>0</v>
      </c>
      <c r="N977" s="18">
        <v>0</v>
      </c>
      <c r="O977" s="31">
        <v>0</v>
      </c>
      <c r="P977" s="18"/>
      <c r="Q977" s="18">
        <v>0</v>
      </c>
      <c r="R977" s="18">
        <v>0</v>
      </c>
      <c r="S977" s="18"/>
      <c r="T977" s="18">
        <v>0</v>
      </c>
      <c r="U977" s="18"/>
      <c r="V977" s="18">
        <v>0</v>
      </c>
      <c r="W977" s="18">
        <v>0</v>
      </c>
      <c r="X977" s="18">
        <v>0</v>
      </c>
      <c r="Y977" s="18"/>
    </row>
    <row r="978" spans="1:25" ht="35.25">
      <c r="A978" s="4">
        <f>+A977+1</f>
        <v>8</v>
      </c>
      <c r="B978" s="24" t="s">
        <v>180</v>
      </c>
      <c r="C978" s="32" t="s">
        <v>44</v>
      </c>
      <c r="D978" s="33">
        <f>+D976-D977</f>
        <v>9803588</v>
      </c>
      <c r="E978" s="34"/>
      <c r="F978" s="91">
        <f>+F976-F977</f>
        <v>7220074</v>
      </c>
      <c r="G978" s="18">
        <f>+G976-G977</f>
        <v>2583514</v>
      </c>
      <c r="H978" s="18"/>
      <c r="I978" s="18">
        <f aca="true" t="shared" si="121" ref="I978:O978">+I976-I977</f>
        <v>0</v>
      </c>
      <c r="J978" s="18">
        <f t="shared" si="121"/>
        <v>0</v>
      </c>
      <c r="K978" s="18">
        <f t="shared" si="121"/>
        <v>0</v>
      </c>
      <c r="L978" s="18">
        <f t="shared" si="121"/>
        <v>0</v>
      </c>
      <c r="M978" s="18">
        <f t="shared" si="121"/>
        <v>0</v>
      </c>
      <c r="N978" s="18">
        <f t="shared" si="121"/>
        <v>0</v>
      </c>
      <c r="O978" s="18">
        <f t="shared" si="121"/>
        <v>0</v>
      </c>
      <c r="P978" s="18"/>
      <c r="Q978" s="18">
        <f>+Q976-Q977</f>
        <v>0</v>
      </c>
      <c r="R978" s="18">
        <f>+R976-R977</f>
        <v>0</v>
      </c>
      <c r="S978" s="18"/>
      <c r="T978" s="18">
        <f>+T976-T977</f>
        <v>0</v>
      </c>
      <c r="U978" s="18"/>
      <c r="V978" s="18">
        <f>+V976-V977</f>
        <v>0</v>
      </c>
      <c r="W978" s="18">
        <f>+W976-W977</f>
        <v>0</v>
      </c>
      <c r="X978" s="18">
        <f>+X976-X977</f>
        <v>0</v>
      </c>
      <c r="Y978" s="18"/>
    </row>
    <row r="979" spans="1:25" ht="28.5">
      <c r="A979" s="4">
        <f>+A978+1</f>
        <v>9</v>
      </c>
      <c r="B979" s="88" t="s">
        <v>181</v>
      </c>
      <c r="C979" s="35" t="s">
        <v>45</v>
      </c>
      <c r="D979" s="18">
        <v>0</v>
      </c>
      <c r="E979" s="19"/>
      <c r="F979" s="31">
        <v>0</v>
      </c>
      <c r="G979" s="31">
        <f>+D979-F979</f>
        <v>0</v>
      </c>
      <c r="H979" s="18"/>
      <c r="I979" s="18">
        <v>0</v>
      </c>
      <c r="J979" s="18">
        <v>0</v>
      </c>
      <c r="K979" s="18">
        <v>0</v>
      </c>
      <c r="L979" s="18">
        <v>0</v>
      </c>
      <c r="M979" s="18">
        <v>0</v>
      </c>
      <c r="N979" s="18">
        <v>0</v>
      </c>
      <c r="O979" s="31">
        <v>0</v>
      </c>
      <c r="P979" s="18"/>
      <c r="Q979" s="18">
        <v>0</v>
      </c>
      <c r="R979" s="18">
        <v>0</v>
      </c>
      <c r="S979" s="18"/>
      <c r="T979" s="18">
        <v>0</v>
      </c>
      <c r="U979" s="18"/>
      <c r="V979" s="18">
        <v>0</v>
      </c>
      <c r="W979" s="18">
        <v>0</v>
      </c>
      <c r="X979" s="18">
        <v>0</v>
      </c>
      <c r="Y979" s="18"/>
    </row>
    <row r="980" spans="1:25" ht="15">
      <c r="A980" s="4">
        <f>+A979+1</f>
        <v>10</v>
      </c>
      <c r="B980" s="24" t="s">
        <v>46</v>
      </c>
      <c r="C980" s="11" t="s">
        <v>47</v>
      </c>
      <c r="D980" s="36">
        <f>+D972+D973+D974+D978+D979</f>
        <v>9855951</v>
      </c>
      <c r="E980" s="19"/>
      <c r="F980" s="36">
        <f>+F972+F973+F974+F978+F979</f>
        <v>7245342</v>
      </c>
      <c r="G980" s="18">
        <f>+G972+G973+G978+G979+G974</f>
        <v>2610609</v>
      </c>
      <c r="H980" s="18"/>
      <c r="I980" s="18">
        <f aca="true" t="shared" si="122" ref="I980:O980">+I972+I973+I978+I979+I974</f>
        <v>0</v>
      </c>
      <c r="J980" s="21">
        <f t="shared" si="122"/>
        <v>-710</v>
      </c>
      <c r="K980" s="18">
        <f t="shared" si="122"/>
        <v>0</v>
      </c>
      <c r="L980" s="18">
        <f t="shared" si="122"/>
        <v>142456</v>
      </c>
      <c r="M980" s="18">
        <f t="shared" si="122"/>
        <v>28173</v>
      </c>
      <c r="N980" s="18">
        <f t="shared" si="122"/>
        <v>-564</v>
      </c>
      <c r="O980" s="18">
        <f t="shared" si="122"/>
        <v>-901</v>
      </c>
      <c r="P980" s="18"/>
      <c r="Q980" s="18">
        <f>+Q972+Q973+Q978+Q979+Q974</f>
        <v>-701</v>
      </c>
      <c r="R980" s="18">
        <f>+R972+R973+R978+R979+R974</f>
        <v>0</v>
      </c>
      <c r="S980" s="18"/>
      <c r="T980" s="18">
        <f>+T972+T973+T978+T979+T974</f>
        <v>0</v>
      </c>
      <c r="U980" s="18"/>
      <c r="V980" s="18">
        <f>+V972+V973+V978+V979+V974</f>
        <v>0</v>
      </c>
      <c r="W980" s="18">
        <f>+W972+W973+W978+W979+W974</f>
        <v>0</v>
      </c>
      <c r="X980" s="18">
        <f>+X972+X973+X978+X979+X974</f>
        <v>-457467</v>
      </c>
      <c r="Y980" s="18"/>
    </row>
    <row r="981" spans="1:25" ht="15">
      <c r="A981" s="4"/>
      <c r="B981" s="24"/>
      <c r="C981" s="11" t="s">
        <v>0</v>
      </c>
      <c r="D981" s="27" t="s">
        <v>0</v>
      </c>
      <c r="E981" s="18"/>
      <c r="F981" s="36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5">
      <c r="A982" s="4"/>
      <c r="B982" s="24"/>
      <c r="C982" s="37"/>
      <c r="D982" s="18">
        <f>469136+393932+2303328+6689555</f>
        <v>9855951</v>
      </c>
      <c r="E982" s="18"/>
      <c r="F982" s="36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5">
      <c r="A983" s="4"/>
      <c r="B983" s="24"/>
      <c r="C983" s="11"/>
      <c r="D983" s="6" t="s">
        <v>48</v>
      </c>
      <c r="E983" s="6"/>
      <c r="F983" s="10" t="s">
        <v>49</v>
      </c>
      <c r="G983" s="10" t="s">
        <v>50</v>
      </c>
      <c r="I983" s="10" t="s">
        <v>51</v>
      </c>
      <c r="J983" s="10" t="s">
        <v>52</v>
      </c>
      <c r="K983" s="10" t="s">
        <v>53</v>
      </c>
      <c r="L983" s="10" t="s">
        <v>54</v>
      </c>
      <c r="M983" s="10" t="s">
        <v>55</v>
      </c>
      <c r="N983" s="10" t="s">
        <v>56</v>
      </c>
      <c r="O983" s="10" t="s">
        <v>57</v>
      </c>
      <c r="P983" s="18"/>
      <c r="Q983" s="10" t="s">
        <v>58</v>
      </c>
      <c r="R983" s="10" t="s">
        <v>59</v>
      </c>
      <c r="S983" s="10"/>
      <c r="T983" s="10" t="s">
        <v>60</v>
      </c>
      <c r="U983" s="18"/>
      <c r="V983" s="10" t="s">
        <v>61</v>
      </c>
      <c r="W983" s="10" t="s">
        <v>62</v>
      </c>
      <c r="X983" s="10" t="s">
        <v>63</v>
      </c>
      <c r="Y983" s="18"/>
    </row>
    <row r="984" spans="1:25" ht="15">
      <c r="A984" s="4"/>
      <c r="B984"/>
      <c r="C984" s="11"/>
      <c r="D984" s="10" t="s">
        <v>20</v>
      </c>
      <c r="E984" s="38"/>
      <c r="F984" s="10" t="s">
        <v>20</v>
      </c>
      <c r="G984" s="10" t="s">
        <v>20</v>
      </c>
      <c r="I984" s="10" t="s">
        <v>20</v>
      </c>
      <c r="J984" s="10" t="s">
        <v>20</v>
      </c>
      <c r="K984" s="10" t="s">
        <v>20</v>
      </c>
      <c r="L984" s="10" t="s">
        <v>20</v>
      </c>
      <c r="M984" s="10" t="s">
        <v>20</v>
      </c>
      <c r="N984" s="10" t="s">
        <v>20</v>
      </c>
      <c r="O984" s="10" t="s">
        <v>20</v>
      </c>
      <c r="P984" s="18"/>
      <c r="Q984" s="10" t="s">
        <v>20</v>
      </c>
      <c r="R984" s="10" t="s">
        <v>20</v>
      </c>
      <c r="S984" s="14"/>
      <c r="T984" s="10" t="s">
        <v>20</v>
      </c>
      <c r="U984" s="18"/>
      <c r="W984" s="39" t="s">
        <v>64</v>
      </c>
      <c r="Y984" s="18"/>
    </row>
    <row r="985" spans="1:25" ht="15">
      <c r="A985" s="4"/>
      <c r="B985" s="87" t="s">
        <v>174</v>
      </c>
      <c r="C985" s="11"/>
      <c r="D985" s="8" t="s">
        <v>155</v>
      </c>
      <c r="E985" s="6"/>
      <c r="F985" s="8" t="s">
        <v>66</v>
      </c>
      <c r="G985" s="8" t="s">
        <v>67</v>
      </c>
      <c r="H985" s="19"/>
      <c r="I985" s="8" t="s">
        <v>68</v>
      </c>
      <c r="J985" s="8" t="s">
        <v>69</v>
      </c>
      <c r="K985" s="8" t="s">
        <v>70</v>
      </c>
      <c r="L985" s="8" t="s">
        <v>71</v>
      </c>
      <c r="M985" s="8" t="s">
        <v>72</v>
      </c>
      <c r="N985" s="8" t="s">
        <v>73</v>
      </c>
      <c r="O985" s="8" t="s">
        <v>74</v>
      </c>
      <c r="P985" s="6"/>
      <c r="Q985" s="8" t="s">
        <v>75</v>
      </c>
      <c r="R985" s="8" t="s">
        <v>76</v>
      </c>
      <c r="S985" s="8"/>
      <c r="T985" s="8" t="s">
        <v>77</v>
      </c>
      <c r="U985" s="18"/>
      <c r="V985" s="10" t="s">
        <v>20</v>
      </c>
      <c r="W985" s="14" t="s">
        <v>21</v>
      </c>
      <c r="X985" s="10" t="s">
        <v>22</v>
      </c>
      <c r="Y985" s="18"/>
    </row>
    <row r="986" spans="1:8" ht="15">
      <c r="A986" s="4"/>
      <c r="B986" s="24"/>
      <c r="C986" s="11"/>
      <c r="E986" s="14"/>
      <c r="F986"/>
      <c r="H986" s="18"/>
    </row>
    <row r="987" spans="1:24" ht="15">
      <c r="A987" s="4">
        <f>+A980+1</f>
        <v>11</v>
      </c>
      <c r="B987" s="5" t="s">
        <v>36</v>
      </c>
      <c r="C987" s="17" t="s">
        <v>37</v>
      </c>
      <c r="D987" s="18">
        <v>0</v>
      </c>
      <c r="E987" s="18"/>
      <c r="F987" s="18">
        <v>0</v>
      </c>
      <c r="G987" s="18">
        <v>0</v>
      </c>
      <c r="I987" s="27">
        <v>312123.67</v>
      </c>
      <c r="J987" s="18">
        <v>0</v>
      </c>
      <c r="K987" s="18">
        <v>0</v>
      </c>
      <c r="L987" s="18">
        <v>0</v>
      </c>
      <c r="M987" s="18">
        <v>0</v>
      </c>
      <c r="N987" s="18">
        <v>0</v>
      </c>
      <c r="O987" s="18">
        <v>0</v>
      </c>
      <c r="Q987" s="18">
        <v>0</v>
      </c>
      <c r="R987" s="18">
        <v>0</v>
      </c>
      <c r="S987" s="18"/>
      <c r="T987" s="18">
        <v>0</v>
      </c>
      <c r="V987" s="18">
        <f>+D970+I970+J970+K970+L970+M970+N970+O970+Q970+R970+T970+V970+W970+X970+D987+F987+G987+I987+J987+K987+L987+M987+N987+O987+Q987+R987+T987</f>
        <v>6239627.67</v>
      </c>
      <c r="W987" s="18">
        <f>+F970</f>
        <v>4987474</v>
      </c>
      <c r="X987" s="18">
        <f>+V987-W987</f>
        <v>1252153.67</v>
      </c>
    </row>
    <row r="988" spans="1:24" ht="15">
      <c r="A988" s="4">
        <f>+A987+1</f>
        <v>12</v>
      </c>
      <c r="B988" s="5" t="s">
        <v>36</v>
      </c>
      <c r="C988" s="22" t="s">
        <v>38</v>
      </c>
      <c r="D988" s="18">
        <v>0</v>
      </c>
      <c r="E988" s="18"/>
      <c r="F988" s="18">
        <v>0</v>
      </c>
      <c r="G988" s="18">
        <v>0</v>
      </c>
      <c r="I988" s="27">
        <v>310225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Q988" s="18">
        <v>0</v>
      </c>
      <c r="R988" s="18">
        <v>0</v>
      </c>
      <c r="S988" s="18"/>
      <c r="T988" s="18">
        <v>0</v>
      </c>
      <c r="V988" s="18">
        <f>+D971+I971+J971+K971+L971+M971+N971+O971+Q971+R971+T971+V971+W971+X971+D988+F988+G988+I988+J988+K988+L988+M988+N988+O988+Q988+R988+T988</f>
        <v>6237727</v>
      </c>
      <c r="W988" s="18">
        <f>+F971</f>
        <v>4962206</v>
      </c>
      <c r="X988" s="18">
        <f>+V988-W988</f>
        <v>1275521</v>
      </c>
    </row>
    <row r="989" spans="1:24" ht="15">
      <c r="A989" s="4">
        <f>+A988+1</f>
        <v>13</v>
      </c>
      <c r="B989" s="24" t="s">
        <v>46</v>
      </c>
      <c r="C989" s="40" t="s">
        <v>78</v>
      </c>
      <c r="D989" s="18">
        <f>+D987-D988</f>
        <v>0</v>
      </c>
      <c r="E989" s="18"/>
      <c r="F989" s="18">
        <f>+F987-F988</f>
        <v>0</v>
      </c>
      <c r="G989" s="18">
        <f>+G987-G988</f>
        <v>0</v>
      </c>
      <c r="I989" s="18">
        <f aca="true" t="shared" si="123" ref="I989:O989">+I987-I988</f>
        <v>1898.6699999999837</v>
      </c>
      <c r="J989" s="18">
        <f t="shared" si="123"/>
        <v>0</v>
      </c>
      <c r="K989" s="18">
        <f t="shared" si="123"/>
        <v>0</v>
      </c>
      <c r="L989" s="18">
        <f t="shared" si="123"/>
        <v>0</v>
      </c>
      <c r="M989" s="18">
        <f t="shared" si="123"/>
        <v>0</v>
      </c>
      <c r="N989" s="18">
        <f t="shared" si="123"/>
        <v>0</v>
      </c>
      <c r="O989" s="18">
        <f t="shared" si="123"/>
        <v>0</v>
      </c>
      <c r="Q989" s="18">
        <f>+Q987-Q988</f>
        <v>0</v>
      </c>
      <c r="R989" s="18">
        <f>+R987-R988</f>
        <v>0</v>
      </c>
      <c r="S989" s="18"/>
      <c r="T989" s="18">
        <f>+T987-T988</f>
        <v>0</v>
      </c>
      <c r="V989" s="27">
        <f>+V987-V988</f>
        <v>1900.6699999999255</v>
      </c>
      <c r="W989" s="27">
        <f>+W987-W988</f>
        <v>25268</v>
      </c>
      <c r="X989" s="18">
        <f>+X987-X988</f>
        <v>-23367.330000000075</v>
      </c>
    </row>
    <row r="990" spans="1:24" ht="28.5">
      <c r="A990" s="4">
        <f>+A989+1</f>
        <v>14</v>
      </c>
      <c r="B990" s="88" t="s">
        <v>182</v>
      </c>
      <c r="C990" s="11"/>
      <c r="D990" s="18">
        <v>0</v>
      </c>
      <c r="E990" s="18"/>
      <c r="F990" s="18">
        <v>0</v>
      </c>
      <c r="G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0</v>
      </c>
      <c r="N990" s="18">
        <v>0</v>
      </c>
      <c r="O990" s="18">
        <v>0</v>
      </c>
      <c r="Q990" s="18">
        <v>0</v>
      </c>
      <c r="R990" s="18">
        <v>0</v>
      </c>
      <c r="S990" s="18"/>
      <c r="T990" s="18">
        <v>0</v>
      </c>
      <c r="V990" s="18">
        <f>+D973+I973+J973+K973+L973+M973+N973+O973+Q973+R973+T973+V973+W973+X973+D990+F990+G990+I990+J990+K990+L990+M990+N990+O990+Q990+R990+T990</f>
        <v>0</v>
      </c>
      <c r="W990" s="18">
        <f>+F973</f>
        <v>0</v>
      </c>
      <c r="X990" s="18">
        <f>+V990-W990</f>
        <v>0</v>
      </c>
    </row>
    <row r="991" spans="1:24" ht="24.75">
      <c r="A991" s="4">
        <f>+A990+1</f>
        <v>15</v>
      </c>
      <c r="B991" s="89" t="s">
        <v>39</v>
      </c>
      <c r="C991" s="40"/>
      <c r="D991" s="27">
        <v>-639</v>
      </c>
      <c r="E991" s="18" t="s">
        <v>0</v>
      </c>
      <c r="F991" s="27">
        <v>0</v>
      </c>
      <c r="G991" s="27">
        <v>0</v>
      </c>
      <c r="H991" t="s">
        <v>0</v>
      </c>
      <c r="I991" s="27">
        <v>0</v>
      </c>
      <c r="J991" s="27">
        <v>-54297</v>
      </c>
      <c r="K991" s="27">
        <v>0</v>
      </c>
      <c r="L991" s="27">
        <v>0</v>
      </c>
      <c r="M991" s="27">
        <v>111067</v>
      </c>
      <c r="N991" s="27">
        <v>-529263</v>
      </c>
      <c r="O991" s="27">
        <v>207995</v>
      </c>
      <c r="Q991" s="27">
        <v>0</v>
      </c>
      <c r="R991" s="27">
        <v>0</v>
      </c>
      <c r="S991" s="27"/>
      <c r="T991" s="27">
        <v>0</v>
      </c>
      <c r="V991" s="18">
        <f>+D974+I974+J974+K974+L974+M974+N974+O974+Q974+R974+T974+V974+W974+X974+D991+F991+G991+I991+J991+K991+L991+M991+N991+O991+Q991+R991+T991</f>
        <v>-502490</v>
      </c>
      <c r="W991" s="18">
        <f>+F974</f>
        <v>0</v>
      </c>
      <c r="X991" s="18">
        <f>+V991-W991</f>
        <v>-502490</v>
      </c>
    </row>
    <row r="992" spans="1:24" ht="15">
      <c r="A992" s="6" t="s">
        <v>41</v>
      </c>
      <c r="B992" s="41"/>
      <c r="C992" s="40"/>
      <c r="D992" s="18"/>
      <c r="E992" s="18"/>
      <c r="F992" s="18"/>
      <c r="G992" s="18"/>
      <c r="I992" s="18"/>
      <c r="J992" s="18"/>
      <c r="K992" s="18"/>
      <c r="L992" s="18"/>
      <c r="M992" s="18"/>
      <c r="N992" s="18"/>
      <c r="O992" s="18"/>
      <c r="Q992" s="18"/>
      <c r="R992" s="18"/>
      <c r="S992" s="18"/>
      <c r="T992" s="18"/>
      <c r="V992" s="18"/>
      <c r="W992" s="18"/>
      <c r="X992" s="18"/>
    </row>
    <row r="993" spans="1:24" ht="15">
      <c r="A993" s="4">
        <f>+A991+1</f>
        <v>16</v>
      </c>
      <c r="B993" s="5" t="s">
        <v>42</v>
      </c>
      <c r="C993" s="22" t="s">
        <v>38</v>
      </c>
      <c r="D993" s="18">
        <v>0</v>
      </c>
      <c r="E993" s="18"/>
      <c r="F993" s="18">
        <v>0</v>
      </c>
      <c r="G993" s="18">
        <v>0</v>
      </c>
      <c r="I993" s="27">
        <v>340856.8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8"/>
      <c r="Q993" s="18">
        <v>0</v>
      </c>
      <c r="R993" s="18">
        <v>0</v>
      </c>
      <c r="S993" s="18"/>
      <c r="T993" s="18">
        <v>0</v>
      </c>
      <c r="U993" s="18"/>
      <c r="V993" s="18">
        <f>+D976+I976+J976+K976+L976+M976+N976+O976+Q976+R976+T976+V976+W976+X976+D993+F993+G993+I993+J993+K993+L993+M993+N993+O993+Q993+R993+T993</f>
        <v>10149700.8</v>
      </c>
      <c r="W993" s="18">
        <f>+F976</f>
        <v>7223805</v>
      </c>
      <c r="X993" s="18">
        <f>+V993-W993</f>
        <v>2925895.8000000007</v>
      </c>
    </row>
    <row r="994" spans="1:24" ht="15">
      <c r="A994" s="4">
        <f>+A993+1</f>
        <v>17</v>
      </c>
      <c r="B994" s="5" t="s">
        <v>43</v>
      </c>
      <c r="C994" s="11"/>
      <c r="D994" s="18">
        <v>0</v>
      </c>
      <c r="E994" s="18"/>
      <c r="F994" s="18">
        <v>0</v>
      </c>
      <c r="G994" s="18">
        <v>0</v>
      </c>
      <c r="I994" s="27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0</v>
      </c>
      <c r="P994" s="18"/>
      <c r="Q994" s="18">
        <v>0</v>
      </c>
      <c r="R994" s="18">
        <v>0</v>
      </c>
      <c r="S994" s="18"/>
      <c r="T994" s="18">
        <v>0</v>
      </c>
      <c r="U994" s="18"/>
      <c r="V994" s="18">
        <f>+D977+I977+J977+K977+L977+M977+N977+O977+Q977+R977+T977+V977+W977+X977+D994+F994+G994+I994+J994+K994+L994+M994+N994+O994+Q994+R994+T994</f>
        <v>5256</v>
      </c>
      <c r="W994" s="18">
        <f>+F977</f>
        <v>3731</v>
      </c>
      <c r="X994" s="18">
        <f>+V994-W994</f>
        <v>1525</v>
      </c>
    </row>
    <row r="995" spans="1:24" ht="26.25">
      <c r="A995" s="4">
        <f>+A994+1</f>
        <v>18</v>
      </c>
      <c r="B995" s="24" t="s">
        <v>79</v>
      </c>
      <c r="C995" s="11"/>
      <c r="D995" s="18">
        <f>+D993-D994</f>
        <v>0</v>
      </c>
      <c r="E995" s="18"/>
      <c r="F995" s="18">
        <f>+F993-F994</f>
        <v>0</v>
      </c>
      <c r="G995" s="18">
        <f>+G993-G994</f>
        <v>0</v>
      </c>
      <c r="I995" s="18">
        <f aca="true" t="shared" si="124" ref="I995:O995">+I993-I994</f>
        <v>340856.8</v>
      </c>
      <c r="J995" s="18">
        <f t="shared" si="124"/>
        <v>0</v>
      </c>
      <c r="K995" s="18">
        <f t="shared" si="124"/>
        <v>0</v>
      </c>
      <c r="L995" s="18">
        <f t="shared" si="124"/>
        <v>0</v>
      </c>
      <c r="M995" s="18">
        <f t="shared" si="124"/>
        <v>0</v>
      </c>
      <c r="N995" s="18">
        <f t="shared" si="124"/>
        <v>0</v>
      </c>
      <c r="O995" s="18">
        <f t="shared" si="124"/>
        <v>0</v>
      </c>
      <c r="P995" s="18"/>
      <c r="Q995" s="18">
        <f>+Q993-Q994</f>
        <v>0</v>
      </c>
      <c r="R995" s="18">
        <f>+R993-R994</f>
        <v>0</v>
      </c>
      <c r="S995" s="18"/>
      <c r="T995" s="18">
        <f>+T993-T994</f>
        <v>0</v>
      </c>
      <c r="U995" s="18"/>
      <c r="V995" s="27">
        <f>+V993-V994</f>
        <v>10144444.8</v>
      </c>
      <c r="W995" s="27">
        <f>+W993-W994</f>
        <v>7220074</v>
      </c>
      <c r="X995" s="18">
        <f>+X993-X994</f>
        <v>2924370.8000000007</v>
      </c>
    </row>
    <row r="996" spans="1:24" ht="28.5">
      <c r="A996" s="4">
        <f>+A995+1</f>
        <v>19</v>
      </c>
      <c r="B996" s="88" t="s">
        <v>181</v>
      </c>
      <c r="C996" s="11"/>
      <c r="D996" s="18">
        <v>0</v>
      </c>
      <c r="E996" s="18"/>
      <c r="F996" s="18">
        <v>0</v>
      </c>
      <c r="G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v>0</v>
      </c>
      <c r="P996" s="18"/>
      <c r="Q996" s="18">
        <v>0</v>
      </c>
      <c r="R996" s="18">
        <v>0</v>
      </c>
      <c r="S996" s="18"/>
      <c r="T996" s="18">
        <v>0</v>
      </c>
      <c r="U996" s="18"/>
      <c r="V996" s="18">
        <f>+D979+I979+J979+K979+L979+M979+N979+O979+Q979+R979+T979+V979+W979+X979+D996+F996+G996+I996+J996+K996+L996+M996+N996+O996+Q996+R996+T996</f>
        <v>0</v>
      </c>
      <c r="W996" s="18">
        <f>+F979+K996+L996+M996+N996+O996+Q996+R996+T996</f>
        <v>0</v>
      </c>
      <c r="X996" s="18">
        <f>+V996-W996</f>
        <v>0</v>
      </c>
    </row>
    <row r="997" spans="1:24" ht="15">
      <c r="A997" s="4">
        <f>+A996+1</f>
        <v>20</v>
      </c>
      <c r="B997" s="24" t="s">
        <v>46</v>
      </c>
      <c r="C997" s="11" t="s">
        <v>47</v>
      </c>
      <c r="D997" s="18">
        <f>+D989+D990+D995+D996+D991</f>
        <v>-639</v>
      </c>
      <c r="E997" s="18"/>
      <c r="F997" s="18">
        <f>+F989+F990+F995+F996+F991</f>
        <v>0</v>
      </c>
      <c r="G997" s="18">
        <f>+G989+G990+G995+G996+G991</f>
        <v>0</v>
      </c>
      <c r="I997" s="18">
        <f aca="true" t="shared" si="125" ref="I997:O997">+I989+I990+I995+I996+I991</f>
        <v>342755.47</v>
      </c>
      <c r="J997" s="18">
        <f t="shared" si="125"/>
        <v>-54297</v>
      </c>
      <c r="K997" s="18">
        <f t="shared" si="125"/>
        <v>0</v>
      </c>
      <c r="L997" s="18">
        <f t="shared" si="125"/>
        <v>0</v>
      </c>
      <c r="M997" s="18">
        <f t="shared" si="125"/>
        <v>111067</v>
      </c>
      <c r="N997" s="18">
        <f t="shared" si="125"/>
        <v>-529263</v>
      </c>
      <c r="O997" s="18">
        <f t="shared" si="125"/>
        <v>207995</v>
      </c>
      <c r="P997" s="42"/>
      <c r="Q997" s="18">
        <f>+Q989+Q990+Q995+Q996+Q991</f>
        <v>0</v>
      </c>
      <c r="R997" s="18">
        <f>+R989+R990+R995+R996+R991</f>
        <v>0</v>
      </c>
      <c r="S997" s="18"/>
      <c r="T997" s="18">
        <f>+T989+T990+T995+T996+T991</f>
        <v>0</v>
      </c>
      <c r="U997" s="42"/>
      <c r="V997" s="18">
        <f>SUM(V989,V991,V995,V996)</f>
        <v>9643855.47</v>
      </c>
      <c r="W997" s="18">
        <f>+W989+W990+W995+W996+W991</f>
        <v>7245342</v>
      </c>
      <c r="X997" s="18">
        <f>+X989+X990+X995+X996+X991</f>
        <v>2398513.4700000007</v>
      </c>
    </row>
    <row r="998" spans="1:24" ht="15">
      <c r="A998" s="4"/>
      <c r="B998" s="24"/>
      <c r="C998" s="11"/>
      <c r="D998" s="18"/>
      <c r="E998" s="18"/>
      <c r="F998" s="18"/>
      <c r="G998" s="18"/>
      <c r="I998" s="18"/>
      <c r="J998" s="18"/>
      <c r="K998" s="18"/>
      <c r="L998" s="18"/>
      <c r="M998" s="18"/>
      <c r="N998" s="18"/>
      <c r="O998" s="18"/>
      <c r="P998" s="42"/>
      <c r="Q998" s="18"/>
      <c r="R998" s="18"/>
      <c r="S998" s="18"/>
      <c r="T998" s="18"/>
      <c r="U998" s="42"/>
      <c r="V998" s="18"/>
      <c r="W998" s="18"/>
      <c r="X998" s="18"/>
    </row>
    <row r="999" spans="1:24" ht="15">
      <c r="A999" s="4"/>
      <c r="B999" s="24"/>
      <c r="C999" s="11"/>
      <c r="D999" s="18"/>
      <c r="E999" s="18"/>
      <c r="F999" s="18"/>
      <c r="G999" s="18"/>
      <c r="I999" s="18"/>
      <c r="J999" s="18"/>
      <c r="K999" s="18"/>
      <c r="L999" s="18"/>
      <c r="M999" s="18"/>
      <c r="N999" s="18"/>
      <c r="O999" s="18"/>
      <c r="P999" s="42"/>
      <c r="Q999" s="18"/>
      <c r="R999" s="18"/>
      <c r="S999" s="18"/>
      <c r="T999" s="18"/>
      <c r="U999" s="42"/>
      <c r="V999" s="18"/>
      <c r="W999" s="18"/>
      <c r="X999" s="18"/>
    </row>
    <row r="1000" spans="1:24" ht="15">
      <c r="A1000" s="4"/>
      <c r="B1000" s="24"/>
      <c r="C1000" s="11"/>
      <c r="D1000" s="18"/>
      <c r="E1000" s="18"/>
      <c r="F1000" s="18"/>
      <c r="G1000" s="18"/>
      <c r="I1000" s="18"/>
      <c r="J1000" s="18"/>
      <c r="K1000" s="18"/>
      <c r="L1000" s="18"/>
      <c r="M1000" s="18"/>
      <c r="N1000" s="18"/>
      <c r="O1000" s="18"/>
      <c r="P1000" s="42"/>
      <c r="Q1000" s="18"/>
      <c r="R1000" s="18"/>
      <c r="S1000" s="18"/>
      <c r="T1000" s="18"/>
      <c r="U1000" s="42"/>
      <c r="V1000" s="18"/>
      <c r="W1000" s="18"/>
      <c r="X1000" s="18"/>
    </row>
    <row r="1001" spans="1:25" ht="15">
      <c r="A1001" s="4"/>
      <c r="B1001" s="24"/>
      <c r="C1001" s="11"/>
      <c r="D1001" s="10" t="s">
        <v>80</v>
      </c>
      <c r="E1001" s="10"/>
      <c r="F1001" s="10" t="s">
        <v>81</v>
      </c>
      <c r="G1001" s="10" t="s">
        <v>82</v>
      </c>
      <c r="I1001" s="10" t="s">
        <v>83</v>
      </c>
      <c r="J1001" s="10" t="s">
        <v>84</v>
      </c>
      <c r="K1001" s="10" t="s">
        <v>85</v>
      </c>
      <c r="L1001" s="10" t="s">
        <v>86</v>
      </c>
      <c r="M1001" s="43" t="s">
        <v>87</v>
      </c>
      <c r="N1001" s="43" t="s">
        <v>88</v>
      </c>
      <c r="O1001" s="44" t="s">
        <v>89</v>
      </c>
      <c r="P1001" s="42"/>
      <c r="Q1001" s="43" t="s">
        <v>90</v>
      </c>
      <c r="R1001" s="43" t="s">
        <v>91</v>
      </c>
      <c r="S1001" s="43"/>
      <c r="T1001" s="43" t="s">
        <v>92</v>
      </c>
      <c r="U1001" s="42"/>
      <c r="V1001" s="43" t="s">
        <v>93</v>
      </c>
      <c r="W1001" s="43" t="s">
        <v>94</v>
      </c>
      <c r="X1001" s="43" t="s">
        <v>95</v>
      </c>
      <c r="Y1001" s="18"/>
    </row>
    <row r="1002" spans="1:25" ht="15">
      <c r="A1002" s="4"/>
      <c r="B1002"/>
      <c r="C1002" s="11"/>
      <c r="D1002" s="10" t="s">
        <v>20</v>
      </c>
      <c r="E1002" s="38"/>
      <c r="F1002" s="10" t="s">
        <v>20</v>
      </c>
      <c r="G1002" s="10" t="s">
        <v>20</v>
      </c>
      <c r="I1002" s="10" t="s">
        <v>20</v>
      </c>
      <c r="J1002" s="10" t="s">
        <v>20</v>
      </c>
      <c r="K1002" s="10" t="s">
        <v>20</v>
      </c>
      <c r="L1002" s="10" t="s">
        <v>20</v>
      </c>
      <c r="M1002" s="10" t="s">
        <v>20</v>
      </c>
      <c r="N1002" s="10" t="s">
        <v>20</v>
      </c>
      <c r="O1002" s="10" t="s">
        <v>20</v>
      </c>
      <c r="P1002" s="18"/>
      <c r="Q1002" s="10" t="s">
        <v>20</v>
      </c>
      <c r="R1002" s="10" t="s">
        <v>20</v>
      </c>
      <c r="S1002" s="14"/>
      <c r="T1002" s="10" t="s">
        <v>20</v>
      </c>
      <c r="U1002" s="18"/>
      <c r="W1002" s="39" t="s">
        <v>96</v>
      </c>
      <c r="Y1002" s="18"/>
    </row>
    <row r="1003" spans="1:25" ht="15">
      <c r="A1003" s="4"/>
      <c r="B1003" s="87" t="s">
        <v>174</v>
      </c>
      <c r="C1003" s="11"/>
      <c r="D1003" s="8" t="s">
        <v>156</v>
      </c>
      <c r="E1003" s="6"/>
      <c r="F1003" s="8" t="s">
        <v>157</v>
      </c>
      <c r="G1003" s="45" t="s">
        <v>99</v>
      </c>
      <c r="H1003" s="19"/>
      <c r="I1003" s="45" t="s">
        <v>100</v>
      </c>
      <c r="J1003" s="45" t="s">
        <v>101</v>
      </c>
      <c r="K1003" s="45" t="s">
        <v>102</v>
      </c>
      <c r="L1003" s="45" t="s">
        <v>103</v>
      </c>
      <c r="M1003" s="45" t="s">
        <v>104</v>
      </c>
      <c r="N1003" s="45" t="s">
        <v>105</v>
      </c>
      <c r="O1003" s="45" t="s">
        <v>106</v>
      </c>
      <c r="P1003" s="6"/>
      <c r="Q1003" s="45" t="s">
        <v>107</v>
      </c>
      <c r="R1003" s="45" t="s">
        <v>108</v>
      </c>
      <c r="S1003" s="45"/>
      <c r="T1003" s="45" t="s">
        <v>109</v>
      </c>
      <c r="U1003" s="18"/>
      <c r="V1003" s="10" t="s">
        <v>20</v>
      </c>
      <c r="W1003" s="10" t="s">
        <v>21</v>
      </c>
      <c r="X1003" s="10" t="s">
        <v>22</v>
      </c>
      <c r="Y1003" s="18"/>
    </row>
    <row r="1004" spans="1:9" ht="15">
      <c r="A1004" s="4"/>
      <c r="B1004" s="24"/>
      <c r="C1004" s="11"/>
      <c r="E1004" s="14"/>
      <c r="F1004"/>
      <c r="H1004" s="18"/>
      <c r="I1004" s="16"/>
    </row>
    <row r="1005" spans="1:24" ht="15">
      <c r="A1005" s="4">
        <f>+A998+1</f>
        <v>1</v>
      </c>
      <c r="B1005" s="5" t="s">
        <v>36</v>
      </c>
      <c r="C1005" s="17" t="s">
        <v>37</v>
      </c>
      <c r="D1005" s="18">
        <v>0</v>
      </c>
      <c r="E1005" s="18"/>
      <c r="F1005" s="18">
        <v>0</v>
      </c>
      <c r="G1005" s="18">
        <v>0</v>
      </c>
      <c r="I1005" s="18">
        <v>0</v>
      </c>
      <c r="J1005" s="18">
        <v>0</v>
      </c>
      <c r="K1005" s="46">
        <v>-532</v>
      </c>
      <c r="L1005" s="27">
        <v>-7076</v>
      </c>
      <c r="M1005" s="18">
        <v>0</v>
      </c>
      <c r="N1005" s="18">
        <v>0</v>
      </c>
      <c r="O1005" s="18">
        <v>0</v>
      </c>
      <c r="Q1005" s="18">
        <v>0</v>
      </c>
      <c r="R1005" s="18">
        <v>0</v>
      </c>
      <c r="S1005" s="18"/>
      <c r="T1005" s="18">
        <v>0</v>
      </c>
      <c r="V1005" s="18">
        <f>+V987+D1005+F1005+G1005+I1005+J1005+K1005+L1005+M1005+N1005+O1005+Q1005+R1005+T1005</f>
        <v>6232019.67</v>
      </c>
      <c r="W1005" s="18">
        <f>+W987</f>
        <v>4987474</v>
      </c>
      <c r="X1005" s="18">
        <f>+V1005-W1005</f>
        <v>1244545.67</v>
      </c>
    </row>
    <row r="1006" spans="1:24" ht="15">
      <c r="A1006" s="4">
        <f>+A1005+1</f>
        <v>2</v>
      </c>
      <c r="B1006" s="5" t="s">
        <v>36</v>
      </c>
      <c r="C1006" s="22" t="s">
        <v>38</v>
      </c>
      <c r="D1006" s="18">
        <v>0</v>
      </c>
      <c r="E1006" s="18"/>
      <c r="F1006" s="18">
        <v>0</v>
      </c>
      <c r="G1006" s="18">
        <v>0</v>
      </c>
      <c r="I1006" s="18">
        <v>0</v>
      </c>
      <c r="J1006" s="18">
        <v>0</v>
      </c>
      <c r="K1006" s="46">
        <v>-518</v>
      </c>
      <c r="L1006" s="27">
        <v>-7076</v>
      </c>
      <c r="M1006" s="18">
        <v>0</v>
      </c>
      <c r="N1006" s="18">
        <v>0</v>
      </c>
      <c r="O1006" s="18">
        <v>0</v>
      </c>
      <c r="Q1006" s="18">
        <v>0</v>
      </c>
      <c r="R1006" s="18">
        <v>0</v>
      </c>
      <c r="S1006" s="18"/>
      <c r="T1006" s="18">
        <v>0</v>
      </c>
      <c r="V1006" s="18">
        <f>+V988+D1006+F1006+G1006+I1006+J1006+K1006+L1006+M1006+N1006+O1006+Q1006+R1006+T1006</f>
        <v>6230133</v>
      </c>
      <c r="W1006" s="18">
        <f>+W988</f>
        <v>4962206</v>
      </c>
      <c r="X1006" s="18">
        <f>+V1006-W1006</f>
        <v>1267927</v>
      </c>
    </row>
    <row r="1007" spans="1:24" ht="15">
      <c r="A1007" s="4">
        <f>+A1006+1</f>
        <v>3</v>
      </c>
      <c r="B1007" s="24" t="s">
        <v>46</v>
      </c>
      <c r="C1007" s="40" t="s">
        <v>78</v>
      </c>
      <c r="D1007" s="18">
        <f>+D1005-D1006</f>
        <v>0</v>
      </c>
      <c r="E1007" s="18"/>
      <c r="F1007" s="18">
        <f>+F1005-F1006</f>
        <v>0</v>
      </c>
      <c r="G1007" s="18">
        <f>+G1005-G1006</f>
        <v>0</v>
      </c>
      <c r="I1007" s="18">
        <f aca="true" t="shared" si="126" ref="I1007:O1007">+I1005-I1006</f>
        <v>0</v>
      </c>
      <c r="J1007" s="18">
        <f t="shared" si="126"/>
        <v>0</v>
      </c>
      <c r="K1007" s="18">
        <f t="shared" si="126"/>
        <v>-14</v>
      </c>
      <c r="L1007" s="18">
        <f t="shared" si="126"/>
        <v>0</v>
      </c>
      <c r="M1007" s="18">
        <f t="shared" si="126"/>
        <v>0</v>
      </c>
      <c r="N1007" s="18">
        <f t="shared" si="126"/>
        <v>0</v>
      </c>
      <c r="O1007" s="18">
        <f t="shared" si="126"/>
        <v>0</v>
      </c>
      <c r="Q1007" s="18">
        <f>+Q1005-Q1006</f>
        <v>0</v>
      </c>
      <c r="R1007" s="18">
        <f>+R1005-R1006</f>
        <v>0</v>
      </c>
      <c r="S1007" s="18"/>
      <c r="T1007" s="18">
        <f>+T1005-T1006</f>
        <v>0</v>
      </c>
      <c r="V1007" s="27">
        <f>+V1005-V1006</f>
        <v>1886.6699999999255</v>
      </c>
      <c r="W1007" s="27">
        <f>+W1005-W1006</f>
        <v>25268</v>
      </c>
      <c r="X1007" s="18">
        <f>+X1005-X1006</f>
        <v>-23381.330000000075</v>
      </c>
    </row>
    <row r="1008" spans="1:24" ht="28.5">
      <c r="A1008" s="4">
        <f>+A1007+1</f>
        <v>4</v>
      </c>
      <c r="B1008" s="88" t="s">
        <v>182</v>
      </c>
      <c r="C1008" s="11"/>
      <c r="D1008" s="18">
        <v>0</v>
      </c>
      <c r="E1008" s="18"/>
      <c r="F1008" s="18">
        <v>0</v>
      </c>
      <c r="G1008" s="18">
        <v>0</v>
      </c>
      <c r="I1008" s="18">
        <v>0</v>
      </c>
      <c r="J1008" s="27">
        <v>0</v>
      </c>
      <c r="K1008" s="18">
        <v>0</v>
      </c>
      <c r="L1008" s="18">
        <v>0</v>
      </c>
      <c r="M1008" s="18">
        <v>0</v>
      </c>
      <c r="N1008" s="18">
        <v>0</v>
      </c>
      <c r="O1008" s="18">
        <v>0</v>
      </c>
      <c r="Q1008" s="18">
        <v>0</v>
      </c>
      <c r="R1008" s="18">
        <v>0</v>
      </c>
      <c r="S1008" s="18"/>
      <c r="T1008" s="18">
        <v>0</v>
      </c>
      <c r="V1008" s="18">
        <f>+V990+D1008+F1008+G1008+I1008+J1008+K1008+L1008+M1008+N1008+O1008+Q1008+R1008+T1008</f>
        <v>0</v>
      </c>
      <c r="W1008" s="18">
        <f>+W990</f>
        <v>0</v>
      </c>
      <c r="X1008" s="18">
        <f>+V1008-W1008</f>
        <v>0</v>
      </c>
    </row>
    <row r="1009" spans="1:24" ht="24.75">
      <c r="A1009" s="4">
        <f>+A1008+1</f>
        <v>5</v>
      </c>
      <c r="B1009" s="89" t="s">
        <v>39</v>
      </c>
      <c r="C1009" s="40"/>
      <c r="D1009" s="27">
        <v>11869</v>
      </c>
      <c r="E1009" s="18"/>
      <c r="F1009" s="27">
        <v>35391</v>
      </c>
      <c r="G1009" s="27">
        <v>2780</v>
      </c>
      <c r="I1009" s="27">
        <v>0</v>
      </c>
      <c r="J1009" s="27">
        <v>0</v>
      </c>
      <c r="K1009" s="27">
        <v>-331487</v>
      </c>
      <c r="L1009" s="27">
        <v>0</v>
      </c>
      <c r="M1009" s="27">
        <v>-9464</v>
      </c>
      <c r="N1009" s="27">
        <v>0</v>
      </c>
      <c r="O1009" s="27">
        <v>-39081</v>
      </c>
      <c r="Q1009" s="27">
        <v>0</v>
      </c>
      <c r="R1009" s="27">
        <v>-8419</v>
      </c>
      <c r="S1009" s="27"/>
      <c r="T1009" s="27">
        <v>-40991</v>
      </c>
      <c r="V1009" s="18">
        <f>+V991+D1009+F1009+G1009+I1009+J1009+K1009+L1009+M1009+N1009+O1009+Q1009+R1009+T1009</f>
        <v>-881892</v>
      </c>
      <c r="W1009" s="18">
        <f>+W991</f>
        <v>0</v>
      </c>
      <c r="X1009" s="18">
        <f>+V1009-W1009</f>
        <v>-881892</v>
      </c>
    </row>
    <row r="1010" spans="1:24" ht="15">
      <c r="A1010" s="6" t="s">
        <v>41</v>
      </c>
      <c r="B1010" s="41"/>
      <c r="C1010" s="40"/>
      <c r="D1010" s="18"/>
      <c r="E1010" s="18"/>
      <c r="F1010" s="18"/>
      <c r="G1010" s="18"/>
      <c r="I1010" s="18"/>
      <c r="J1010" s="18"/>
      <c r="K1010" s="27"/>
      <c r="L1010" s="18"/>
      <c r="M1010" s="18"/>
      <c r="N1010" s="18"/>
      <c r="O1010" s="18"/>
      <c r="Q1010" s="18"/>
      <c r="R1010" s="18"/>
      <c r="S1010" s="18"/>
      <c r="T1010" s="18"/>
      <c r="V1010" s="18"/>
      <c r="W1010" s="18"/>
      <c r="X1010" s="18"/>
    </row>
    <row r="1011" spans="1:24" ht="15">
      <c r="A1011" s="4">
        <f>+A1009+1</f>
        <v>6</v>
      </c>
      <c r="B1011" s="5" t="s">
        <v>42</v>
      </c>
      <c r="C1011" s="22" t="s">
        <v>38</v>
      </c>
      <c r="D1011" s="18">
        <v>0</v>
      </c>
      <c r="E1011" s="18"/>
      <c r="F1011" s="18">
        <v>0</v>
      </c>
      <c r="G1011" s="18">
        <v>0</v>
      </c>
      <c r="I1011" s="18">
        <v>0</v>
      </c>
      <c r="J1011" s="18">
        <v>0</v>
      </c>
      <c r="K1011" s="46">
        <v>30114</v>
      </c>
      <c r="L1011" s="27">
        <v>-7104</v>
      </c>
      <c r="M1011" s="18">
        <v>0</v>
      </c>
      <c r="N1011" s="18">
        <v>0</v>
      </c>
      <c r="O1011" s="18">
        <v>0</v>
      </c>
      <c r="P1011" s="18"/>
      <c r="Q1011" s="18">
        <v>0</v>
      </c>
      <c r="R1011" s="18">
        <v>0</v>
      </c>
      <c r="S1011" s="18"/>
      <c r="T1011" s="18">
        <v>0</v>
      </c>
      <c r="U1011" s="18"/>
      <c r="V1011" s="18">
        <f>+V993+D1011+F1011+G1011+I1011+J1011+K1011+L1011+M1011+N1011+O1011+Q1011+R1011+T1011</f>
        <v>10172710.8</v>
      </c>
      <c r="W1011" s="18">
        <f>+W993</f>
        <v>7223805</v>
      </c>
      <c r="X1011" s="18">
        <f>+V1011-W1011</f>
        <v>2948905.8000000007</v>
      </c>
    </row>
    <row r="1012" spans="1:24" ht="15">
      <c r="A1012" s="4">
        <f>+A1011+1</f>
        <v>7</v>
      </c>
      <c r="B1012" s="5" t="s">
        <v>43</v>
      </c>
      <c r="C1012" s="11"/>
      <c r="D1012" s="18">
        <v>0</v>
      </c>
      <c r="E1012" s="18"/>
      <c r="F1012" s="18">
        <v>0</v>
      </c>
      <c r="G1012" s="18">
        <v>0</v>
      </c>
      <c r="I1012" s="18">
        <v>0</v>
      </c>
      <c r="J1012" s="18">
        <v>0</v>
      </c>
      <c r="K1012" s="18">
        <v>0</v>
      </c>
      <c r="L1012" s="18">
        <v>0</v>
      </c>
      <c r="M1012" s="18">
        <v>0</v>
      </c>
      <c r="N1012" s="18">
        <v>0</v>
      </c>
      <c r="O1012" s="18">
        <v>0</v>
      </c>
      <c r="P1012" s="18"/>
      <c r="Q1012" s="18">
        <v>0</v>
      </c>
      <c r="R1012" s="18">
        <v>0</v>
      </c>
      <c r="S1012" s="18"/>
      <c r="T1012" s="18">
        <v>0</v>
      </c>
      <c r="U1012" s="18"/>
      <c r="V1012" s="18">
        <f>+V994+D1012+F1012+G1012+I1012+J1012+K1012+L1012+M1012+N1012+O1012+Q1012+R1012+T1012</f>
        <v>5256</v>
      </c>
      <c r="W1012" s="18">
        <f>+W994</f>
        <v>3731</v>
      </c>
      <c r="X1012" s="18">
        <f>+V1012-W1012</f>
        <v>1525</v>
      </c>
    </row>
    <row r="1013" spans="1:24" ht="26.25">
      <c r="A1013" s="4">
        <f>+A1012+1</f>
        <v>8</v>
      </c>
      <c r="B1013" s="24" t="s">
        <v>79</v>
      </c>
      <c r="C1013" s="11"/>
      <c r="D1013" s="18">
        <f>+D1011-D1012</f>
        <v>0</v>
      </c>
      <c r="E1013" s="18"/>
      <c r="F1013" s="18">
        <f>+F1011-F1012</f>
        <v>0</v>
      </c>
      <c r="G1013" s="18">
        <f>+G1011-G1012</f>
        <v>0</v>
      </c>
      <c r="I1013" s="18">
        <f aca="true" t="shared" si="127" ref="I1013:O1013">+I1011-I1012</f>
        <v>0</v>
      </c>
      <c r="J1013" s="18">
        <f t="shared" si="127"/>
        <v>0</v>
      </c>
      <c r="K1013" s="18">
        <f t="shared" si="127"/>
        <v>30114</v>
      </c>
      <c r="L1013" s="18">
        <f t="shared" si="127"/>
        <v>-7104</v>
      </c>
      <c r="M1013" s="18">
        <f t="shared" si="127"/>
        <v>0</v>
      </c>
      <c r="N1013" s="18">
        <f t="shared" si="127"/>
        <v>0</v>
      </c>
      <c r="O1013" s="18">
        <f t="shared" si="127"/>
        <v>0</v>
      </c>
      <c r="P1013" s="18"/>
      <c r="Q1013" s="18">
        <f>+Q1011-Q1012</f>
        <v>0</v>
      </c>
      <c r="R1013" s="18">
        <f>+R1011-R1012</f>
        <v>0</v>
      </c>
      <c r="S1013" s="18"/>
      <c r="T1013" s="18">
        <f>+T1011-T1012</f>
        <v>0</v>
      </c>
      <c r="U1013" s="18"/>
      <c r="V1013" s="27">
        <f>+V1011-V1012</f>
        <v>10167454.8</v>
      </c>
      <c r="W1013" s="27">
        <f>+W1011-W1012</f>
        <v>7220074</v>
      </c>
      <c r="X1013" s="18">
        <f>+X1011-X1012</f>
        <v>2947380.8000000007</v>
      </c>
    </row>
    <row r="1014" spans="1:24" ht="28.5">
      <c r="A1014" s="4">
        <f>+A1013+1</f>
        <v>9</v>
      </c>
      <c r="B1014" s="88" t="s">
        <v>181</v>
      </c>
      <c r="C1014" s="11"/>
      <c r="D1014" s="18">
        <v>0</v>
      </c>
      <c r="E1014" s="18"/>
      <c r="F1014" s="18">
        <v>0</v>
      </c>
      <c r="G1014" s="18">
        <v>0</v>
      </c>
      <c r="I1014" s="18">
        <v>0</v>
      </c>
      <c r="J1014" s="18">
        <v>0</v>
      </c>
      <c r="K1014" s="18">
        <v>0</v>
      </c>
      <c r="L1014" s="18">
        <v>0</v>
      </c>
      <c r="M1014" s="18">
        <v>0</v>
      </c>
      <c r="N1014" s="18">
        <v>0</v>
      </c>
      <c r="O1014" s="18">
        <v>0</v>
      </c>
      <c r="P1014" s="18"/>
      <c r="Q1014" s="18">
        <v>0</v>
      </c>
      <c r="R1014" s="18">
        <v>0</v>
      </c>
      <c r="S1014" s="18"/>
      <c r="T1014" s="18">
        <v>0</v>
      </c>
      <c r="U1014" s="18"/>
      <c r="V1014" s="18">
        <f>+V996+D1014+F1014+G1014+I1014+J1014+K1014+L1014+M1014+N1014+O1014+Q1014+R1014+T1014</f>
        <v>0</v>
      </c>
      <c r="W1014" s="18">
        <f>+W996</f>
        <v>0</v>
      </c>
      <c r="X1014" s="18">
        <f>+V1014-W1014</f>
        <v>0</v>
      </c>
    </row>
    <row r="1015" spans="1:24" ht="15">
      <c r="A1015" s="4">
        <f>+A1014+1</f>
        <v>10</v>
      </c>
      <c r="B1015" s="24" t="s">
        <v>46</v>
      </c>
      <c r="C1015" s="11" t="s">
        <v>47</v>
      </c>
      <c r="D1015" s="18">
        <f>+D1007+D1008+D1013+D1014+D1009</f>
        <v>11869</v>
      </c>
      <c r="E1015" s="18"/>
      <c r="F1015" s="18">
        <f>+F1007+F1008+F1013+F1014+F1009</f>
        <v>35391</v>
      </c>
      <c r="G1015" s="18">
        <f>+G1007+G1008+G1013+G1014+G1009</f>
        <v>2780</v>
      </c>
      <c r="I1015" s="18">
        <f aca="true" t="shared" si="128" ref="I1015:O1015">+I1007+I1008+I1013+I1014+I1009</f>
        <v>0</v>
      </c>
      <c r="J1015" s="18">
        <f t="shared" si="128"/>
        <v>0</v>
      </c>
      <c r="K1015" s="18">
        <f t="shared" si="128"/>
        <v>-301387</v>
      </c>
      <c r="L1015" s="18">
        <f t="shared" si="128"/>
        <v>-7104</v>
      </c>
      <c r="M1015" s="18">
        <f t="shared" si="128"/>
        <v>-9464</v>
      </c>
      <c r="N1015" s="18">
        <f t="shared" si="128"/>
        <v>0</v>
      </c>
      <c r="O1015" s="18">
        <f t="shared" si="128"/>
        <v>-39081</v>
      </c>
      <c r="P1015" s="42"/>
      <c r="Q1015" s="18">
        <f>+Q1007+Q1008+Q1013+Q1014+Q1009</f>
        <v>0</v>
      </c>
      <c r="R1015" s="18">
        <f>+R1007+R1008+R1013+R1014+R1009</f>
        <v>-8419</v>
      </c>
      <c r="S1015" s="18"/>
      <c r="T1015" s="18">
        <f>+T1007+T1008+T1013+T1014+T1009</f>
        <v>-40991</v>
      </c>
      <c r="U1015" s="42"/>
      <c r="V1015" s="18">
        <f>+V1007+V1008+V1013+V1014+V1009</f>
        <v>9287449.47</v>
      </c>
      <c r="W1015" s="18">
        <f>+W1007+W1008+W1013+W1014+W1009</f>
        <v>7245342</v>
      </c>
      <c r="X1015" s="18">
        <f>+X1007+X1008+X1013+X1014+X1009</f>
        <v>2042107.4700000007</v>
      </c>
    </row>
    <row r="1016" spans="1:24" ht="15">
      <c r="A1016" s="4"/>
      <c r="B1016" s="24"/>
      <c r="C1016" s="11"/>
      <c r="D1016" s="18"/>
      <c r="E1016" s="18"/>
      <c r="F1016" s="18"/>
      <c r="G1016" s="18"/>
      <c r="I1016" s="18"/>
      <c r="J1016" s="18"/>
      <c r="K1016" s="27"/>
      <c r="L1016" s="18"/>
      <c r="M1016" s="18"/>
      <c r="N1016" s="18"/>
      <c r="O1016" s="18"/>
      <c r="P1016" s="42"/>
      <c r="Q1016" s="18"/>
      <c r="R1016" s="18"/>
      <c r="S1016" s="18"/>
      <c r="T1016" s="18"/>
      <c r="U1016" s="42"/>
      <c r="V1016" s="18"/>
      <c r="W1016" s="18"/>
      <c r="X1016" s="18"/>
    </row>
    <row r="1017" spans="1:24" ht="15">
      <c r="A1017" s="4"/>
      <c r="B1017" s="24"/>
      <c r="C1017" s="11"/>
      <c r="D1017" s="18"/>
      <c r="E1017" s="18"/>
      <c r="F1017" s="18"/>
      <c r="G1017" s="18"/>
      <c r="I1017" s="18"/>
      <c r="J1017" s="18"/>
      <c r="K1017" s="27"/>
      <c r="L1017" s="18"/>
      <c r="M1017" s="18"/>
      <c r="N1017" s="18"/>
      <c r="O1017" s="18"/>
      <c r="P1017" s="42"/>
      <c r="Q1017" s="18"/>
      <c r="R1017" s="18"/>
      <c r="S1017" s="18"/>
      <c r="T1017" s="18"/>
      <c r="U1017" s="42"/>
      <c r="V1017" s="18"/>
      <c r="W1017" s="18"/>
      <c r="X1017" s="18"/>
    </row>
    <row r="1018" spans="1:24" ht="15">
      <c r="A1018" s="4"/>
      <c r="B1018" s="24"/>
      <c r="C1018" s="11"/>
      <c r="D1018" s="18"/>
      <c r="E1018" s="18"/>
      <c r="F1018" s="18"/>
      <c r="G1018" s="18"/>
      <c r="I1018" s="18"/>
      <c r="J1018" s="18"/>
      <c r="K1018" s="18"/>
      <c r="L1018" s="18"/>
      <c r="M1018" s="18"/>
      <c r="N1018" s="18"/>
      <c r="O1018" s="18"/>
      <c r="P1018" s="42"/>
      <c r="Q1018" s="18"/>
      <c r="R1018" s="18"/>
      <c r="S1018" s="18"/>
      <c r="T1018" s="18"/>
      <c r="U1018" s="42"/>
      <c r="V1018" s="18"/>
      <c r="W1018" s="18"/>
      <c r="X1018" s="18"/>
    </row>
    <row r="1019" spans="1:24" ht="15">
      <c r="A1019" s="4"/>
      <c r="B1019" s="24"/>
      <c r="C1019" s="11"/>
      <c r="D1019" s="18"/>
      <c r="E1019" s="18"/>
      <c r="F1019" s="18"/>
      <c r="G1019" s="18"/>
      <c r="I1019" s="18"/>
      <c r="J1019" s="18"/>
      <c r="K1019" s="18"/>
      <c r="L1019" s="18"/>
      <c r="M1019" s="18"/>
      <c r="N1019" s="18"/>
      <c r="O1019" s="18"/>
      <c r="P1019" s="42"/>
      <c r="Q1019" s="18"/>
      <c r="R1019" s="18"/>
      <c r="S1019" s="18"/>
      <c r="T1019" s="18"/>
      <c r="U1019" s="42"/>
      <c r="V1019" s="18"/>
      <c r="W1019" s="18"/>
      <c r="X1019" s="18"/>
    </row>
    <row r="1020" spans="1:24" ht="15">
      <c r="A1020" s="4"/>
      <c r="B1020" s="24"/>
      <c r="C1020" s="11"/>
      <c r="D1020" s="18"/>
      <c r="E1020" s="18"/>
      <c r="F1020" s="18"/>
      <c r="G1020" s="18"/>
      <c r="I1020" s="18"/>
      <c r="J1020" s="18"/>
      <c r="K1020" s="18"/>
      <c r="L1020" s="18"/>
      <c r="M1020" s="18"/>
      <c r="N1020" s="18"/>
      <c r="O1020" s="18"/>
      <c r="P1020" s="42"/>
      <c r="Q1020" s="18"/>
      <c r="R1020" s="18"/>
      <c r="S1020" s="18"/>
      <c r="T1020" s="18"/>
      <c r="U1020" s="42"/>
      <c r="V1020" s="18"/>
      <c r="W1020" s="18"/>
      <c r="X1020" s="18"/>
    </row>
    <row r="1021" spans="1:24" ht="15">
      <c r="A1021" s="4"/>
      <c r="B1021" s="24"/>
      <c r="C1021" s="11"/>
      <c r="D1021" s="18"/>
      <c r="E1021" s="18"/>
      <c r="F1021" s="18"/>
      <c r="G1021" s="18"/>
      <c r="I1021" s="18"/>
      <c r="J1021" s="18"/>
      <c r="K1021" s="18"/>
      <c r="L1021" s="18"/>
      <c r="M1021" s="18"/>
      <c r="N1021" s="18"/>
      <c r="O1021" s="18"/>
      <c r="P1021" s="42"/>
      <c r="Q1021" s="18"/>
      <c r="R1021" s="18"/>
      <c r="S1021" s="18"/>
      <c r="T1021" s="18"/>
      <c r="U1021" s="42"/>
      <c r="V1021" s="18"/>
      <c r="W1021" s="18"/>
      <c r="X1021" s="18"/>
    </row>
    <row r="1022" spans="1:24" ht="15">
      <c r="A1022" s="4"/>
      <c r="B1022" s="24"/>
      <c r="C1022" s="11"/>
      <c r="D1022" s="18"/>
      <c r="E1022" s="18"/>
      <c r="F1022" s="18"/>
      <c r="G1022" s="18"/>
      <c r="I1022" s="18"/>
      <c r="J1022" s="18"/>
      <c r="K1022" s="18"/>
      <c r="L1022" s="18"/>
      <c r="M1022" s="18"/>
      <c r="N1022" s="18"/>
      <c r="O1022" s="18"/>
      <c r="P1022" s="42"/>
      <c r="Q1022" s="18"/>
      <c r="R1022" s="18"/>
      <c r="S1022" s="18"/>
      <c r="T1022" s="18"/>
      <c r="U1022" s="42"/>
      <c r="V1022" s="18"/>
      <c r="W1022" s="18"/>
      <c r="X1022" s="18"/>
    </row>
    <row r="1023" spans="1:24" ht="15">
      <c r="A1023" s="4"/>
      <c r="B1023" s="24"/>
      <c r="C1023" s="11"/>
      <c r="D1023" s="10" t="s">
        <v>4</v>
      </c>
      <c r="E1023" s="10"/>
      <c r="F1023" s="10" t="s">
        <v>5</v>
      </c>
      <c r="G1023" s="10" t="s">
        <v>6</v>
      </c>
      <c r="H1023" s="10"/>
      <c r="I1023" s="10" t="s">
        <v>7</v>
      </c>
      <c r="J1023" s="10" t="s">
        <v>8</v>
      </c>
      <c r="K1023" s="10" t="s">
        <v>9</v>
      </c>
      <c r="L1023" s="10" t="s">
        <v>10</v>
      </c>
      <c r="M1023" s="10" t="s">
        <v>11</v>
      </c>
      <c r="N1023" s="10" t="s">
        <v>12</v>
      </c>
      <c r="O1023" s="10" t="s">
        <v>13</v>
      </c>
      <c r="P1023" s="10"/>
      <c r="Q1023" s="10" t="s">
        <v>14</v>
      </c>
      <c r="R1023" s="10" t="s">
        <v>15</v>
      </c>
      <c r="S1023" s="10"/>
      <c r="T1023" s="10" t="s">
        <v>16</v>
      </c>
      <c r="U1023" s="10"/>
      <c r="V1023" s="10" t="s">
        <v>17</v>
      </c>
      <c r="W1023" s="10" t="s">
        <v>18</v>
      </c>
      <c r="X1023" s="10" t="s">
        <v>19</v>
      </c>
    </row>
    <row r="1024" spans="1:23" ht="15">
      <c r="A1024" s="4"/>
      <c r="B1024" s="24"/>
      <c r="C1024" s="11"/>
      <c r="D1024" s="10" t="s">
        <v>20</v>
      </c>
      <c r="E1024" s="10"/>
      <c r="F1024" s="14" t="s">
        <v>21</v>
      </c>
      <c r="G1024" s="10"/>
      <c r="I1024" s="39" t="s">
        <v>110</v>
      </c>
      <c r="J1024" s="47" t="s">
        <v>111</v>
      </c>
      <c r="K1024" s="39"/>
      <c r="L1024" s="10" t="s">
        <v>20</v>
      </c>
      <c r="M1024" s="10" t="s">
        <v>20</v>
      </c>
      <c r="N1024" s="10" t="s">
        <v>20</v>
      </c>
      <c r="O1024" s="10" t="s">
        <v>20</v>
      </c>
      <c r="P1024" s="42"/>
      <c r="Q1024" s="10" t="s">
        <v>20</v>
      </c>
      <c r="R1024" s="10" t="s">
        <v>20</v>
      </c>
      <c r="S1024" s="48"/>
      <c r="T1024" s="10" t="s">
        <v>20</v>
      </c>
      <c r="U1024" s="42"/>
      <c r="W1024" s="39" t="s">
        <v>112</v>
      </c>
    </row>
    <row r="1025" spans="1:24" ht="15">
      <c r="A1025" s="4"/>
      <c r="B1025" s="87" t="s">
        <v>183</v>
      </c>
      <c r="C1025" s="11"/>
      <c r="D1025" s="8" t="s">
        <v>113</v>
      </c>
      <c r="E1025" s="6"/>
      <c r="F1025" s="6" t="s">
        <v>114</v>
      </c>
      <c r="G1025" s="49" t="s">
        <v>22</v>
      </c>
      <c r="I1025" s="8" t="s">
        <v>113</v>
      </c>
      <c r="J1025" s="6" t="s">
        <v>114</v>
      </c>
      <c r="K1025" s="49" t="s">
        <v>24</v>
      </c>
      <c r="L1025" s="13" t="s">
        <v>115</v>
      </c>
      <c r="M1025" s="13" t="s">
        <v>116</v>
      </c>
      <c r="N1025" s="13" t="s">
        <v>117</v>
      </c>
      <c r="O1025" s="13" t="s">
        <v>118</v>
      </c>
      <c r="P1025" s="42"/>
      <c r="Q1025" s="13" t="s">
        <v>119</v>
      </c>
      <c r="R1025" s="13" t="s">
        <v>120</v>
      </c>
      <c r="T1025" s="13" t="s">
        <v>121</v>
      </c>
      <c r="U1025" s="42"/>
      <c r="V1025" s="10" t="s">
        <v>20</v>
      </c>
      <c r="W1025" s="10" t="s">
        <v>21</v>
      </c>
      <c r="X1025" s="10" t="s">
        <v>22</v>
      </c>
    </row>
    <row r="1026" spans="1:24" ht="15">
      <c r="A1026" s="4"/>
      <c r="B1026" s="24"/>
      <c r="C1026" s="11"/>
      <c r="D1026" s="18"/>
      <c r="E1026" s="18"/>
      <c r="F1026" s="18"/>
      <c r="G1026" s="18"/>
      <c r="I1026" s="72" t="s">
        <v>0</v>
      </c>
      <c r="K1026" s="42"/>
      <c r="L1026" s="42"/>
      <c r="N1026" s="42"/>
      <c r="O1026" s="18"/>
      <c r="P1026" s="42"/>
      <c r="U1026" s="42"/>
      <c r="V1026" s="18"/>
      <c r="W1026" s="39" t="s">
        <v>122</v>
      </c>
      <c r="X1026" s="18"/>
    </row>
    <row r="1027" spans="1:24" ht="15">
      <c r="A1027" s="4">
        <f>+A995+1</f>
        <v>19</v>
      </c>
      <c r="B1027" s="5" t="s">
        <v>36</v>
      </c>
      <c r="C1027" s="17" t="s">
        <v>37</v>
      </c>
      <c r="D1027" s="27">
        <f>579597+745947</f>
        <v>1325544</v>
      </c>
      <c r="E1027" s="18" t="s">
        <v>0</v>
      </c>
      <c r="F1027" s="27">
        <v>403730</v>
      </c>
      <c r="G1027" s="18">
        <f>D1027-F1027</f>
        <v>921814</v>
      </c>
      <c r="I1027" s="27">
        <f>-(713+19)</f>
        <v>-732</v>
      </c>
      <c r="J1027" s="27">
        <v>1184</v>
      </c>
      <c r="K1027" s="36">
        <f>+I1027-J1027</f>
        <v>-1916</v>
      </c>
      <c r="L1027" s="18">
        <v>0</v>
      </c>
      <c r="M1027" s="27">
        <v>-198730</v>
      </c>
      <c r="N1027" s="27">
        <f>--112</f>
        <v>112</v>
      </c>
      <c r="O1027" s="18">
        <v>0</v>
      </c>
      <c r="P1027" s="42"/>
      <c r="Q1027" s="31">
        <v>0</v>
      </c>
      <c r="R1027" s="18">
        <v>0</v>
      </c>
      <c r="S1027" s="18"/>
      <c r="T1027" s="18">
        <v>0</v>
      </c>
      <c r="U1027" s="42"/>
      <c r="V1027" s="31">
        <f>+D1027+I1027+L1027+M1027+N1027+O1027+Q1027+R1027+T1027</f>
        <v>1126194</v>
      </c>
      <c r="W1027" s="18">
        <f>+F1027+J1027</f>
        <v>404914</v>
      </c>
      <c r="X1027" s="18">
        <f>+V1027-W1027</f>
        <v>721280</v>
      </c>
    </row>
    <row r="1028" spans="1:24" ht="15">
      <c r="A1028" s="4">
        <f>+A1027+1</f>
        <v>20</v>
      </c>
      <c r="B1028" s="5" t="s">
        <v>36</v>
      </c>
      <c r="C1028" s="22" t="s">
        <v>38</v>
      </c>
      <c r="D1028" s="27">
        <v>1315237</v>
      </c>
      <c r="E1028" s="18" t="s">
        <v>0</v>
      </c>
      <c r="F1028" s="27">
        <v>402025</v>
      </c>
      <c r="G1028" s="18">
        <f>D1028-F1028</f>
        <v>913212</v>
      </c>
      <c r="I1028" s="27">
        <v>-711</v>
      </c>
      <c r="J1028" s="31">
        <v>1164</v>
      </c>
      <c r="K1028" s="36">
        <f>+I1028-J1028</f>
        <v>-1875</v>
      </c>
      <c r="L1028" s="18">
        <v>0</v>
      </c>
      <c r="M1028" s="27">
        <v>-198732</v>
      </c>
      <c r="N1028" s="27">
        <v>112</v>
      </c>
      <c r="O1028" s="18">
        <v>0</v>
      </c>
      <c r="P1028" s="42"/>
      <c r="Q1028" s="31">
        <v>0</v>
      </c>
      <c r="R1028" s="18">
        <v>0</v>
      </c>
      <c r="S1028" s="18"/>
      <c r="T1028" s="18">
        <v>0</v>
      </c>
      <c r="U1028" s="42"/>
      <c r="V1028" s="31">
        <f>+D1028+I1028+L1028+M1028+N1028+O1028+Q1028+R1028+T1028</f>
        <v>1115906</v>
      </c>
      <c r="W1028" s="18">
        <f>+F1028+J1028</f>
        <v>403189</v>
      </c>
      <c r="X1028" s="18">
        <f>+V1028-W1028</f>
        <v>712717</v>
      </c>
    </row>
    <row r="1029" spans="1:24" ht="15">
      <c r="A1029" s="4">
        <f>+A1028+1</f>
        <v>21</v>
      </c>
      <c r="B1029" s="24" t="s">
        <v>46</v>
      </c>
      <c r="C1029" s="40" t="s">
        <v>78</v>
      </c>
      <c r="D1029" s="18">
        <f>+D1027-D1028</f>
        <v>10307</v>
      </c>
      <c r="E1029" s="18"/>
      <c r="F1029" s="18">
        <f>+F1027-F1028</f>
        <v>1705</v>
      </c>
      <c r="G1029" s="18">
        <f>+G1027-G1028</f>
        <v>8602</v>
      </c>
      <c r="I1029" s="18">
        <f aca="true" t="shared" si="129" ref="I1029:O1029">+I1027-I1028</f>
        <v>-21</v>
      </c>
      <c r="J1029" s="18">
        <f t="shared" si="129"/>
        <v>20</v>
      </c>
      <c r="K1029" s="18">
        <f>K1027-K1028</f>
        <v>-41</v>
      </c>
      <c r="L1029" s="18">
        <f t="shared" si="129"/>
        <v>0</v>
      </c>
      <c r="M1029" s="18">
        <f t="shared" si="129"/>
        <v>2</v>
      </c>
      <c r="N1029" s="18">
        <f t="shared" si="129"/>
        <v>0</v>
      </c>
      <c r="O1029" s="18">
        <f t="shared" si="129"/>
        <v>0</v>
      </c>
      <c r="P1029" s="42"/>
      <c r="Q1029" s="18">
        <f>+Q1027-Q1028</f>
        <v>0</v>
      </c>
      <c r="R1029" s="18">
        <f>+R1027-R1028</f>
        <v>0</v>
      </c>
      <c r="S1029" s="18"/>
      <c r="T1029" s="18">
        <f>+T1027-T1028</f>
        <v>0</v>
      </c>
      <c r="U1029" s="42"/>
      <c r="V1029" s="31">
        <f>+V1027-V1028</f>
        <v>10288</v>
      </c>
      <c r="W1029" s="31">
        <f>+W1027-W1028</f>
        <v>1725</v>
      </c>
      <c r="X1029" s="18">
        <f>+X1027-X1028</f>
        <v>8563</v>
      </c>
    </row>
    <row r="1030" spans="1:24" ht="28.5">
      <c r="A1030" s="4">
        <f>+A1029+1</f>
        <v>22</v>
      </c>
      <c r="B1030" s="88" t="s">
        <v>182</v>
      </c>
      <c r="C1030" s="11"/>
      <c r="D1030" s="18">
        <v>0</v>
      </c>
      <c r="E1030" s="18"/>
      <c r="F1030" s="18">
        <v>0</v>
      </c>
      <c r="G1030" s="18">
        <f>+D1030-F1030</f>
        <v>0</v>
      </c>
      <c r="I1030" s="18">
        <v>0</v>
      </c>
      <c r="J1030" s="18">
        <v>0</v>
      </c>
      <c r="K1030" s="18">
        <f>+I1030-J1030</f>
        <v>0</v>
      </c>
      <c r="L1030" s="18">
        <v>0</v>
      </c>
      <c r="M1030" s="18">
        <v>0</v>
      </c>
      <c r="N1030" s="18">
        <f>+L1030-M1030</f>
        <v>0</v>
      </c>
      <c r="O1030" s="18">
        <v>0</v>
      </c>
      <c r="P1030" s="42"/>
      <c r="Q1030" s="18">
        <v>0</v>
      </c>
      <c r="R1030" s="18">
        <v>0</v>
      </c>
      <c r="S1030" s="18"/>
      <c r="T1030" s="18">
        <v>0</v>
      </c>
      <c r="U1030" s="42"/>
      <c r="V1030" s="31">
        <f>+D1030+I1030+L1030+M1030+N1030+O1030+Q1030+R1030+T1030</f>
        <v>0</v>
      </c>
      <c r="W1030" s="18">
        <f>+F1030+J1030</f>
        <v>0</v>
      </c>
      <c r="X1030" s="18">
        <f>+V1030-W1030</f>
        <v>0</v>
      </c>
    </row>
    <row r="1031" spans="1:24" ht="24.75">
      <c r="A1031" s="4">
        <f>+A1030+1</f>
        <v>23</v>
      </c>
      <c r="B1031" s="89" t="s">
        <v>39</v>
      </c>
      <c r="C1031" s="40"/>
      <c r="D1031" s="27">
        <v>-28564</v>
      </c>
      <c r="E1031" s="18" t="s">
        <v>0</v>
      </c>
      <c r="F1031" s="27">
        <v>674374</v>
      </c>
      <c r="G1031" s="18">
        <f>D1031-F1031</f>
        <v>-702938</v>
      </c>
      <c r="I1031" s="27">
        <v>0</v>
      </c>
      <c r="J1031" s="27">
        <v>0</v>
      </c>
      <c r="K1031" s="18">
        <f>+I1031-J1031</f>
        <v>0</v>
      </c>
      <c r="L1031" s="18">
        <v>39592</v>
      </c>
      <c r="M1031" s="27">
        <v>64210</v>
      </c>
      <c r="N1031" s="27">
        <v>37519</v>
      </c>
      <c r="O1031" s="27">
        <v>38038</v>
      </c>
      <c r="P1031" s="42"/>
      <c r="Q1031" s="55">
        <v>0</v>
      </c>
      <c r="R1031" s="21">
        <v>0</v>
      </c>
      <c r="S1031" s="18"/>
      <c r="T1031" s="18">
        <v>3</v>
      </c>
      <c r="U1031" s="42"/>
      <c r="V1031" s="31">
        <f>+D1031+I1031+M1031+N1031+L1031+O1031+Q1031+R1031+T1031</f>
        <v>150798</v>
      </c>
      <c r="W1031" s="18">
        <f>+F1031+J1031</f>
        <v>674374</v>
      </c>
      <c r="X1031" s="36">
        <f>+V1031-W1031</f>
        <v>-523576</v>
      </c>
    </row>
    <row r="1032" spans="1:24" ht="15">
      <c r="A1032" s="6" t="s">
        <v>41</v>
      </c>
      <c r="B1032" s="41"/>
      <c r="C1032" s="40"/>
      <c r="D1032" s="18"/>
      <c r="E1032" s="18"/>
      <c r="F1032" s="18" t="s">
        <v>0</v>
      </c>
      <c r="G1032" s="18"/>
      <c r="I1032" s="18"/>
      <c r="J1032" s="18"/>
      <c r="K1032" s="18"/>
      <c r="L1032" s="18"/>
      <c r="M1032" s="18"/>
      <c r="N1032" s="18"/>
      <c r="O1032" s="18"/>
      <c r="P1032" s="42"/>
      <c r="Q1032" s="18"/>
      <c r="R1032" s="18"/>
      <c r="S1032" s="18"/>
      <c r="T1032" s="18" t="s">
        <v>0</v>
      </c>
      <c r="U1032" s="42"/>
      <c r="V1032" s="30"/>
      <c r="W1032" s="30"/>
      <c r="X1032" s="36"/>
    </row>
    <row r="1033" spans="1:24" ht="15">
      <c r="A1033" s="4">
        <f>+A1031+1</f>
        <v>24</v>
      </c>
      <c r="B1033" s="5" t="s">
        <v>42</v>
      </c>
      <c r="C1033" s="22" t="s">
        <v>38</v>
      </c>
      <c r="D1033" s="27">
        <v>1355441</v>
      </c>
      <c r="E1033" s="18" t="s">
        <v>0</v>
      </c>
      <c r="F1033" s="27">
        <v>433572</v>
      </c>
      <c r="G1033" s="18">
        <f>D1033-F1033</f>
        <v>921869</v>
      </c>
      <c r="I1033" s="18">
        <v>-671</v>
      </c>
      <c r="J1033" s="26">
        <v>782</v>
      </c>
      <c r="K1033" s="18">
        <f>+I1033-J1033</f>
        <v>-1453</v>
      </c>
      <c r="L1033" s="27">
        <v>0</v>
      </c>
      <c r="M1033" s="27">
        <v>-126695</v>
      </c>
      <c r="N1033" s="27">
        <v>0</v>
      </c>
      <c r="O1033" s="18">
        <v>0</v>
      </c>
      <c r="P1033" s="42"/>
      <c r="Q1033" s="31">
        <v>0</v>
      </c>
      <c r="R1033" s="18">
        <v>0</v>
      </c>
      <c r="S1033" s="18" t="s">
        <v>0</v>
      </c>
      <c r="T1033" s="18">
        <v>0</v>
      </c>
      <c r="U1033" s="42"/>
      <c r="V1033" s="31">
        <f>+D1033+I1033+L1033+M1033+N1033+O1033+Q1033+R1033+T1033</f>
        <v>1228075</v>
      </c>
      <c r="W1033" s="18">
        <f>+F1033+J1033</f>
        <v>434354</v>
      </c>
      <c r="X1033" s="18">
        <f>+V1033-W1033</f>
        <v>793721</v>
      </c>
    </row>
    <row r="1034" spans="1:24" ht="15">
      <c r="A1034" s="4">
        <f>+A1033+1</f>
        <v>25</v>
      </c>
      <c r="B1034" s="5" t="s">
        <v>43</v>
      </c>
      <c r="C1034" s="11"/>
      <c r="D1034" s="18"/>
      <c r="E1034" s="18"/>
      <c r="F1034" s="18">
        <v>0</v>
      </c>
      <c r="G1034" s="18">
        <f>+D1034-F1034</f>
        <v>0</v>
      </c>
      <c r="I1034" s="18">
        <v>0</v>
      </c>
      <c r="J1034" s="18">
        <v>0</v>
      </c>
      <c r="K1034" s="18">
        <f>+I1034-J1034</f>
        <v>0</v>
      </c>
      <c r="L1034" s="18">
        <v>0</v>
      </c>
      <c r="M1034" s="18">
        <v>0</v>
      </c>
      <c r="N1034" s="18">
        <f>+L1034-M1034</f>
        <v>0</v>
      </c>
      <c r="O1034" s="18">
        <v>0</v>
      </c>
      <c r="P1034" s="42"/>
      <c r="Q1034" s="18">
        <v>0</v>
      </c>
      <c r="R1034" s="18">
        <v>0</v>
      </c>
      <c r="S1034" s="18"/>
      <c r="T1034" s="18">
        <v>0</v>
      </c>
      <c r="U1034" s="42"/>
      <c r="V1034" s="31">
        <f>+D1034+I1034+L1034+O1034+Q1034+R1034+T1034</f>
        <v>0</v>
      </c>
      <c r="W1034" s="18">
        <f>+F1034+J1034+M1034</f>
        <v>0</v>
      </c>
      <c r="X1034" s="18">
        <f>+V1034-W1034</f>
        <v>0</v>
      </c>
    </row>
    <row r="1035" spans="1:24" ht="26.25">
      <c r="A1035" s="4">
        <f>+A1034+1</f>
        <v>26</v>
      </c>
      <c r="B1035" s="24" t="s">
        <v>79</v>
      </c>
      <c r="C1035" s="11"/>
      <c r="D1035" s="18">
        <f>+D1033-D1034</f>
        <v>1355441</v>
      </c>
      <c r="E1035" s="18"/>
      <c r="F1035" s="18">
        <f>+F1033-F1034</f>
        <v>433572</v>
      </c>
      <c r="G1035" s="18">
        <f>+G1033-G1034</f>
        <v>921869</v>
      </c>
      <c r="I1035" s="18">
        <f aca="true" t="shared" si="130" ref="I1035:N1035">+I1033-I1034</f>
        <v>-671</v>
      </c>
      <c r="J1035" s="18">
        <f t="shared" si="130"/>
        <v>782</v>
      </c>
      <c r="K1035" s="18">
        <f t="shared" si="130"/>
        <v>-1453</v>
      </c>
      <c r="L1035" s="18">
        <f t="shared" si="130"/>
        <v>0</v>
      </c>
      <c r="M1035" s="18">
        <f t="shared" si="130"/>
        <v>-126695</v>
      </c>
      <c r="N1035" s="18">
        <f t="shared" si="130"/>
        <v>0</v>
      </c>
      <c r="O1035" s="18">
        <v>0</v>
      </c>
      <c r="P1035" s="42"/>
      <c r="Q1035" s="18">
        <f>+Q1033-Q1034</f>
        <v>0</v>
      </c>
      <c r="R1035" s="18">
        <f>+R1033-R1034</f>
        <v>0</v>
      </c>
      <c r="S1035" s="18"/>
      <c r="T1035" s="18">
        <f>+T1033-T1034</f>
        <v>0</v>
      </c>
      <c r="U1035" s="42"/>
      <c r="V1035" s="27">
        <f>+V1033-V1034</f>
        <v>1228075</v>
      </c>
      <c r="W1035" s="27">
        <f>+W1033-W1034</f>
        <v>434354</v>
      </c>
      <c r="X1035" s="31">
        <f>+X1033-X1034</f>
        <v>793721</v>
      </c>
    </row>
    <row r="1036" spans="1:24" ht="28.5">
      <c r="A1036" s="4">
        <f>+A1035+1</f>
        <v>27</v>
      </c>
      <c r="B1036" s="88" t="s">
        <v>181</v>
      </c>
      <c r="C1036" s="11"/>
      <c r="D1036" s="18">
        <v>0</v>
      </c>
      <c r="E1036" s="18"/>
      <c r="F1036" s="18">
        <v>0</v>
      </c>
      <c r="G1036" s="18">
        <f>+D1036-F1036</f>
        <v>0</v>
      </c>
      <c r="I1036" s="18">
        <v>0</v>
      </c>
      <c r="J1036" s="18">
        <v>0</v>
      </c>
      <c r="K1036" s="18">
        <f>+I1036-J1036</f>
        <v>0</v>
      </c>
      <c r="L1036" s="18">
        <v>0</v>
      </c>
      <c r="M1036" s="18">
        <v>0</v>
      </c>
      <c r="N1036" s="18">
        <f>+L1036-M1036</f>
        <v>0</v>
      </c>
      <c r="O1036" s="18">
        <v>0</v>
      </c>
      <c r="P1036" s="42"/>
      <c r="Q1036" s="18">
        <v>0</v>
      </c>
      <c r="R1036" s="18">
        <v>0</v>
      </c>
      <c r="S1036" s="18"/>
      <c r="T1036" s="18">
        <v>0</v>
      </c>
      <c r="U1036" s="42"/>
      <c r="V1036" s="31">
        <f>+D1036+I1036+L1036+O1036+Q1036+R1036+T1036</f>
        <v>0</v>
      </c>
      <c r="W1036" s="18">
        <f>+F1036+J1036+M1036</f>
        <v>0</v>
      </c>
      <c r="X1036" s="18">
        <f>+V1036-W1036</f>
        <v>0</v>
      </c>
    </row>
    <row r="1037" spans="1:24" ht="15">
      <c r="A1037" s="4">
        <f>+A1036+1</f>
        <v>28</v>
      </c>
      <c r="B1037" s="24" t="s">
        <v>46</v>
      </c>
      <c r="C1037" s="11" t="s">
        <v>47</v>
      </c>
      <c r="D1037" s="51">
        <f>+D1029+D1030+D1035+D1036+D1031</f>
        <v>1337184</v>
      </c>
      <c r="E1037" s="18"/>
      <c r="F1037" s="52">
        <f>+F1029+F1030+F1035+F1036+F1031</f>
        <v>1109651</v>
      </c>
      <c r="G1037" s="18">
        <f>+G1029+G1030+G1035+G1036+G1031</f>
        <v>227533</v>
      </c>
      <c r="I1037" s="51">
        <f aca="true" t="shared" si="131" ref="I1037:O1037">+I1029+I1030+I1035+I1036+I1031</f>
        <v>-692</v>
      </c>
      <c r="J1037" s="52">
        <f t="shared" si="131"/>
        <v>802</v>
      </c>
      <c r="K1037" s="18">
        <f t="shared" si="131"/>
        <v>-1494</v>
      </c>
      <c r="L1037" s="18">
        <f t="shared" si="131"/>
        <v>39592</v>
      </c>
      <c r="M1037" s="18">
        <f t="shared" si="131"/>
        <v>-62483</v>
      </c>
      <c r="N1037" s="18">
        <f t="shared" si="131"/>
        <v>37519</v>
      </c>
      <c r="O1037" s="18">
        <f t="shared" si="131"/>
        <v>38038</v>
      </c>
      <c r="P1037" s="42"/>
      <c r="Q1037" s="18">
        <f>+Q1029+Q1030+Q1035+Q1036+Q1031</f>
        <v>0</v>
      </c>
      <c r="R1037" s="18">
        <f>+R1029+R1030+R1035+R1036+R1031</f>
        <v>0</v>
      </c>
      <c r="S1037" s="18"/>
      <c r="T1037" s="18">
        <f>+T1029+T1030+T1035+T1036+T1031</f>
        <v>3</v>
      </c>
      <c r="U1037" s="42"/>
      <c r="V1037" s="18">
        <f>+V1029+V1030+V1035+V1036+V1031</f>
        <v>1389161</v>
      </c>
      <c r="W1037" s="18">
        <f>+W1029+W1030+W1035+W1036+W1031</f>
        <v>1110453</v>
      </c>
      <c r="X1037" s="18">
        <f>+X1029+X1030+X1035+X1036+X1031</f>
        <v>278708</v>
      </c>
    </row>
    <row r="1038" spans="1:24" ht="15">
      <c r="A1038" s="4"/>
      <c r="B1038" s="24" t="s">
        <v>0</v>
      </c>
      <c r="C1038" s="11"/>
      <c r="D1038" s="27">
        <v>1336492</v>
      </c>
      <c r="E1038" s="18"/>
      <c r="F1038" s="18">
        <v>1110453</v>
      </c>
      <c r="G1038" s="18"/>
      <c r="I1038" s="18"/>
      <c r="J1038" s="18"/>
      <c r="K1038" s="18"/>
      <c r="L1038" s="18"/>
      <c r="M1038" s="42"/>
      <c r="N1038" s="73" t="s">
        <v>0</v>
      </c>
      <c r="O1038" s="42"/>
      <c r="P1038" s="42"/>
      <c r="Q1038" s="42"/>
      <c r="U1038" s="42"/>
      <c r="V1038" s="18"/>
      <c r="W1038" s="18"/>
      <c r="X1038" s="18"/>
    </row>
    <row r="1039" spans="1:24" ht="15">
      <c r="A1039" s="4"/>
      <c r="B1039" s="92" t="s">
        <v>0</v>
      </c>
      <c r="C1039" s="11"/>
      <c r="D1039" s="6" t="s">
        <v>48</v>
      </c>
      <c r="E1039" s="6"/>
      <c r="F1039" s="10" t="s">
        <v>49</v>
      </c>
      <c r="G1039" s="10" t="s">
        <v>50</v>
      </c>
      <c r="I1039" s="10" t="s">
        <v>51</v>
      </c>
      <c r="J1039" s="10" t="s">
        <v>52</v>
      </c>
      <c r="K1039" s="10" t="s">
        <v>53</v>
      </c>
      <c r="L1039" s="10" t="s">
        <v>54</v>
      </c>
      <c r="M1039" s="10" t="s">
        <v>55</v>
      </c>
      <c r="N1039" s="10" t="s">
        <v>56</v>
      </c>
      <c r="O1039" s="10" t="s">
        <v>57</v>
      </c>
      <c r="P1039" s="18"/>
      <c r="Q1039" s="10" t="s">
        <v>58</v>
      </c>
      <c r="R1039" s="10" t="s">
        <v>59</v>
      </c>
      <c r="S1039" s="10"/>
      <c r="T1039" s="10" t="s">
        <v>60</v>
      </c>
      <c r="U1039" s="18"/>
      <c r="V1039" s="10" t="s">
        <v>61</v>
      </c>
      <c r="W1039" s="10" t="s">
        <v>62</v>
      </c>
      <c r="X1039" s="10" t="s">
        <v>63</v>
      </c>
    </row>
    <row r="1040" spans="1:24" ht="15">
      <c r="A1040" s="4"/>
      <c r="B1040" s="24"/>
      <c r="C1040" s="11"/>
      <c r="D1040" s="14" t="s">
        <v>20</v>
      </c>
      <c r="E1040" s="18"/>
      <c r="F1040" s="14" t="s">
        <v>20</v>
      </c>
      <c r="G1040" s="14" t="s">
        <v>20</v>
      </c>
      <c r="I1040" s="14" t="s">
        <v>20</v>
      </c>
      <c r="J1040" s="14" t="s">
        <v>21</v>
      </c>
      <c r="K1040" s="14" t="s">
        <v>21</v>
      </c>
      <c r="L1040" s="14" t="s">
        <v>21</v>
      </c>
      <c r="M1040" s="14" t="s">
        <v>21</v>
      </c>
      <c r="N1040" s="14" t="s">
        <v>21</v>
      </c>
      <c r="O1040" s="14" t="s">
        <v>21</v>
      </c>
      <c r="P1040" s="14"/>
      <c r="Q1040" s="14" t="s">
        <v>21</v>
      </c>
      <c r="R1040" s="14" t="s">
        <v>21</v>
      </c>
      <c r="T1040" s="14" t="s">
        <v>21</v>
      </c>
      <c r="U1040" s="42"/>
      <c r="V1040" s="18"/>
      <c r="W1040" s="39" t="s">
        <v>123</v>
      </c>
      <c r="X1040" s="18"/>
    </row>
    <row r="1041" spans="1:24" ht="15">
      <c r="A1041" s="4"/>
      <c r="B1041" s="87" t="s">
        <v>183</v>
      </c>
      <c r="C1041" s="11"/>
      <c r="D1041" s="53" t="s">
        <v>124</v>
      </c>
      <c r="E1041" s="18"/>
      <c r="F1041" s="53" t="s">
        <v>125</v>
      </c>
      <c r="G1041" s="53" t="s">
        <v>126</v>
      </c>
      <c r="I1041" s="53" t="s">
        <v>127</v>
      </c>
      <c r="J1041" s="53" t="s">
        <v>128</v>
      </c>
      <c r="K1041" s="53" t="s">
        <v>129</v>
      </c>
      <c r="L1041" s="53" t="s">
        <v>130</v>
      </c>
      <c r="M1041" s="53" t="s">
        <v>131</v>
      </c>
      <c r="N1041" s="24" t="s">
        <v>132</v>
      </c>
      <c r="O1041" s="24" t="s">
        <v>98</v>
      </c>
      <c r="P1041" s="24"/>
      <c r="Q1041" s="24" t="s">
        <v>99</v>
      </c>
      <c r="R1041" s="24" t="s">
        <v>133</v>
      </c>
      <c r="S1041" s="42"/>
      <c r="T1041" s="24" t="s">
        <v>134</v>
      </c>
      <c r="U1041" s="42"/>
      <c r="V1041" s="10" t="s">
        <v>20</v>
      </c>
      <c r="W1041" s="10" t="s">
        <v>21</v>
      </c>
      <c r="X1041" s="10" t="s">
        <v>22</v>
      </c>
    </row>
    <row r="1042" spans="1:24" ht="15">
      <c r="A1042" s="4"/>
      <c r="B1042" s="24"/>
      <c r="C1042" s="11"/>
      <c r="D1042" s="18"/>
      <c r="E1042" s="18"/>
      <c r="F1042" s="18"/>
      <c r="I1042" s="18"/>
      <c r="J1042" s="18"/>
      <c r="O1042" s="42"/>
      <c r="P1042" s="42"/>
      <c r="Q1042" s="42"/>
      <c r="R1042" s="42"/>
      <c r="S1042" s="42"/>
      <c r="T1042" s="42"/>
      <c r="U1042" s="42"/>
      <c r="V1042" s="18"/>
      <c r="W1042" s="39"/>
      <c r="X1042" s="18"/>
    </row>
    <row r="1043" spans="1:24" ht="15">
      <c r="A1043" s="4">
        <f>+A1037+1</f>
        <v>29</v>
      </c>
      <c r="B1043" s="5" t="s">
        <v>36</v>
      </c>
      <c r="C1043" s="17" t="s">
        <v>37</v>
      </c>
      <c r="D1043" s="18">
        <v>0</v>
      </c>
      <c r="E1043" s="18"/>
      <c r="F1043" s="18">
        <v>0</v>
      </c>
      <c r="G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0</v>
      </c>
      <c r="N1043" s="18">
        <v>0</v>
      </c>
      <c r="O1043" s="18">
        <v>0</v>
      </c>
      <c r="P1043" s="18"/>
      <c r="Q1043" s="18">
        <v>0</v>
      </c>
      <c r="R1043" s="18">
        <v>0</v>
      </c>
      <c r="S1043" s="42"/>
      <c r="T1043" s="18">
        <v>0</v>
      </c>
      <c r="U1043" s="42"/>
      <c r="V1043" s="18">
        <f>+V1027+D1043+F1043+G1043+I1043</f>
        <v>1126194</v>
      </c>
      <c r="W1043" s="18">
        <f>+W1027+J1043+K1043+L1043+M1043+N1043+O1043+Q1043+R1043+T1043</f>
        <v>404914</v>
      </c>
      <c r="X1043" s="18">
        <f>+V1043-W1043</f>
        <v>721280</v>
      </c>
    </row>
    <row r="1044" spans="1:24" ht="15">
      <c r="A1044" s="4">
        <f>+A1043+1</f>
        <v>30</v>
      </c>
      <c r="B1044" s="5" t="s">
        <v>36</v>
      </c>
      <c r="C1044" s="22" t="s">
        <v>38</v>
      </c>
      <c r="D1044" s="18">
        <v>0</v>
      </c>
      <c r="E1044" s="18"/>
      <c r="F1044" s="18">
        <v>0</v>
      </c>
      <c r="G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8">
        <v>0</v>
      </c>
      <c r="P1044" s="18"/>
      <c r="Q1044" s="18">
        <v>0</v>
      </c>
      <c r="R1044" s="18">
        <v>0</v>
      </c>
      <c r="S1044" s="42"/>
      <c r="T1044" s="18">
        <v>0</v>
      </c>
      <c r="U1044" s="42"/>
      <c r="V1044" s="18">
        <f>+V1028+D1044+F1044+G1044+I1044</f>
        <v>1115906</v>
      </c>
      <c r="W1044" s="18">
        <f>+W1028+J1044+K1044+L1044+M1044+N1044+O1044+Q1044+R1044+T1044</f>
        <v>403189</v>
      </c>
      <c r="X1044" s="18">
        <f>+V1044-W1044</f>
        <v>712717</v>
      </c>
    </row>
    <row r="1045" spans="1:24" ht="15">
      <c r="A1045" s="4">
        <f>+A1044+1</f>
        <v>31</v>
      </c>
      <c r="B1045" s="24" t="s">
        <v>46</v>
      </c>
      <c r="C1045" s="40" t="s">
        <v>78</v>
      </c>
      <c r="D1045" s="18">
        <f>+D1043-D1044</f>
        <v>0</v>
      </c>
      <c r="E1045" s="18"/>
      <c r="F1045" s="18">
        <f>+F1043-F1044</f>
        <v>0</v>
      </c>
      <c r="G1045" s="18">
        <f>+G1043-G1044</f>
        <v>0</v>
      </c>
      <c r="I1045" s="18">
        <f aca="true" t="shared" si="132" ref="I1045:O1045">+I1043-I1044</f>
        <v>0</v>
      </c>
      <c r="J1045" s="18">
        <f t="shared" si="132"/>
        <v>0</v>
      </c>
      <c r="K1045" s="18">
        <f t="shared" si="132"/>
        <v>0</v>
      </c>
      <c r="L1045" s="18">
        <f t="shared" si="132"/>
        <v>0</v>
      </c>
      <c r="M1045" s="18">
        <f t="shared" si="132"/>
        <v>0</v>
      </c>
      <c r="N1045" s="18">
        <f t="shared" si="132"/>
        <v>0</v>
      </c>
      <c r="O1045" s="18">
        <f t="shared" si="132"/>
        <v>0</v>
      </c>
      <c r="P1045" s="18"/>
      <c r="Q1045" s="18">
        <f>+Q1043-Q1044</f>
        <v>0</v>
      </c>
      <c r="R1045" s="18">
        <f>+R1043-R1044</f>
        <v>0</v>
      </c>
      <c r="S1045" s="42"/>
      <c r="T1045" s="18">
        <f>+T1043-T1044</f>
        <v>0</v>
      </c>
      <c r="U1045" s="42"/>
      <c r="V1045" s="27">
        <f>+V1043-V1044</f>
        <v>10288</v>
      </c>
      <c r="W1045" s="27">
        <f>+W1043-W1044</f>
        <v>1725</v>
      </c>
      <c r="X1045" s="18">
        <f>+X1043-X1044</f>
        <v>8563</v>
      </c>
    </row>
    <row r="1046" spans="1:24" ht="28.5">
      <c r="A1046" s="4">
        <f>+A1045+1</f>
        <v>32</v>
      </c>
      <c r="B1046" s="88" t="s">
        <v>182</v>
      </c>
      <c r="C1046" s="11"/>
      <c r="D1046" s="18">
        <v>0</v>
      </c>
      <c r="E1046" s="18"/>
      <c r="F1046" s="18">
        <v>0</v>
      </c>
      <c r="G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/>
      <c r="Q1046" s="18">
        <v>0</v>
      </c>
      <c r="R1046" s="18">
        <v>0</v>
      </c>
      <c r="S1046" s="42"/>
      <c r="T1046" s="18">
        <v>0</v>
      </c>
      <c r="U1046" s="42"/>
      <c r="V1046" s="18">
        <f>+V1030+D1046+F1046+G1046+I1046</f>
        <v>0</v>
      </c>
      <c r="W1046" s="18">
        <f>+W1030+J1046+K1046+L1046+M1046+N1046+O1046+Q1046+R1046+T1046</f>
        <v>0</v>
      </c>
      <c r="X1046" s="18">
        <f>+V1046-W1046</f>
        <v>0</v>
      </c>
    </row>
    <row r="1047" spans="1:24" ht="24.75">
      <c r="A1047" s="4">
        <f>+A1046+1</f>
        <v>33</v>
      </c>
      <c r="B1047" s="89" t="s">
        <v>39</v>
      </c>
      <c r="C1047" s="40"/>
      <c r="D1047" s="27">
        <v>-27762</v>
      </c>
      <c r="E1047" s="27" t="s">
        <v>0</v>
      </c>
      <c r="F1047" s="27">
        <v>892</v>
      </c>
      <c r="G1047" s="27">
        <v>0</v>
      </c>
      <c r="H1047" t="s">
        <v>0</v>
      </c>
      <c r="I1047" s="27">
        <v>0</v>
      </c>
      <c r="J1047" s="27">
        <v>168</v>
      </c>
      <c r="K1047" s="27">
        <v>0</v>
      </c>
      <c r="L1047" s="27">
        <v>0</v>
      </c>
      <c r="M1047" s="18">
        <v>0</v>
      </c>
      <c r="N1047" s="18">
        <v>0</v>
      </c>
      <c r="O1047" s="18">
        <v>0</v>
      </c>
      <c r="P1047" s="18"/>
      <c r="Q1047" s="18">
        <v>0</v>
      </c>
      <c r="R1047" s="18">
        <v>0</v>
      </c>
      <c r="S1047" s="42"/>
      <c r="T1047" s="18">
        <v>21</v>
      </c>
      <c r="U1047" s="42"/>
      <c r="V1047" s="18">
        <f>+V1031+D1047+F1047+G1047+I1047</f>
        <v>123928</v>
      </c>
      <c r="W1047" s="18">
        <f>+W1031+J1047+K1047+L1047+M1047+N1047+O1047+Q1047+R1047+T1047</f>
        <v>674563</v>
      </c>
      <c r="X1047" s="36">
        <f>+V1047-W1047</f>
        <v>-550635</v>
      </c>
    </row>
    <row r="1048" spans="1:24" ht="15">
      <c r="A1048" s="6" t="s">
        <v>41</v>
      </c>
      <c r="B1048" s="41"/>
      <c r="C1048" s="40"/>
      <c r="D1048" s="18"/>
      <c r="E1048" s="18"/>
      <c r="F1048" s="18"/>
      <c r="G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42"/>
      <c r="T1048" s="18"/>
      <c r="U1048" s="42"/>
      <c r="V1048" s="18"/>
      <c r="W1048" s="54"/>
      <c r="X1048" s="36"/>
    </row>
    <row r="1049" spans="1:24" ht="15">
      <c r="A1049" s="4">
        <f>+A1047+1</f>
        <v>34</v>
      </c>
      <c r="B1049" s="5" t="s">
        <v>42</v>
      </c>
      <c r="C1049" s="22" t="s">
        <v>38</v>
      </c>
      <c r="D1049" s="18">
        <v>0</v>
      </c>
      <c r="E1049" s="18"/>
      <c r="F1049" s="18">
        <v>0</v>
      </c>
      <c r="G1049" s="18">
        <v>0</v>
      </c>
      <c r="I1049" s="18">
        <v>0</v>
      </c>
      <c r="J1049" s="18">
        <v>0</v>
      </c>
      <c r="K1049" s="18">
        <v>0</v>
      </c>
      <c r="L1049" s="18"/>
      <c r="M1049" s="18">
        <v>0</v>
      </c>
      <c r="N1049" s="18">
        <v>0</v>
      </c>
      <c r="O1049" s="18">
        <v>0</v>
      </c>
      <c r="P1049" s="18"/>
      <c r="Q1049" s="18">
        <v>0</v>
      </c>
      <c r="R1049" s="18">
        <v>0</v>
      </c>
      <c r="S1049" s="42"/>
      <c r="T1049" s="18">
        <v>0</v>
      </c>
      <c r="U1049" s="42"/>
      <c r="V1049" s="18">
        <f>+V1033+D1049+F1049+G1049+I1049</f>
        <v>1228075</v>
      </c>
      <c r="W1049" s="18">
        <f>+W1033+J1049+K1049+L1049+M1049+N1049+O1049+Q1049+R1049+T1049</f>
        <v>434354</v>
      </c>
      <c r="X1049" s="18">
        <f>+V1049-W1049</f>
        <v>793721</v>
      </c>
    </row>
    <row r="1050" spans="1:24" ht="15">
      <c r="A1050" s="4">
        <f>+A1049+1</f>
        <v>35</v>
      </c>
      <c r="B1050" s="5" t="s">
        <v>43</v>
      </c>
      <c r="C1050" s="11"/>
      <c r="D1050" s="18">
        <v>0</v>
      </c>
      <c r="E1050" s="18"/>
      <c r="F1050" s="18">
        <v>0</v>
      </c>
      <c r="G1050" s="18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8">
        <v>0</v>
      </c>
      <c r="P1050" s="18"/>
      <c r="Q1050" s="18">
        <v>0</v>
      </c>
      <c r="R1050" s="18">
        <v>0</v>
      </c>
      <c r="S1050" s="42"/>
      <c r="T1050" s="18">
        <v>0</v>
      </c>
      <c r="U1050" s="42"/>
      <c r="V1050" s="18">
        <f>+V1034+D1050+F1050+G1050+I1050</f>
        <v>0</v>
      </c>
      <c r="W1050" s="18">
        <f>+W1034+J1050+K1050+L1050+M1050+N1050+O1050+Q1050+R1050+T1050</f>
        <v>0</v>
      </c>
      <c r="X1050" s="18">
        <f>+V1050-W1050</f>
        <v>0</v>
      </c>
    </row>
    <row r="1051" spans="1:24" ht="26.25">
      <c r="A1051" s="4">
        <f>+A1050+1</f>
        <v>36</v>
      </c>
      <c r="B1051" s="24" t="s">
        <v>79</v>
      </c>
      <c r="C1051" s="11"/>
      <c r="D1051" s="18">
        <f>+D1049-D1050</f>
        <v>0</v>
      </c>
      <c r="E1051" s="18"/>
      <c r="F1051" s="18">
        <f>+F1049-F1050</f>
        <v>0</v>
      </c>
      <c r="G1051" s="18">
        <f>+G1049-G1050</f>
        <v>0</v>
      </c>
      <c r="I1051" s="18">
        <f aca="true" t="shared" si="133" ref="I1051:O1051">+I1049-I1050</f>
        <v>0</v>
      </c>
      <c r="J1051" s="18">
        <f t="shared" si="133"/>
        <v>0</v>
      </c>
      <c r="K1051" s="18">
        <f t="shared" si="133"/>
        <v>0</v>
      </c>
      <c r="L1051" s="18">
        <f t="shared" si="133"/>
        <v>0</v>
      </c>
      <c r="M1051" s="18">
        <f t="shared" si="133"/>
        <v>0</v>
      </c>
      <c r="N1051" s="18">
        <f t="shared" si="133"/>
        <v>0</v>
      </c>
      <c r="O1051" s="18">
        <f t="shared" si="133"/>
        <v>0</v>
      </c>
      <c r="P1051" s="18"/>
      <c r="Q1051" s="18">
        <f>+Q1049-Q1050</f>
        <v>0</v>
      </c>
      <c r="R1051" s="18">
        <f>+R1049-R1050</f>
        <v>0</v>
      </c>
      <c r="S1051" s="42"/>
      <c r="T1051" s="18">
        <f>+T1049-T1050</f>
        <v>0</v>
      </c>
      <c r="U1051" s="42"/>
      <c r="V1051" s="55">
        <f>+V1049-V1050</f>
        <v>1228075</v>
      </c>
      <c r="W1051" s="55">
        <f>+W1049-W1050</f>
        <v>434354</v>
      </c>
      <c r="X1051" s="31">
        <f>+X1049-X1050</f>
        <v>793721</v>
      </c>
    </row>
    <row r="1052" spans="1:24" ht="28.5">
      <c r="A1052" s="4">
        <f>+A1051+1</f>
        <v>37</v>
      </c>
      <c r="B1052" s="88" t="s">
        <v>181</v>
      </c>
      <c r="C1052" s="11"/>
      <c r="D1052" s="18">
        <v>0</v>
      </c>
      <c r="E1052" s="18"/>
      <c r="F1052" s="18">
        <v>0</v>
      </c>
      <c r="G1052" s="18">
        <v>0</v>
      </c>
      <c r="I1052" s="18">
        <v>0</v>
      </c>
      <c r="J1052" s="18">
        <v>0</v>
      </c>
      <c r="K1052" s="18">
        <v>0</v>
      </c>
      <c r="L1052" s="18">
        <v>0</v>
      </c>
      <c r="M1052" s="18">
        <v>0</v>
      </c>
      <c r="N1052" s="18">
        <v>0</v>
      </c>
      <c r="O1052" s="18">
        <v>0</v>
      </c>
      <c r="P1052" s="18"/>
      <c r="Q1052" s="18">
        <v>0</v>
      </c>
      <c r="R1052" s="18">
        <v>0</v>
      </c>
      <c r="S1052" s="42"/>
      <c r="T1052" s="18">
        <v>0</v>
      </c>
      <c r="U1052" s="42"/>
      <c r="V1052" s="18">
        <f>+V1036+D1052+F1052+G1052+I1052</f>
        <v>0</v>
      </c>
      <c r="W1052" s="18">
        <f>+W1036+J1052+K1052+L1052+M1052+N1052+O1052+Q1052+R1052+T1052</f>
        <v>0</v>
      </c>
      <c r="X1052" s="18">
        <f>+V1052-W1052</f>
        <v>0</v>
      </c>
    </row>
    <row r="1053" spans="1:24" ht="15">
      <c r="A1053" s="4">
        <f>+A1052+1</f>
        <v>38</v>
      </c>
      <c r="B1053" s="24" t="s">
        <v>46</v>
      </c>
      <c r="C1053" s="11" t="s">
        <v>47</v>
      </c>
      <c r="D1053" s="18">
        <f>+D1045+D1046+D1051+D1052+D1047</f>
        <v>-27762</v>
      </c>
      <c r="E1053" s="18"/>
      <c r="F1053" s="18">
        <f>+F1045+F1046+F1051+F1052+F1047</f>
        <v>892</v>
      </c>
      <c r="G1053" s="18">
        <f>+G1045+G1046+G1051+G1052+G1047</f>
        <v>0</v>
      </c>
      <c r="I1053" s="18">
        <f aca="true" t="shared" si="134" ref="I1053:O1053">+I1045+I1046+I1051+I1052+I1047</f>
        <v>0</v>
      </c>
      <c r="J1053" s="18">
        <f t="shared" si="134"/>
        <v>168</v>
      </c>
      <c r="K1053" s="18">
        <f t="shared" si="134"/>
        <v>0</v>
      </c>
      <c r="L1053" s="18">
        <f t="shared" si="134"/>
        <v>0</v>
      </c>
      <c r="M1053" s="18">
        <f t="shared" si="134"/>
        <v>0</v>
      </c>
      <c r="N1053" s="18">
        <f t="shared" si="134"/>
        <v>0</v>
      </c>
      <c r="O1053" s="18">
        <f t="shared" si="134"/>
        <v>0</v>
      </c>
      <c r="P1053" s="18"/>
      <c r="Q1053" s="18">
        <f>+Q1045+Q1046+Q1051+Q1052+Q1047</f>
        <v>0</v>
      </c>
      <c r="R1053" s="18">
        <f>+R1045+R1046+R1051+R1052+R1047</f>
        <v>0</v>
      </c>
      <c r="S1053" s="42"/>
      <c r="T1053" s="18">
        <f>+T1045+T1046+T1051+T1052+T1047</f>
        <v>21</v>
      </c>
      <c r="U1053" s="42"/>
      <c r="V1053" s="18">
        <f>+V1045+V1046+V1051+V1052+V1047</f>
        <v>1362291</v>
      </c>
      <c r="W1053" s="18">
        <f>+W1045+W1046+W1051+W1052+W1047</f>
        <v>1110642</v>
      </c>
      <c r="X1053" s="18">
        <f>+X1045+X1046+X1051+X1052+X1047</f>
        <v>251649</v>
      </c>
    </row>
    <row r="1054" spans="1:24" ht="15">
      <c r="A1054" s="4"/>
      <c r="B1054" s="24"/>
      <c r="C1054" s="11"/>
      <c r="D1054" s="18"/>
      <c r="E1054" s="18"/>
      <c r="F1054" s="18"/>
      <c r="G1054" s="18"/>
      <c r="N1054" s="42"/>
      <c r="O1054" s="42"/>
      <c r="P1054" s="42"/>
      <c r="Q1054" s="42"/>
      <c r="R1054" s="42"/>
      <c r="S1054" s="42"/>
      <c r="T1054" s="42"/>
      <c r="U1054" s="42"/>
      <c r="V1054" s="18"/>
      <c r="W1054" s="18"/>
      <c r="X1054" s="18"/>
    </row>
    <row r="1055" spans="1:24" ht="15">
      <c r="A1055" s="4"/>
      <c r="B1055" s="24"/>
      <c r="C1055" s="11"/>
      <c r="D1055" s="18"/>
      <c r="E1055" s="18"/>
      <c r="F1055" s="18"/>
      <c r="G1055" s="18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18"/>
      <c r="W1055" s="18"/>
      <c r="X1055" s="18"/>
    </row>
    <row r="1056" spans="1:24" ht="15">
      <c r="A1056" s="4"/>
      <c r="B1056" s="24"/>
      <c r="C1056" s="11"/>
      <c r="D1056" s="18"/>
      <c r="E1056" s="18"/>
      <c r="F1056" s="18"/>
      <c r="G1056" s="18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18"/>
      <c r="W1056" s="18"/>
      <c r="X1056" s="18"/>
    </row>
    <row r="1057" spans="1:24" ht="15">
      <c r="A1057" s="4"/>
      <c r="B1057" s="24"/>
      <c r="C1057" s="11"/>
      <c r="D1057" s="18"/>
      <c r="E1057" s="18"/>
      <c r="F1057" s="18"/>
      <c r="G1057" s="18"/>
      <c r="H1057" s="56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18"/>
      <c r="W1057" s="18"/>
      <c r="X1057" s="18"/>
    </row>
    <row r="1058" spans="1:24" ht="15">
      <c r="A1058" s="4"/>
      <c r="B1058" s="24"/>
      <c r="C1058" s="11"/>
      <c r="D1058" s="18"/>
      <c r="E1058" s="18"/>
      <c r="F1058" s="18"/>
      <c r="G1058" s="18"/>
      <c r="H1058" s="56"/>
      <c r="I1058" s="57" t="s">
        <v>135</v>
      </c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18"/>
      <c r="W1058" s="18"/>
      <c r="X1058" s="18"/>
    </row>
    <row r="1059" spans="1:24" ht="15">
      <c r="A1059" s="4"/>
      <c r="B1059" s="24"/>
      <c r="C1059" s="11"/>
      <c r="D1059" s="18"/>
      <c r="E1059" s="18"/>
      <c r="F1059" s="18"/>
      <c r="G1059" s="18"/>
      <c r="H1059" s="56"/>
      <c r="I1059" s="58"/>
      <c r="L1059" s="42"/>
      <c r="T1059" s="42"/>
      <c r="U1059" s="42"/>
      <c r="V1059" s="18"/>
      <c r="W1059" s="18"/>
      <c r="X1059" s="18"/>
    </row>
    <row r="1060" spans="1:24" ht="15">
      <c r="A1060" s="4"/>
      <c r="B1060" s="24"/>
      <c r="C1060" s="11"/>
      <c r="D1060" s="18"/>
      <c r="E1060" s="18"/>
      <c r="F1060" s="18"/>
      <c r="G1060" s="18"/>
      <c r="H1060" s="56"/>
      <c r="I1060" s="59" t="s">
        <v>136</v>
      </c>
      <c r="L1060" s="74">
        <v>13433427</v>
      </c>
      <c r="T1060" s="42"/>
      <c r="U1060" s="42"/>
      <c r="V1060" s="18"/>
      <c r="W1060" s="18"/>
      <c r="X1060" s="18"/>
    </row>
    <row r="1061" spans="1:24" ht="15">
      <c r="A1061" s="4"/>
      <c r="B1061" s="24"/>
      <c r="C1061" s="11"/>
      <c r="D1061" s="18"/>
      <c r="E1061" s="18"/>
      <c r="F1061" s="18"/>
      <c r="G1061" s="18"/>
      <c r="H1061" s="56"/>
      <c r="I1061" s="59"/>
      <c r="L1061" s="18"/>
      <c r="T1061" s="42"/>
      <c r="U1061" s="42"/>
      <c r="V1061" s="18"/>
      <c r="W1061" s="18"/>
      <c r="X1061" s="18"/>
    </row>
    <row r="1062" spans="1:24" ht="15">
      <c r="A1062" s="4"/>
      <c r="B1062" s="24"/>
      <c r="C1062" s="11"/>
      <c r="D1062" s="44" t="s">
        <v>137</v>
      </c>
      <c r="E1062" s="18"/>
      <c r="F1062" s="10" t="s">
        <v>138</v>
      </c>
      <c r="G1062" s="44" t="s">
        <v>24</v>
      </c>
      <c r="H1062" s="56"/>
      <c r="I1062" s="59" t="s">
        <v>139</v>
      </c>
      <c r="L1062" s="27">
        <v>3894330</v>
      </c>
      <c r="N1062" s="6" t="s">
        <v>137</v>
      </c>
      <c r="O1062" s="6" t="s">
        <v>137</v>
      </c>
      <c r="P1062" s="42"/>
      <c r="Q1062" s="6" t="s">
        <v>138</v>
      </c>
      <c r="R1062" s="6" t="s">
        <v>138</v>
      </c>
      <c r="S1062" s="6"/>
      <c r="T1062" s="42"/>
      <c r="U1062" s="42"/>
      <c r="V1062" s="18"/>
      <c r="W1062" s="18"/>
      <c r="X1062" s="18"/>
    </row>
    <row r="1063" spans="1:24" ht="15">
      <c r="A1063" s="4"/>
      <c r="B1063" s="24"/>
      <c r="C1063" s="11"/>
      <c r="D1063" s="18"/>
      <c r="E1063" s="18"/>
      <c r="F1063" s="18"/>
      <c r="G1063" s="18"/>
      <c r="H1063" s="56"/>
      <c r="I1063" s="59"/>
      <c r="L1063" s="18"/>
      <c r="N1063" s="8" t="s">
        <v>140</v>
      </c>
      <c r="O1063" s="49" t="s">
        <v>141</v>
      </c>
      <c r="P1063" s="42"/>
      <c r="Q1063" s="8" t="s">
        <v>140</v>
      </c>
      <c r="R1063" s="49" t="s">
        <v>141</v>
      </c>
      <c r="S1063" s="49"/>
      <c r="T1063" s="42"/>
      <c r="U1063" s="42"/>
      <c r="V1063" s="18"/>
      <c r="W1063" s="18"/>
      <c r="X1063" s="18"/>
    </row>
    <row r="1064" spans="1:24" ht="15">
      <c r="A1064" s="4">
        <f>+A1052+1</f>
        <v>38</v>
      </c>
      <c r="B1064" s="5" t="s">
        <v>36</v>
      </c>
      <c r="C1064" s="17" t="s">
        <v>37</v>
      </c>
      <c r="D1064" s="31">
        <f>+V1005+V1043</f>
        <v>7358213.67</v>
      </c>
      <c r="E1064" s="18"/>
      <c r="F1064" s="31">
        <f>+W1005+W1043</f>
        <v>5392388</v>
      </c>
      <c r="G1064" s="18">
        <f>+D1064-F1064</f>
        <v>1965825.67</v>
      </c>
      <c r="H1064" s="56"/>
      <c r="I1064" s="59" t="s">
        <v>142</v>
      </c>
      <c r="J1064" s="18"/>
      <c r="K1064" s="18"/>
      <c r="L1064" s="36">
        <v>7245342</v>
      </c>
      <c r="N1064" s="60"/>
      <c r="O1064" s="6"/>
      <c r="P1064" s="42"/>
      <c r="Q1064" s="61"/>
      <c r="R1064" s="61"/>
      <c r="S1064" s="61"/>
      <c r="T1064" s="42"/>
      <c r="U1064" s="42"/>
      <c r="V1064" s="18"/>
      <c r="W1064" s="18"/>
      <c r="X1064" s="18"/>
    </row>
    <row r="1065" spans="1:21" ht="15">
      <c r="A1065" s="4">
        <f>+A1064+1</f>
        <v>39</v>
      </c>
      <c r="B1065" s="5" t="s">
        <v>36</v>
      </c>
      <c r="C1065" s="22" t="s">
        <v>38</v>
      </c>
      <c r="D1065" s="31">
        <f>+V1006+V1044</f>
        <v>7346039</v>
      </c>
      <c r="E1065" s="18"/>
      <c r="F1065" s="31">
        <f>+W1006+W1044</f>
        <v>5365395</v>
      </c>
      <c r="G1065" s="18">
        <f>+D1065-F1065</f>
        <v>1980644</v>
      </c>
      <c r="H1065" s="56"/>
      <c r="I1065" s="58"/>
      <c r="J1065" s="18"/>
      <c r="K1065" s="18"/>
      <c r="L1065" s="60"/>
      <c r="N1065" s="62">
        <f>+D1066</f>
        <v>12174.669999999925</v>
      </c>
      <c r="O1065" s="63">
        <f>+D1072</f>
        <v>11395529.8</v>
      </c>
      <c r="P1065" s="42"/>
      <c r="Q1065" s="31">
        <f>+F972</f>
        <v>25268</v>
      </c>
      <c r="R1065" s="31">
        <f>+F974</f>
        <v>0</v>
      </c>
      <c r="S1065" s="31"/>
      <c r="T1065" s="42"/>
      <c r="U1065" s="42"/>
    </row>
    <row r="1066" spans="1:25" ht="15">
      <c r="A1066" s="4">
        <f>+A1065+1</f>
        <v>40</v>
      </c>
      <c r="B1066" s="24" t="s">
        <v>46</v>
      </c>
      <c r="C1066" s="40" t="s">
        <v>78</v>
      </c>
      <c r="D1066" s="26">
        <f>+D1064-D1065</f>
        <v>12174.669999999925</v>
      </c>
      <c r="E1066" s="18"/>
      <c r="F1066" s="26">
        <f>+F1064-F1065</f>
        <v>26993</v>
      </c>
      <c r="G1066" s="18">
        <f>+G1064-G1065</f>
        <v>-14818.330000000075</v>
      </c>
      <c r="H1066" s="56"/>
      <c r="I1066" s="58" t="s">
        <v>143</v>
      </c>
      <c r="J1066" s="18"/>
      <c r="K1066" s="18"/>
      <c r="L1066">
        <v>0</v>
      </c>
      <c r="N1066" s="62">
        <f>+D1067</f>
        <v>0</v>
      </c>
      <c r="O1066" s="63">
        <f>+D1073</f>
        <v>0</v>
      </c>
      <c r="P1066" s="42"/>
      <c r="Q1066" s="31">
        <f>+F973</f>
        <v>0</v>
      </c>
      <c r="R1066" s="31">
        <f>+F978</f>
        <v>7220074</v>
      </c>
      <c r="S1066" s="31"/>
      <c r="U1066" s="18"/>
      <c r="V1066" s="10" t="s">
        <v>20</v>
      </c>
      <c r="W1066" s="10" t="s">
        <v>21</v>
      </c>
      <c r="X1066" s="10" t="s">
        <v>22</v>
      </c>
      <c r="Y1066" s="18"/>
    </row>
    <row r="1067" spans="1:25" ht="28.5">
      <c r="A1067" s="4">
        <f>+A1066+1</f>
        <v>41</v>
      </c>
      <c r="B1067" s="88" t="s">
        <v>182</v>
      </c>
      <c r="C1067" s="11"/>
      <c r="D1067" s="26">
        <f>+V1008+V1046</f>
        <v>0</v>
      </c>
      <c r="E1067" s="26"/>
      <c r="F1067" s="26">
        <f>+W1008+W1046</f>
        <v>0</v>
      </c>
      <c r="G1067" s="18">
        <f>+D1067-F1067</f>
        <v>0</v>
      </c>
      <c r="H1067" s="56"/>
      <c r="I1067" s="58"/>
      <c r="J1067" s="18"/>
      <c r="K1067" s="18"/>
      <c r="L1067" s="60" t="s">
        <v>144</v>
      </c>
      <c r="N1067" s="62">
        <f>+F1066</f>
        <v>26993</v>
      </c>
      <c r="O1067" s="63">
        <f>+F1072</f>
        <v>7654428</v>
      </c>
      <c r="P1067" s="42"/>
      <c r="R1067" s="31">
        <f>+F979</f>
        <v>0</v>
      </c>
      <c r="S1067" s="31"/>
      <c r="U1067" s="18"/>
      <c r="Y1067" s="18"/>
    </row>
    <row r="1068" spans="1:25" ht="24.75">
      <c r="A1068" s="4">
        <f>+A1067+1</f>
        <v>42</v>
      </c>
      <c r="B1068" s="89" t="s">
        <v>39</v>
      </c>
      <c r="C1068" s="40"/>
      <c r="D1068" s="30">
        <f>+V1009+V1047</f>
        <v>-757964</v>
      </c>
      <c r="E1068" s="30"/>
      <c r="F1068" s="30">
        <f>+W1009+W1047</f>
        <v>674563</v>
      </c>
      <c r="G1068" s="18">
        <f>+D1068-F1068</f>
        <v>-1432527</v>
      </c>
      <c r="H1068" s="56"/>
      <c r="I1068" s="64" t="s">
        <v>145</v>
      </c>
      <c r="J1068" s="18"/>
      <c r="K1068" s="18"/>
      <c r="L1068" s="31">
        <f>+L1060-L1062-L1064-L1066</f>
        <v>2293755</v>
      </c>
      <c r="N1068" s="62">
        <f>+F1067</f>
        <v>0</v>
      </c>
      <c r="O1068" s="63">
        <f>+F1073</f>
        <v>0</v>
      </c>
      <c r="P1068" s="42"/>
      <c r="Q1068" s="31"/>
      <c r="R1068" s="31"/>
      <c r="S1068" s="31"/>
      <c r="U1068" s="65"/>
      <c r="V1068" s="66"/>
      <c r="W1068" s="66"/>
      <c r="X1068" s="65"/>
      <c r="Y1068" s="65"/>
    </row>
    <row r="1069" spans="1:25" ht="15">
      <c r="A1069" s="6" t="s">
        <v>41</v>
      </c>
      <c r="B1069" s="41"/>
      <c r="C1069" s="40"/>
      <c r="D1069" s="18"/>
      <c r="E1069" s="18"/>
      <c r="F1069" s="18"/>
      <c r="G1069" s="18"/>
      <c r="H1069" s="56"/>
      <c r="I1069" s="58"/>
      <c r="J1069" s="18"/>
      <c r="K1069" s="18"/>
      <c r="N1069" s="62">
        <f>+F972</f>
        <v>25268</v>
      </c>
      <c r="O1069" s="63">
        <f>+F978</f>
        <v>7220074</v>
      </c>
      <c r="P1069" s="42"/>
      <c r="Q1069" s="31"/>
      <c r="U1069" s="65"/>
      <c r="V1069" s="67"/>
      <c r="W1069" s="67"/>
      <c r="X1069" s="68"/>
      <c r="Y1069" s="65"/>
    </row>
    <row r="1070" spans="1:25" ht="15">
      <c r="A1070" s="4">
        <f>+A1068+1</f>
        <v>43</v>
      </c>
      <c r="B1070" s="5" t="s">
        <v>42</v>
      </c>
      <c r="C1070" s="22" t="s">
        <v>38</v>
      </c>
      <c r="D1070" s="31">
        <f>+V1011+V1049</f>
        <v>11400785.8</v>
      </c>
      <c r="E1070" s="18"/>
      <c r="F1070" s="31">
        <f>+W1011+W1049</f>
        <v>7658159</v>
      </c>
      <c r="G1070" s="18">
        <f>+D1070-F1070</f>
        <v>3742626.8000000007</v>
      </c>
      <c r="H1070" s="56"/>
      <c r="I1070" s="59" t="s">
        <v>22</v>
      </c>
      <c r="J1070" s="18"/>
      <c r="K1070" s="18"/>
      <c r="L1070" s="30">
        <f>+X1075</f>
        <v>2293756.4700000007</v>
      </c>
      <c r="N1070" s="62"/>
      <c r="O1070" s="63">
        <f>+D1068</f>
        <v>-757964</v>
      </c>
      <c r="P1070" s="42"/>
      <c r="Q1070" s="31"/>
      <c r="R1070" s="31"/>
      <c r="S1070" s="31"/>
      <c r="T1070" s="69" t="s">
        <v>78</v>
      </c>
      <c r="U1070" s="65"/>
      <c r="V1070" s="26">
        <f>+D1066+D1067-F1066-F1067+F972</f>
        <v>10449.669999999925</v>
      </c>
      <c r="W1070" s="26">
        <f>+F972+F973</f>
        <v>25268</v>
      </c>
      <c r="X1070" s="26">
        <f>+V1070-W1070</f>
        <v>-14818.330000000075</v>
      </c>
      <c r="Y1070" s="65"/>
    </row>
    <row r="1071" spans="1:25" ht="15">
      <c r="A1071" s="4">
        <f>+A1070+1</f>
        <v>44</v>
      </c>
      <c r="B1071" s="5" t="s">
        <v>43</v>
      </c>
      <c r="C1071" s="11"/>
      <c r="D1071" s="31">
        <f>+V1012+V1050</f>
        <v>5256</v>
      </c>
      <c r="E1071" s="18"/>
      <c r="F1071" s="31">
        <f>+W1012+W1050</f>
        <v>3731</v>
      </c>
      <c r="G1071" s="18">
        <f>+D1071-F1071</f>
        <v>1525</v>
      </c>
      <c r="H1071" s="56"/>
      <c r="I1071" s="59"/>
      <c r="J1071" s="18"/>
      <c r="K1071" s="18"/>
      <c r="L1071" s="60" t="s">
        <v>144</v>
      </c>
      <c r="O1071" s="63">
        <f>+F1068</f>
        <v>674563</v>
      </c>
      <c r="P1071" s="42"/>
      <c r="Q1071" s="31"/>
      <c r="R1071" s="31"/>
      <c r="S1071" s="31"/>
      <c r="T1071" s="11" t="s">
        <v>146</v>
      </c>
      <c r="U1071" s="65"/>
      <c r="V1071" s="30">
        <f>+D1072+D1073-F1072-F1073+F978+D1068-F1068+F974</f>
        <v>9528648.8</v>
      </c>
      <c r="W1071" s="30">
        <f>+F974+F978+F979</f>
        <v>7220074</v>
      </c>
      <c r="X1071" s="30">
        <f>+V1071-W1071</f>
        <v>2308574.8000000007</v>
      </c>
      <c r="Y1071" s="65"/>
    </row>
    <row r="1072" spans="1:25" ht="26.25">
      <c r="A1072" s="4">
        <f>+A1071+1</f>
        <v>45</v>
      </c>
      <c r="B1072" s="24" t="s">
        <v>79</v>
      </c>
      <c r="C1072" s="11"/>
      <c r="D1072" s="30">
        <f>+D1070-D1071</f>
        <v>11395529.8</v>
      </c>
      <c r="E1072" s="18"/>
      <c r="F1072" s="30">
        <f>+F1070-F1071</f>
        <v>7654428</v>
      </c>
      <c r="G1072" s="18">
        <f>+G1070-G1071</f>
        <v>3741101.8000000007</v>
      </c>
      <c r="H1072" s="56"/>
      <c r="I1072" s="58"/>
      <c r="J1072" s="18"/>
      <c r="K1072" s="18"/>
      <c r="N1072" s="62"/>
      <c r="O1072" s="63">
        <f>+F974</f>
        <v>0</v>
      </c>
      <c r="P1072" s="42"/>
      <c r="Q1072" s="31"/>
      <c r="R1072" s="31"/>
      <c r="S1072" s="31"/>
      <c r="T1072" s="11"/>
      <c r="U1072" s="65"/>
      <c r="V1072" s="30"/>
      <c r="W1072" s="30"/>
      <c r="X1072" s="30"/>
      <c r="Y1072" s="65"/>
    </row>
    <row r="1073" spans="1:25" ht="28.5">
      <c r="A1073" s="4">
        <f>+A1072+1</f>
        <v>46</v>
      </c>
      <c r="B1073" s="88" t="s">
        <v>181</v>
      </c>
      <c r="C1073" s="11"/>
      <c r="D1073" s="30">
        <f>+V1014+V1052</f>
        <v>0</v>
      </c>
      <c r="E1073" s="30"/>
      <c r="F1073" s="30">
        <f>+W1014+W1052</f>
        <v>0</v>
      </c>
      <c r="G1073" s="18">
        <f>+D1073-F1073</f>
        <v>0</v>
      </c>
      <c r="H1073" s="56"/>
      <c r="N1073" s="62"/>
      <c r="O1073" s="62"/>
      <c r="P1073" s="42"/>
      <c r="Q1073" s="31"/>
      <c r="R1073" s="31"/>
      <c r="S1073" s="31"/>
      <c r="T1073" s="11"/>
      <c r="U1073" s="65"/>
      <c r="V1073" s="30"/>
      <c r="W1073" s="30"/>
      <c r="X1073" s="30"/>
      <c r="Y1073" s="65"/>
    </row>
    <row r="1074" spans="1:25" ht="15">
      <c r="A1074" s="4">
        <f>+A1073+1</f>
        <v>47</v>
      </c>
      <c r="B1074" s="24" t="s">
        <v>46</v>
      </c>
      <c r="C1074" s="11" t="s">
        <v>47</v>
      </c>
      <c r="D1074" s="18">
        <f>+D1066+D1067+D1072+D1073+D1068</f>
        <v>10649740.47</v>
      </c>
      <c r="E1074" s="18"/>
      <c r="F1074" s="18">
        <f>+F1066+F1067+F1072+F1073+F1068</f>
        <v>8355984</v>
      </c>
      <c r="G1074" s="18">
        <f>+G1066+G1067+G1072+G1073+G1068</f>
        <v>2293756.4700000007</v>
      </c>
      <c r="H1074" s="56"/>
      <c r="I1074" s="59" t="s">
        <v>147</v>
      </c>
      <c r="J1074" s="18"/>
      <c r="K1074" s="18"/>
      <c r="L1074" s="36">
        <f>+L1068-L1070</f>
        <v>-1.4700000006705523</v>
      </c>
      <c r="N1074" s="70">
        <f>+N1065+N1066-N1067-N1068+N1069</f>
        <v>10449.669999999925</v>
      </c>
      <c r="O1074" s="71">
        <f>+O1065+O1066-O1067-O1068+O1069+O1070-O1071+O1072</f>
        <v>9528648.8</v>
      </c>
      <c r="P1074" s="42"/>
      <c r="Q1074" s="26">
        <f>SUM(Q1065:Q1066)</f>
        <v>25268</v>
      </c>
      <c r="R1074" s="30">
        <f>SUM(R1065:R1068)</f>
        <v>7220074</v>
      </c>
      <c r="S1074" s="30"/>
      <c r="T1074" s="11"/>
      <c r="U1074" s="65"/>
      <c r="V1074" s="30"/>
      <c r="W1074" s="30"/>
      <c r="X1074" s="30"/>
      <c r="Y1074" s="65"/>
    </row>
    <row r="1075" spans="1:25" ht="15">
      <c r="A1075" s="4"/>
      <c r="B1075" s="24"/>
      <c r="C1075" s="11"/>
      <c r="D1075" s="18"/>
      <c r="E1075" s="18"/>
      <c r="F1075" s="18"/>
      <c r="G1075" s="18"/>
      <c r="H1075" s="56"/>
      <c r="L1075" s="60" t="s">
        <v>148</v>
      </c>
      <c r="M1075" s="42"/>
      <c r="N1075" s="42"/>
      <c r="O1075" s="42"/>
      <c r="P1075" s="42"/>
      <c r="Q1075" s="42"/>
      <c r="R1075" s="42"/>
      <c r="S1075" s="42"/>
      <c r="T1075" s="10" t="s">
        <v>22</v>
      </c>
      <c r="U1075" s="65"/>
      <c r="V1075" s="36"/>
      <c r="W1075" s="36"/>
      <c r="X1075" s="36">
        <f>+X1070+X1071</f>
        <v>2293756.4700000007</v>
      </c>
      <c r="Y1075" s="65"/>
    </row>
    <row r="1076" spans="1:25" ht="15">
      <c r="A1076" s="1"/>
      <c r="B1076" s="2"/>
      <c r="C1076" s="2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</row>
    <row r="1077" spans="1:6" ht="15">
      <c r="A1077" s="4"/>
      <c r="B1077"/>
      <c r="F1077"/>
    </row>
    <row r="1078" spans="1:6" ht="15">
      <c r="A1078" s="4"/>
      <c r="B1078"/>
      <c r="F1078"/>
    </row>
    <row r="1079" spans="1:6" ht="15">
      <c r="A1079" s="4"/>
      <c r="B1079"/>
      <c r="F1079"/>
    </row>
    <row r="1080" spans="1:6" ht="15">
      <c r="A1080" s="4"/>
      <c r="B1080"/>
      <c r="F1080"/>
    </row>
    <row r="1081" spans="1:25" ht="15">
      <c r="A1081" s="1"/>
      <c r="B1081" s="2"/>
      <c r="C1081" s="2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</row>
    <row r="1082" spans="1:6" ht="15">
      <c r="A1082" s="4" t="s">
        <v>0</v>
      </c>
      <c r="B1082" s="5"/>
      <c r="C1082" s="6" t="s">
        <v>1</v>
      </c>
      <c r="F1082"/>
    </row>
    <row r="1083" spans="1:6" ht="15">
      <c r="A1083" s="4"/>
      <c r="B1083" s="5"/>
      <c r="C1083" s="6" t="s">
        <v>2</v>
      </c>
      <c r="F1083"/>
    </row>
    <row r="1084" spans="1:6" ht="15">
      <c r="A1084" s="4"/>
      <c r="B1084" s="5"/>
      <c r="C1084" s="7" t="s">
        <v>160</v>
      </c>
      <c r="F1084"/>
    </row>
    <row r="1085" spans="1:6" ht="15">
      <c r="A1085" s="4"/>
      <c r="B1085" s="5"/>
      <c r="C1085" s="8"/>
      <c r="F1085"/>
    </row>
    <row r="1086" spans="1:25" ht="15">
      <c r="A1086" s="4"/>
      <c r="B1086" s="5"/>
      <c r="C1086" s="9"/>
      <c r="D1086" s="10" t="s">
        <v>4</v>
      </c>
      <c r="E1086" s="10"/>
      <c r="F1086" s="10" t="s">
        <v>5</v>
      </c>
      <c r="G1086" s="10" t="s">
        <v>6</v>
      </c>
      <c r="H1086" s="10"/>
      <c r="I1086" s="10" t="s">
        <v>7</v>
      </c>
      <c r="J1086" s="10" t="s">
        <v>8</v>
      </c>
      <c r="K1086" s="10" t="s">
        <v>9</v>
      </c>
      <c r="L1086" s="10" t="s">
        <v>10</v>
      </c>
      <c r="M1086" s="10" t="s">
        <v>11</v>
      </c>
      <c r="N1086" s="10" t="s">
        <v>12</v>
      </c>
      <c r="O1086" s="10" t="s">
        <v>13</v>
      </c>
      <c r="P1086" s="10"/>
      <c r="Q1086" s="10" t="s">
        <v>14</v>
      </c>
      <c r="R1086" s="10" t="s">
        <v>15</v>
      </c>
      <c r="S1086" s="10"/>
      <c r="T1086" s="10" t="s">
        <v>16</v>
      </c>
      <c r="U1086" s="10"/>
      <c r="V1086" s="10" t="s">
        <v>17</v>
      </c>
      <c r="W1086" s="10" t="s">
        <v>18</v>
      </c>
      <c r="X1086" s="10" t="s">
        <v>19</v>
      </c>
      <c r="Y1086" s="10"/>
    </row>
    <row r="1087" spans="1:24" ht="15">
      <c r="A1087" s="4"/>
      <c r="B1087" s="87" t="s">
        <v>174</v>
      </c>
      <c r="C1087" s="5"/>
      <c r="D1087" s="10" t="s">
        <v>20</v>
      </c>
      <c r="E1087" s="10"/>
      <c r="F1087" s="10" t="s">
        <v>21</v>
      </c>
      <c r="G1087" s="10" t="s">
        <v>22</v>
      </c>
      <c r="I1087" s="10" t="s">
        <v>20</v>
      </c>
      <c r="J1087" s="10" t="s">
        <v>20</v>
      </c>
      <c r="K1087" s="10" t="s">
        <v>20</v>
      </c>
      <c r="L1087" s="10" t="s">
        <v>20</v>
      </c>
      <c r="M1087" s="10" t="s">
        <v>20</v>
      </c>
      <c r="N1087" s="10" t="s">
        <v>20</v>
      </c>
      <c r="O1087" s="10" t="s">
        <v>20</v>
      </c>
      <c r="Q1087" s="10" t="s">
        <v>20</v>
      </c>
      <c r="R1087" s="10" t="s">
        <v>20</v>
      </c>
      <c r="S1087" s="10"/>
      <c r="T1087" s="10" t="s">
        <v>20</v>
      </c>
      <c r="V1087" s="10" t="s">
        <v>20</v>
      </c>
      <c r="W1087" s="10" t="s">
        <v>20</v>
      </c>
      <c r="X1087" s="10" t="s">
        <v>20</v>
      </c>
    </row>
    <row r="1088" spans="1:24" ht="42.75">
      <c r="A1088" s="4"/>
      <c r="B1088" s="5"/>
      <c r="C1088" s="11"/>
      <c r="D1088" s="12" t="s">
        <v>23</v>
      </c>
      <c r="E1088" s="13"/>
      <c r="F1088" s="12" t="s">
        <v>175</v>
      </c>
      <c r="G1088" s="13" t="s">
        <v>24</v>
      </c>
      <c r="I1088" s="13" t="s">
        <v>25</v>
      </c>
      <c r="J1088" s="8" t="s">
        <v>26</v>
      </c>
      <c r="K1088" s="13" t="s">
        <v>27</v>
      </c>
      <c r="L1088" s="13" t="s">
        <v>28</v>
      </c>
      <c r="M1088" s="13" t="s">
        <v>29</v>
      </c>
      <c r="N1088" s="13" t="s">
        <v>30</v>
      </c>
      <c r="O1088" s="13" t="s">
        <v>31</v>
      </c>
      <c r="Q1088" s="14">
        <v>4470115</v>
      </c>
      <c r="R1088" s="13" t="s">
        <v>32</v>
      </c>
      <c r="S1088" s="13"/>
      <c r="T1088" s="14">
        <v>4470119</v>
      </c>
      <c r="V1088" s="8" t="s">
        <v>33</v>
      </c>
      <c r="W1088" s="8" t="s">
        <v>34</v>
      </c>
      <c r="X1088" s="8" t="s">
        <v>35</v>
      </c>
    </row>
    <row r="1089" spans="1:23" ht="15">
      <c r="A1089" s="4"/>
      <c r="B1089" s="5"/>
      <c r="C1089" s="11"/>
      <c r="D1089" s="13"/>
      <c r="E1089" s="13"/>
      <c r="F1089" s="13"/>
      <c r="G1089" s="15"/>
      <c r="I1089" s="13"/>
      <c r="J1089" s="13"/>
      <c r="K1089" s="13"/>
      <c r="L1089" s="13"/>
      <c r="M1089" s="13"/>
      <c r="N1089" s="13"/>
      <c r="O1089" s="13"/>
      <c r="Q1089" s="14"/>
      <c r="R1089" s="13"/>
      <c r="S1089" s="14"/>
      <c r="T1089" s="16"/>
      <c r="V1089" s="14"/>
      <c r="W1089" s="13"/>
    </row>
    <row r="1090" spans="1:25" ht="15">
      <c r="A1090" s="4">
        <v>1</v>
      </c>
      <c r="B1090" s="5" t="s">
        <v>36</v>
      </c>
      <c r="C1090" s="17" t="s">
        <v>37</v>
      </c>
      <c r="D1090" s="27">
        <v>9810953</v>
      </c>
      <c r="E1090" s="19"/>
      <c r="F1090" s="20">
        <v>7384593</v>
      </c>
      <c r="G1090" s="21">
        <f>+D1090-F1090</f>
        <v>2426360</v>
      </c>
      <c r="H1090" s="18"/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v>0</v>
      </c>
      <c r="O1090" s="18">
        <v>0</v>
      </c>
      <c r="P1090" s="18"/>
      <c r="Q1090" s="18">
        <v>0</v>
      </c>
      <c r="R1090" s="18">
        <v>0</v>
      </c>
      <c r="S1090" s="18"/>
      <c r="T1090" s="18">
        <v>0</v>
      </c>
      <c r="U1090" s="18"/>
      <c r="V1090" s="18">
        <v>0</v>
      </c>
      <c r="W1090" s="18">
        <v>0</v>
      </c>
      <c r="X1090" s="18">
        <v>0</v>
      </c>
      <c r="Y1090" s="18"/>
    </row>
    <row r="1091" spans="1:25" ht="15">
      <c r="A1091" s="4">
        <f>+A1090+1</f>
        <v>2</v>
      </c>
      <c r="B1091" s="5" t="s">
        <v>36</v>
      </c>
      <c r="C1091" s="22" t="s">
        <v>38</v>
      </c>
      <c r="D1091" s="27">
        <v>9803588</v>
      </c>
      <c r="E1091" s="19"/>
      <c r="F1091" s="23">
        <v>7220074</v>
      </c>
      <c r="G1091" s="21">
        <f>+D1091-F1091</f>
        <v>2583514</v>
      </c>
      <c r="H1091" s="18"/>
      <c r="I1091" s="18">
        <v>0</v>
      </c>
      <c r="J1091" s="18">
        <v>0</v>
      </c>
      <c r="K1091" s="18">
        <v>0</v>
      </c>
      <c r="L1091" s="18">
        <v>0</v>
      </c>
      <c r="M1091" s="18">
        <v>0</v>
      </c>
      <c r="N1091" s="18">
        <v>0</v>
      </c>
      <c r="O1091" s="18">
        <v>0</v>
      </c>
      <c r="P1091" s="18"/>
      <c r="Q1091" s="18">
        <v>0</v>
      </c>
      <c r="R1091" s="18">
        <v>0</v>
      </c>
      <c r="S1091" s="18"/>
      <c r="T1091" s="18">
        <v>0</v>
      </c>
      <c r="U1091" s="18"/>
      <c r="V1091" s="18">
        <v>0</v>
      </c>
      <c r="W1091" s="18">
        <v>0</v>
      </c>
      <c r="X1091" s="18">
        <v>0</v>
      </c>
      <c r="Y1091" s="18"/>
    </row>
    <row r="1092" spans="1:25" ht="22.5">
      <c r="A1092" s="4">
        <f>+A1091+1</f>
        <v>3</v>
      </c>
      <c r="B1092" s="24" t="s">
        <v>176</v>
      </c>
      <c r="C1092" s="25" t="s">
        <v>177</v>
      </c>
      <c r="D1092" s="18">
        <f>+D1090-D1091</f>
        <v>7365</v>
      </c>
      <c r="E1092" s="19"/>
      <c r="F1092" s="26">
        <f>+F1090-F1091</f>
        <v>164519</v>
      </c>
      <c r="G1092" s="18">
        <f>+G1090-G1091</f>
        <v>-157154</v>
      </c>
      <c r="H1092" s="18"/>
      <c r="I1092" s="18">
        <f aca="true" t="shared" si="135" ref="I1092:O1092">+I1090-I1091</f>
        <v>0</v>
      </c>
      <c r="J1092" s="18">
        <f t="shared" si="135"/>
        <v>0</v>
      </c>
      <c r="K1092" s="18">
        <f t="shared" si="135"/>
        <v>0</v>
      </c>
      <c r="L1092" s="18">
        <f t="shared" si="135"/>
        <v>0</v>
      </c>
      <c r="M1092" s="18">
        <f t="shared" si="135"/>
        <v>0</v>
      </c>
      <c r="N1092" s="18">
        <f t="shared" si="135"/>
        <v>0</v>
      </c>
      <c r="O1092" s="18">
        <f t="shared" si="135"/>
        <v>0</v>
      </c>
      <c r="P1092" s="18"/>
      <c r="Q1092" s="18">
        <f>+Q1090-Q1091</f>
        <v>0</v>
      </c>
      <c r="R1092" s="18">
        <f>+R1090-R1091</f>
        <v>0</v>
      </c>
      <c r="S1092" s="18"/>
      <c r="T1092" s="18">
        <f>+T1090-T1091</f>
        <v>0</v>
      </c>
      <c r="U1092" s="18"/>
      <c r="V1092" s="18">
        <f>+V1090-V1091</f>
        <v>0</v>
      </c>
      <c r="W1092" s="18">
        <f>+W1090-W1091</f>
        <v>0</v>
      </c>
      <c r="X1092" s="18">
        <f>+X1090-X1091</f>
        <v>0</v>
      </c>
      <c r="Y1092" s="18"/>
    </row>
    <row r="1093" spans="1:25" ht="28.5">
      <c r="A1093" s="4">
        <f>+A1092+1</f>
        <v>4</v>
      </c>
      <c r="B1093" s="88" t="s">
        <v>178</v>
      </c>
      <c r="C1093" s="25" t="s">
        <v>179</v>
      </c>
      <c r="D1093" s="18">
        <v>0</v>
      </c>
      <c r="E1093" s="19"/>
      <c r="F1093" s="26">
        <v>0</v>
      </c>
      <c r="G1093" s="18">
        <f>+D1093-F1093</f>
        <v>0</v>
      </c>
      <c r="H1093" s="18"/>
      <c r="I1093" s="27">
        <v>0</v>
      </c>
      <c r="J1093" s="18">
        <v>0</v>
      </c>
      <c r="K1093" s="18">
        <v>0</v>
      </c>
      <c r="L1093" s="18">
        <v>0</v>
      </c>
      <c r="M1093" s="18">
        <v>0</v>
      </c>
      <c r="N1093" s="18">
        <v>0</v>
      </c>
      <c r="O1093" s="18">
        <v>0</v>
      </c>
      <c r="P1093" s="18"/>
      <c r="Q1093" s="18">
        <v>0</v>
      </c>
      <c r="R1093" s="18">
        <v>0</v>
      </c>
      <c r="S1093" s="18"/>
      <c r="T1093" s="18">
        <v>0</v>
      </c>
      <c r="U1093" s="18"/>
      <c r="V1093" s="18">
        <v>0</v>
      </c>
      <c r="W1093" s="18">
        <v>0</v>
      </c>
      <c r="X1093" s="18">
        <v>0</v>
      </c>
      <c r="Y1093" s="18"/>
    </row>
    <row r="1094" spans="1:25" ht="24.75">
      <c r="A1094" s="4">
        <f>+A1093+1</f>
        <v>5</v>
      </c>
      <c r="B1094" s="89" t="s">
        <v>39</v>
      </c>
      <c r="C1094" s="28" t="s">
        <v>40</v>
      </c>
      <c r="D1094" s="27">
        <v>26317</v>
      </c>
      <c r="E1094" s="29"/>
      <c r="F1094" s="30">
        <v>0</v>
      </c>
      <c r="G1094" s="31">
        <f>+D1094-F1094</f>
        <v>26317</v>
      </c>
      <c r="H1094" s="18"/>
      <c r="I1094" s="27">
        <v>0</v>
      </c>
      <c r="J1094" s="27">
        <v>129</v>
      </c>
      <c r="K1094" s="27">
        <v>0</v>
      </c>
      <c r="L1094" s="27">
        <v>184414</v>
      </c>
      <c r="M1094" s="27">
        <v>50415</v>
      </c>
      <c r="N1094" s="27">
        <v>-6</v>
      </c>
      <c r="O1094" s="27">
        <v>-1522</v>
      </c>
      <c r="P1094" s="18"/>
      <c r="Q1094" s="27">
        <v>209</v>
      </c>
      <c r="R1094" s="27">
        <v>0</v>
      </c>
      <c r="S1094" s="27"/>
      <c r="T1094" s="27">
        <v>0</v>
      </c>
      <c r="U1094" s="27"/>
      <c r="V1094" s="27">
        <v>0</v>
      </c>
      <c r="W1094" s="27">
        <v>0</v>
      </c>
      <c r="X1094" s="27">
        <v>-396143</v>
      </c>
      <c r="Y1094" s="18"/>
    </row>
    <row r="1095" spans="1:25" ht="15">
      <c r="A1095" s="6" t="s">
        <v>41</v>
      </c>
      <c r="B1095" s="90"/>
      <c r="C1095" s="11"/>
      <c r="D1095" s="18"/>
      <c r="E1095" s="19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 t="s">
        <v>0</v>
      </c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</row>
    <row r="1096" spans="1:25" ht="15">
      <c r="A1096" s="4">
        <f>+A1094+1</f>
        <v>6</v>
      </c>
      <c r="B1096" s="5" t="s">
        <v>42</v>
      </c>
      <c r="C1096" s="22" t="s">
        <v>38</v>
      </c>
      <c r="D1096" s="27">
        <v>8538094</v>
      </c>
      <c r="E1096" s="19"/>
      <c r="F1096" s="23">
        <v>7090166</v>
      </c>
      <c r="G1096" s="18">
        <f>+D1096-F1096</f>
        <v>1447928</v>
      </c>
      <c r="H1096" s="18"/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0</v>
      </c>
      <c r="P1096" s="18"/>
      <c r="Q1096" s="18">
        <v>0</v>
      </c>
      <c r="R1096" s="18">
        <v>0</v>
      </c>
      <c r="S1096" s="18"/>
      <c r="T1096" s="18">
        <v>0</v>
      </c>
      <c r="U1096" s="18"/>
      <c r="V1096" s="18">
        <v>0</v>
      </c>
      <c r="W1096" s="18">
        <v>0</v>
      </c>
      <c r="X1096" s="18">
        <v>0</v>
      </c>
      <c r="Y1096" s="18"/>
    </row>
    <row r="1097" spans="1:25" ht="15">
      <c r="A1097" s="4">
        <f>+A1096+1</f>
        <v>7</v>
      </c>
      <c r="B1097" s="5" t="s">
        <v>43</v>
      </c>
      <c r="C1097" s="11"/>
      <c r="D1097" s="27">
        <v>4865</v>
      </c>
      <c r="E1097" s="19"/>
      <c r="F1097" s="23">
        <v>4032</v>
      </c>
      <c r="G1097" s="18">
        <f>+D1097-F1097</f>
        <v>833</v>
      </c>
      <c r="H1097" s="18"/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31">
        <v>0</v>
      </c>
      <c r="P1097" s="18"/>
      <c r="Q1097" s="18">
        <v>0</v>
      </c>
      <c r="R1097" s="18">
        <v>0</v>
      </c>
      <c r="S1097" s="18"/>
      <c r="T1097" s="18">
        <v>0</v>
      </c>
      <c r="U1097" s="18"/>
      <c r="V1097" s="18">
        <v>0</v>
      </c>
      <c r="W1097" s="18">
        <v>0</v>
      </c>
      <c r="X1097" s="18">
        <v>0</v>
      </c>
      <c r="Y1097" s="18"/>
    </row>
    <row r="1098" spans="1:25" ht="35.25">
      <c r="A1098" s="4">
        <f>+A1097+1</f>
        <v>8</v>
      </c>
      <c r="B1098" s="24" t="s">
        <v>180</v>
      </c>
      <c r="C1098" s="32" t="s">
        <v>44</v>
      </c>
      <c r="D1098" s="33">
        <f>+D1096-D1097</f>
        <v>8533229</v>
      </c>
      <c r="E1098" s="34"/>
      <c r="F1098" s="91">
        <f>+F1096-F1097</f>
        <v>7086134</v>
      </c>
      <c r="G1098" s="18">
        <f>+G1096-G1097</f>
        <v>1447095</v>
      </c>
      <c r="H1098" s="18"/>
      <c r="I1098" s="18">
        <f aca="true" t="shared" si="136" ref="I1098:O1098">+I1096-I1097</f>
        <v>0</v>
      </c>
      <c r="J1098" s="18">
        <f t="shared" si="136"/>
        <v>0</v>
      </c>
      <c r="K1098" s="18">
        <f t="shared" si="136"/>
        <v>0</v>
      </c>
      <c r="L1098" s="18">
        <f t="shared" si="136"/>
        <v>0</v>
      </c>
      <c r="M1098" s="18">
        <f t="shared" si="136"/>
        <v>0</v>
      </c>
      <c r="N1098" s="18">
        <f t="shared" si="136"/>
        <v>0</v>
      </c>
      <c r="O1098" s="18">
        <f t="shared" si="136"/>
        <v>0</v>
      </c>
      <c r="P1098" s="18"/>
      <c r="Q1098" s="18">
        <f>+Q1096-Q1097</f>
        <v>0</v>
      </c>
      <c r="R1098" s="18">
        <f>+R1096-R1097</f>
        <v>0</v>
      </c>
      <c r="S1098" s="18"/>
      <c r="T1098" s="18">
        <f>+T1096-T1097</f>
        <v>0</v>
      </c>
      <c r="U1098" s="18"/>
      <c r="V1098" s="18">
        <f>+V1096-V1097</f>
        <v>0</v>
      </c>
      <c r="W1098" s="18">
        <f>+W1096-W1097</f>
        <v>0</v>
      </c>
      <c r="X1098" s="18">
        <f>+X1096-X1097</f>
        <v>0</v>
      </c>
      <c r="Y1098" s="18"/>
    </row>
    <row r="1099" spans="1:25" ht="28.5">
      <c r="A1099" s="4">
        <f>+A1098+1</f>
        <v>9</v>
      </c>
      <c r="B1099" s="88" t="s">
        <v>181</v>
      </c>
      <c r="C1099" s="35" t="s">
        <v>45</v>
      </c>
      <c r="D1099" s="18">
        <v>0</v>
      </c>
      <c r="E1099" s="19"/>
      <c r="F1099" s="31">
        <v>0</v>
      </c>
      <c r="G1099" s="31">
        <f>+D1099-F1099</f>
        <v>0</v>
      </c>
      <c r="H1099" s="18"/>
      <c r="I1099" s="18">
        <v>0</v>
      </c>
      <c r="J1099" s="18">
        <v>0</v>
      </c>
      <c r="K1099" s="18">
        <v>0</v>
      </c>
      <c r="L1099" s="18">
        <v>0</v>
      </c>
      <c r="M1099" s="18">
        <v>0</v>
      </c>
      <c r="N1099" s="18">
        <v>0</v>
      </c>
      <c r="O1099" s="31">
        <v>0</v>
      </c>
      <c r="P1099" s="18"/>
      <c r="Q1099" s="18">
        <v>0</v>
      </c>
      <c r="R1099" s="18">
        <v>0</v>
      </c>
      <c r="S1099" s="18"/>
      <c r="T1099" s="18">
        <v>0</v>
      </c>
      <c r="U1099" s="18"/>
      <c r="V1099" s="18">
        <v>0</v>
      </c>
      <c r="W1099" s="18">
        <v>0</v>
      </c>
      <c r="X1099" s="18">
        <v>0</v>
      </c>
      <c r="Y1099" s="18"/>
    </row>
    <row r="1100" spans="1:25" ht="15">
      <c r="A1100" s="4">
        <f>+A1099+1</f>
        <v>10</v>
      </c>
      <c r="B1100" s="24" t="s">
        <v>46</v>
      </c>
      <c r="C1100" s="11" t="s">
        <v>47</v>
      </c>
      <c r="D1100" s="36">
        <f>+D1092+D1093+D1094+D1098+D1099</f>
        <v>8566911</v>
      </c>
      <c r="E1100" s="19"/>
      <c r="F1100" s="36">
        <f>+F1092+F1093+F1094+F1098+F1099</f>
        <v>7250653</v>
      </c>
      <c r="G1100" s="18">
        <f>+G1092+G1093+G1098+G1099+G1094</f>
        <v>1316258</v>
      </c>
      <c r="H1100" s="18"/>
      <c r="I1100" s="18">
        <f aca="true" t="shared" si="137" ref="I1100:O1100">+I1092+I1093+I1098+I1099+I1094</f>
        <v>0</v>
      </c>
      <c r="J1100" s="21">
        <f t="shared" si="137"/>
        <v>129</v>
      </c>
      <c r="K1100" s="18">
        <f t="shared" si="137"/>
        <v>0</v>
      </c>
      <c r="L1100" s="18">
        <f t="shared" si="137"/>
        <v>184414</v>
      </c>
      <c r="M1100" s="18">
        <f t="shared" si="137"/>
        <v>50415</v>
      </c>
      <c r="N1100" s="18">
        <f t="shared" si="137"/>
        <v>-6</v>
      </c>
      <c r="O1100" s="18">
        <f t="shared" si="137"/>
        <v>-1522</v>
      </c>
      <c r="P1100" s="18"/>
      <c r="Q1100" s="18">
        <f>+Q1092+Q1093+Q1098+Q1099+Q1094</f>
        <v>209</v>
      </c>
      <c r="R1100" s="18">
        <f>+R1092+R1093+R1098+R1099+R1094</f>
        <v>0</v>
      </c>
      <c r="S1100" s="18"/>
      <c r="T1100" s="18">
        <f>+T1092+T1093+T1098+T1099+T1094</f>
        <v>0</v>
      </c>
      <c r="U1100" s="18"/>
      <c r="V1100" s="18">
        <f>+V1092+V1093+V1098+V1099+V1094</f>
        <v>0</v>
      </c>
      <c r="W1100" s="18">
        <f>+W1092+W1093+W1098+W1099+W1094</f>
        <v>0</v>
      </c>
      <c r="X1100" s="18">
        <f>+X1092+X1093+X1098+X1099+X1094</f>
        <v>-396143</v>
      </c>
      <c r="Y1100" s="18"/>
    </row>
    <row r="1101" spans="1:25" ht="15">
      <c r="A1101" s="4"/>
      <c r="B1101" s="24"/>
      <c r="C1101" s="11" t="s">
        <v>0</v>
      </c>
      <c r="D1101" s="27" t="s">
        <v>0</v>
      </c>
      <c r="E1101" s="18"/>
      <c r="F1101" s="36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</row>
    <row r="1102" spans="1:25" ht="15">
      <c r="A1102" s="4"/>
      <c r="B1102" s="24"/>
      <c r="C1102" s="37"/>
      <c r="D1102" s="18">
        <f>449198.29+263937.69+1098295.86+6755479.24</f>
        <v>8566911.08</v>
      </c>
      <c r="E1102" s="18"/>
      <c r="F1102" s="36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</row>
    <row r="1103" spans="1:25" ht="15">
      <c r="A1103" s="4"/>
      <c r="B1103" s="24"/>
      <c r="C1103" s="11"/>
      <c r="D1103" s="6" t="s">
        <v>48</v>
      </c>
      <c r="E1103" s="6"/>
      <c r="F1103" s="10" t="s">
        <v>49</v>
      </c>
      <c r="G1103" s="10" t="s">
        <v>50</v>
      </c>
      <c r="I1103" s="10" t="s">
        <v>51</v>
      </c>
      <c r="J1103" s="10" t="s">
        <v>52</v>
      </c>
      <c r="K1103" s="10" t="s">
        <v>53</v>
      </c>
      <c r="L1103" s="10" t="s">
        <v>54</v>
      </c>
      <c r="M1103" s="10" t="s">
        <v>55</v>
      </c>
      <c r="N1103" s="10" t="s">
        <v>56</v>
      </c>
      <c r="O1103" s="10" t="s">
        <v>57</v>
      </c>
      <c r="P1103" s="18"/>
      <c r="Q1103" s="10" t="s">
        <v>58</v>
      </c>
      <c r="R1103" s="10" t="s">
        <v>59</v>
      </c>
      <c r="S1103" s="10"/>
      <c r="T1103" s="10" t="s">
        <v>60</v>
      </c>
      <c r="U1103" s="18"/>
      <c r="V1103" s="10" t="s">
        <v>61</v>
      </c>
      <c r="W1103" s="10" t="s">
        <v>62</v>
      </c>
      <c r="X1103" s="10" t="s">
        <v>63</v>
      </c>
      <c r="Y1103" s="18"/>
    </row>
    <row r="1104" spans="1:25" ht="15">
      <c r="A1104" s="4"/>
      <c r="B1104"/>
      <c r="C1104" s="11"/>
      <c r="D1104" s="10" t="s">
        <v>20</v>
      </c>
      <c r="E1104" s="38"/>
      <c r="F1104" s="10" t="s">
        <v>20</v>
      </c>
      <c r="G1104" s="10" t="s">
        <v>20</v>
      </c>
      <c r="I1104" s="10" t="s">
        <v>20</v>
      </c>
      <c r="J1104" s="10" t="s">
        <v>20</v>
      </c>
      <c r="K1104" s="10" t="s">
        <v>20</v>
      </c>
      <c r="L1104" s="10" t="s">
        <v>20</v>
      </c>
      <c r="M1104" s="10" t="s">
        <v>20</v>
      </c>
      <c r="N1104" s="10" t="s">
        <v>20</v>
      </c>
      <c r="O1104" s="10" t="s">
        <v>20</v>
      </c>
      <c r="P1104" s="18"/>
      <c r="Q1104" s="10" t="s">
        <v>20</v>
      </c>
      <c r="R1104" s="10" t="s">
        <v>20</v>
      </c>
      <c r="S1104" s="14"/>
      <c r="T1104" s="10" t="s">
        <v>20</v>
      </c>
      <c r="U1104" s="18"/>
      <c r="W1104" s="39" t="s">
        <v>64</v>
      </c>
      <c r="Y1104" s="18"/>
    </row>
    <row r="1105" spans="1:25" ht="15">
      <c r="A1105" s="4"/>
      <c r="B1105" s="87" t="s">
        <v>174</v>
      </c>
      <c r="C1105" s="11"/>
      <c r="D1105" s="8" t="s">
        <v>155</v>
      </c>
      <c r="E1105" s="6"/>
      <c r="F1105" s="8" t="s">
        <v>66</v>
      </c>
      <c r="G1105" s="8" t="s">
        <v>67</v>
      </c>
      <c r="H1105" s="19"/>
      <c r="I1105" s="8" t="s">
        <v>68</v>
      </c>
      <c r="J1105" s="8" t="s">
        <v>69</v>
      </c>
      <c r="K1105" s="8" t="s">
        <v>70</v>
      </c>
      <c r="L1105" s="8" t="s">
        <v>71</v>
      </c>
      <c r="M1105" s="8" t="s">
        <v>72</v>
      </c>
      <c r="N1105" s="8" t="s">
        <v>73</v>
      </c>
      <c r="O1105" s="8" t="s">
        <v>74</v>
      </c>
      <c r="P1105" s="6"/>
      <c r="Q1105" s="8" t="s">
        <v>75</v>
      </c>
      <c r="R1105" s="8" t="s">
        <v>76</v>
      </c>
      <c r="S1105" s="8"/>
      <c r="T1105" s="8" t="s">
        <v>77</v>
      </c>
      <c r="U1105" s="18"/>
      <c r="V1105" s="10" t="s">
        <v>20</v>
      </c>
      <c r="W1105" s="14" t="s">
        <v>21</v>
      </c>
      <c r="X1105" s="10" t="s">
        <v>22</v>
      </c>
      <c r="Y1105" s="18"/>
    </row>
    <row r="1106" spans="1:8" ht="15">
      <c r="A1106" s="4"/>
      <c r="B1106" s="24"/>
      <c r="C1106" s="11"/>
      <c r="E1106" s="14"/>
      <c r="F1106"/>
      <c r="H1106" s="18"/>
    </row>
    <row r="1107" spans="1:24" ht="15">
      <c r="A1107" s="4">
        <f>+A1100+1</f>
        <v>11</v>
      </c>
      <c r="B1107" s="5" t="s">
        <v>36</v>
      </c>
      <c r="C1107" s="17" t="s">
        <v>37</v>
      </c>
      <c r="D1107" s="18">
        <v>0</v>
      </c>
      <c r="E1107" s="18"/>
      <c r="F1107" s="18">
        <v>0</v>
      </c>
      <c r="G1107" s="18">
        <v>0</v>
      </c>
      <c r="I1107" s="27">
        <v>342021.41</v>
      </c>
      <c r="J1107" s="18">
        <v>0</v>
      </c>
      <c r="K1107" s="18">
        <v>0</v>
      </c>
      <c r="L1107" s="18">
        <v>0</v>
      </c>
      <c r="M1107" s="18">
        <v>0</v>
      </c>
      <c r="N1107" s="18">
        <v>0</v>
      </c>
      <c r="O1107" s="18">
        <v>0</v>
      </c>
      <c r="Q1107" s="18">
        <v>0</v>
      </c>
      <c r="R1107" s="18">
        <v>0</v>
      </c>
      <c r="S1107" s="18"/>
      <c r="T1107" s="18">
        <v>0</v>
      </c>
      <c r="V1107" s="18">
        <f>+D1090+I1090+J1090+K1090+L1090+M1090+N1090+O1090+Q1090+R1090+T1090+V1090+W1090+X1090+D1107+F1107+G1107+I1107+J1107+K1107+L1107+M1107+N1107+O1107+Q1107+R1107+T1107</f>
        <v>10152974.41</v>
      </c>
      <c r="W1107" s="18">
        <f>+F1090</f>
        <v>7384593</v>
      </c>
      <c r="X1107" s="18">
        <f>+V1107-W1107</f>
        <v>2768381.41</v>
      </c>
    </row>
    <row r="1108" spans="1:24" ht="15">
      <c r="A1108" s="4">
        <f>+A1107+1</f>
        <v>12</v>
      </c>
      <c r="B1108" s="5" t="s">
        <v>36</v>
      </c>
      <c r="C1108" s="22" t="s">
        <v>38</v>
      </c>
      <c r="D1108" s="18">
        <v>0</v>
      </c>
      <c r="E1108" s="18"/>
      <c r="F1108" s="18">
        <v>0</v>
      </c>
      <c r="G1108" s="18">
        <v>0</v>
      </c>
      <c r="I1108" s="27">
        <v>340856.87</v>
      </c>
      <c r="J1108" s="18">
        <v>0</v>
      </c>
      <c r="K1108" s="18">
        <v>0</v>
      </c>
      <c r="L1108" s="18">
        <v>0</v>
      </c>
      <c r="M1108" s="18">
        <v>0</v>
      </c>
      <c r="N1108" s="18">
        <v>0</v>
      </c>
      <c r="O1108" s="18">
        <v>0</v>
      </c>
      <c r="Q1108" s="18">
        <v>0</v>
      </c>
      <c r="R1108" s="18">
        <v>0</v>
      </c>
      <c r="S1108" s="18"/>
      <c r="T1108" s="18">
        <v>0</v>
      </c>
      <c r="V1108" s="18">
        <f>+D1091+I1091+J1091+K1091+L1091+M1091+N1091+O1091+Q1091+R1091+T1091+V1091+W1091+X1091+D1108+F1108+G1108+I1108+J1108+K1108+L1108+M1108+N1108+O1108+Q1108+R1108+T1108</f>
        <v>10144444.87</v>
      </c>
      <c r="W1108" s="18">
        <f>+F1091</f>
        <v>7220074</v>
      </c>
      <c r="X1108" s="18">
        <f>+V1108-W1108</f>
        <v>2924370.869999999</v>
      </c>
    </row>
    <row r="1109" spans="1:24" ht="15">
      <c r="A1109" s="4">
        <f>+A1108+1</f>
        <v>13</v>
      </c>
      <c r="B1109" s="24" t="s">
        <v>46</v>
      </c>
      <c r="C1109" s="40" t="s">
        <v>78</v>
      </c>
      <c r="D1109" s="18">
        <f>+D1107-D1108</f>
        <v>0</v>
      </c>
      <c r="E1109" s="18"/>
      <c r="F1109" s="18">
        <f>+F1107-F1108</f>
        <v>0</v>
      </c>
      <c r="G1109" s="18">
        <f>+G1107-G1108</f>
        <v>0</v>
      </c>
      <c r="I1109" s="18">
        <f aca="true" t="shared" si="138" ref="I1109:O1109">+I1107-I1108</f>
        <v>1164.539999999979</v>
      </c>
      <c r="J1109" s="18">
        <f t="shared" si="138"/>
        <v>0</v>
      </c>
      <c r="K1109" s="18">
        <f t="shared" si="138"/>
        <v>0</v>
      </c>
      <c r="L1109" s="18">
        <f t="shared" si="138"/>
        <v>0</v>
      </c>
      <c r="M1109" s="18">
        <f t="shared" si="138"/>
        <v>0</v>
      </c>
      <c r="N1109" s="18">
        <f t="shared" si="138"/>
        <v>0</v>
      </c>
      <c r="O1109" s="18">
        <f t="shared" si="138"/>
        <v>0</v>
      </c>
      <c r="Q1109" s="18">
        <f>+Q1107-Q1108</f>
        <v>0</v>
      </c>
      <c r="R1109" s="18">
        <f>+R1107-R1108</f>
        <v>0</v>
      </c>
      <c r="S1109" s="18"/>
      <c r="T1109" s="18">
        <f>+T1107-T1108</f>
        <v>0</v>
      </c>
      <c r="V1109" s="27">
        <f>+V1107-V1108</f>
        <v>8529.540000000969</v>
      </c>
      <c r="W1109" s="27">
        <f>+W1107-W1108</f>
        <v>164519</v>
      </c>
      <c r="X1109" s="18">
        <f>+X1107-X1108</f>
        <v>-155989.45999999903</v>
      </c>
    </row>
    <row r="1110" spans="1:24" ht="28.5">
      <c r="A1110" s="4">
        <f>+A1109+1</f>
        <v>14</v>
      </c>
      <c r="B1110" s="88" t="s">
        <v>182</v>
      </c>
      <c r="C1110" s="11"/>
      <c r="D1110" s="18">
        <v>0</v>
      </c>
      <c r="E1110" s="18"/>
      <c r="F1110" s="18">
        <v>0</v>
      </c>
      <c r="G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Q1110" s="18">
        <v>0</v>
      </c>
      <c r="R1110" s="18">
        <v>0</v>
      </c>
      <c r="S1110" s="18"/>
      <c r="T1110" s="18">
        <v>0</v>
      </c>
      <c r="V1110" s="18">
        <f>+D1093+I1093+J1093+K1093+L1093+M1093+N1093+O1093+Q1093+R1093+T1093+V1093+W1093+X1093+D1110+F1110+G1110+I1110+J1110+K1110+L1110+M1110+N1110+O1110+Q1110+R1110+T1110</f>
        <v>0</v>
      </c>
      <c r="W1110" s="18">
        <f>+F1093</f>
        <v>0</v>
      </c>
      <c r="X1110" s="18">
        <f>+V1110-W1110</f>
        <v>0</v>
      </c>
    </row>
    <row r="1111" spans="1:24" ht="24.75">
      <c r="A1111" s="4">
        <f>+A1110+1</f>
        <v>15</v>
      </c>
      <c r="B1111" s="89" t="s">
        <v>39</v>
      </c>
      <c r="C1111" s="40"/>
      <c r="D1111" s="27">
        <v>1160</v>
      </c>
      <c r="E1111" s="18" t="s">
        <v>0</v>
      </c>
      <c r="F1111" s="27">
        <v>0</v>
      </c>
      <c r="G1111" s="27">
        <v>0</v>
      </c>
      <c r="H1111" t="s">
        <v>0</v>
      </c>
      <c r="I1111" s="27">
        <v>0</v>
      </c>
      <c r="J1111" s="27">
        <v>1407</v>
      </c>
      <c r="K1111" s="27">
        <v>0</v>
      </c>
      <c r="L1111" s="27">
        <v>0</v>
      </c>
      <c r="M1111" s="27">
        <v>93161</v>
      </c>
      <c r="N1111" s="27">
        <v>-495539</v>
      </c>
      <c r="O1111" s="27">
        <v>716</v>
      </c>
      <c r="Q1111" s="27">
        <v>0</v>
      </c>
      <c r="R1111" s="27">
        <v>0</v>
      </c>
      <c r="S1111" s="27"/>
      <c r="T1111" s="27">
        <v>0</v>
      </c>
      <c r="V1111" s="18">
        <f>+D1094+I1094+J1094+K1094+L1094+M1094+N1094+O1094+Q1094+R1094+T1094+V1094+W1094+X1094+D1111+F1111+G1111+I1111+J1111+K1111+L1111+M1111+N1111+O1111+Q1111+R1111+T1111</f>
        <v>-535282</v>
      </c>
      <c r="W1111" s="18">
        <f>+F1094</f>
        <v>0</v>
      </c>
      <c r="X1111" s="18">
        <f>+V1111-W1111</f>
        <v>-535282</v>
      </c>
    </row>
    <row r="1112" spans="1:24" ht="15">
      <c r="A1112" s="6" t="s">
        <v>41</v>
      </c>
      <c r="B1112" s="41"/>
      <c r="C1112" s="40"/>
      <c r="D1112" s="18"/>
      <c r="E1112" s="18"/>
      <c r="F1112" s="18"/>
      <c r="G1112" s="18"/>
      <c r="I1112" s="18"/>
      <c r="J1112" s="18"/>
      <c r="K1112" s="18"/>
      <c r="L1112" s="18"/>
      <c r="M1112" s="18"/>
      <c r="N1112" s="18"/>
      <c r="O1112" s="18"/>
      <c r="Q1112" s="18"/>
      <c r="R1112" s="18"/>
      <c r="S1112" s="18"/>
      <c r="T1112" s="18"/>
      <c r="V1112" s="18"/>
      <c r="W1112" s="18"/>
      <c r="X1112" s="18"/>
    </row>
    <row r="1113" spans="1:24" ht="15">
      <c r="A1113" s="4">
        <f>+A1111+1</f>
        <v>16</v>
      </c>
      <c r="B1113" s="5" t="s">
        <v>42</v>
      </c>
      <c r="C1113" s="22" t="s">
        <v>38</v>
      </c>
      <c r="D1113" s="18">
        <v>0</v>
      </c>
      <c r="E1113" s="18"/>
      <c r="F1113" s="18">
        <v>0</v>
      </c>
      <c r="G1113" s="18">
        <v>0</v>
      </c>
      <c r="I1113" s="27">
        <v>339645</v>
      </c>
      <c r="J1113" s="18">
        <v>0</v>
      </c>
      <c r="K1113" s="18">
        <v>0</v>
      </c>
      <c r="L1113" s="18">
        <v>0</v>
      </c>
      <c r="M1113" s="18">
        <v>0</v>
      </c>
      <c r="N1113" s="18">
        <v>0</v>
      </c>
      <c r="O1113" s="18">
        <v>0</v>
      </c>
      <c r="P1113" s="18"/>
      <c r="Q1113" s="18">
        <v>0</v>
      </c>
      <c r="R1113" s="18">
        <v>0</v>
      </c>
      <c r="S1113" s="18"/>
      <c r="T1113" s="18">
        <v>0</v>
      </c>
      <c r="U1113" s="18"/>
      <c r="V1113" s="18">
        <f>+D1096+I1096+J1096+K1096+L1096+M1096+N1096+O1096+Q1096+R1096+T1096+V1096+W1096+X1096+D1113+F1113+G1113+I1113+J1113+K1113+L1113+M1113+N1113+O1113+Q1113+R1113+T1113</f>
        <v>8877739</v>
      </c>
      <c r="W1113" s="18">
        <f>+F1096</f>
        <v>7090166</v>
      </c>
      <c r="X1113" s="18">
        <f>+V1113-W1113</f>
        <v>1787573</v>
      </c>
    </row>
    <row r="1114" spans="1:24" ht="15">
      <c r="A1114" s="4">
        <f>+A1113+1</f>
        <v>17</v>
      </c>
      <c r="B1114" s="5" t="s">
        <v>43</v>
      </c>
      <c r="C1114" s="11"/>
      <c r="D1114" s="18">
        <v>0</v>
      </c>
      <c r="E1114" s="18"/>
      <c r="F1114" s="18">
        <v>0</v>
      </c>
      <c r="G1114" s="18">
        <v>0</v>
      </c>
      <c r="I1114" s="27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v>0</v>
      </c>
      <c r="O1114" s="18">
        <v>0</v>
      </c>
      <c r="P1114" s="18"/>
      <c r="Q1114" s="18">
        <v>0</v>
      </c>
      <c r="R1114" s="18">
        <v>0</v>
      </c>
      <c r="S1114" s="18"/>
      <c r="T1114" s="18">
        <v>0</v>
      </c>
      <c r="U1114" s="18"/>
      <c r="V1114" s="18">
        <f>+D1097+I1097+J1097+K1097+L1097+M1097+N1097+O1097+Q1097+R1097+T1097+V1097+W1097+X1097+D1114+F1114+G1114+I1114+J1114+K1114+L1114+M1114+N1114+O1114+Q1114+R1114+T1114</f>
        <v>4865</v>
      </c>
      <c r="W1114" s="18">
        <f>+F1097</f>
        <v>4032</v>
      </c>
      <c r="X1114" s="18">
        <f>+V1114-W1114</f>
        <v>833</v>
      </c>
    </row>
    <row r="1115" spans="1:24" ht="26.25">
      <c r="A1115" s="4">
        <f>+A1114+1</f>
        <v>18</v>
      </c>
      <c r="B1115" s="24" t="s">
        <v>79</v>
      </c>
      <c r="C1115" s="11"/>
      <c r="D1115" s="18">
        <f>+D1113-D1114</f>
        <v>0</v>
      </c>
      <c r="E1115" s="18"/>
      <c r="F1115" s="18">
        <f>+F1113-F1114</f>
        <v>0</v>
      </c>
      <c r="G1115" s="18">
        <f>+G1113-G1114</f>
        <v>0</v>
      </c>
      <c r="I1115" s="18">
        <f aca="true" t="shared" si="139" ref="I1115:O1115">+I1113-I1114</f>
        <v>339645</v>
      </c>
      <c r="J1115" s="18">
        <f t="shared" si="139"/>
        <v>0</v>
      </c>
      <c r="K1115" s="18">
        <f t="shared" si="139"/>
        <v>0</v>
      </c>
      <c r="L1115" s="18">
        <f t="shared" si="139"/>
        <v>0</v>
      </c>
      <c r="M1115" s="18">
        <f t="shared" si="139"/>
        <v>0</v>
      </c>
      <c r="N1115" s="18">
        <f t="shared" si="139"/>
        <v>0</v>
      </c>
      <c r="O1115" s="18">
        <f t="shared" si="139"/>
        <v>0</v>
      </c>
      <c r="P1115" s="18"/>
      <c r="Q1115" s="18">
        <f>+Q1113-Q1114</f>
        <v>0</v>
      </c>
      <c r="R1115" s="18">
        <f>+R1113-R1114</f>
        <v>0</v>
      </c>
      <c r="S1115" s="18"/>
      <c r="T1115" s="18">
        <f>+T1113-T1114</f>
        <v>0</v>
      </c>
      <c r="U1115" s="18"/>
      <c r="V1115" s="27">
        <f>+V1113-V1114</f>
        <v>8872874</v>
      </c>
      <c r="W1115" s="27">
        <f>+W1113-W1114</f>
        <v>7086134</v>
      </c>
      <c r="X1115" s="18">
        <f>+X1113-X1114</f>
        <v>1786740</v>
      </c>
    </row>
    <row r="1116" spans="1:24" ht="28.5">
      <c r="A1116" s="4">
        <f>+A1115+1</f>
        <v>19</v>
      </c>
      <c r="B1116" s="88" t="s">
        <v>181</v>
      </c>
      <c r="C1116" s="11"/>
      <c r="D1116" s="18">
        <v>0</v>
      </c>
      <c r="E1116" s="18"/>
      <c r="F1116" s="18">
        <v>0</v>
      </c>
      <c r="G1116" s="18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0</v>
      </c>
      <c r="N1116" s="18">
        <v>0</v>
      </c>
      <c r="O1116" s="18">
        <v>0</v>
      </c>
      <c r="P1116" s="18"/>
      <c r="Q1116" s="18">
        <v>0</v>
      </c>
      <c r="R1116" s="18">
        <v>0</v>
      </c>
      <c r="S1116" s="18"/>
      <c r="T1116" s="18">
        <v>0</v>
      </c>
      <c r="U1116" s="18"/>
      <c r="V1116" s="18">
        <f>+D1099+I1099+J1099+K1099+L1099+M1099+N1099+O1099+Q1099+R1099+T1099+V1099+W1099+X1099+D1116+F1116+G1116+I1116+J1116+K1116+L1116+M1116+N1116+O1116+Q1116+R1116+T1116</f>
        <v>0</v>
      </c>
      <c r="W1116" s="18">
        <f>+F1099+K1116+L1116+M1116+N1116+O1116+Q1116+R1116+T1116</f>
        <v>0</v>
      </c>
      <c r="X1116" s="18">
        <f>+V1116-W1116</f>
        <v>0</v>
      </c>
    </row>
    <row r="1117" spans="1:24" ht="15">
      <c r="A1117" s="4">
        <f>+A1116+1</f>
        <v>20</v>
      </c>
      <c r="B1117" s="24" t="s">
        <v>46</v>
      </c>
      <c r="C1117" s="11" t="s">
        <v>47</v>
      </c>
      <c r="D1117" s="18">
        <f>+D1109+D1110+D1115+D1116+D1111</f>
        <v>1160</v>
      </c>
      <c r="E1117" s="18"/>
      <c r="F1117" s="18">
        <f>+F1109+F1110+F1115+F1116+F1111</f>
        <v>0</v>
      </c>
      <c r="G1117" s="18">
        <f>+G1109+G1110+G1115+G1116+G1111</f>
        <v>0</v>
      </c>
      <c r="I1117" s="18">
        <f aca="true" t="shared" si="140" ref="I1117:O1117">+I1109+I1110+I1115+I1116+I1111</f>
        <v>340809.54</v>
      </c>
      <c r="J1117" s="18">
        <f t="shared" si="140"/>
        <v>1407</v>
      </c>
      <c r="K1117" s="18">
        <f t="shared" si="140"/>
        <v>0</v>
      </c>
      <c r="L1117" s="18">
        <f t="shared" si="140"/>
        <v>0</v>
      </c>
      <c r="M1117" s="18">
        <f t="shared" si="140"/>
        <v>93161</v>
      </c>
      <c r="N1117" s="18">
        <f t="shared" si="140"/>
        <v>-495539</v>
      </c>
      <c r="O1117" s="18">
        <f t="shared" si="140"/>
        <v>716</v>
      </c>
      <c r="P1117" s="42"/>
      <c r="Q1117" s="18">
        <f>+Q1109+Q1110+Q1115+Q1116+Q1111</f>
        <v>0</v>
      </c>
      <c r="R1117" s="18">
        <f>+R1109+R1110+R1115+R1116+R1111</f>
        <v>0</v>
      </c>
      <c r="S1117" s="18"/>
      <c r="T1117" s="18">
        <f>+T1109+T1110+T1115+T1116+T1111</f>
        <v>0</v>
      </c>
      <c r="U1117" s="42"/>
      <c r="V1117" s="18">
        <f>SUM(V1109,V1111,V1115,V1116)</f>
        <v>8346121.540000001</v>
      </c>
      <c r="W1117" s="18">
        <f>+W1109+W1110+W1115+W1116+W1111</f>
        <v>7250653</v>
      </c>
      <c r="X1117" s="18">
        <f>+X1109+X1110+X1115+X1116+X1111</f>
        <v>1095468.540000001</v>
      </c>
    </row>
    <row r="1118" spans="1:24" ht="15">
      <c r="A1118" s="4"/>
      <c r="B1118" s="24"/>
      <c r="C1118" s="11"/>
      <c r="D1118" s="18"/>
      <c r="E1118" s="18"/>
      <c r="F1118" s="18"/>
      <c r="G1118" s="18"/>
      <c r="I1118" s="18"/>
      <c r="J1118" s="18"/>
      <c r="K1118" s="18"/>
      <c r="L1118" s="18"/>
      <c r="M1118" s="18"/>
      <c r="N1118" s="18"/>
      <c r="O1118" s="18"/>
      <c r="P1118" s="42"/>
      <c r="Q1118" s="18"/>
      <c r="R1118" s="18"/>
      <c r="S1118" s="18"/>
      <c r="T1118" s="18"/>
      <c r="U1118" s="42"/>
      <c r="V1118" s="18"/>
      <c r="W1118" s="18"/>
      <c r="X1118" s="18"/>
    </row>
    <row r="1119" spans="1:24" ht="15">
      <c r="A1119" s="4"/>
      <c r="B1119" s="24"/>
      <c r="C1119" s="11"/>
      <c r="D1119" s="18"/>
      <c r="E1119" s="18"/>
      <c r="F1119" s="18"/>
      <c r="G1119" s="18"/>
      <c r="I1119" s="18"/>
      <c r="J1119" s="18"/>
      <c r="K1119" s="18"/>
      <c r="L1119" s="18"/>
      <c r="M1119" s="18"/>
      <c r="N1119" s="18"/>
      <c r="O1119" s="18"/>
      <c r="P1119" s="42"/>
      <c r="Q1119" s="18"/>
      <c r="R1119" s="18"/>
      <c r="S1119" s="18"/>
      <c r="T1119" s="18"/>
      <c r="U1119" s="42"/>
      <c r="V1119" s="18"/>
      <c r="W1119" s="18"/>
      <c r="X1119" s="18"/>
    </row>
    <row r="1120" spans="1:24" ht="15">
      <c r="A1120" s="4"/>
      <c r="B1120" s="24"/>
      <c r="C1120" s="11"/>
      <c r="D1120" s="18"/>
      <c r="E1120" s="18"/>
      <c r="F1120" s="18"/>
      <c r="G1120" s="18"/>
      <c r="I1120" s="18"/>
      <c r="J1120" s="18"/>
      <c r="K1120" s="18"/>
      <c r="L1120" s="18"/>
      <c r="M1120" s="18"/>
      <c r="N1120" s="18"/>
      <c r="O1120" s="18"/>
      <c r="P1120" s="42"/>
      <c r="Q1120" s="18"/>
      <c r="R1120" s="18"/>
      <c r="S1120" s="18"/>
      <c r="T1120" s="18"/>
      <c r="U1120" s="42"/>
      <c r="V1120" s="18"/>
      <c r="W1120" s="18"/>
      <c r="X1120" s="18"/>
    </row>
    <row r="1121" spans="1:25" ht="15">
      <c r="A1121" s="4"/>
      <c r="B1121" s="24"/>
      <c r="C1121" s="11"/>
      <c r="D1121" s="10" t="s">
        <v>80</v>
      </c>
      <c r="E1121" s="10"/>
      <c r="F1121" s="10" t="s">
        <v>81</v>
      </c>
      <c r="G1121" s="10" t="s">
        <v>82</v>
      </c>
      <c r="I1121" s="10" t="s">
        <v>83</v>
      </c>
      <c r="J1121" s="10" t="s">
        <v>84</v>
      </c>
      <c r="K1121" s="10" t="s">
        <v>85</v>
      </c>
      <c r="L1121" s="10" t="s">
        <v>86</v>
      </c>
      <c r="M1121" s="43" t="s">
        <v>87</v>
      </c>
      <c r="N1121" s="43" t="s">
        <v>88</v>
      </c>
      <c r="O1121" s="44" t="s">
        <v>89</v>
      </c>
      <c r="P1121" s="42"/>
      <c r="Q1121" s="43" t="s">
        <v>90</v>
      </c>
      <c r="R1121" s="43" t="s">
        <v>91</v>
      </c>
      <c r="S1121" s="43"/>
      <c r="T1121" s="43" t="s">
        <v>92</v>
      </c>
      <c r="U1121" s="42"/>
      <c r="V1121" s="43" t="s">
        <v>93</v>
      </c>
      <c r="W1121" s="43" t="s">
        <v>94</v>
      </c>
      <c r="X1121" s="43" t="s">
        <v>95</v>
      </c>
      <c r="Y1121" s="18"/>
    </row>
    <row r="1122" spans="1:25" ht="15">
      <c r="A1122" s="4"/>
      <c r="B1122"/>
      <c r="C1122" s="11"/>
      <c r="D1122" s="10" t="s">
        <v>20</v>
      </c>
      <c r="E1122" s="38"/>
      <c r="F1122" s="10" t="s">
        <v>20</v>
      </c>
      <c r="G1122" s="10" t="s">
        <v>20</v>
      </c>
      <c r="I1122" s="10" t="s">
        <v>20</v>
      </c>
      <c r="J1122" s="10" t="s">
        <v>20</v>
      </c>
      <c r="K1122" s="10" t="s">
        <v>20</v>
      </c>
      <c r="L1122" s="10" t="s">
        <v>20</v>
      </c>
      <c r="M1122" s="10" t="s">
        <v>20</v>
      </c>
      <c r="N1122" s="10" t="s">
        <v>20</v>
      </c>
      <c r="O1122" s="10" t="s">
        <v>20</v>
      </c>
      <c r="P1122" s="18"/>
      <c r="Q1122" s="10" t="s">
        <v>20</v>
      </c>
      <c r="R1122" s="10" t="s">
        <v>20</v>
      </c>
      <c r="S1122" s="14"/>
      <c r="T1122" s="10" t="s">
        <v>20</v>
      </c>
      <c r="U1122" s="18"/>
      <c r="W1122" s="39" t="s">
        <v>96</v>
      </c>
      <c r="Y1122" s="18"/>
    </row>
    <row r="1123" spans="1:25" ht="15">
      <c r="A1123" s="4"/>
      <c r="B1123" s="87" t="s">
        <v>174</v>
      </c>
      <c r="C1123" s="11"/>
      <c r="D1123" s="8" t="s">
        <v>156</v>
      </c>
      <c r="E1123" s="6"/>
      <c r="F1123" s="8" t="s">
        <v>157</v>
      </c>
      <c r="G1123" s="45" t="s">
        <v>99</v>
      </c>
      <c r="H1123" s="19"/>
      <c r="I1123" s="45" t="s">
        <v>100</v>
      </c>
      <c r="J1123" s="45" t="s">
        <v>101</v>
      </c>
      <c r="K1123" s="45" t="s">
        <v>102</v>
      </c>
      <c r="L1123" s="45" t="s">
        <v>103</v>
      </c>
      <c r="M1123" s="45" t="s">
        <v>104</v>
      </c>
      <c r="N1123" s="45" t="s">
        <v>105</v>
      </c>
      <c r="O1123" s="45" t="s">
        <v>106</v>
      </c>
      <c r="P1123" s="6"/>
      <c r="Q1123" s="45" t="s">
        <v>107</v>
      </c>
      <c r="R1123" s="45" t="s">
        <v>108</v>
      </c>
      <c r="S1123" s="45"/>
      <c r="T1123" s="45" t="s">
        <v>109</v>
      </c>
      <c r="U1123" s="18"/>
      <c r="V1123" s="10" t="s">
        <v>20</v>
      </c>
      <c r="W1123" s="10" t="s">
        <v>21</v>
      </c>
      <c r="X1123" s="10" t="s">
        <v>22</v>
      </c>
      <c r="Y1123" s="18"/>
    </row>
    <row r="1124" spans="1:9" ht="15">
      <c r="A1124" s="4"/>
      <c r="B1124" s="24"/>
      <c r="C1124" s="11"/>
      <c r="E1124" s="14"/>
      <c r="F1124"/>
      <c r="H1124" s="18"/>
      <c r="I1124" s="16"/>
    </row>
    <row r="1125" spans="1:24" ht="15">
      <c r="A1125" s="4">
        <f>+A1118+1</f>
        <v>1</v>
      </c>
      <c r="B1125" s="5" t="s">
        <v>36</v>
      </c>
      <c r="C1125" s="17" t="s">
        <v>37</v>
      </c>
      <c r="D1125" s="18">
        <v>0</v>
      </c>
      <c r="E1125" s="18"/>
      <c r="F1125" s="18">
        <v>0</v>
      </c>
      <c r="G1125" s="18">
        <v>0</v>
      </c>
      <c r="I1125" s="18">
        <v>0</v>
      </c>
      <c r="J1125" s="18">
        <v>0</v>
      </c>
      <c r="K1125" s="46">
        <v>-30114</v>
      </c>
      <c r="L1125" s="27">
        <v>-7104</v>
      </c>
      <c r="M1125" s="18">
        <v>0</v>
      </c>
      <c r="N1125" s="18">
        <v>0</v>
      </c>
      <c r="O1125" s="18">
        <v>0</v>
      </c>
      <c r="Q1125" s="18">
        <v>0</v>
      </c>
      <c r="R1125" s="18">
        <v>0</v>
      </c>
      <c r="S1125" s="18"/>
      <c r="T1125" s="18">
        <v>0</v>
      </c>
      <c r="V1125" s="18">
        <f>+V1107+D1125+F1125+G1125+I1125+J1125+K1125+L1125+M1125+N1125+O1125+Q1125+R1125+T1125</f>
        <v>10115756.41</v>
      </c>
      <c r="W1125" s="18">
        <f>+W1107</f>
        <v>7384593</v>
      </c>
      <c r="X1125" s="18">
        <f>+V1125-W1125</f>
        <v>2731163.41</v>
      </c>
    </row>
    <row r="1126" spans="1:24" ht="15">
      <c r="A1126" s="4">
        <f>+A1125+1</f>
        <v>2</v>
      </c>
      <c r="B1126" s="5" t="s">
        <v>36</v>
      </c>
      <c r="C1126" s="22" t="s">
        <v>38</v>
      </c>
      <c r="D1126" s="18">
        <v>0</v>
      </c>
      <c r="E1126" s="18"/>
      <c r="F1126" s="18">
        <v>0</v>
      </c>
      <c r="G1126" s="18">
        <v>0</v>
      </c>
      <c r="I1126" s="18">
        <v>0</v>
      </c>
      <c r="J1126" s="18">
        <v>0</v>
      </c>
      <c r="K1126" s="46">
        <v>-30114</v>
      </c>
      <c r="L1126" s="27">
        <v>-7104</v>
      </c>
      <c r="M1126" s="18">
        <v>0</v>
      </c>
      <c r="N1126" s="18">
        <v>0</v>
      </c>
      <c r="O1126" s="18">
        <v>0</v>
      </c>
      <c r="Q1126" s="18">
        <v>0</v>
      </c>
      <c r="R1126" s="18">
        <v>0</v>
      </c>
      <c r="S1126" s="18"/>
      <c r="T1126" s="18">
        <v>0</v>
      </c>
      <c r="V1126" s="18">
        <f>+V1108+D1126+F1126+G1126+I1126+J1126+K1126+L1126+M1126+N1126+O1126+Q1126+R1126+T1126</f>
        <v>10107226.87</v>
      </c>
      <c r="W1126" s="18">
        <f>+W1108</f>
        <v>7220074</v>
      </c>
      <c r="X1126" s="18">
        <f>+V1126-W1126</f>
        <v>2887152.869999999</v>
      </c>
    </row>
    <row r="1127" spans="1:24" ht="15">
      <c r="A1127" s="4">
        <f>+A1126+1</f>
        <v>3</v>
      </c>
      <c r="B1127" s="24" t="s">
        <v>46</v>
      </c>
      <c r="C1127" s="40" t="s">
        <v>78</v>
      </c>
      <c r="D1127" s="18">
        <f>+D1125-D1126</f>
        <v>0</v>
      </c>
      <c r="E1127" s="18"/>
      <c r="F1127" s="18">
        <f>+F1125-F1126</f>
        <v>0</v>
      </c>
      <c r="G1127" s="18">
        <f>+G1125-G1126</f>
        <v>0</v>
      </c>
      <c r="I1127" s="18">
        <f aca="true" t="shared" si="141" ref="I1127:O1127">+I1125-I1126</f>
        <v>0</v>
      </c>
      <c r="J1127" s="18">
        <f t="shared" si="141"/>
        <v>0</v>
      </c>
      <c r="K1127" s="18">
        <f t="shared" si="141"/>
        <v>0</v>
      </c>
      <c r="L1127" s="18">
        <f t="shared" si="141"/>
        <v>0</v>
      </c>
      <c r="M1127" s="18">
        <f t="shared" si="141"/>
        <v>0</v>
      </c>
      <c r="N1127" s="18">
        <f t="shared" si="141"/>
        <v>0</v>
      </c>
      <c r="O1127" s="18">
        <f t="shared" si="141"/>
        <v>0</v>
      </c>
      <c r="Q1127" s="18">
        <f>+Q1125-Q1126</f>
        <v>0</v>
      </c>
      <c r="R1127" s="18">
        <f>+R1125-R1126</f>
        <v>0</v>
      </c>
      <c r="S1127" s="18"/>
      <c r="T1127" s="18">
        <f>+T1125-T1126</f>
        <v>0</v>
      </c>
      <c r="V1127" s="27">
        <f>+V1125-V1126</f>
        <v>8529.540000000969</v>
      </c>
      <c r="W1127" s="27">
        <f>+W1125-W1126</f>
        <v>164519</v>
      </c>
      <c r="X1127" s="18">
        <f>+X1125-X1126</f>
        <v>-155989.45999999903</v>
      </c>
    </row>
    <row r="1128" spans="1:24" ht="28.5">
      <c r="A1128" s="4">
        <f>+A1127+1</f>
        <v>4</v>
      </c>
      <c r="B1128" s="88" t="s">
        <v>182</v>
      </c>
      <c r="C1128" s="11"/>
      <c r="D1128" s="18">
        <v>0</v>
      </c>
      <c r="E1128" s="18"/>
      <c r="F1128" s="18">
        <v>0</v>
      </c>
      <c r="G1128" s="18">
        <v>0</v>
      </c>
      <c r="I1128" s="18">
        <v>0</v>
      </c>
      <c r="J1128" s="27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Q1128" s="18">
        <v>0</v>
      </c>
      <c r="R1128" s="18">
        <v>0</v>
      </c>
      <c r="S1128" s="18"/>
      <c r="T1128" s="18">
        <v>0</v>
      </c>
      <c r="V1128" s="18">
        <f>+V1110+D1128+F1128+G1128+I1128+J1128+K1128+L1128+M1128+N1128+O1128+Q1128+R1128+T1128</f>
        <v>0</v>
      </c>
      <c r="W1128" s="18">
        <f>+W1110</f>
        <v>0</v>
      </c>
      <c r="X1128" s="18">
        <f>+V1128-W1128</f>
        <v>0</v>
      </c>
    </row>
    <row r="1129" spans="1:24" ht="24.75">
      <c r="A1129" s="4">
        <f>+A1128+1</f>
        <v>5</v>
      </c>
      <c r="B1129" s="89" t="s">
        <v>39</v>
      </c>
      <c r="C1129" s="40"/>
      <c r="D1129" s="27">
        <v>53</v>
      </c>
      <c r="E1129" s="18"/>
      <c r="F1129" s="27">
        <v>32020</v>
      </c>
      <c r="G1129" s="27">
        <v>2461</v>
      </c>
      <c r="I1129" s="27">
        <v>0</v>
      </c>
      <c r="J1129" s="27">
        <v>0</v>
      </c>
      <c r="K1129" s="27">
        <v>-262386</v>
      </c>
      <c r="L1129" s="27">
        <v>0</v>
      </c>
      <c r="M1129" s="27">
        <v>-9644</v>
      </c>
      <c r="N1129" s="27">
        <v>0</v>
      </c>
      <c r="O1129" s="27">
        <v>-38186</v>
      </c>
      <c r="Q1129" s="27">
        <v>0</v>
      </c>
      <c r="R1129" s="27">
        <v>-7731</v>
      </c>
      <c r="S1129" s="27"/>
      <c r="T1129" s="27">
        <v>-39965</v>
      </c>
      <c r="V1129" s="18">
        <f>+V1111+D1129+F1129+G1129+I1129+J1129+K1129+L1129+M1129+N1129+O1129+Q1129+R1129+T1129</f>
        <v>-858660</v>
      </c>
      <c r="W1129" s="18">
        <f>+W1111</f>
        <v>0</v>
      </c>
      <c r="X1129" s="18">
        <f>+V1129-W1129</f>
        <v>-858660</v>
      </c>
    </row>
    <row r="1130" spans="1:24" ht="15">
      <c r="A1130" s="6" t="s">
        <v>41</v>
      </c>
      <c r="B1130" s="41"/>
      <c r="C1130" s="40"/>
      <c r="D1130" s="18"/>
      <c r="E1130" s="18"/>
      <c r="F1130" s="18"/>
      <c r="G1130" s="18"/>
      <c r="I1130" s="18"/>
      <c r="J1130" s="18"/>
      <c r="K1130" s="27"/>
      <c r="L1130" s="18"/>
      <c r="M1130" s="18"/>
      <c r="N1130" s="18"/>
      <c r="O1130" s="18"/>
      <c r="Q1130" s="18"/>
      <c r="R1130" s="18"/>
      <c r="S1130" s="18"/>
      <c r="T1130" s="18"/>
      <c r="V1130" s="18"/>
      <c r="W1130" s="18"/>
      <c r="X1130" s="18"/>
    </row>
    <row r="1131" spans="1:24" ht="15">
      <c r="A1131" s="4">
        <f>+A1129+1</f>
        <v>6</v>
      </c>
      <c r="B1131" s="5" t="s">
        <v>42</v>
      </c>
      <c r="C1131" s="22" t="s">
        <v>38</v>
      </c>
      <c r="D1131" s="18">
        <v>0</v>
      </c>
      <c r="E1131" s="18"/>
      <c r="F1131" s="18">
        <v>0</v>
      </c>
      <c r="G1131" s="18">
        <v>0</v>
      </c>
      <c r="I1131" s="18">
        <v>0</v>
      </c>
      <c r="J1131" s="18">
        <v>0</v>
      </c>
      <c r="K1131" s="46">
        <v>15668</v>
      </c>
      <c r="L1131" s="27">
        <v>-7239</v>
      </c>
      <c r="M1131" s="18">
        <v>0</v>
      </c>
      <c r="N1131" s="18">
        <v>0</v>
      </c>
      <c r="O1131" s="18">
        <v>0</v>
      </c>
      <c r="P1131" s="18"/>
      <c r="Q1131" s="18">
        <v>0</v>
      </c>
      <c r="R1131" s="18">
        <v>0</v>
      </c>
      <c r="S1131" s="18"/>
      <c r="T1131" s="18">
        <v>0</v>
      </c>
      <c r="U1131" s="18"/>
      <c r="V1131" s="18">
        <f>+V1113+D1131+F1131+G1131+I1131+J1131+K1131+L1131+M1131+N1131+O1131+Q1131+R1131+T1131</f>
        <v>8886168</v>
      </c>
      <c r="W1131" s="18">
        <f>+W1113</f>
        <v>7090166</v>
      </c>
      <c r="X1131" s="18">
        <f>+V1131-W1131</f>
        <v>1796002</v>
      </c>
    </row>
    <row r="1132" spans="1:24" ht="15">
      <c r="A1132" s="4">
        <f>+A1131+1</f>
        <v>7</v>
      </c>
      <c r="B1132" s="5" t="s">
        <v>43</v>
      </c>
      <c r="C1132" s="11"/>
      <c r="D1132" s="18">
        <v>0</v>
      </c>
      <c r="E1132" s="18"/>
      <c r="F1132" s="18">
        <v>0</v>
      </c>
      <c r="G1132" s="18">
        <v>0</v>
      </c>
      <c r="I1132" s="18">
        <v>0</v>
      </c>
      <c r="J1132" s="18">
        <v>0</v>
      </c>
      <c r="K1132" s="18">
        <v>0</v>
      </c>
      <c r="L1132" s="18">
        <v>0</v>
      </c>
      <c r="M1132" s="18">
        <v>0</v>
      </c>
      <c r="N1132" s="18">
        <v>0</v>
      </c>
      <c r="O1132" s="18">
        <v>0</v>
      </c>
      <c r="P1132" s="18"/>
      <c r="Q1132" s="18">
        <v>0</v>
      </c>
      <c r="R1132" s="18">
        <v>0</v>
      </c>
      <c r="S1132" s="18"/>
      <c r="T1132" s="18">
        <v>0</v>
      </c>
      <c r="U1132" s="18"/>
      <c r="V1132" s="18">
        <f>+V1114+D1132+F1132+G1132+I1132+J1132+K1132+L1132+M1132+N1132+O1132+Q1132+R1132+T1132</f>
        <v>4865</v>
      </c>
      <c r="W1132" s="18">
        <f>+W1114</f>
        <v>4032</v>
      </c>
      <c r="X1132" s="18">
        <f>+V1132-W1132</f>
        <v>833</v>
      </c>
    </row>
    <row r="1133" spans="1:24" ht="26.25">
      <c r="A1133" s="4">
        <f>+A1132+1</f>
        <v>8</v>
      </c>
      <c r="B1133" s="24" t="s">
        <v>79</v>
      </c>
      <c r="C1133" s="11"/>
      <c r="D1133" s="18">
        <f>+D1131-D1132</f>
        <v>0</v>
      </c>
      <c r="E1133" s="18"/>
      <c r="F1133" s="18">
        <f>+F1131-F1132</f>
        <v>0</v>
      </c>
      <c r="G1133" s="18">
        <f>+G1131-G1132</f>
        <v>0</v>
      </c>
      <c r="I1133" s="18">
        <f aca="true" t="shared" si="142" ref="I1133:O1133">+I1131-I1132</f>
        <v>0</v>
      </c>
      <c r="J1133" s="18">
        <f t="shared" si="142"/>
        <v>0</v>
      </c>
      <c r="K1133" s="18">
        <f t="shared" si="142"/>
        <v>15668</v>
      </c>
      <c r="L1133" s="18">
        <f t="shared" si="142"/>
        <v>-7239</v>
      </c>
      <c r="M1133" s="18">
        <f t="shared" si="142"/>
        <v>0</v>
      </c>
      <c r="N1133" s="18">
        <f t="shared" si="142"/>
        <v>0</v>
      </c>
      <c r="O1133" s="18">
        <f t="shared" si="142"/>
        <v>0</v>
      </c>
      <c r="P1133" s="18"/>
      <c r="Q1133" s="18">
        <f>+Q1131-Q1132</f>
        <v>0</v>
      </c>
      <c r="R1133" s="18">
        <f>+R1131-R1132</f>
        <v>0</v>
      </c>
      <c r="S1133" s="18"/>
      <c r="T1133" s="18">
        <f>+T1131-T1132</f>
        <v>0</v>
      </c>
      <c r="U1133" s="18"/>
      <c r="V1133" s="27">
        <f>+V1131-V1132</f>
        <v>8881303</v>
      </c>
      <c r="W1133" s="27">
        <f>+W1131-W1132</f>
        <v>7086134</v>
      </c>
      <c r="X1133" s="18">
        <f>+X1131-X1132</f>
        <v>1795169</v>
      </c>
    </row>
    <row r="1134" spans="1:24" ht="28.5">
      <c r="A1134" s="4">
        <f>+A1133+1</f>
        <v>9</v>
      </c>
      <c r="B1134" s="88" t="s">
        <v>181</v>
      </c>
      <c r="C1134" s="11"/>
      <c r="D1134" s="18">
        <v>0</v>
      </c>
      <c r="E1134" s="18"/>
      <c r="F1134" s="18">
        <v>0</v>
      </c>
      <c r="G1134" s="18">
        <v>0</v>
      </c>
      <c r="I1134" s="18">
        <v>0</v>
      </c>
      <c r="J1134" s="18">
        <v>0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  <c r="P1134" s="18"/>
      <c r="Q1134" s="18">
        <v>0</v>
      </c>
      <c r="R1134" s="18">
        <v>0</v>
      </c>
      <c r="S1134" s="18"/>
      <c r="T1134" s="18">
        <v>0</v>
      </c>
      <c r="U1134" s="18"/>
      <c r="V1134" s="18">
        <f>+V1116+D1134+F1134+G1134+I1134+J1134+K1134+L1134+M1134+N1134+O1134+Q1134+R1134+T1134</f>
        <v>0</v>
      </c>
      <c r="W1134" s="18">
        <f>+W1116</f>
        <v>0</v>
      </c>
      <c r="X1134" s="18">
        <f>+V1134-W1134</f>
        <v>0</v>
      </c>
    </row>
    <row r="1135" spans="1:24" ht="15">
      <c r="A1135" s="4">
        <f>+A1134+1</f>
        <v>10</v>
      </c>
      <c r="B1135" s="24" t="s">
        <v>46</v>
      </c>
      <c r="C1135" s="11" t="s">
        <v>47</v>
      </c>
      <c r="D1135" s="18">
        <f>+D1127+D1128+D1133+D1134+D1129</f>
        <v>53</v>
      </c>
      <c r="E1135" s="18"/>
      <c r="F1135" s="18">
        <f>+F1127+F1128+F1133+F1134+F1129</f>
        <v>32020</v>
      </c>
      <c r="G1135" s="18">
        <f>+G1127+G1128+G1133+G1134+G1129</f>
        <v>2461</v>
      </c>
      <c r="I1135" s="18">
        <f aca="true" t="shared" si="143" ref="I1135:O1135">+I1127+I1128+I1133+I1134+I1129</f>
        <v>0</v>
      </c>
      <c r="J1135" s="18">
        <f t="shared" si="143"/>
        <v>0</v>
      </c>
      <c r="K1135" s="18">
        <f t="shared" si="143"/>
        <v>-246718</v>
      </c>
      <c r="L1135" s="18">
        <f t="shared" si="143"/>
        <v>-7239</v>
      </c>
      <c r="M1135" s="18">
        <f t="shared" si="143"/>
        <v>-9644</v>
      </c>
      <c r="N1135" s="18">
        <f t="shared" si="143"/>
        <v>0</v>
      </c>
      <c r="O1135" s="18">
        <f t="shared" si="143"/>
        <v>-38186</v>
      </c>
      <c r="P1135" s="42"/>
      <c r="Q1135" s="18">
        <f>+Q1127+Q1128+Q1133+Q1134+Q1129</f>
        <v>0</v>
      </c>
      <c r="R1135" s="18">
        <f>+R1127+R1128+R1133+R1134+R1129</f>
        <v>-7731</v>
      </c>
      <c r="S1135" s="18"/>
      <c r="T1135" s="18">
        <f>+T1127+T1128+T1133+T1134+T1129</f>
        <v>-39965</v>
      </c>
      <c r="U1135" s="42"/>
      <c r="V1135" s="18">
        <f>+V1127+V1128+V1133+V1134+V1129</f>
        <v>8031172.540000001</v>
      </c>
      <c r="W1135" s="18">
        <f>+W1127+W1128+W1133+W1134+W1129</f>
        <v>7250653</v>
      </c>
      <c r="X1135" s="18">
        <f>+X1127+X1128+X1133+X1134+X1129</f>
        <v>780519.540000001</v>
      </c>
    </row>
    <row r="1136" spans="1:24" ht="15">
      <c r="A1136" s="4"/>
      <c r="B1136" s="24"/>
      <c r="C1136" s="11"/>
      <c r="D1136" s="18"/>
      <c r="E1136" s="18"/>
      <c r="F1136" s="18"/>
      <c r="G1136" s="18"/>
      <c r="I1136" s="18"/>
      <c r="J1136" s="18"/>
      <c r="K1136" s="27"/>
      <c r="L1136" s="18"/>
      <c r="M1136" s="18"/>
      <c r="N1136" s="18"/>
      <c r="O1136" s="18"/>
      <c r="P1136" s="42"/>
      <c r="Q1136" s="18"/>
      <c r="R1136" s="18"/>
      <c r="S1136" s="18"/>
      <c r="T1136" s="18"/>
      <c r="U1136" s="42"/>
      <c r="V1136" s="18"/>
      <c r="W1136" s="18"/>
      <c r="X1136" s="18"/>
    </row>
    <row r="1137" spans="1:24" ht="15">
      <c r="A1137" s="4"/>
      <c r="B1137" s="24"/>
      <c r="C1137" s="11"/>
      <c r="D1137" s="18"/>
      <c r="E1137" s="18"/>
      <c r="F1137" s="18"/>
      <c r="G1137" s="18"/>
      <c r="I1137" s="18"/>
      <c r="J1137" s="18"/>
      <c r="K1137" s="27"/>
      <c r="L1137" s="18"/>
      <c r="M1137" s="18"/>
      <c r="N1137" s="18"/>
      <c r="O1137" s="18"/>
      <c r="P1137" s="42"/>
      <c r="Q1137" s="18"/>
      <c r="R1137" s="18"/>
      <c r="S1137" s="18"/>
      <c r="T1137" s="18"/>
      <c r="U1137" s="42"/>
      <c r="V1137" s="18"/>
      <c r="W1137" s="18"/>
      <c r="X1137" s="18"/>
    </row>
    <row r="1138" spans="1:24" ht="15">
      <c r="A1138" s="4"/>
      <c r="B1138" s="24"/>
      <c r="C1138" s="11"/>
      <c r="D1138" s="18"/>
      <c r="E1138" s="18"/>
      <c r="F1138" s="18"/>
      <c r="G1138" s="18"/>
      <c r="I1138" s="18"/>
      <c r="J1138" s="18"/>
      <c r="K1138" s="18"/>
      <c r="L1138" s="18"/>
      <c r="M1138" s="18"/>
      <c r="N1138" s="18"/>
      <c r="O1138" s="18"/>
      <c r="P1138" s="42"/>
      <c r="Q1138" s="18"/>
      <c r="R1138" s="18"/>
      <c r="S1138" s="18"/>
      <c r="T1138" s="18"/>
      <c r="U1138" s="42"/>
      <c r="V1138" s="18"/>
      <c r="W1138" s="18"/>
      <c r="X1138" s="18"/>
    </row>
    <row r="1139" spans="1:24" ht="15">
      <c r="A1139" s="4"/>
      <c r="B1139" s="24"/>
      <c r="C1139" s="11"/>
      <c r="D1139" s="18"/>
      <c r="E1139" s="18"/>
      <c r="F1139" s="18"/>
      <c r="G1139" s="18"/>
      <c r="I1139" s="18"/>
      <c r="J1139" s="18"/>
      <c r="K1139" s="18"/>
      <c r="L1139" s="18"/>
      <c r="M1139" s="18"/>
      <c r="N1139" s="18"/>
      <c r="O1139" s="18"/>
      <c r="P1139" s="42"/>
      <c r="Q1139" s="18"/>
      <c r="R1139" s="18"/>
      <c r="S1139" s="18"/>
      <c r="T1139" s="18"/>
      <c r="U1139" s="42"/>
      <c r="V1139" s="18"/>
      <c r="W1139" s="18"/>
      <c r="X1139" s="18"/>
    </row>
    <row r="1140" spans="1:24" ht="15">
      <c r="A1140" s="4"/>
      <c r="B1140" s="24"/>
      <c r="C1140" s="11"/>
      <c r="D1140" s="18"/>
      <c r="E1140" s="18"/>
      <c r="F1140" s="18"/>
      <c r="G1140" s="18"/>
      <c r="I1140" s="18"/>
      <c r="J1140" s="18"/>
      <c r="K1140" s="18"/>
      <c r="L1140" s="18"/>
      <c r="M1140" s="18"/>
      <c r="N1140" s="18"/>
      <c r="O1140" s="18"/>
      <c r="P1140" s="42"/>
      <c r="Q1140" s="18"/>
      <c r="R1140" s="18"/>
      <c r="S1140" s="18"/>
      <c r="T1140" s="18"/>
      <c r="U1140" s="42"/>
      <c r="V1140" s="18"/>
      <c r="W1140" s="18"/>
      <c r="X1140" s="18"/>
    </row>
    <row r="1141" spans="1:24" ht="15">
      <c r="A1141" s="4"/>
      <c r="B1141" s="24"/>
      <c r="C1141" s="11"/>
      <c r="D1141" s="18"/>
      <c r="E1141" s="18"/>
      <c r="F1141" s="18"/>
      <c r="G1141" s="18"/>
      <c r="I1141" s="18"/>
      <c r="J1141" s="18"/>
      <c r="K1141" s="18"/>
      <c r="L1141" s="18"/>
      <c r="M1141" s="18"/>
      <c r="N1141" s="18"/>
      <c r="O1141" s="18"/>
      <c r="P1141" s="42"/>
      <c r="Q1141" s="18"/>
      <c r="R1141" s="18"/>
      <c r="S1141" s="18"/>
      <c r="T1141" s="18"/>
      <c r="U1141" s="42"/>
      <c r="V1141" s="18"/>
      <c r="W1141" s="18"/>
      <c r="X1141" s="18"/>
    </row>
    <row r="1142" spans="1:24" ht="15">
      <c r="A1142" s="4"/>
      <c r="B1142" s="24"/>
      <c r="C1142" s="11"/>
      <c r="D1142" s="18"/>
      <c r="E1142" s="18"/>
      <c r="F1142" s="18"/>
      <c r="G1142" s="18"/>
      <c r="I1142" s="18"/>
      <c r="J1142" s="18"/>
      <c r="K1142" s="18"/>
      <c r="L1142" s="18"/>
      <c r="M1142" s="18"/>
      <c r="N1142" s="18"/>
      <c r="O1142" s="18"/>
      <c r="P1142" s="42"/>
      <c r="Q1142" s="18"/>
      <c r="R1142" s="18"/>
      <c r="S1142" s="18"/>
      <c r="T1142" s="18"/>
      <c r="U1142" s="42"/>
      <c r="V1142" s="18"/>
      <c r="W1142" s="18"/>
      <c r="X1142" s="18"/>
    </row>
    <row r="1143" spans="1:24" ht="15">
      <c r="A1143" s="4"/>
      <c r="B1143" s="24"/>
      <c r="C1143" s="11"/>
      <c r="D1143" s="10" t="s">
        <v>4</v>
      </c>
      <c r="E1143" s="10"/>
      <c r="F1143" s="10" t="s">
        <v>5</v>
      </c>
      <c r="G1143" s="10" t="s">
        <v>6</v>
      </c>
      <c r="H1143" s="10"/>
      <c r="I1143" s="10" t="s">
        <v>7</v>
      </c>
      <c r="J1143" s="10" t="s">
        <v>8</v>
      </c>
      <c r="K1143" s="10" t="s">
        <v>9</v>
      </c>
      <c r="L1143" s="10" t="s">
        <v>10</v>
      </c>
      <c r="M1143" s="10" t="s">
        <v>11</v>
      </c>
      <c r="N1143" s="10" t="s">
        <v>12</v>
      </c>
      <c r="O1143" s="10" t="s">
        <v>13</v>
      </c>
      <c r="P1143" s="10"/>
      <c r="Q1143" s="10" t="s">
        <v>14</v>
      </c>
      <c r="R1143" s="10" t="s">
        <v>15</v>
      </c>
      <c r="S1143" s="10"/>
      <c r="T1143" s="10" t="s">
        <v>16</v>
      </c>
      <c r="U1143" s="10"/>
      <c r="V1143" s="10" t="s">
        <v>17</v>
      </c>
      <c r="W1143" s="10" t="s">
        <v>18</v>
      </c>
      <c r="X1143" s="10" t="s">
        <v>19</v>
      </c>
    </row>
    <row r="1144" spans="1:23" ht="15">
      <c r="A1144" s="4"/>
      <c r="B1144" s="24"/>
      <c r="C1144" s="11"/>
      <c r="D1144" s="10" t="s">
        <v>20</v>
      </c>
      <c r="E1144" s="10"/>
      <c r="F1144" s="14" t="s">
        <v>21</v>
      </c>
      <c r="G1144" s="10"/>
      <c r="I1144" s="39" t="s">
        <v>110</v>
      </c>
      <c r="J1144" s="47" t="s">
        <v>111</v>
      </c>
      <c r="K1144" s="39"/>
      <c r="L1144" s="10" t="s">
        <v>20</v>
      </c>
      <c r="M1144" s="10" t="s">
        <v>20</v>
      </c>
      <c r="N1144" s="10" t="s">
        <v>20</v>
      </c>
      <c r="O1144" s="10" t="s">
        <v>20</v>
      </c>
      <c r="P1144" s="42"/>
      <c r="Q1144" s="10" t="s">
        <v>20</v>
      </c>
      <c r="R1144" s="10" t="s">
        <v>20</v>
      </c>
      <c r="S1144" s="48"/>
      <c r="T1144" s="10" t="s">
        <v>20</v>
      </c>
      <c r="U1144" s="42"/>
      <c r="W1144" s="39" t="s">
        <v>112</v>
      </c>
    </row>
    <row r="1145" spans="1:24" ht="15">
      <c r="A1145" s="4"/>
      <c r="B1145" s="87" t="s">
        <v>183</v>
      </c>
      <c r="C1145" s="11"/>
      <c r="D1145" s="8" t="s">
        <v>113</v>
      </c>
      <c r="E1145" s="6"/>
      <c r="F1145" s="6" t="s">
        <v>114</v>
      </c>
      <c r="G1145" s="49" t="s">
        <v>22</v>
      </c>
      <c r="I1145" s="8" t="s">
        <v>113</v>
      </c>
      <c r="J1145" s="6" t="s">
        <v>114</v>
      </c>
      <c r="K1145" s="49" t="s">
        <v>24</v>
      </c>
      <c r="L1145" s="13" t="s">
        <v>115</v>
      </c>
      <c r="M1145" s="13" t="s">
        <v>116</v>
      </c>
      <c r="N1145" s="13" t="s">
        <v>117</v>
      </c>
      <c r="O1145" s="13" t="s">
        <v>118</v>
      </c>
      <c r="P1145" s="42"/>
      <c r="Q1145" s="13" t="s">
        <v>119</v>
      </c>
      <c r="R1145" s="13" t="s">
        <v>120</v>
      </c>
      <c r="T1145" s="13" t="s">
        <v>121</v>
      </c>
      <c r="U1145" s="42"/>
      <c r="V1145" s="10" t="s">
        <v>20</v>
      </c>
      <c r="W1145" s="10" t="s">
        <v>21</v>
      </c>
      <c r="X1145" s="10" t="s">
        <v>22</v>
      </c>
    </row>
    <row r="1146" spans="1:24" ht="15">
      <c r="A1146" s="4"/>
      <c r="B1146" s="24"/>
      <c r="C1146" s="11"/>
      <c r="D1146" s="18"/>
      <c r="E1146" s="18"/>
      <c r="F1146" s="18"/>
      <c r="G1146" s="18"/>
      <c r="I1146" s="72" t="s">
        <v>0</v>
      </c>
      <c r="K1146" s="42"/>
      <c r="L1146" s="42"/>
      <c r="N1146" s="42"/>
      <c r="O1146" s="18"/>
      <c r="P1146" s="42"/>
      <c r="U1146" s="42"/>
      <c r="V1146" s="18"/>
      <c r="W1146" s="39" t="s">
        <v>122</v>
      </c>
      <c r="X1146" s="18"/>
    </row>
    <row r="1147" spans="1:24" ht="15">
      <c r="A1147" s="4">
        <f>+A1115+1</f>
        <v>19</v>
      </c>
      <c r="B1147" s="5" t="s">
        <v>36</v>
      </c>
      <c r="C1147" s="17" t="s">
        <v>37</v>
      </c>
      <c r="D1147" s="27">
        <f>530724+832917</f>
        <v>1363641</v>
      </c>
      <c r="E1147" s="18" t="s">
        <v>0</v>
      </c>
      <c r="F1147" s="27">
        <v>432369</v>
      </c>
      <c r="G1147" s="18">
        <f>D1147-F1147</f>
        <v>931272</v>
      </c>
      <c r="I1147" s="27">
        <f>-139.48-692.84</f>
        <v>-832.32</v>
      </c>
      <c r="J1147" s="27">
        <f>96.37+706.84+30.56</f>
        <v>833.77</v>
      </c>
      <c r="K1147" s="36">
        <f>+I1147-J1147</f>
        <v>-1666.0900000000001</v>
      </c>
      <c r="L1147" s="18">
        <v>0</v>
      </c>
      <c r="M1147" s="27">
        <v>-126669</v>
      </c>
      <c r="N1147" s="27">
        <v>37591</v>
      </c>
      <c r="O1147" s="18">
        <v>0</v>
      </c>
      <c r="P1147" s="42"/>
      <c r="Q1147" s="31">
        <v>0</v>
      </c>
      <c r="R1147" s="18">
        <v>0</v>
      </c>
      <c r="S1147" s="18"/>
      <c r="T1147" s="18">
        <v>0</v>
      </c>
      <c r="U1147" s="42"/>
      <c r="V1147" s="31">
        <f>+D1147+I1147+L1147+M1147+N1147+O1147+Q1147+R1147+T1147</f>
        <v>1273730.68</v>
      </c>
      <c r="W1147" s="18">
        <f>+F1147+J1147</f>
        <v>433202.77</v>
      </c>
      <c r="X1147" s="18">
        <f>+V1147-W1147</f>
        <v>840527.9099999999</v>
      </c>
    </row>
    <row r="1148" spans="1:24" ht="15">
      <c r="A1148" s="4">
        <f>+A1147+1</f>
        <v>20</v>
      </c>
      <c r="B1148" s="5" t="s">
        <v>36</v>
      </c>
      <c r="C1148" s="22" t="s">
        <v>38</v>
      </c>
      <c r="D1148" s="27">
        <f>530724+824717</f>
        <v>1355441</v>
      </c>
      <c r="E1148" s="18" t="s">
        <v>0</v>
      </c>
      <c r="F1148" s="27">
        <v>433573</v>
      </c>
      <c r="G1148" s="18">
        <f>D1148-F1148</f>
        <v>921868</v>
      </c>
      <c r="I1148" s="27">
        <v>-671</v>
      </c>
      <c r="J1148" s="31">
        <f>96+685</f>
        <v>781</v>
      </c>
      <c r="K1148" s="36">
        <f>+I1148-J1148</f>
        <v>-1452</v>
      </c>
      <c r="L1148" s="18">
        <v>0</v>
      </c>
      <c r="M1148" s="27">
        <v>-126695</v>
      </c>
      <c r="N1148" s="27">
        <v>37591</v>
      </c>
      <c r="O1148" s="18">
        <v>0</v>
      </c>
      <c r="P1148" s="42"/>
      <c r="Q1148" s="31">
        <v>0</v>
      </c>
      <c r="R1148" s="18">
        <v>0</v>
      </c>
      <c r="S1148" s="18"/>
      <c r="T1148" s="18">
        <v>0</v>
      </c>
      <c r="U1148" s="42"/>
      <c r="V1148" s="31">
        <f>+D1148+I1148+L1148+M1148+N1148+O1148+Q1148+R1148+T1148</f>
        <v>1265666</v>
      </c>
      <c r="W1148" s="18">
        <f>+F1148+J1148</f>
        <v>434354</v>
      </c>
      <c r="X1148" s="18">
        <f>+V1148-W1148</f>
        <v>831312</v>
      </c>
    </row>
    <row r="1149" spans="1:24" ht="15">
      <c r="A1149" s="4">
        <f>+A1148+1</f>
        <v>21</v>
      </c>
      <c r="B1149" s="24" t="s">
        <v>46</v>
      </c>
      <c r="C1149" s="40" t="s">
        <v>78</v>
      </c>
      <c r="D1149" s="18">
        <f>+D1147-D1148</f>
        <v>8200</v>
      </c>
      <c r="E1149" s="18"/>
      <c r="F1149" s="18">
        <f>+F1147-F1148</f>
        <v>-1204</v>
      </c>
      <c r="G1149" s="18">
        <f>+G1147-G1148</f>
        <v>9404</v>
      </c>
      <c r="I1149" s="18">
        <f>+I1147-I1148</f>
        <v>-161.32000000000005</v>
      </c>
      <c r="J1149" s="18">
        <f>+J1147-J1148</f>
        <v>52.76999999999998</v>
      </c>
      <c r="K1149" s="18">
        <f>K1147-K1148</f>
        <v>-214.09000000000015</v>
      </c>
      <c r="L1149" s="18">
        <f>+L1147-L1148</f>
        <v>0</v>
      </c>
      <c r="M1149" s="18">
        <f>+M1147-M1148</f>
        <v>26</v>
      </c>
      <c r="N1149" s="18">
        <f>+N1147-N1148</f>
        <v>0</v>
      </c>
      <c r="O1149" s="18">
        <f>+O1147-O1148</f>
        <v>0</v>
      </c>
      <c r="P1149" s="42"/>
      <c r="Q1149" s="18">
        <f>+Q1147-Q1148</f>
        <v>0</v>
      </c>
      <c r="R1149" s="18">
        <f>+R1147-R1148</f>
        <v>0</v>
      </c>
      <c r="S1149" s="18"/>
      <c r="T1149" s="18">
        <f>+T1147-T1148</f>
        <v>0</v>
      </c>
      <c r="U1149" s="42"/>
      <c r="V1149" s="31">
        <f>+V1147-V1148</f>
        <v>8064.679999999935</v>
      </c>
      <c r="W1149" s="31">
        <f>+W1147-W1148</f>
        <v>-1151.2299999999814</v>
      </c>
      <c r="X1149" s="18">
        <f>+X1147-X1148</f>
        <v>9215.909999999916</v>
      </c>
    </row>
    <row r="1150" spans="1:24" ht="28.5">
      <c r="A1150" s="4">
        <f>+A1149+1</f>
        <v>22</v>
      </c>
      <c r="B1150" s="88" t="s">
        <v>182</v>
      </c>
      <c r="C1150" s="11"/>
      <c r="D1150" s="18">
        <v>0</v>
      </c>
      <c r="E1150" s="18"/>
      <c r="F1150" s="18">
        <v>0</v>
      </c>
      <c r="G1150" s="18">
        <f>+D1150-F1150</f>
        <v>0</v>
      </c>
      <c r="I1150" s="18">
        <v>0</v>
      </c>
      <c r="J1150" s="18">
        <v>0</v>
      </c>
      <c r="K1150" s="18">
        <f>+I1150-J1150</f>
        <v>0</v>
      </c>
      <c r="L1150" s="18">
        <v>0</v>
      </c>
      <c r="M1150" s="18">
        <v>0</v>
      </c>
      <c r="N1150" s="18">
        <f>+L1150-M1150</f>
        <v>0</v>
      </c>
      <c r="O1150" s="18">
        <v>0</v>
      </c>
      <c r="P1150" s="42"/>
      <c r="Q1150" s="18">
        <v>0</v>
      </c>
      <c r="R1150" s="18">
        <v>0</v>
      </c>
      <c r="S1150" s="18"/>
      <c r="T1150" s="18">
        <v>0</v>
      </c>
      <c r="U1150" s="42"/>
      <c r="V1150" s="31">
        <f>+D1150+I1150+L1150+M1150+N1150+O1150+Q1150+R1150+T1150</f>
        <v>0</v>
      </c>
      <c r="W1150" s="18">
        <f>+F1150+J1150</f>
        <v>0</v>
      </c>
      <c r="X1150" s="18">
        <f>+V1150-W1150</f>
        <v>0</v>
      </c>
    </row>
    <row r="1151" spans="1:24" ht="24.75">
      <c r="A1151" s="4">
        <f>+A1150+1</f>
        <v>23</v>
      </c>
      <c r="B1151" s="89" t="s">
        <v>39</v>
      </c>
      <c r="C1151" s="40"/>
      <c r="D1151" s="27">
        <v>-149268</v>
      </c>
      <c r="E1151" s="18" t="s">
        <v>0</v>
      </c>
      <c r="F1151" s="27">
        <v>492007</v>
      </c>
      <c r="G1151" s="18">
        <f>D1151-F1151</f>
        <v>-641275</v>
      </c>
      <c r="I1151" s="27">
        <v>0</v>
      </c>
      <c r="J1151" s="27">
        <v>0</v>
      </c>
      <c r="K1151" s="18">
        <f>+I1151-J1151</f>
        <v>0</v>
      </c>
      <c r="L1151" s="18">
        <v>39383</v>
      </c>
      <c r="M1151" s="27">
        <v>-118813</v>
      </c>
      <c r="N1151" s="27">
        <v>0</v>
      </c>
      <c r="O1151" s="27">
        <v>37242</v>
      </c>
      <c r="P1151" s="42"/>
      <c r="Q1151" s="55">
        <v>0</v>
      </c>
      <c r="R1151" s="21">
        <v>0</v>
      </c>
      <c r="S1151" s="18"/>
      <c r="T1151" s="18">
        <v>0</v>
      </c>
      <c r="U1151" s="42"/>
      <c r="V1151" s="31">
        <f>+D1151+I1151+M1151+N1151+L1151+O1151+Q1151+R1151+T1151</f>
        <v>-191456</v>
      </c>
      <c r="W1151" s="18">
        <f>+F1151+J1151</f>
        <v>492007</v>
      </c>
      <c r="X1151" s="36">
        <f>+V1151-W1151</f>
        <v>-683463</v>
      </c>
    </row>
    <row r="1152" spans="1:24" ht="15">
      <c r="A1152" s="6" t="s">
        <v>41</v>
      </c>
      <c r="B1152" s="41"/>
      <c r="C1152" s="40"/>
      <c r="D1152" s="18"/>
      <c r="E1152" s="18"/>
      <c r="F1152" s="18" t="s">
        <v>0</v>
      </c>
      <c r="G1152" s="18"/>
      <c r="I1152" s="18"/>
      <c r="J1152" s="18"/>
      <c r="K1152" s="18"/>
      <c r="L1152" s="18"/>
      <c r="M1152" s="18"/>
      <c r="N1152" s="18"/>
      <c r="O1152" s="18"/>
      <c r="P1152" s="42"/>
      <c r="Q1152" s="18"/>
      <c r="R1152" s="18"/>
      <c r="S1152" s="18"/>
      <c r="T1152" s="18" t="s">
        <v>0</v>
      </c>
      <c r="U1152" s="42"/>
      <c r="V1152" s="30"/>
      <c r="W1152" s="30"/>
      <c r="X1152" s="36"/>
    </row>
    <row r="1153" spans="1:24" ht="15">
      <c r="A1153" s="4">
        <f>+A1151+1</f>
        <v>24</v>
      </c>
      <c r="B1153" s="5" t="s">
        <v>42</v>
      </c>
      <c r="C1153" s="22" t="s">
        <v>38</v>
      </c>
      <c r="D1153" s="27">
        <f>932194+538328</f>
        <v>1470522</v>
      </c>
      <c r="E1153" s="18" t="s">
        <v>0</v>
      </c>
      <c r="F1153" s="27">
        <v>433572</v>
      </c>
      <c r="G1153" s="18">
        <f>D1153-F1153</f>
        <v>1036950</v>
      </c>
      <c r="I1153" s="18">
        <v>-707</v>
      </c>
      <c r="J1153" s="26">
        <v>782</v>
      </c>
      <c r="K1153" s="18">
        <f>+I1153-J1153</f>
        <v>-1489</v>
      </c>
      <c r="L1153" s="27">
        <v>0</v>
      </c>
      <c r="M1153" s="27">
        <v>-244824</v>
      </c>
      <c r="N1153" s="27">
        <v>38307</v>
      </c>
      <c r="O1153" s="18">
        <v>0</v>
      </c>
      <c r="P1153" s="42"/>
      <c r="Q1153" s="31">
        <v>0</v>
      </c>
      <c r="R1153" s="18">
        <v>0</v>
      </c>
      <c r="S1153" s="18" t="s">
        <v>0</v>
      </c>
      <c r="T1153" s="18">
        <v>0</v>
      </c>
      <c r="U1153" s="42"/>
      <c r="V1153" s="31">
        <f>+D1153+I1153+L1153+M1153+N1153+O1153+Q1153+R1153+T1153</f>
        <v>1263298</v>
      </c>
      <c r="W1153" s="18">
        <f>+F1153+J1153</f>
        <v>434354</v>
      </c>
      <c r="X1153" s="18">
        <f>+V1153-W1153</f>
        <v>828944</v>
      </c>
    </row>
    <row r="1154" spans="1:24" ht="15">
      <c r="A1154" s="4">
        <f>+A1153+1</f>
        <v>25</v>
      </c>
      <c r="B1154" s="5" t="s">
        <v>43</v>
      </c>
      <c r="C1154" s="11"/>
      <c r="D1154" s="18"/>
      <c r="E1154" s="18"/>
      <c r="F1154" s="18">
        <v>0</v>
      </c>
      <c r="G1154" s="18">
        <f>+D1154-F1154</f>
        <v>0</v>
      </c>
      <c r="I1154" s="18">
        <v>0</v>
      </c>
      <c r="J1154" s="18">
        <v>0</v>
      </c>
      <c r="K1154" s="18">
        <f>+I1154-J1154</f>
        <v>0</v>
      </c>
      <c r="L1154" s="18">
        <v>0</v>
      </c>
      <c r="M1154" s="18">
        <v>0</v>
      </c>
      <c r="N1154" s="18">
        <f>+L1154-M1154</f>
        <v>0</v>
      </c>
      <c r="O1154" s="18">
        <v>0</v>
      </c>
      <c r="P1154" s="42"/>
      <c r="Q1154" s="18">
        <v>0</v>
      </c>
      <c r="R1154" s="18">
        <v>0</v>
      </c>
      <c r="S1154" s="18"/>
      <c r="T1154" s="18">
        <v>0</v>
      </c>
      <c r="U1154" s="42"/>
      <c r="V1154" s="31">
        <f>+D1154+I1154+L1154+O1154+Q1154+R1154+T1154</f>
        <v>0</v>
      </c>
      <c r="W1154" s="18">
        <f>+F1154+J1154+M1154</f>
        <v>0</v>
      </c>
      <c r="X1154" s="18">
        <f>+V1154-W1154</f>
        <v>0</v>
      </c>
    </row>
    <row r="1155" spans="1:24" ht="26.25">
      <c r="A1155" s="4">
        <f>+A1154+1</f>
        <v>26</v>
      </c>
      <c r="B1155" s="24" t="s">
        <v>79</v>
      </c>
      <c r="C1155" s="11"/>
      <c r="D1155" s="18">
        <f>+D1153-D1154</f>
        <v>1470522</v>
      </c>
      <c r="E1155" s="18"/>
      <c r="F1155" s="18">
        <f>+F1153-F1154</f>
        <v>433572</v>
      </c>
      <c r="G1155" s="18">
        <f>+G1153-G1154</f>
        <v>1036950</v>
      </c>
      <c r="I1155" s="18">
        <f aca="true" t="shared" si="144" ref="I1155:N1155">+I1153-I1154</f>
        <v>-707</v>
      </c>
      <c r="J1155" s="18">
        <f t="shared" si="144"/>
        <v>782</v>
      </c>
      <c r="K1155" s="18">
        <f t="shared" si="144"/>
        <v>-1489</v>
      </c>
      <c r="L1155" s="18">
        <f t="shared" si="144"/>
        <v>0</v>
      </c>
      <c r="M1155" s="18">
        <f t="shared" si="144"/>
        <v>-244824</v>
      </c>
      <c r="N1155" s="18">
        <f t="shared" si="144"/>
        <v>38307</v>
      </c>
      <c r="O1155" s="18">
        <v>0</v>
      </c>
      <c r="P1155" s="42"/>
      <c r="Q1155" s="18">
        <f>+Q1153-Q1154</f>
        <v>0</v>
      </c>
      <c r="R1155" s="18">
        <f>+R1153-R1154</f>
        <v>0</v>
      </c>
      <c r="S1155" s="18"/>
      <c r="T1155" s="18">
        <f>+T1153-T1154</f>
        <v>0</v>
      </c>
      <c r="U1155" s="42"/>
      <c r="V1155" s="27">
        <f>+V1153-V1154</f>
        <v>1263298</v>
      </c>
      <c r="W1155" s="27">
        <f>+W1153-W1154</f>
        <v>434354</v>
      </c>
      <c r="X1155" s="31">
        <f>+X1153-X1154</f>
        <v>828944</v>
      </c>
    </row>
    <row r="1156" spans="1:24" ht="28.5">
      <c r="A1156" s="4">
        <f>+A1155+1</f>
        <v>27</v>
      </c>
      <c r="B1156" s="88" t="s">
        <v>181</v>
      </c>
      <c r="C1156" s="11"/>
      <c r="D1156" s="18">
        <v>0</v>
      </c>
      <c r="E1156" s="18"/>
      <c r="F1156" s="18">
        <v>0</v>
      </c>
      <c r="G1156" s="18">
        <f>+D1156-F1156</f>
        <v>0</v>
      </c>
      <c r="I1156" s="18">
        <v>0</v>
      </c>
      <c r="J1156" s="18">
        <v>0</v>
      </c>
      <c r="K1156" s="18">
        <f>+I1156-J1156</f>
        <v>0</v>
      </c>
      <c r="L1156" s="18">
        <v>0</v>
      </c>
      <c r="M1156" s="18">
        <v>0</v>
      </c>
      <c r="N1156" s="18">
        <f>+L1156-M1156</f>
        <v>0</v>
      </c>
      <c r="O1156" s="18">
        <v>0</v>
      </c>
      <c r="P1156" s="42"/>
      <c r="Q1156" s="18">
        <v>0</v>
      </c>
      <c r="R1156" s="18">
        <v>0</v>
      </c>
      <c r="S1156" s="18"/>
      <c r="T1156" s="18">
        <v>0</v>
      </c>
      <c r="U1156" s="42"/>
      <c r="V1156" s="31">
        <f>+D1156+I1156+L1156+O1156+Q1156+R1156+T1156</f>
        <v>0</v>
      </c>
      <c r="W1156" s="18">
        <f>+F1156+J1156+M1156</f>
        <v>0</v>
      </c>
      <c r="X1156" s="18">
        <f>+V1156-W1156</f>
        <v>0</v>
      </c>
    </row>
    <row r="1157" spans="1:24" ht="15">
      <c r="A1157" s="4">
        <f>+A1156+1</f>
        <v>28</v>
      </c>
      <c r="B1157" s="24" t="s">
        <v>46</v>
      </c>
      <c r="C1157" s="11" t="s">
        <v>47</v>
      </c>
      <c r="D1157" s="51">
        <f>+D1149+D1150+D1155+D1156+D1151</f>
        <v>1329454</v>
      </c>
      <c r="E1157" s="18"/>
      <c r="F1157" s="52">
        <f>+F1149+F1150+F1155+F1156+F1151</f>
        <v>924375</v>
      </c>
      <c r="G1157" s="18">
        <f>+G1149+G1150+G1155+G1156+G1151</f>
        <v>405079</v>
      </c>
      <c r="I1157" s="51">
        <f aca="true" t="shared" si="145" ref="I1157:O1157">+I1149+I1150+I1155+I1156+I1151</f>
        <v>-868.32</v>
      </c>
      <c r="J1157" s="52">
        <f t="shared" si="145"/>
        <v>834.77</v>
      </c>
      <c r="K1157" s="18">
        <f t="shared" si="145"/>
        <v>-1703.0900000000001</v>
      </c>
      <c r="L1157" s="18">
        <f t="shared" si="145"/>
        <v>39383</v>
      </c>
      <c r="M1157" s="18">
        <f t="shared" si="145"/>
        <v>-363611</v>
      </c>
      <c r="N1157" s="18">
        <f t="shared" si="145"/>
        <v>38307</v>
      </c>
      <c r="O1157" s="18">
        <f t="shared" si="145"/>
        <v>37242</v>
      </c>
      <c r="P1157" s="42"/>
      <c r="Q1157" s="18">
        <f>+Q1149+Q1150+Q1155+Q1156+Q1151</f>
        <v>0</v>
      </c>
      <c r="R1157" s="18">
        <f>+R1149+R1150+R1155+R1156+R1151</f>
        <v>0</v>
      </c>
      <c r="S1157" s="18"/>
      <c r="T1157" s="18">
        <f>+T1149+T1150+T1155+T1156+T1151</f>
        <v>0</v>
      </c>
      <c r="U1157" s="42"/>
      <c r="V1157" s="18">
        <f>+V1149+V1150+V1155+V1156+V1151</f>
        <v>1079906.68</v>
      </c>
      <c r="W1157" s="18">
        <f>+W1149+W1150+W1155+W1156+W1151</f>
        <v>925209.77</v>
      </c>
      <c r="X1157" s="18">
        <f>+X1149+X1150+X1155+X1156+X1151</f>
        <v>154696.90999999992</v>
      </c>
    </row>
    <row r="1158" spans="1:24" ht="15">
      <c r="A1158" s="4"/>
      <c r="B1158" s="24" t="s">
        <v>0</v>
      </c>
      <c r="C1158" s="11"/>
      <c r="D1158" s="27">
        <v>1328586</v>
      </c>
      <c r="E1158" s="18"/>
      <c r="F1158" s="18">
        <v>925209.53</v>
      </c>
      <c r="G1158" s="18"/>
      <c r="I1158" s="18"/>
      <c r="J1158" s="18"/>
      <c r="K1158" s="18"/>
      <c r="L1158" s="18"/>
      <c r="M1158" s="42"/>
      <c r="N1158" s="73" t="s">
        <v>0</v>
      </c>
      <c r="O1158" s="42"/>
      <c r="P1158" s="42"/>
      <c r="Q1158" s="42"/>
      <c r="U1158" s="42"/>
      <c r="V1158" s="18"/>
      <c r="W1158" s="18"/>
      <c r="X1158" s="18"/>
    </row>
    <row r="1159" spans="1:24" ht="15">
      <c r="A1159" s="4"/>
      <c r="B1159" s="92" t="s">
        <v>0</v>
      </c>
      <c r="C1159" s="11"/>
      <c r="D1159" s="6" t="s">
        <v>48</v>
      </c>
      <c r="E1159" s="6"/>
      <c r="F1159" s="10" t="s">
        <v>49</v>
      </c>
      <c r="G1159" s="10" t="s">
        <v>50</v>
      </c>
      <c r="I1159" s="10" t="s">
        <v>51</v>
      </c>
      <c r="J1159" s="10" t="s">
        <v>52</v>
      </c>
      <c r="K1159" s="10" t="s">
        <v>53</v>
      </c>
      <c r="L1159" s="10" t="s">
        <v>54</v>
      </c>
      <c r="M1159" s="10" t="s">
        <v>55</v>
      </c>
      <c r="N1159" s="10" t="s">
        <v>56</v>
      </c>
      <c r="O1159" s="10" t="s">
        <v>57</v>
      </c>
      <c r="P1159" s="18"/>
      <c r="Q1159" s="10" t="s">
        <v>58</v>
      </c>
      <c r="R1159" s="10" t="s">
        <v>59</v>
      </c>
      <c r="S1159" s="10"/>
      <c r="T1159" s="10" t="s">
        <v>60</v>
      </c>
      <c r="U1159" s="18"/>
      <c r="V1159" s="10" t="s">
        <v>61</v>
      </c>
      <c r="W1159" s="10" t="s">
        <v>62</v>
      </c>
      <c r="X1159" s="10" t="s">
        <v>63</v>
      </c>
    </row>
    <row r="1160" spans="1:24" ht="15">
      <c r="A1160" s="4"/>
      <c r="B1160" s="24"/>
      <c r="C1160" s="11"/>
      <c r="D1160" s="14" t="s">
        <v>20</v>
      </c>
      <c r="E1160" s="18"/>
      <c r="F1160" s="14" t="s">
        <v>20</v>
      </c>
      <c r="G1160" s="14" t="s">
        <v>20</v>
      </c>
      <c r="I1160" s="14" t="s">
        <v>20</v>
      </c>
      <c r="J1160" s="14" t="s">
        <v>21</v>
      </c>
      <c r="K1160" s="14" t="s">
        <v>21</v>
      </c>
      <c r="L1160" s="14" t="s">
        <v>21</v>
      </c>
      <c r="M1160" s="14" t="s">
        <v>21</v>
      </c>
      <c r="N1160" s="14" t="s">
        <v>21</v>
      </c>
      <c r="O1160" s="14" t="s">
        <v>21</v>
      </c>
      <c r="P1160" s="14"/>
      <c r="Q1160" s="14" t="s">
        <v>21</v>
      </c>
      <c r="R1160" s="14" t="s">
        <v>21</v>
      </c>
      <c r="T1160" s="14" t="s">
        <v>21</v>
      </c>
      <c r="U1160" s="42"/>
      <c r="V1160" s="18"/>
      <c r="W1160" s="39" t="s">
        <v>123</v>
      </c>
      <c r="X1160" s="18"/>
    </row>
    <row r="1161" spans="1:24" ht="15">
      <c r="A1161" s="4"/>
      <c r="B1161" s="87" t="s">
        <v>183</v>
      </c>
      <c r="C1161" s="11"/>
      <c r="D1161" s="53" t="s">
        <v>124</v>
      </c>
      <c r="E1161" s="18"/>
      <c r="F1161" s="53" t="s">
        <v>125</v>
      </c>
      <c r="G1161" s="53" t="s">
        <v>126</v>
      </c>
      <c r="I1161" s="53" t="s">
        <v>127</v>
      </c>
      <c r="J1161" s="53" t="s">
        <v>128</v>
      </c>
      <c r="K1161" s="53" t="s">
        <v>129</v>
      </c>
      <c r="L1161" s="53" t="s">
        <v>130</v>
      </c>
      <c r="M1161" s="53" t="s">
        <v>131</v>
      </c>
      <c r="N1161" s="24" t="s">
        <v>132</v>
      </c>
      <c r="O1161" s="24" t="s">
        <v>98</v>
      </c>
      <c r="P1161" s="24"/>
      <c r="Q1161" s="24" t="s">
        <v>99</v>
      </c>
      <c r="R1161" s="24" t="s">
        <v>133</v>
      </c>
      <c r="S1161" s="42"/>
      <c r="T1161" s="24" t="s">
        <v>134</v>
      </c>
      <c r="U1161" s="42"/>
      <c r="V1161" s="10" t="s">
        <v>20</v>
      </c>
      <c r="W1161" s="10" t="s">
        <v>21</v>
      </c>
      <c r="X1161" s="10" t="s">
        <v>22</v>
      </c>
    </row>
    <row r="1162" spans="1:24" ht="15">
      <c r="A1162" s="4"/>
      <c r="B1162" s="24"/>
      <c r="C1162" s="11"/>
      <c r="D1162" s="18"/>
      <c r="E1162" s="18"/>
      <c r="F1162" s="18"/>
      <c r="I1162" s="18"/>
      <c r="J1162" s="18"/>
      <c r="O1162" s="42"/>
      <c r="P1162" s="42"/>
      <c r="Q1162" s="42"/>
      <c r="R1162" s="42"/>
      <c r="S1162" s="42"/>
      <c r="T1162" s="42"/>
      <c r="U1162" s="42"/>
      <c r="V1162" s="18"/>
      <c r="W1162" s="39"/>
      <c r="X1162" s="18"/>
    </row>
    <row r="1163" spans="1:24" ht="15">
      <c r="A1163" s="4">
        <f>+A1157+1</f>
        <v>29</v>
      </c>
      <c r="B1163" s="5" t="s">
        <v>36</v>
      </c>
      <c r="C1163" s="17" t="s">
        <v>37</v>
      </c>
      <c r="D1163" s="18">
        <v>0</v>
      </c>
      <c r="E1163" s="18"/>
      <c r="F1163" s="18">
        <v>0</v>
      </c>
      <c r="G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0</v>
      </c>
      <c r="N1163" s="18">
        <v>0</v>
      </c>
      <c r="O1163" s="18">
        <v>0</v>
      </c>
      <c r="P1163" s="18"/>
      <c r="Q1163" s="18">
        <v>0</v>
      </c>
      <c r="R1163" s="18">
        <v>0</v>
      </c>
      <c r="S1163" s="42"/>
      <c r="T1163" s="18">
        <v>0</v>
      </c>
      <c r="U1163" s="42"/>
      <c r="V1163" s="18">
        <f>+V1147+D1163+F1163+G1163+I1163</f>
        <v>1273730.68</v>
      </c>
      <c r="W1163" s="18">
        <f>+W1147+J1163+K1163+L1163+M1163+N1163+O1163+Q1163+R1163+T1163</f>
        <v>433202.77</v>
      </c>
      <c r="X1163" s="18">
        <f>+V1163-W1163</f>
        <v>840527.9099999999</v>
      </c>
    </row>
    <row r="1164" spans="1:24" ht="15">
      <c r="A1164" s="4">
        <f>+A1163+1</f>
        <v>30</v>
      </c>
      <c r="B1164" s="5" t="s">
        <v>36</v>
      </c>
      <c r="C1164" s="22" t="s">
        <v>38</v>
      </c>
      <c r="D1164" s="18">
        <v>0</v>
      </c>
      <c r="E1164" s="18"/>
      <c r="F1164" s="18">
        <v>0</v>
      </c>
      <c r="G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0</v>
      </c>
      <c r="N1164" s="18">
        <v>0</v>
      </c>
      <c r="O1164" s="18">
        <v>0</v>
      </c>
      <c r="P1164" s="18"/>
      <c r="Q1164" s="18">
        <v>0</v>
      </c>
      <c r="R1164" s="18">
        <v>0</v>
      </c>
      <c r="S1164" s="42"/>
      <c r="T1164" s="18">
        <v>0</v>
      </c>
      <c r="U1164" s="42"/>
      <c r="V1164" s="18">
        <f>+V1148+D1164+F1164+G1164+I1164</f>
        <v>1265666</v>
      </c>
      <c r="W1164" s="18">
        <f>+W1148+J1164+K1164+L1164+M1164+N1164+O1164+Q1164+R1164+T1164</f>
        <v>434354</v>
      </c>
      <c r="X1164" s="18">
        <f>+V1164-W1164</f>
        <v>831312</v>
      </c>
    </row>
    <row r="1165" spans="1:24" ht="15">
      <c r="A1165" s="4">
        <f>+A1164+1</f>
        <v>31</v>
      </c>
      <c r="B1165" s="24" t="s">
        <v>46</v>
      </c>
      <c r="C1165" s="40" t="s">
        <v>78</v>
      </c>
      <c r="D1165" s="18">
        <f>+D1163-D1164</f>
        <v>0</v>
      </c>
      <c r="E1165" s="18"/>
      <c r="F1165" s="18">
        <f>+F1163-F1164</f>
        <v>0</v>
      </c>
      <c r="G1165" s="18">
        <f>+G1163-G1164</f>
        <v>0</v>
      </c>
      <c r="I1165" s="18">
        <f aca="true" t="shared" si="146" ref="I1165:O1165">+I1163-I1164</f>
        <v>0</v>
      </c>
      <c r="J1165" s="18">
        <f t="shared" si="146"/>
        <v>0</v>
      </c>
      <c r="K1165" s="18">
        <f t="shared" si="146"/>
        <v>0</v>
      </c>
      <c r="L1165" s="18">
        <f t="shared" si="146"/>
        <v>0</v>
      </c>
      <c r="M1165" s="18">
        <f t="shared" si="146"/>
        <v>0</v>
      </c>
      <c r="N1165" s="18">
        <f t="shared" si="146"/>
        <v>0</v>
      </c>
      <c r="O1165" s="18">
        <f t="shared" si="146"/>
        <v>0</v>
      </c>
      <c r="P1165" s="18"/>
      <c r="Q1165" s="18">
        <f>+Q1163-Q1164</f>
        <v>0</v>
      </c>
      <c r="R1165" s="18">
        <f>+R1163-R1164</f>
        <v>0</v>
      </c>
      <c r="S1165" s="42"/>
      <c r="T1165" s="18">
        <f>+T1163-T1164</f>
        <v>0</v>
      </c>
      <c r="U1165" s="42"/>
      <c r="V1165" s="27">
        <f>+V1163-V1164</f>
        <v>8064.679999999935</v>
      </c>
      <c r="W1165" s="27">
        <f>+W1163-W1164</f>
        <v>-1151.2299999999814</v>
      </c>
      <c r="X1165" s="18">
        <f>+X1163-X1164</f>
        <v>9215.909999999916</v>
      </c>
    </row>
    <row r="1166" spans="1:24" ht="28.5">
      <c r="A1166" s="4">
        <f>+A1165+1</f>
        <v>32</v>
      </c>
      <c r="B1166" s="88" t="s">
        <v>182</v>
      </c>
      <c r="C1166" s="11"/>
      <c r="D1166" s="18">
        <v>0</v>
      </c>
      <c r="E1166" s="18"/>
      <c r="F1166" s="18">
        <v>0</v>
      </c>
      <c r="G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0</v>
      </c>
      <c r="N1166" s="18">
        <v>0</v>
      </c>
      <c r="O1166" s="18">
        <v>0</v>
      </c>
      <c r="P1166" s="18"/>
      <c r="Q1166" s="18">
        <v>0</v>
      </c>
      <c r="R1166" s="18">
        <v>0</v>
      </c>
      <c r="S1166" s="42"/>
      <c r="T1166" s="18">
        <v>0</v>
      </c>
      <c r="U1166" s="42"/>
      <c r="V1166" s="18">
        <f>+V1150+D1166+F1166+G1166+I1166</f>
        <v>0</v>
      </c>
      <c r="W1166" s="18">
        <f>+W1150+J1166+K1166+L1166+M1166+N1166+O1166+Q1166+R1166+T1166</f>
        <v>0</v>
      </c>
      <c r="X1166" s="18">
        <f>+V1166-W1166</f>
        <v>0</v>
      </c>
    </row>
    <row r="1167" spans="1:24" ht="24.75">
      <c r="A1167" s="4">
        <f>+A1166+1</f>
        <v>33</v>
      </c>
      <c r="B1167" s="89" t="s">
        <v>39</v>
      </c>
      <c r="C1167" s="40"/>
      <c r="D1167" s="27">
        <v>116720</v>
      </c>
      <c r="E1167" s="27" t="s">
        <v>0</v>
      </c>
      <c r="F1167" s="27">
        <v>511</v>
      </c>
      <c r="G1167" s="27">
        <v>-4925</v>
      </c>
      <c r="H1167" t="s">
        <v>0</v>
      </c>
      <c r="I1167" s="27">
        <v>0</v>
      </c>
      <c r="J1167" s="27">
        <v>118</v>
      </c>
      <c r="K1167" s="27">
        <v>0</v>
      </c>
      <c r="L1167" s="27">
        <v>0</v>
      </c>
      <c r="M1167" s="18">
        <v>0</v>
      </c>
      <c r="N1167" s="18">
        <v>0</v>
      </c>
      <c r="O1167" s="18">
        <v>0</v>
      </c>
      <c r="P1167" s="18"/>
      <c r="Q1167" s="18">
        <v>0</v>
      </c>
      <c r="R1167" s="18">
        <v>0</v>
      </c>
      <c r="S1167" s="42"/>
      <c r="T1167" s="18">
        <v>0</v>
      </c>
      <c r="U1167" s="42"/>
      <c r="V1167" s="18">
        <f>+V1151+D1167+F1167+G1167+I1167</f>
        <v>-79150</v>
      </c>
      <c r="W1167" s="18">
        <f>+W1151+J1167+K1167+L1167+M1167+N1167+O1167+Q1167+R1167+T1167</f>
        <v>492125</v>
      </c>
      <c r="X1167" s="36">
        <f>+V1167-W1167</f>
        <v>-571275</v>
      </c>
    </row>
    <row r="1168" spans="1:24" ht="15">
      <c r="A1168" s="6" t="s">
        <v>41</v>
      </c>
      <c r="B1168" s="41"/>
      <c r="C1168" s="40"/>
      <c r="D1168" s="18"/>
      <c r="E1168" s="18"/>
      <c r="F1168" s="18"/>
      <c r="G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42"/>
      <c r="T1168" s="18"/>
      <c r="U1168" s="42"/>
      <c r="V1168" s="18"/>
      <c r="W1168" s="54"/>
      <c r="X1168" s="36"/>
    </row>
    <row r="1169" spans="1:24" ht="15">
      <c r="A1169" s="4">
        <f>+A1167+1</f>
        <v>34</v>
      </c>
      <c r="B1169" s="5" t="s">
        <v>42</v>
      </c>
      <c r="C1169" s="22" t="s">
        <v>38</v>
      </c>
      <c r="D1169" s="18">
        <v>0</v>
      </c>
      <c r="E1169" s="18"/>
      <c r="F1169" s="18">
        <v>0</v>
      </c>
      <c r="G1169" s="18">
        <v>0</v>
      </c>
      <c r="I1169" s="18">
        <v>0</v>
      </c>
      <c r="J1169" s="18">
        <v>0</v>
      </c>
      <c r="K1169" s="18">
        <v>0</v>
      </c>
      <c r="L1169" s="18"/>
      <c r="M1169" s="18">
        <v>0</v>
      </c>
      <c r="N1169" s="18">
        <v>0</v>
      </c>
      <c r="O1169" s="18">
        <v>0</v>
      </c>
      <c r="P1169" s="18"/>
      <c r="Q1169" s="18">
        <v>0</v>
      </c>
      <c r="R1169" s="18">
        <v>0</v>
      </c>
      <c r="S1169" s="42"/>
      <c r="T1169" s="18">
        <v>0</v>
      </c>
      <c r="U1169" s="42"/>
      <c r="V1169" s="18">
        <f>+V1153+D1169+F1169+G1169+I1169</f>
        <v>1263298</v>
      </c>
      <c r="W1169" s="18">
        <f>+W1153+J1169+K1169+L1169+M1169+N1169+O1169+Q1169+R1169+T1169</f>
        <v>434354</v>
      </c>
      <c r="X1169" s="18">
        <f>+V1169-W1169</f>
        <v>828944</v>
      </c>
    </row>
    <row r="1170" spans="1:24" ht="15">
      <c r="A1170" s="4">
        <f>+A1169+1</f>
        <v>35</v>
      </c>
      <c r="B1170" s="5" t="s">
        <v>43</v>
      </c>
      <c r="C1170" s="11"/>
      <c r="D1170" s="18">
        <v>0</v>
      </c>
      <c r="E1170" s="18"/>
      <c r="F1170" s="18">
        <v>0</v>
      </c>
      <c r="G1170" s="18">
        <v>0</v>
      </c>
      <c r="I1170" s="18">
        <v>0</v>
      </c>
      <c r="J1170" s="18">
        <v>0</v>
      </c>
      <c r="K1170" s="18">
        <v>0</v>
      </c>
      <c r="L1170" s="18">
        <v>0</v>
      </c>
      <c r="M1170" s="18">
        <v>0</v>
      </c>
      <c r="N1170" s="18">
        <v>0</v>
      </c>
      <c r="O1170" s="18">
        <v>0</v>
      </c>
      <c r="P1170" s="18"/>
      <c r="Q1170" s="18">
        <v>0</v>
      </c>
      <c r="R1170" s="18">
        <v>0</v>
      </c>
      <c r="S1170" s="42"/>
      <c r="T1170" s="18">
        <v>0</v>
      </c>
      <c r="U1170" s="42"/>
      <c r="V1170" s="18">
        <f>+V1154+D1170+F1170+G1170+I1170</f>
        <v>0</v>
      </c>
      <c r="W1170" s="18">
        <f>+W1154+J1170+K1170+L1170+M1170+N1170+O1170+Q1170+R1170+T1170</f>
        <v>0</v>
      </c>
      <c r="X1170" s="18">
        <f>+V1170-W1170</f>
        <v>0</v>
      </c>
    </row>
    <row r="1171" spans="1:24" ht="26.25">
      <c r="A1171" s="4">
        <f>+A1170+1</f>
        <v>36</v>
      </c>
      <c r="B1171" s="24" t="s">
        <v>79</v>
      </c>
      <c r="C1171" s="11"/>
      <c r="D1171" s="18">
        <f>+D1169-D1170</f>
        <v>0</v>
      </c>
      <c r="E1171" s="18"/>
      <c r="F1171" s="18">
        <f>+F1169-F1170</f>
        <v>0</v>
      </c>
      <c r="G1171" s="18">
        <f>+G1169-G1170</f>
        <v>0</v>
      </c>
      <c r="I1171" s="18">
        <f aca="true" t="shared" si="147" ref="I1171:O1171">+I1169-I1170</f>
        <v>0</v>
      </c>
      <c r="J1171" s="18">
        <f t="shared" si="147"/>
        <v>0</v>
      </c>
      <c r="K1171" s="18">
        <f t="shared" si="147"/>
        <v>0</v>
      </c>
      <c r="L1171" s="18">
        <f t="shared" si="147"/>
        <v>0</v>
      </c>
      <c r="M1171" s="18">
        <f t="shared" si="147"/>
        <v>0</v>
      </c>
      <c r="N1171" s="18">
        <f t="shared" si="147"/>
        <v>0</v>
      </c>
      <c r="O1171" s="18">
        <f t="shared" si="147"/>
        <v>0</v>
      </c>
      <c r="P1171" s="18"/>
      <c r="Q1171" s="18">
        <f>+Q1169-Q1170</f>
        <v>0</v>
      </c>
      <c r="R1171" s="18">
        <f>+R1169-R1170</f>
        <v>0</v>
      </c>
      <c r="S1171" s="42"/>
      <c r="T1171" s="18">
        <f>+T1169-T1170</f>
        <v>0</v>
      </c>
      <c r="U1171" s="42"/>
      <c r="V1171" s="55">
        <f>+V1169-V1170</f>
        <v>1263298</v>
      </c>
      <c r="W1171" s="55">
        <f>+W1169-W1170</f>
        <v>434354</v>
      </c>
      <c r="X1171" s="31">
        <f>+X1169-X1170</f>
        <v>828944</v>
      </c>
    </row>
    <row r="1172" spans="1:24" ht="28.5">
      <c r="A1172" s="4">
        <f>+A1171+1</f>
        <v>37</v>
      </c>
      <c r="B1172" s="88" t="s">
        <v>181</v>
      </c>
      <c r="C1172" s="11"/>
      <c r="D1172" s="18">
        <v>0</v>
      </c>
      <c r="E1172" s="18"/>
      <c r="F1172" s="18">
        <v>0</v>
      </c>
      <c r="G1172" s="18">
        <v>0</v>
      </c>
      <c r="I1172" s="18">
        <v>0</v>
      </c>
      <c r="J1172" s="18">
        <v>0</v>
      </c>
      <c r="K1172" s="18">
        <v>0</v>
      </c>
      <c r="L1172" s="18">
        <v>0</v>
      </c>
      <c r="M1172" s="18">
        <v>0</v>
      </c>
      <c r="N1172" s="18">
        <v>0</v>
      </c>
      <c r="O1172" s="18">
        <v>0</v>
      </c>
      <c r="P1172" s="18"/>
      <c r="Q1172" s="18">
        <v>0</v>
      </c>
      <c r="R1172" s="18">
        <v>0</v>
      </c>
      <c r="S1172" s="42"/>
      <c r="T1172" s="18">
        <v>0</v>
      </c>
      <c r="U1172" s="42"/>
      <c r="V1172" s="18">
        <f>+V1156+D1172+F1172+G1172+I1172</f>
        <v>0</v>
      </c>
      <c r="W1172" s="18">
        <f>+W1156+J1172+K1172+L1172+M1172+N1172+O1172+Q1172+R1172+T1172</f>
        <v>0</v>
      </c>
      <c r="X1172" s="18">
        <f>+V1172-W1172</f>
        <v>0</v>
      </c>
    </row>
    <row r="1173" spans="1:24" ht="15">
      <c r="A1173" s="4">
        <f>+A1172+1</f>
        <v>38</v>
      </c>
      <c r="B1173" s="24" t="s">
        <v>46</v>
      </c>
      <c r="C1173" s="11" t="s">
        <v>47</v>
      </c>
      <c r="D1173" s="18">
        <f>+D1165+D1166+D1171+D1172+D1167</f>
        <v>116720</v>
      </c>
      <c r="E1173" s="18"/>
      <c r="F1173" s="18">
        <f>+F1165+F1166+F1171+F1172+F1167</f>
        <v>511</v>
      </c>
      <c r="G1173" s="18">
        <f>+G1165+G1166+G1171+G1172+G1167</f>
        <v>-4925</v>
      </c>
      <c r="I1173" s="18">
        <f aca="true" t="shared" si="148" ref="I1173:O1173">+I1165+I1166+I1171+I1172+I1167</f>
        <v>0</v>
      </c>
      <c r="J1173" s="18">
        <f t="shared" si="148"/>
        <v>118</v>
      </c>
      <c r="K1173" s="18">
        <f t="shared" si="148"/>
        <v>0</v>
      </c>
      <c r="L1173" s="18">
        <f t="shared" si="148"/>
        <v>0</v>
      </c>
      <c r="M1173" s="18">
        <f t="shared" si="148"/>
        <v>0</v>
      </c>
      <c r="N1173" s="18">
        <f t="shared" si="148"/>
        <v>0</v>
      </c>
      <c r="O1173" s="18">
        <f t="shared" si="148"/>
        <v>0</v>
      </c>
      <c r="P1173" s="18"/>
      <c r="Q1173" s="18">
        <f>+Q1165+Q1166+Q1171+Q1172+Q1167</f>
        <v>0</v>
      </c>
      <c r="R1173" s="18">
        <f>+R1165+R1166+R1171+R1172+R1167</f>
        <v>0</v>
      </c>
      <c r="S1173" s="42"/>
      <c r="T1173" s="18">
        <f>+T1165+T1166+T1171+T1172+T1167</f>
        <v>0</v>
      </c>
      <c r="U1173" s="42"/>
      <c r="V1173" s="18">
        <f>+V1165+V1166+V1171+V1172+V1167</f>
        <v>1192212.68</v>
      </c>
      <c r="W1173" s="18">
        <f>+W1165+W1166+W1171+W1172+W1167</f>
        <v>925327.77</v>
      </c>
      <c r="X1173" s="18">
        <f>+X1165+X1166+X1171+X1172+X1167</f>
        <v>266884.9099999999</v>
      </c>
    </row>
    <row r="1174" spans="1:24" ht="15">
      <c r="A1174" s="4"/>
      <c r="B1174" s="24"/>
      <c r="C1174" s="11"/>
      <c r="D1174" s="18"/>
      <c r="E1174" s="18"/>
      <c r="F1174" s="18"/>
      <c r="G1174" s="18"/>
      <c r="N1174" s="42"/>
      <c r="O1174" s="42"/>
      <c r="P1174" s="42"/>
      <c r="Q1174" s="42"/>
      <c r="R1174" s="42"/>
      <c r="S1174" s="42"/>
      <c r="T1174" s="42"/>
      <c r="U1174" s="42"/>
      <c r="V1174" s="18"/>
      <c r="W1174" s="18"/>
      <c r="X1174" s="18"/>
    </row>
    <row r="1175" spans="1:24" ht="15">
      <c r="A1175" s="4"/>
      <c r="B1175" s="24"/>
      <c r="C1175" s="11"/>
      <c r="D1175" s="18"/>
      <c r="E1175" s="18"/>
      <c r="F1175" s="18"/>
      <c r="G1175" s="18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18"/>
      <c r="W1175" s="18"/>
      <c r="X1175" s="18"/>
    </row>
    <row r="1176" spans="1:24" ht="15">
      <c r="A1176" s="4"/>
      <c r="B1176" s="24"/>
      <c r="C1176" s="11"/>
      <c r="D1176" s="18"/>
      <c r="E1176" s="18"/>
      <c r="F1176" s="18"/>
      <c r="G1176" s="18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18"/>
      <c r="W1176" s="18"/>
      <c r="X1176" s="18"/>
    </row>
    <row r="1177" spans="1:24" ht="15">
      <c r="A1177" s="4"/>
      <c r="B1177" s="24"/>
      <c r="C1177" s="11"/>
      <c r="D1177" s="18"/>
      <c r="E1177" s="18"/>
      <c r="F1177" s="18"/>
      <c r="G1177" s="18"/>
      <c r="H1177" s="56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18"/>
      <c r="W1177" s="18"/>
      <c r="X1177" s="18"/>
    </row>
    <row r="1178" spans="1:24" ht="15">
      <c r="A1178" s="4"/>
      <c r="B1178" s="24"/>
      <c r="C1178" s="11"/>
      <c r="D1178" s="18"/>
      <c r="E1178" s="18"/>
      <c r="F1178" s="18"/>
      <c r="G1178" s="18"/>
      <c r="H1178" s="56"/>
      <c r="I1178" s="57" t="s">
        <v>135</v>
      </c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18"/>
      <c r="W1178" s="18"/>
      <c r="X1178" s="18"/>
    </row>
    <row r="1179" spans="1:24" ht="15">
      <c r="A1179" s="4"/>
      <c r="B1179" s="24"/>
      <c r="C1179" s="11"/>
      <c r="D1179" s="18"/>
      <c r="E1179" s="18"/>
      <c r="F1179" s="18"/>
      <c r="G1179" s="18"/>
      <c r="H1179" s="56"/>
      <c r="I1179" s="58"/>
      <c r="L1179" s="42"/>
      <c r="T1179" s="42"/>
      <c r="U1179" s="42"/>
      <c r="V1179" s="18"/>
      <c r="W1179" s="18"/>
      <c r="X1179" s="18"/>
    </row>
    <row r="1180" spans="1:24" ht="15">
      <c r="A1180" s="4"/>
      <c r="B1180" s="24"/>
      <c r="C1180" s="11"/>
      <c r="D1180" s="18"/>
      <c r="E1180" s="18"/>
      <c r="F1180" s="18"/>
      <c r="G1180" s="18"/>
      <c r="H1180" s="56"/>
      <c r="I1180" s="59" t="s">
        <v>136</v>
      </c>
      <c r="L1180" s="74">
        <v>12701614.23</v>
      </c>
      <c r="T1180" s="42"/>
      <c r="U1180" s="42"/>
      <c r="V1180" s="18"/>
      <c r="W1180" s="18"/>
      <c r="X1180" s="18"/>
    </row>
    <row r="1181" spans="1:24" ht="15">
      <c r="A1181" s="4"/>
      <c r="B1181" s="24"/>
      <c r="C1181" s="11"/>
      <c r="D1181" s="18"/>
      <c r="E1181" s="18"/>
      <c r="F1181" s="18"/>
      <c r="G1181" s="18"/>
      <c r="H1181" s="56"/>
      <c r="I1181" s="59"/>
      <c r="L1181" s="18"/>
      <c r="T1181" s="42"/>
      <c r="U1181" s="42"/>
      <c r="V1181" s="18"/>
      <c r="W1181" s="18"/>
      <c r="X1181" s="18"/>
    </row>
    <row r="1182" spans="1:24" ht="15">
      <c r="A1182" s="4"/>
      <c r="B1182" s="24"/>
      <c r="C1182" s="11"/>
      <c r="D1182" s="44" t="s">
        <v>137</v>
      </c>
      <c r="E1182" s="18"/>
      <c r="F1182" s="10" t="s">
        <v>138</v>
      </c>
      <c r="G1182" s="44" t="s">
        <v>24</v>
      </c>
      <c r="H1182" s="56"/>
      <c r="I1182" s="59" t="s">
        <v>139</v>
      </c>
      <c r="L1182" s="27">
        <v>4403557</v>
      </c>
      <c r="N1182" s="6" t="s">
        <v>137</v>
      </c>
      <c r="O1182" s="6" t="s">
        <v>137</v>
      </c>
      <c r="P1182" s="42"/>
      <c r="Q1182" s="6" t="s">
        <v>138</v>
      </c>
      <c r="R1182" s="6" t="s">
        <v>138</v>
      </c>
      <c r="S1182" s="6"/>
      <c r="T1182" s="42"/>
      <c r="U1182" s="42"/>
      <c r="V1182" s="18"/>
      <c r="W1182" s="18"/>
      <c r="X1182" s="18"/>
    </row>
    <row r="1183" spans="1:24" ht="15">
      <c r="A1183" s="4"/>
      <c r="B1183" s="24"/>
      <c r="C1183" s="11"/>
      <c r="D1183" s="18"/>
      <c r="E1183" s="18"/>
      <c r="F1183" s="18"/>
      <c r="G1183" s="18"/>
      <c r="H1183" s="56"/>
      <c r="I1183" s="59"/>
      <c r="L1183" s="18"/>
      <c r="N1183" s="8" t="s">
        <v>140</v>
      </c>
      <c r="O1183" s="49" t="s">
        <v>141</v>
      </c>
      <c r="P1183" s="42"/>
      <c r="Q1183" s="8" t="s">
        <v>140</v>
      </c>
      <c r="R1183" s="49" t="s">
        <v>141</v>
      </c>
      <c r="S1183" s="49"/>
      <c r="T1183" s="42"/>
      <c r="U1183" s="42"/>
      <c r="V1183" s="18"/>
      <c r="W1183" s="18"/>
      <c r="X1183" s="18"/>
    </row>
    <row r="1184" spans="1:24" ht="15">
      <c r="A1184" s="4">
        <f>+A1172+1</f>
        <v>38</v>
      </c>
      <c r="B1184" s="5" t="s">
        <v>36</v>
      </c>
      <c r="C1184" s="17" t="s">
        <v>37</v>
      </c>
      <c r="D1184" s="31">
        <f>+V1125+V1163</f>
        <v>11389487.09</v>
      </c>
      <c r="E1184" s="18"/>
      <c r="F1184" s="31">
        <f>+W1125+W1163</f>
        <v>7817795.77</v>
      </c>
      <c r="G1184" s="18">
        <f>+D1184-F1184</f>
        <v>3571691.3200000003</v>
      </c>
      <c r="H1184" s="56"/>
      <c r="I1184" s="59" t="s">
        <v>142</v>
      </c>
      <c r="J1184" s="18"/>
      <c r="K1184" s="18"/>
      <c r="L1184" s="36">
        <f>F1100</f>
        <v>7250653</v>
      </c>
      <c r="N1184" s="60"/>
      <c r="O1184" s="6"/>
      <c r="P1184" s="42"/>
      <c r="Q1184" s="61"/>
      <c r="R1184" s="61"/>
      <c r="S1184" s="61"/>
      <c r="T1184" s="42"/>
      <c r="U1184" s="42"/>
      <c r="V1184" s="18"/>
      <c r="W1184" s="18"/>
      <c r="X1184" s="18"/>
    </row>
    <row r="1185" spans="1:21" ht="15">
      <c r="A1185" s="4">
        <f>+A1184+1</f>
        <v>39</v>
      </c>
      <c r="B1185" s="5" t="s">
        <v>36</v>
      </c>
      <c r="C1185" s="22" t="s">
        <v>38</v>
      </c>
      <c r="D1185" s="31">
        <f>+V1126+V1164</f>
        <v>11372892.87</v>
      </c>
      <c r="E1185" s="18"/>
      <c r="F1185" s="31">
        <f>+W1126+W1164</f>
        <v>7654428</v>
      </c>
      <c r="G1185" s="18">
        <f>+D1185-F1185</f>
        <v>3718464.869999999</v>
      </c>
      <c r="H1185" s="56"/>
      <c r="I1185" s="58"/>
      <c r="J1185" s="18"/>
      <c r="K1185" s="18"/>
      <c r="L1185" s="60"/>
      <c r="N1185" s="62">
        <f>+D1186</f>
        <v>16594.22000000067</v>
      </c>
      <c r="O1185" s="63">
        <f>+D1192</f>
        <v>10144601</v>
      </c>
      <c r="P1185" s="42"/>
      <c r="Q1185" s="31">
        <f>+F1092</f>
        <v>164519</v>
      </c>
      <c r="R1185" s="31">
        <f>+F1094</f>
        <v>0</v>
      </c>
      <c r="S1185" s="31"/>
      <c r="T1185" s="42"/>
      <c r="U1185" s="42"/>
    </row>
    <row r="1186" spans="1:25" ht="15">
      <c r="A1186" s="4">
        <f>+A1185+1</f>
        <v>40</v>
      </c>
      <c r="B1186" s="24" t="s">
        <v>46</v>
      </c>
      <c r="C1186" s="40" t="s">
        <v>78</v>
      </c>
      <c r="D1186" s="26">
        <f>+D1184-D1185</f>
        <v>16594.22000000067</v>
      </c>
      <c r="E1186" s="18"/>
      <c r="F1186" s="26">
        <f>+F1184-F1185</f>
        <v>163367.76999999955</v>
      </c>
      <c r="G1186" s="18">
        <f>+G1184-G1185</f>
        <v>-146773.54999999888</v>
      </c>
      <c r="H1186" s="56"/>
      <c r="I1186" s="58" t="s">
        <v>143</v>
      </c>
      <c r="J1186" s="18"/>
      <c r="K1186" s="18"/>
      <c r="L1186">
        <v>0</v>
      </c>
      <c r="N1186" s="62">
        <f>+D1187</f>
        <v>0</v>
      </c>
      <c r="O1186" s="63">
        <f>+D1193</f>
        <v>0</v>
      </c>
      <c r="P1186" s="42"/>
      <c r="Q1186" s="31">
        <f>+F1093</f>
        <v>0</v>
      </c>
      <c r="R1186" s="31">
        <f>+F1098</f>
        <v>7086134</v>
      </c>
      <c r="S1186" s="31"/>
      <c r="U1186" s="18"/>
      <c r="V1186" s="10" t="s">
        <v>20</v>
      </c>
      <c r="W1186" s="10" t="s">
        <v>21</v>
      </c>
      <c r="X1186" s="10" t="s">
        <v>22</v>
      </c>
      <c r="Y1186" s="18"/>
    </row>
    <row r="1187" spans="1:25" ht="28.5">
      <c r="A1187" s="4">
        <f>+A1186+1</f>
        <v>41</v>
      </c>
      <c r="B1187" s="88" t="s">
        <v>182</v>
      </c>
      <c r="C1187" s="11"/>
      <c r="D1187" s="26">
        <f>+V1128+V1166</f>
        <v>0</v>
      </c>
      <c r="E1187" s="26"/>
      <c r="F1187" s="26">
        <f>+W1128+W1166</f>
        <v>0</v>
      </c>
      <c r="G1187" s="18">
        <f>+D1187-F1187</f>
        <v>0</v>
      </c>
      <c r="H1187" s="56"/>
      <c r="I1187" s="58"/>
      <c r="J1187" s="18"/>
      <c r="K1187" s="18"/>
      <c r="L1187" s="60" t="s">
        <v>144</v>
      </c>
      <c r="N1187" s="62">
        <f>+F1186</f>
        <v>163367.76999999955</v>
      </c>
      <c r="O1187" s="63">
        <f>+F1192</f>
        <v>7520488</v>
      </c>
      <c r="P1187" s="42"/>
      <c r="R1187" s="31">
        <f>+F1099</f>
        <v>0</v>
      </c>
      <c r="S1187" s="31"/>
      <c r="U1187" s="18"/>
      <c r="Y1187" s="18"/>
    </row>
    <row r="1188" spans="1:25" ht="24.75">
      <c r="A1188" s="4">
        <f>+A1187+1</f>
        <v>42</v>
      </c>
      <c r="B1188" s="89" t="s">
        <v>39</v>
      </c>
      <c r="C1188" s="40"/>
      <c r="D1188" s="30">
        <f>+V1129+V1167</f>
        <v>-937810</v>
      </c>
      <c r="E1188" s="30"/>
      <c r="F1188" s="30">
        <f>+W1129+W1167</f>
        <v>492125</v>
      </c>
      <c r="G1188" s="18">
        <f>+D1188-F1188</f>
        <v>-1429935</v>
      </c>
      <c r="H1188" s="56"/>
      <c r="I1188" s="64" t="s">
        <v>145</v>
      </c>
      <c r="J1188" s="18"/>
      <c r="K1188" s="18"/>
      <c r="L1188" s="31">
        <f>+L1180-L1182-L1184-L1186</f>
        <v>1047404.2300000004</v>
      </c>
      <c r="N1188" s="62">
        <f>+F1187</f>
        <v>0</v>
      </c>
      <c r="O1188" s="63">
        <f>+F1193</f>
        <v>0</v>
      </c>
      <c r="P1188" s="42"/>
      <c r="Q1188" s="31"/>
      <c r="R1188" s="31"/>
      <c r="S1188" s="31"/>
      <c r="U1188" s="65"/>
      <c r="V1188" s="66"/>
      <c r="W1188" s="66"/>
      <c r="X1188" s="65"/>
      <c r="Y1188" s="65"/>
    </row>
    <row r="1189" spans="1:25" ht="15">
      <c r="A1189" s="6" t="s">
        <v>41</v>
      </c>
      <c r="B1189" s="41"/>
      <c r="C1189" s="40"/>
      <c r="D1189" s="18"/>
      <c r="E1189" s="18"/>
      <c r="F1189" s="18"/>
      <c r="G1189" s="18"/>
      <c r="H1189" s="56"/>
      <c r="I1189" s="58"/>
      <c r="J1189" s="18"/>
      <c r="K1189" s="18"/>
      <c r="N1189" s="62">
        <f>+F1092</f>
        <v>164519</v>
      </c>
      <c r="O1189" s="63">
        <f>+F1098</f>
        <v>7086134</v>
      </c>
      <c r="P1189" s="42"/>
      <c r="Q1189" s="31"/>
      <c r="U1189" s="65"/>
      <c r="V1189" s="67"/>
      <c r="W1189" s="67"/>
      <c r="X1189" s="68"/>
      <c r="Y1189" s="65"/>
    </row>
    <row r="1190" spans="1:25" ht="15">
      <c r="A1190" s="4">
        <f>+A1188+1</f>
        <v>43</v>
      </c>
      <c r="B1190" s="5" t="s">
        <v>42</v>
      </c>
      <c r="C1190" s="22" t="s">
        <v>38</v>
      </c>
      <c r="D1190" s="31">
        <f>+V1131+V1169</f>
        <v>10149466</v>
      </c>
      <c r="E1190" s="18"/>
      <c r="F1190" s="31">
        <f>+W1131+W1169</f>
        <v>7524520</v>
      </c>
      <c r="G1190" s="18">
        <f>+D1190-F1190</f>
        <v>2624946</v>
      </c>
      <c r="H1190" s="56"/>
      <c r="I1190" s="59" t="s">
        <v>22</v>
      </c>
      <c r="J1190" s="18"/>
      <c r="K1190" s="18"/>
      <c r="L1190" s="30">
        <f>+X1195</f>
        <v>1047404.4500000011</v>
      </c>
      <c r="N1190" s="62"/>
      <c r="O1190" s="63">
        <f>+D1188</f>
        <v>-937810</v>
      </c>
      <c r="P1190" s="42"/>
      <c r="Q1190" s="31"/>
      <c r="R1190" s="31"/>
      <c r="S1190" s="31"/>
      <c r="T1190" s="69" t="s">
        <v>78</v>
      </c>
      <c r="U1190" s="65"/>
      <c r="V1190" s="26">
        <f>+D1186+D1187-F1186-F1187+F1092</f>
        <v>17745.450000001118</v>
      </c>
      <c r="W1190" s="26">
        <f>+F1092+F1093</f>
        <v>164519</v>
      </c>
      <c r="X1190" s="26">
        <f>+V1190-W1190</f>
        <v>-146773.54999999888</v>
      </c>
      <c r="Y1190" s="65"/>
    </row>
    <row r="1191" spans="1:25" ht="15">
      <c r="A1191" s="4">
        <f>+A1190+1</f>
        <v>44</v>
      </c>
      <c r="B1191" s="5" t="s">
        <v>43</v>
      </c>
      <c r="C1191" s="11"/>
      <c r="D1191" s="31">
        <f>+V1132+V1170</f>
        <v>4865</v>
      </c>
      <c r="E1191" s="18"/>
      <c r="F1191" s="31">
        <f>+W1132+W1170</f>
        <v>4032</v>
      </c>
      <c r="G1191" s="18">
        <f>+D1191-F1191</f>
        <v>833</v>
      </c>
      <c r="H1191" s="56"/>
      <c r="I1191" s="59"/>
      <c r="J1191" s="18"/>
      <c r="K1191" s="18"/>
      <c r="L1191" s="60" t="s">
        <v>144</v>
      </c>
      <c r="O1191" s="63">
        <f>+F1188</f>
        <v>492125</v>
      </c>
      <c r="P1191" s="42"/>
      <c r="Q1191" s="31"/>
      <c r="R1191" s="31"/>
      <c r="S1191" s="31"/>
      <c r="T1191" s="11" t="s">
        <v>146</v>
      </c>
      <c r="U1191" s="65"/>
      <c r="V1191" s="30">
        <f>+D1192+D1193-F1192-F1193+F1098+D1188-F1188+F1094</f>
        <v>8280312</v>
      </c>
      <c r="W1191" s="30">
        <f>+F1094+F1098+F1099</f>
        <v>7086134</v>
      </c>
      <c r="X1191" s="30">
        <f>+V1191-W1191</f>
        <v>1194178</v>
      </c>
      <c r="Y1191" s="65"/>
    </row>
    <row r="1192" spans="1:25" ht="26.25">
      <c r="A1192" s="4">
        <f>+A1191+1</f>
        <v>45</v>
      </c>
      <c r="B1192" s="24" t="s">
        <v>79</v>
      </c>
      <c r="C1192" s="11"/>
      <c r="D1192" s="30">
        <f>+D1190-D1191</f>
        <v>10144601</v>
      </c>
      <c r="E1192" s="18"/>
      <c r="F1192" s="30">
        <f>+F1190-F1191</f>
        <v>7520488</v>
      </c>
      <c r="G1192" s="18">
        <f>+G1190-G1191</f>
        <v>2624113</v>
      </c>
      <c r="H1192" s="56"/>
      <c r="I1192" s="58"/>
      <c r="J1192" s="18"/>
      <c r="K1192" s="18"/>
      <c r="N1192" s="62"/>
      <c r="O1192" s="63">
        <f>+F1094</f>
        <v>0</v>
      </c>
      <c r="P1192" s="42"/>
      <c r="Q1192" s="31"/>
      <c r="R1192" s="31"/>
      <c r="S1192" s="31"/>
      <c r="T1192" s="11"/>
      <c r="U1192" s="65"/>
      <c r="V1192" s="30"/>
      <c r="W1192" s="30"/>
      <c r="X1192" s="30"/>
      <c r="Y1192" s="65"/>
    </row>
    <row r="1193" spans="1:25" ht="28.5">
      <c r="A1193" s="4">
        <f>+A1192+1</f>
        <v>46</v>
      </c>
      <c r="B1193" s="88" t="s">
        <v>181</v>
      </c>
      <c r="C1193" s="11"/>
      <c r="D1193" s="30">
        <f>+V1134+V1172</f>
        <v>0</v>
      </c>
      <c r="E1193" s="30"/>
      <c r="F1193" s="30">
        <f>+W1134+W1172</f>
        <v>0</v>
      </c>
      <c r="G1193" s="18">
        <f>+D1193-F1193</f>
        <v>0</v>
      </c>
      <c r="H1193" s="56"/>
      <c r="N1193" s="62"/>
      <c r="O1193" s="62"/>
      <c r="P1193" s="42"/>
      <c r="Q1193" s="31"/>
      <c r="R1193" s="31"/>
      <c r="S1193" s="31"/>
      <c r="T1193" s="11"/>
      <c r="U1193" s="65"/>
      <c r="V1193" s="30"/>
      <c r="W1193" s="30"/>
      <c r="X1193" s="30"/>
      <c r="Y1193" s="65"/>
    </row>
    <row r="1194" spans="1:25" ht="15">
      <c r="A1194" s="4">
        <f>+A1193+1</f>
        <v>47</v>
      </c>
      <c r="B1194" s="24" t="s">
        <v>46</v>
      </c>
      <c r="C1194" s="11" t="s">
        <v>47</v>
      </c>
      <c r="D1194" s="18">
        <f>+D1186+D1187+D1192+D1193+D1188</f>
        <v>9223385.22</v>
      </c>
      <c r="E1194" s="18"/>
      <c r="F1194" s="18">
        <f>+F1186+F1187+F1192+F1193+F1188</f>
        <v>8175980.77</v>
      </c>
      <c r="G1194" s="18">
        <f>+G1186+G1187+G1192+G1193+G1188</f>
        <v>1047404.4500000011</v>
      </c>
      <c r="H1194" s="56"/>
      <c r="I1194" s="59" t="s">
        <v>147</v>
      </c>
      <c r="J1194" s="18"/>
      <c r="K1194" s="18"/>
      <c r="L1194" s="36">
        <f>+L1188-L1190</f>
        <v>-0.22000000067055225</v>
      </c>
      <c r="N1194" s="70">
        <f>+N1185+N1186-N1187-N1188+N1189</f>
        <v>17745.450000001118</v>
      </c>
      <c r="O1194" s="71">
        <f>+O1185+O1186-O1187-O1188+O1189+O1190-O1191+O1192</f>
        <v>8280312</v>
      </c>
      <c r="P1194" s="42"/>
      <c r="Q1194" s="26">
        <f>SUM(Q1185:Q1186)</f>
        <v>164519</v>
      </c>
      <c r="R1194" s="30">
        <f>SUM(R1185:R1188)</f>
        <v>7086134</v>
      </c>
      <c r="S1194" s="30"/>
      <c r="T1194" s="11"/>
      <c r="U1194" s="65"/>
      <c r="V1194" s="30"/>
      <c r="W1194" s="30"/>
      <c r="X1194" s="30"/>
      <c r="Y1194" s="65"/>
    </row>
    <row r="1195" spans="1:25" ht="15">
      <c r="A1195" s="4"/>
      <c r="B1195" s="24"/>
      <c r="C1195" s="11"/>
      <c r="D1195" s="18"/>
      <c r="E1195" s="18"/>
      <c r="F1195" s="18"/>
      <c r="G1195" s="18"/>
      <c r="H1195" s="56"/>
      <c r="L1195" s="60" t="s">
        <v>148</v>
      </c>
      <c r="M1195" s="42"/>
      <c r="N1195" s="42"/>
      <c r="O1195" s="42"/>
      <c r="P1195" s="42"/>
      <c r="Q1195" s="42"/>
      <c r="R1195" s="42"/>
      <c r="S1195" s="42"/>
      <c r="T1195" s="10" t="s">
        <v>22</v>
      </c>
      <c r="U1195" s="65"/>
      <c r="V1195" s="36"/>
      <c r="W1195" s="36"/>
      <c r="X1195" s="36">
        <f>+X1190+X1191</f>
        <v>1047404.4500000011</v>
      </c>
      <c r="Y1195" s="65"/>
    </row>
    <row r="1196" spans="1:25" ht="15">
      <c r="A1196" s="1"/>
      <c r="B1196" s="2"/>
      <c r="C1196" s="2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</row>
    <row r="1197" spans="1:6" ht="15">
      <c r="A1197" s="4"/>
      <c r="B1197"/>
      <c r="F1197"/>
    </row>
    <row r="1198" spans="1:6" ht="15">
      <c r="A1198" s="4"/>
      <c r="B1198"/>
      <c r="F1198"/>
    </row>
    <row r="1199" spans="1:6" ht="15">
      <c r="A1199" s="4"/>
      <c r="B1199"/>
      <c r="F1199"/>
    </row>
    <row r="1200" spans="1:6" ht="15">
      <c r="A1200" s="4"/>
      <c r="B1200"/>
      <c r="F1200"/>
    </row>
    <row r="1201" spans="1:25" ht="15">
      <c r="A1201" s="1"/>
      <c r="B1201" s="2"/>
      <c r="C1201" s="2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</row>
    <row r="1202" spans="1:6" ht="15">
      <c r="A1202" s="4" t="s">
        <v>0</v>
      </c>
      <c r="B1202" s="5"/>
      <c r="C1202" s="6" t="s">
        <v>1</v>
      </c>
      <c r="F1202"/>
    </row>
    <row r="1203" spans="1:6" ht="15">
      <c r="A1203" s="4"/>
      <c r="B1203" s="5"/>
      <c r="C1203" s="6" t="s">
        <v>2</v>
      </c>
      <c r="F1203"/>
    </row>
    <row r="1204" spans="1:6" ht="15">
      <c r="A1204" s="4"/>
      <c r="B1204" s="5"/>
      <c r="C1204" s="7" t="s">
        <v>161</v>
      </c>
      <c r="F1204"/>
    </row>
    <row r="1205" spans="1:6" ht="15">
      <c r="A1205" s="4"/>
      <c r="B1205" s="5"/>
      <c r="C1205" s="8"/>
      <c r="F1205"/>
    </row>
    <row r="1206" spans="1:25" ht="15">
      <c r="A1206" s="4"/>
      <c r="B1206" s="5"/>
      <c r="C1206" s="9"/>
      <c r="D1206" s="10" t="s">
        <v>4</v>
      </c>
      <c r="E1206" s="10"/>
      <c r="F1206" s="10" t="s">
        <v>5</v>
      </c>
      <c r="G1206" s="10" t="s">
        <v>6</v>
      </c>
      <c r="H1206" s="10"/>
      <c r="I1206" s="10" t="s">
        <v>7</v>
      </c>
      <c r="J1206" s="10" t="s">
        <v>8</v>
      </c>
      <c r="K1206" s="10" t="s">
        <v>9</v>
      </c>
      <c r="L1206" s="10" t="s">
        <v>10</v>
      </c>
      <c r="M1206" s="10" t="s">
        <v>11</v>
      </c>
      <c r="N1206" s="10" t="s">
        <v>12</v>
      </c>
      <c r="O1206" s="10" t="s">
        <v>13</v>
      </c>
      <c r="P1206" s="10"/>
      <c r="Q1206" s="10" t="s">
        <v>14</v>
      </c>
      <c r="R1206" s="10" t="s">
        <v>15</v>
      </c>
      <c r="S1206" s="10"/>
      <c r="T1206" s="10" t="s">
        <v>16</v>
      </c>
      <c r="U1206" s="10"/>
      <c r="V1206" s="10" t="s">
        <v>17</v>
      </c>
      <c r="W1206" s="10" t="s">
        <v>18</v>
      </c>
      <c r="X1206" s="10" t="s">
        <v>19</v>
      </c>
      <c r="Y1206" s="10"/>
    </row>
    <row r="1207" spans="1:24" ht="15">
      <c r="A1207" s="4"/>
      <c r="B1207" s="87" t="s">
        <v>174</v>
      </c>
      <c r="C1207" s="5"/>
      <c r="D1207" s="10" t="s">
        <v>20</v>
      </c>
      <c r="E1207" s="10"/>
      <c r="F1207" s="10" t="s">
        <v>21</v>
      </c>
      <c r="G1207" s="10" t="s">
        <v>22</v>
      </c>
      <c r="I1207" s="10" t="s">
        <v>20</v>
      </c>
      <c r="J1207" s="10" t="s">
        <v>20</v>
      </c>
      <c r="K1207" s="10" t="s">
        <v>20</v>
      </c>
      <c r="L1207" s="10" t="s">
        <v>20</v>
      </c>
      <c r="M1207" s="10" t="s">
        <v>20</v>
      </c>
      <c r="N1207" s="10" t="s">
        <v>20</v>
      </c>
      <c r="O1207" s="10" t="s">
        <v>20</v>
      </c>
      <c r="Q1207" s="10" t="s">
        <v>20</v>
      </c>
      <c r="R1207" s="10" t="s">
        <v>20</v>
      </c>
      <c r="S1207" s="10"/>
      <c r="T1207" s="10" t="s">
        <v>20</v>
      </c>
      <c r="V1207" s="10" t="s">
        <v>20</v>
      </c>
      <c r="W1207" s="10" t="s">
        <v>20</v>
      </c>
      <c r="X1207" s="10" t="s">
        <v>20</v>
      </c>
    </row>
    <row r="1208" spans="1:24" ht="42.75">
      <c r="A1208" s="4"/>
      <c r="B1208" s="5"/>
      <c r="C1208" s="11"/>
      <c r="D1208" s="12" t="s">
        <v>23</v>
      </c>
      <c r="E1208" s="13"/>
      <c r="F1208" s="12" t="s">
        <v>175</v>
      </c>
      <c r="G1208" s="13" t="s">
        <v>24</v>
      </c>
      <c r="I1208" s="13" t="s">
        <v>25</v>
      </c>
      <c r="J1208" s="8" t="s">
        <v>26</v>
      </c>
      <c r="K1208" s="13" t="s">
        <v>27</v>
      </c>
      <c r="L1208" s="13" t="s">
        <v>28</v>
      </c>
      <c r="M1208" s="13" t="s">
        <v>29</v>
      </c>
      <c r="N1208" s="13" t="s">
        <v>30</v>
      </c>
      <c r="O1208" s="13" t="s">
        <v>31</v>
      </c>
      <c r="Q1208" s="14">
        <v>4470115</v>
      </c>
      <c r="R1208" s="13" t="s">
        <v>32</v>
      </c>
      <c r="S1208" s="13"/>
      <c r="T1208" s="14">
        <v>4470119</v>
      </c>
      <c r="V1208" s="8" t="s">
        <v>33</v>
      </c>
      <c r="W1208" s="8" t="s">
        <v>34</v>
      </c>
      <c r="X1208" s="8" t="s">
        <v>35</v>
      </c>
    </row>
    <row r="1209" spans="1:23" ht="15">
      <c r="A1209" s="4"/>
      <c r="B1209" s="5"/>
      <c r="C1209" s="11"/>
      <c r="D1209" s="13"/>
      <c r="E1209" s="13"/>
      <c r="F1209" s="13"/>
      <c r="G1209" s="15"/>
      <c r="I1209" s="13"/>
      <c r="J1209" s="13"/>
      <c r="K1209" s="13"/>
      <c r="L1209" s="13"/>
      <c r="M1209" s="13"/>
      <c r="N1209" s="13"/>
      <c r="O1209" s="13"/>
      <c r="Q1209" s="14"/>
      <c r="R1209" s="13"/>
      <c r="S1209" s="14"/>
      <c r="T1209" s="16"/>
      <c r="V1209" s="14"/>
      <c r="W1209" s="13"/>
    </row>
    <row r="1210" spans="1:25" ht="15">
      <c r="A1210" s="4">
        <v>1</v>
      </c>
      <c r="B1210" s="5" t="s">
        <v>36</v>
      </c>
      <c r="C1210" s="17" t="s">
        <v>37</v>
      </c>
      <c r="D1210" s="27">
        <v>8537330</v>
      </c>
      <c r="E1210" s="19"/>
      <c r="F1210" s="20">
        <v>7171172</v>
      </c>
      <c r="G1210" s="21">
        <f>+D1210-F1210</f>
        <v>1366158</v>
      </c>
      <c r="H1210" s="18"/>
      <c r="I1210" s="18">
        <v>0</v>
      </c>
      <c r="J1210" s="18">
        <v>0</v>
      </c>
      <c r="K1210" s="18">
        <v>0</v>
      </c>
      <c r="L1210" s="18">
        <v>0</v>
      </c>
      <c r="M1210" s="18">
        <v>0</v>
      </c>
      <c r="N1210" s="18">
        <v>0</v>
      </c>
      <c r="O1210" s="18">
        <v>0</v>
      </c>
      <c r="P1210" s="18"/>
      <c r="Q1210" s="18">
        <v>0</v>
      </c>
      <c r="R1210" s="18">
        <v>0</v>
      </c>
      <c r="S1210" s="18"/>
      <c r="T1210" s="18">
        <v>0</v>
      </c>
      <c r="U1210" s="18"/>
      <c r="V1210" s="18">
        <v>0</v>
      </c>
      <c r="W1210" s="18">
        <v>0</v>
      </c>
      <c r="X1210" s="18">
        <v>0</v>
      </c>
      <c r="Y1210" s="18"/>
    </row>
    <row r="1211" spans="1:25" ht="15">
      <c r="A1211" s="4">
        <f>+A1210+1</f>
        <v>2</v>
      </c>
      <c r="B1211" s="5" t="s">
        <v>36</v>
      </c>
      <c r="C1211" s="22" t="s">
        <v>38</v>
      </c>
      <c r="D1211" s="27">
        <v>8533229</v>
      </c>
      <c r="E1211" s="19"/>
      <c r="F1211" s="23">
        <v>7090166</v>
      </c>
      <c r="G1211" s="21">
        <f>+D1211-F1211</f>
        <v>1443063</v>
      </c>
      <c r="H1211" s="18"/>
      <c r="I1211" s="18">
        <v>0</v>
      </c>
      <c r="J1211" s="18">
        <v>0</v>
      </c>
      <c r="K1211" s="18">
        <v>0</v>
      </c>
      <c r="L1211" s="18">
        <v>0</v>
      </c>
      <c r="M1211" s="18">
        <v>0</v>
      </c>
      <c r="N1211" s="18">
        <v>0</v>
      </c>
      <c r="O1211" s="18">
        <v>0</v>
      </c>
      <c r="P1211" s="18"/>
      <c r="Q1211" s="18">
        <v>0</v>
      </c>
      <c r="R1211" s="18">
        <v>0</v>
      </c>
      <c r="S1211" s="18"/>
      <c r="T1211" s="18">
        <v>0</v>
      </c>
      <c r="U1211" s="18"/>
      <c r="V1211" s="18">
        <v>0</v>
      </c>
      <c r="W1211" s="18">
        <v>0</v>
      </c>
      <c r="X1211" s="18">
        <v>0</v>
      </c>
      <c r="Y1211" s="18"/>
    </row>
    <row r="1212" spans="1:25" ht="22.5">
      <c r="A1212" s="4">
        <f>+A1211+1</f>
        <v>3</v>
      </c>
      <c r="B1212" s="24" t="s">
        <v>176</v>
      </c>
      <c r="C1212" s="25" t="s">
        <v>177</v>
      </c>
      <c r="D1212" s="18">
        <f>+D1210-D1211</f>
        <v>4101</v>
      </c>
      <c r="E1212" s="19"/>
      <c r="F1212" s="26">
        <f>+F1210-F1211</f>
        <v>81006</v>
      </c>
      <c r="G1212" s="18">
        <f>+G1210-G1211</f>
        <v>-76905</v>
      </c>
      <c r="H1212" s="18"/>
      <c r="I1212" s="18">
        <f aca="true" t="shared" si="149" ref="I1212:O1212">+I1210-I1211</f>
        <v>0</v>
      </c>
      <c r="J1212" s="18">
        <f t="shared" si="149"/>
        <v>0</v>
      </c>
      <c r="K1212" s="18">
        <f t="shared" si="149"/>
        <v>0</v>
      </c>
      <c r="L1212" s="18">
        <f t="shared" si="149"/>
        <v>0</v>
      </c>
      <c r="M1212" s="18">
        <f t="shared" si="149"/>
        <v>0</v>
      </c>
      <c r="N1212" s="18">
        <f t="shared" si="149"/>
        <v>0</v>
      </c>
      <c r="O1212" s="18">
        <f t="shared" si="149"/>
        <v>0</v>
      </c>
      <c r="P1212" s="18"/>
      <c r="Q1212" s="18">
        <f>+Q1210-Q1211</f>
        <v>0</v>
      </c>
      <c r="R1212" s="18">
        <f>+R1210-R1211</f>
        <v>0</v>
      </c>
      <c r="S1212" s="18"/>
      <c r="T1212" s="18">
        <f>+T1210-T1211</f>
        <v>0</v>
      </c>
      <c r="U1212" s="18"/>
      <c r="V1212" s="18">
        <f>+V1210-V1211</f>
        <v>0</v>
      </c>
      <c r="W1212" s="18">
        <f>+W1210-W1211</f>
        <v>0</v>
      </c>
      <c r="X1212" s="18">
        <f>+X1210-X1211</f>
        <v>0</v>
      </c>
      <c r="Y1212" s="18"/>
    </row>
    <row r="1213" spans="1:25" ht="28.5">
      <c r="A1213" s="4">
        <f>+A1212+1</f>
        <v>4</v>
      </c>
      <c r="B1213" s="88" t="s">
        <v>178</v>
      </c>
      <c r="C1213" s="25" t="s">
        <v>179</v>
      </c>
      <c r="D1213" s="18">
        <v>0</v>
      </c>
      <c r="E1213" s="19"/>
      <c r="F1213" s="26">
        <v>0</v>
      </c>
      <c r="G1213" s="18">
        <f>+D1213-F1213</f>
        <v>0</v>
      </c>
      <c r="H1213" s="18"/>
      <c r="I1213" s="27">
        <v>0</v>
      </c>
      <c r="J1213" s="18">
        <v>0</v>
      </c>
      <c r="K1213" s="18">
        <v>0</v>
      </c>
      <c r="L1213" s="18">
        <v>0</v>
      </c>
      <c r="M1213" s="18">
        <v>0</v>
      </c>
      <c r="N1213" s="18">
        <v>0</v>
      </c>
      <c r="O1213" s="18">
        <v>0</v>
      </c>
      <c r="P1213" s="18"/>
      <c r="Q1213" s="18">
        <v>0</v>
      </c>
      <c r="R1213" s="18">
        <v>0</v>
      </c>
      <c r="S1213" s="18"/>
      <c r="T1213" s="18">
        <v>0</v>
      </c>
      <c r="U1213" s="18"/>
      <c r="V1213" s="18">
        <v>0</v>
      </c>
      <c r="W1213" s="18">
        <v>0</v>
      </c>
      <c r="X1213" s="18">
        <v>0</v>
      </c>
      <c r="Y1213" s="18"/>
    </row>
    <row r="1214" spans="1:25" ht="24.75">
      <c r="A1214" s="4">
        <f>+A1213+1</f>
        <v>5</v>
      </c>
      <c r="B1214" s="89" t="s">
        <v>39</v>
      </c>
      <c r="C1214" s="28" t="s">
        <v>40</v>
      </c>
      <c r="D1214" s="27">
        <v>51665</v>
      </c>
      <c r="E1214" s="29"/>
      <c r="F1214" s="30">
        <v>0</v>
      </c>
      <c r="G1214" s="31">
        <f>+D1214-F1214</f>
        <v>51665</v>
      </c>
      <c r="H1214" s="18"/>
      <c r="I1214" s="27">
        <v>0</v>
      </c>
      <c r="J1214" s="27">
        <v>-647</v>
      </c>
      <c r="K1214" s="27">
        <v>0</v>
      </c>
      <c r="L1214" s="27">
        <v>288042</v>
      </c>
      <c r="M1214" s="27">
        <v>6528</v>
      </c>
      <c r="N1214" s="27">
        <v>-17</v>
      </c>
      <c r="O1214" s="27">
        <v>-3473</v>
      </c>
      <c r="P1214" s="18"/>
      <c r="Q1214" s="27">
        <v>-3023</v>
      </c>
      <c r="R1214" s="27">
        <v>0</v>
      </c>
      <c r="S1214" s="27"/>
      <c r="T1214" s="27">
        <v>0</v>
      </c>
      <c r="U1214" s="27"/>
      <c r="V1214" s="27">
        <v>0</v>
      </c>
      <c r="W1214" s="27">
        <v>0</v>
      </c>
      <c r="X1214" s="27">
        <v>-461147</v>
      </c>
      <c r="Y1214" s="18"/>
    </row>
    <row r="1215" spans="1:25" ht="15">
      <c r="A1215" s="6" t="s">
        <v>41</v>
      </c>
      <c r="B1215" s="90"/>
      <c r="C1215" s="11"/>
      <c r="D1215" s="18"/>
      <c r="E1215" s="19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 t="s">
        <v>0</v>
      </c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</row>
    <row r="1216" spans="1:25" ht="15">
      <c r="A1216" s="4">
        <f>+A1214+1</f>
        <v>6</v>
      </c>
      <c r="B1216" s="5" t="s">
        <v>42</v>
      </c>
      <c r="C1216" s="22" t="s">
        <v>38</v>
      </c>
      <c r="D1216" s="27">
        <v>7359239</v>
      </c>
      <c r="E1216" s="19"/>
      <c r="F1216" s="23">
        <v>6169076</v>
      </c>
      <c r="G1216" s="18">
        <f>+D1216-F1216</f>
        <v>1190163</v>
      </c>
      <c r="H1216" s="18"/>
      <c r="I1216" s="18">
        <v>0</v>
      </c>
      <c r="J1216" s="18">
        <v>0</v>
      </c>
      <c r="K1216" s="18">
        <v>0</v>
      </c>
      <c r="L1216" s="18">
        <v>0</v>
      </c>
      <c r="M1216" s="18">
        <v>0</v>
      </c>
      <c r="N1216" s="18">
        <v>0</v>
      </c>
      <c r="O1216" s="18">
        <v>0</v>
      </c>
      <c r="P1216" s="18"/>
      <c r="Q1216" s="18">
        <v>0</v>
      </c>
      <c r="R1216" s="18">
        <v>0</v>
      </c>
      <c r="S1216" s="18"/>
      <c r="T1216" s="18">
        <v>0</v>
      </c>
      <c r="U1216" s="18"/>
      <c r="V1216" s="18">
        <v>0</v>
      </c>
      <c r="W1216" s="18">
        <v>0</v>
      </c>
      <c r="X1216" s="18">
        <v>0</v>
      </c>
      <c r="Y1216" s="18"/>
    </row>
    <row r="1217" spans="1:25" ht="15">
      <c r="A1217" s="4">
        <f>+A1216+1</f>
        <v>7</v>
      </c>
      <c r="B1217" s="5" t="s">
        <v>43</v>
      </c>
      <c r="C1217" s="11"/>
      <c r="D1217" s="27">
        <v>6449</v>
      </c>
      <c r="E1217" s="19"/>
      <c r="F1217" s="23">
        <v>4398</v>
      </c>
      <c r="G1217" s="18">
        <f>+D1217-F1217</f>
        <v>2051</v>
      </c>
      <c r="H1217" s="18"/>
      <c r="I1217" s="18">
        <v>0</v>
      </c>
      <c r="J1217" s="18">
        <v>0</v>
      </c>
      <c r="K1217" s="18">
        <v>0</v>
      </c>
      <c r="L1217" s="18">
        <v>0</v>
      </c>
      <c r="M1217" s="18">
        <v>0</v>
      </c>
      <c r="N1217" s="18">
        <v>0</v>
      </c>
      <c r="O1217" s="31">
        <v>0</v>
      </c>
      <c r="P1217" s="18"/>
      <c r="Q1217" s="18">
        <v>0</v>
      </c>
      <c r="R1217" s="18">
        <v>0</v>
      </c>
      <c r="S1217" s="18"/>
      <c r="T1217" s="18">
        <v>0</v>
      </c>
      <c r="U1217" s="18"/>
      <c r="V1217" s="18">
        <v>0</v>
      </c>
      <c r="W1217" s="18">
        <v>0</v>
      </c>
      <c r="X1217" s="18">
        <v>0</v>
      </c>
      <c r="Y1217" s="18"/>
    </row>
    <row r="1218" spans="1:25" ht="35.25">
      <c r="A1218" s="4">
        <f>+A1217+1</f>
        <v>8</v>
      </c>
      <c r="B1218" s="24" t="s">
        <v>180</v>
      </c>
      <c r="C1218" s="32" t="s">
        <v>44</v>
      </c>
      <c r="D1218" s="33">
        <f>D1216-D1217</f>
        <v>7352790</v>
      </c>
      <c r="E1218" s="34"/>
      <c r="F1218" s="91">
        <f>+F1216-F1217</f>
        <v>6164678</v>
      </c>
      <c r="G1218" s="18">
        <f>+G1216-G1217</f>
        <v>1188112</v>
      </c>
      <c r="H1218" s="18"/>
      <c r="I1218" s="18">
        <f aca="true" t="shared" si="150" ref="I1218:O1218">+I1216-I1217</f>
        <v>0</v>
      </c>
      <c r="J1218" s="18">
        <f t="shared" si="150"/>
        <v>0</v>
      </c>
      <c r="K1218" s="18">
        <f t="shared" si="150"/>
        <v>0</v>
      </c>
      <c r="L1218" s="18">
        <f t="shared" si="150"/>
        <v>0</v>
      </c>
      <c r="M1218" s="18">
        <f t="shared" si="150"/>
        <v>0</v>
      </c>
      <c r="N1218" s="18">
        <f t="shared" si="150"/>
        <v>0</v>
      </c>
      <c r="O1218" s="18">
        <f t="shared" si="150"/>
        <v>0</v>
      </c>
      <c r="P1218" s="18"/>
      <c r="Q1218" s="18">
        <f>+Q1216-Q1217</f>
        <v>0</v>
      </c>
      <c r="R1218" s="18">
        <f>+R1216-R1217</f>
        <v>0</v>
      </c>
      <c r="S1218" s="18"/>
      <c r="T1218" s="18">
        <f>+T1216-T1217</f>
        <v>0</v>
      </c>
      <c r="U1218" s="18"/>
      <c r="V1218" s="18">
        <f>+V1216-V1217</f>
        <v>0</v>
      </c>
      <c r="W1218" s="18">
        <f>+W1216-W1217</f>
        <v>0</v>
      </c>
      <c r="X1218" s="18">
        <f>+X1216-X1217</f>
        <v>0</v>
      </c>
      <c r="Y1218" s="18"/>
    </row>
    <row r="1219" spans="1:25" ht="28.5">
      <c r="A1219" s="4">
        <f>+A1218+1</f>
        <v>9</v>
      </c>
      <c r="B1219" s="88" t="s">
        <v>181</v>
      </c>
      <c r="C1219" s="35" t="s">
        <v>45</v>
      </c>
      <c r="D1219" s="18">
        <v>0</v>
      </c>
      <c r="E1219" s="19"/>
      <c r="F1219" s="31">
        <v>0</v>
      </c>
      <c r="G1219" s="31">
        <f>+D1219-F1219</f>
        <v>0</v>
      </c>
      <c r="H1219" s="18"/>
      <c r="I1219" s="18">
        <v>0</v>
      </c>
      <c r="J1219" s="18">
        <v>0</v>
      </c>
      <c r="K1219" s="18">
        <v>0</v>
      </c>
      <c r="L1219" s="18">
        <v>0</v>
      </c>
      <c r="M1219" s="18">
        <v>0</v>
      </c>
      <c r="N1219" s="18">
        <v>0</v>
      </c>
      <c r="O1219" s="31">
        <v>0</v>
      </c>
      <c r="P1219" s="18"/>
      <c r="Q1219" s="18">
        <v>0</v>
      </c>
      <c r="R1219" s="18">
        <v>0</v>
      </c>
      <c r="S1219" s="18"/>
      <c r="T1219" s="18">
        <v>0</v>
      </c>
      <c r="U1219" s="18"/>
      <c r="V1219" s="18">
        <v>0</v>
      </c>
      <c r="W1219" s="18">
        <v>0</v>
      </c>
      <c r="X1219" s="18">
        <v>0</v>
      </c>
      <c r="Y1219" s="18"/>
    </row>
    <row r="1220" spans="1:25" ht="15">
      <c r="A1220" s="4">
        <f>+A1219+1</f>
        <v>10</v>
      </c>
      <c r="B1220" s="24" t="s">
        <v>46</v>
      </c>
      <c r="C1220" s="11" t="s">
        <v>47</v>
      </c>
      <c r="D1220" s="36">
        <f>+D1212+D1213+D1214+D1218+D1219</f>
        <v>7408556</v>
      </c>
      <c r="E1220" s="19"/>
      <c r="F1220" s="36">
        <f>+F1212+F1213+F1214+F1218+F1219</f>
        <v>6245684</v>
      </c>
      <c r="G1220" s="18">
        <f>+G1212+G1213+G1218+G1219+G1214</f>
        <v>1162872</v>
      </c>
      <c r="H1220" s="18"/>
      <c r="I1220" s="18">
        <f aca="true" t="shared" si="151" ref="I1220:O1220">+I1212+I1213+I1218+I1219+I1214</f>
        <v>0</v>
      </c>
      <c r="J1220" s="21">
        <f t="shared" si="151"/>
        <v>-647</v>
      </c>
      <c r="K1220" s="18">
        <f t="shared" si="151"/>
        <v>0</v>
      </c>
      <c r="L1220" s="18">
        <f t="shared" si="151"/>
        <v>288042</v>
      </c>
      <c r="M1220" s="18">
        <f t="shared" si="151"/>
        <v>6528</v>
      </c>
      <c r="N1220" s="18">
        <f t="shared" si="151"/>
        <v>-17</v>
      </c>
      <c r="O1220" s="18">
        <f t="shared" si="151"/>
        <v>-3473</v>
      </c>
      <c r="P1220" s="18"/>
      <c r="Q1220" s="18">
        <f>+Q1212+Q1213+Q1218+Q1219+Q1214</f>
        <v>-3023</v>
      </c>
      <c r="R1220" s="18">
        <f>+R1212+R1213+R1218+R1219+R1214</f>
        <v>0</v>
      </c>
      <c r="S1220" s="18"/>
      <c r="T1220" s="18">
        <f>+T1212+T1213+T1218+T1219+T1214</f>
        <v>0</v>
      </c>
      <c r="U1220" s="18"/>
      <c r="V1220" s="18">
        <f>+V1212+V1213+V1218+V1219+V1214</f>
        <v>0</v>
      </c>
      <c r="W1220" s="18">
        <f>+W1212+W1213+W1218+W1219+W1214</f>
        <v>0</v>
      </c>
      <c r="X1220" s="18">
        <f>+X1212+X1213+X1218+X1219+X1214</f>
        <v>-461147</v>
      </c>
      <c r="Y1220" s="18"/>
    </row>
    <row r="1221" spans="1:25" ht="15">
      <c r="A1221" s="4"/>
      <c r="B1221" s="24"/>
      <c r="C1221" s="11" t="s">
        <v>0</v>
      </c>
      <c r="D1221" s="27" t="s">
        <v>0</v>
      </c>
      <c r="E1221" s="18"/>
      <c r="F1221" s="36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</row>
    <row r="1222" spans="1:25" ht="15">
      <c r="A1222" s="4"/>
      <c r="B1222" s="24"/>
      <c r="C1222" s="37"/>
      <c r="D1222" s="18">
        <f>402751.94+259595.53+1062218.34+5683990.43</f>
        <v>7408556.24</v>
      </c>
      <c r="E1222" s="18"/>
      <c r="F1222" s="36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</row>
    <row r="1223" spans="1:25" ht="15">
      <c r="A1223" s="4"/>
      <c r="B1223" s="24"/>
      <c r="C1223" s="11"/>
      <c r="D1223" s="6" t="s">
        <v>48</v>
      </c>
      <c r="E1223" s="6"/>
      <c r="F1223" s="10" t="s">
        <v>49</v>
      </c>
      <c r="G1223" s="10" t="s">
        <v>50</v>
      </c>
      <c r="I1223" s="10" t="s">
        <v>51</v>
      </c>
      <c r="J1223" s="10" t="s">
        <v>52</v>
      </c>
      <c r="K1223" s="10" t="s">
        <v>53</v>
      </c>
      <c r="L1223" s="10" t="s">
        <v>54</v>
      </c>
      <c r="M1223" s="10" t="s">
        <v>55</v>
      </c>
      <c r="N1223" s="10" t="s">
        <v>56</v>
      </c>
      <c r="O1223" s="10" t="s">
        <v>57</v>
      </c>
      <c r="P1223" s="18"/>
      <c r="Q1223" s="10" t="s">
        <v>58</v>
      </c>
      <c r="R1223" s="10" t="s">
        <v>59</v>
      </c>
      <c r="S1223" s="10"/>
      <c r="T1223" s="10" t="s">
        <v>60</v>
      </c>
      <c r="U1223" s="18"/>
      <c r="V1223" s="10" t="s">
        <v>61</v>
      </c>
      <c r="W1223" s="10" t="s">
        <v>62</v>
      </c>
      <c r="X1223" s="10" t="s">
        <v>63</v>
      </c>
      <c r="Y1223" s="18"/>
    </row>
    <row r="1224" spans="1:25" ht="15">
      <c r="A1224" s="4"/>
      <c r="B1224"/>
      <c r="C1224" s="11"/>
      <c r="D1224" s="10" t="s">
        <v>20</v>
      </c>
      <c r="E1224" s="38"/>
      <c r="F1224" s="10" t="s">
        <v>20</v>
      </c>
      <c r="G1224" s="10" t="s">
        <v>20</v>
      </c>
      <c r="I1224" s="10" t="s">
        <v>20</v>
      </c>
      <c r="J1224" s="10" t="s">
        <v>20</v>
      </c>
      <c r="K1224" s="10" t="s">
        <v>20</v>
      </c>
      <c r="L1224" s="10" t="s">
        <v>20</v>
      </c>
      <c r="M1224" s="10" t="s">
        <v>20</v>
      </c>
      <c r="N1224" s="10" t="s">
        <v>20</v>
      </c>
      <c r="O1224" s="10" t="s">
        <v>20</v>
      </c>
      <c r="P1224" s="18"/>
      <c r="Q1224" s="10" t="s">
        <v>20</v>
      </c>
      <c r="R1224" s="10" t="s">
        <v>20</v>
      </c>
      <c r="S1224" s="14"/>
      <c r="T1224" s="10" t="s">
        <v>20</v>
      </c>
      <c r="U1224" s="18"/>
      <c r="W1224" s="39" t="s">
        <v>64</v>
      </c>
      <c r="Y1224" s="18"/>
    </row>
    <row r="1225" spans="1:25" ht="15">
      <c r="A1225" s="4"/>
      <c r="B1225" s="87" t="s">
        <v>174</v>
      </c>
      <c r="C1225" s="11"/>
      <c r="D1225" s="8" t="s">
        <v>155</v>
      </c>
      <c r="E1225" s="6"/>
      <c r="F1225" s="8" t="s">
        <v>66</v>
      </c>
      <c r="G1225" s="8" t="s">
        <v>67</v>
      </c>
      <c r="H1225" s="19"/>
      <c r="I1225" s="8" t="s">
        <v>68</v>
      </c>
      <c r="J1225" s="8" t="s">
        <v>69</v>
      </c>
      <c r="K1225" s="8" t="s">
        <v>70</v>
      </c>
      <c r="L1225" s="8" t="s">
        <v>71</v>
      </c>
      <c r="M1225" s="8" t="s">
        <v>72</v>
      </c>
      <c r="N1225" s="8" t="s">
        <v>73</v>
      </c>
      <c r="O1225" s="8" t="s">
        <v>74</v>
      </c>
      <c r="P1225" s="6"/>
      <c r="Q1225" s="8" t="s">
        <v>75</v>
      </c>
      <c r="R1225" s="8" t="s">
        <v>76</v>
      </c>
      <c r="S1225" s="8"/>
      <c r="T1225" s="8" t="s">
        <v>77</v>
      </c>
      <c r="U1225" s="18"/>
      <c r="V1225" s="10" t="s">
        <v>20</v>
      </c>
      <c r="W1225" s="14" t="s">
        <v>21</v>
      </c>
      <c r="X1225" s="10" t="s">
        <v>22</v>
      </c>
      <c r="Y1225" s="18"/>
    </row>
    <row r="1226" spans="1:8" ht="15">
      <c r="A1226" s="4"/>
      <c r="B1226" s="24"/>
      <c r="C1226" s="11"/>
      <c r="E1226" s="14"/>
      <c r="F1226"/>
      <c r="H1226" s="18"/>
    </row>
    <row r="1227" spans="1:24" ht="15">
      <c r="A1227" s="4">
        <f>+A1220+1</f>
        <v>11</v>
      </c>
      <c r="B1227" s="5" t="s">
        <v>36</v>
      </c>
      <c r="C1227" s="17" t="s">
        <v>37</v>
      </c>
      <c r="D1227" s="18">
        <v>0</v>
      </c>
      <c r="E1227" s="18"/>
      <c r="F1227" s="18">
        <v>0</v>
      </c>
      <c r="G1227" s="18">
        <v>0</v>
      </c>
      <c r="I1227" s="27">
        <v>339096</v>
      </c>
      <c r="J1227" s="18">
        <v>0</v>
      </c>
      <c r="K1227" s="18">
        <v>0</v>
      </c>
      <c r="L1227" s="18">
        <v>0</v>
      </c>
      <c r="M1227" s="18">
        <v>0</v>
      </c>
      <c r="N1227" s="18">
        <v>0</v>
      </c>
      <c r="O1227" s="18">
        <v>0</v>
      </c>
      <c r="Q1227" s="18">
        <v>0</v>
      </c>
      <c r="R1227" s="18">
        <v>0</v>
      </c>
      <c r="S1227" s="18"/>
      <c r="T1227" s="18">
        <v>0</v>
      </c>
      <c r="V1227" s="18">
        <f>+D1210+I1210+J1210+K1210+L1210+M1210+N1210+O1210+Q1210+R1210+T1210+V1210+W1210+X1210+D1227+F1227+G1227+I1227+J1227+K1227+L1227+M1227+N1227+O1227+Q1227+R1227+T1227</f>
        <v>8876426</v>
      </c>
      <c r="W1227" s="18">
        <f>+F1210</f>
        <v>7171172</v>
      </c>
      <c r="X1227" s="18">
        <f>+V1227-W1227</f>
        <v>1705254</v>
      </c>
    </row>
    <row r="1228" spans="1:24" ht="15">
      <c r="A1228" s="4">
        <f>+A1227+1</f>
        <v>12</v>
      </c>
      <c r="B1228" s="5" t="s">
        <v>36</v>
      </c>
      <c r="C1228" s="22" t="s">
        <v>38</v>
      </c>
      <c r="D1228" s="18">
        <v>0</v>
      </c>
      <c r="E1228" s="18"/>
      <c r="F1228" s="18">
        <v>0</v>
      </c>
      <c r="G1228" s="18">
        <v>0</v>
      </c>
      <c r="I1228" s="27">
        <v>339645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Q1228" s="18">
        <v>0</v>
      </c>
      <c r="R1228" s="18">
        <v>0</v>
      </c>
      <c r="S1228" s="18"/>
      <c r="T1228" s="18">
        <v>0</v>
      </c>
      <c r="V1228" s="18">
        <f>+D1211+I1211+J1211+K1211+L1211+M1211+N1211+O1211+Q1211+R1211+T1211+V1211+W1211+X1211+D1228+F1228+G1228+I1228+J1228+K1228+L1228+M1228+N1228+O1228+Q1228+R1228+T1228</f>
        <v>8872874</v>
      </c>
      <c r="W1228" s="18">
        <f>+F1211</f>
        <v>7090166</v>
      </c>
      <c r="X1228" s="18">
        <f>+V1228-W1228</f>
        <v>1782708</v>
      </c>
    </row>
    <row r="1229" spans="1:24" ht="15">
      <c r="A1229" s="4">
        <f>+A1228+1</f>
        <v>13</v>
      </c>
      <c r="B1229" s="24" t="s">
        <v>46</v>
      </c>
      <c r="C1229" s="40" t="s">
        <v>78</v>
      </c>
      <c r="D1229" s="18">
        <f>+D1227-D1228</f>
        <v>0</v>
      </c>
      <c r="E1229" s="18"/>
      <c r="F1229" s="18">
        <f>+F1227-F1228</f>
        <v>0</v>
      </c>
      <c r="G1229" s="18">
        <f>+G1227-G1228</f>
        <v>0</v>
      </c>
      <c r="I1229" s="18">
        <f aca="true" t="shared" si="152" ref="I1229:O1229">+I1227-I1228</f>
        <v>-549</v>
      </c>
      <c r="J1229" s="18">
        <f t="shared" si="152"/>
        <v>0</v>
      </c>
      <c r="K1229" s="18">
        <f t="shared" si="152"/>
        <v>0</v>
      </c>
      <c r="L1229" s="18">
        <f t="shared" si="152"/>
        <v>0</v>
      </c>
      <c r="M1229" s="18">
        <f t="shared" si="152"/>
        <v>0</v>
      </c>
      <c r="N1229" s="18">
        <f t="shared" si="152"/>
        <v>0</v>
      </c>
      <c r="O1229" s="18">
        <f t="shared" si="152"/>
        <v>0</v>
      </c>
      <c r="Q1229" s="18">
        <f>+Q1227-Q1228</f>
        <v>0</v>
      </c>
      <c r="R1229" s="18">
        <f>+R1227-R1228</f>
        <v>0</v>
      </c>
      <c r="S1229" s="18"/>
      <c r="T1229" s="18">
        <f>+T1227-T1228</f>
        <v>0</v>
      </c>
      <c r="V1229" s="27">
        <f>+V1227-V1228</f>
        <v>3552</v>
      </c>
      <c r="W1229" s="27">
        <f>+W1227-W1228</f>
        <v>81006</v>
      </c>
      <c r="X1229" s="18">
        <f>+X1227-X1228</f>
        <v>-77454</v>
      </c>
    </row>
    <row r="1230" spans="1:24" ht="28.5">
      <c r="A1230" s="4">
        <f>+A1229+1</f>
        <v>14</v>
      </c>
      <c r="B1230" s="88" t="s">
        <v>182</v>
      </c>
      <c r="C1230" s="11"/>
      <c r="D1230" s="18">
        <v>0</v>
      </c>
      <c r="E1230" s="18"/>
      <c r="F1230" s="18">
        <v>0</v>
      </c>
      <c r="G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0</v>
      </c>
      <c r="N1230" s="18">
        <v>0</v>
      </c>
      <c r="O1230" s="18">
        <v>0</v>
      </c>
      <c r="Q1230" s="18">
        <v>0</v>
      </c>
      <c r="R1230" s="18">
        <v>0</v>
      </c>
      <c r="S1230" s="18"/>
      <c r="T1230" s="18">
        <v>0</v>
      </c>
      <c r="V1230" s="18">
        <f>+D1213+I1213+J1213+K1213+L1213+M1213+N1213+O1213+Q1213+R1213+T1213+V1213+W1213+X1213+D1230+F1230+G1230+I1230+J1230+K1230+L1230+M1230+N1230+O1230+Q1230+R1230+T1230</f>
        <v>0</v>
      </c>
      <c r="W1230" s="18">
        <f>+F1213</f>
        <v>0</v>
      </c>
      <c r="X1230" s="18">
        <f>+V1230-W1230</f>
        <v>0</v>
      </c>
    </row>
    <row r="1231" spans="1:24" ht="24.75">
      <c r="A1231" s="4">
        <f>+A1230+1</f>
        <v>15</v>
      </c>
      <c r="B1231" s="89" t="s">
        <v>39</v>
      </c>
      <c r="C1231" s="40"/>
      <c r="D1231" s="27">
        <v>-1853</v>
      </c>
      <c r="E1231" s="18" t="s">
        <v>0</v>
      </c>
      <c r="F1231" s="27">
        <v>0</v>
      </c>
      <c r="G1231" s="27">
        <v>0</v>
      </c>
      <c r="H1231" t="s">
        <v>0</v>
      </c>
      <c r="I1231" s="27">
        <v>0</v>
      </c>
      <c r="J1231" s="27">
        <v>4782</v>
      </c>
      <c r="K1231" s="27">
        <v>0</v>
      </c>
      <c r="L1231" s="27">
        <v>0</v>
      </c>
      <c r="M1231" s="27">
        <v>67998</v>
      </c>
      <c r="N1231" s="27">
        <v>-348835</v>
      </c>
      <c r="O1231" s="27">
        <v>25669</v>
      </c>
      <c r="Q1231" s="27">
        <v>0</v>
      </c>
      <c r="R1231" s="27">
        <v>0</v>
      </c>
      <c r="S1231" s="27"/>
      <c r="T1231" s="27">
        <v>0</v>
      </c>
      <c r="V1231" s="18">
        <f>+D1214+I1214+J1214+K1214+L1214+M1214+N1214+O1214+Q1214+R1214+T1214+V1214+W1214+X1214+D1231+F1231+G1231+I1231+J1231+K1231+L1231+M1231+N1231+O1231+Q1231+R1231+T1231</f>
        <v>-374311</v>
      </c>
      <c r="W1231" s="18">
        <f>+F1214</f>
        <v>0</v>
      </c>
      <c r="X1231" s="18">
        <f>+V1231-W1231</f>
        <v>-374311</v>
      </c>
    </row>
    <row r="1232" spans="1:24" ht="15">
      <c r="A1232" s="6" t="s">
        <v>41</v>
      </c>
      <c r="B1232" s="41"/>
      <c r="C1232" s="40"/>
      <c r="D1232" s="18"/>
      <c r="E1232" s="18"/>
      <c r="F1232" s="18"/>
      <c r="G1232" s="18"/>
      <c r="I1232" s="18"/>
      <c r="J1232" s="18"/>
      <c r="K1232" s="18"/>
      <c r="L1232" s="18"/>
      <c r="M1232" s="18"/>
      <c r="N1232" s="18"/>
      <c r="O1232" s="18"/>
      <c r="Q1232" s="18"/>
      <c r="R1232" s="18"/>
      <c r="S1232" s="18"/>
      <c r="T1232" s="18"/>
      <c r="V1232" s="18"/>
      <c r="W1232" s="18"/>
      <c r="X1232" s="18"/>
    </row>
    <row r="1233" spans="1:24" ht="15">
      <c r="A1233" s="4">
        <f>+A1231+1</f>
        <v>16</v>
      </c>
      <c r="B1233" s="5" t="s">
        <v>42</v>
      </c>
      <c r="C1233" s="22" t="s">
        <v>38</v>
      </c>
      <c r="D1233" s="18">
        <v>0</v>
      </c>
      <c r="E1233" s="18"/>
      <c r="F1233" s="18">
        <v>0</v>
      </c>
      <c r="G1233" s="18">
        <v>0</v>
      </c>
      <c r="I1233" s="27">
        <v>261287</v>
      </c>
      <c r="J1233" s="18">
        <v>0</v>
      </c>
      <c r="K1233" s="18">
        <v>0</v>
      </c>
      <c r="L1233" s="18">
        <v>0</v>
      </c>
      <c r="M1233" s="18">
        <v>0</v>
      </c>
      <c r="N1233" s="18">
        <v>0</v>
      </c>
      <c r="O1233" s="18">
        <v>0</v>
      </c>
      <c r="P1233" s="18"/>
      <c r="Q1233" s="18">
        <v>0</v>
      </c>
      <c r="R1233" s="18">
        <v>0</v>
      </c>
      <c r="S1233" s="18"/>
      <c r="T1233" s="18">
        <v>0</v>
      </c>
      <c r="U1233" s="18"/>
      <c r="V1233" s="18">
        <f>+D1216+I1216+J1216+K1216+L1216+M1216+N1216+O1216+Q1216+R1216+T1216+V1216+W1216+X1216+D1233+F1233+G1233+I1233+J1233+K1233+L1233+M1233+N1233+O1233+Q1233+R1233+T1233</f>
        <v>7620526</v>
      </c>
      <c r="W1233" s="18">
        <f>+F1216</f>
        <v>6169076</v>
      </c>
      <c r="X1233" s="18">
        <f>+V1233-W1233</f>
        <v>1451450</v>
      </c>
    </row>
    <row r="1234" spans="1:24" ht="15">
      <c r="A1234" s="4">
        <f>+A1233+1</f>
        <v>17</v>
      </c>
      <c r="B1234" s="5" t="s">
        <v>43</v>
      </c>
      <c r="C1234" s="11"/>
      <c r="D1234" s="18">
        <v>0</v>
      </c>
      <c r="E1234" s="18"/>
      <c r="F1234" s="18">
        <v>0</v>
      </c>
      <c r="G1234" s="18">
        <v>0</v>
      </c>
      <c r="I1234" s="27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0</v>
      </c>
      <c r="P1234" s="18"/>
      <c r="Q1234" s="18">
        <v>0</v>
      </c>
      <c r="R1234" s="18">
        <v>0</v>
      </c>
      <c r="S1234" s="18"/>
      <c r="T1234" s="18">
        <v>0</v>
      </c>
      <c r="U1234" s="18"/>
      <c r="V1234" s="18">
        <f>+D1217+I1217+J1217+K1217+L1217+M1217+N1217+O1217+Q1217+R1217+T1217+V1217+W1217+X1217+D1234+F1234+G1234+I1234+J1234+K1234+L1234+M1234+N1234+O1234+Q1234+R1234+T1234</f>
        <v>6449</v>
      </c>
      <c r="W1234" s="18">
        <f>+F1217</f>
        <v>4398</v>
      </c>
      <c r="X1234" s="18">
        <f>+V1234-W1234</f>
        <v>2051</v>
      </c>
    </row>
    <row r="1235" spans="1:24" ht="26.25">
      <c r="A1235" s="4">
        <f>+A1234+1</f>
        <v>18</v>
      </c>
      <c r="B1235" s="24" t="s">
        <v>79</v>
      </c>
      <c r="C1235" s="11"/>
      <c r="D1235" s="18">
        <f>+D1233-D1234</f>
        <v>0</v>
      </c>
      <c r="E1235" s="18"/>
      <c r="F1235" s="18">
        <f>+F1233-F1234</f>
        <v>0</v>
      </c>
      <c r="G1235" s="18">
        <f>+G1233-G1234</f>
        <v>0</v>
      </c>
      <c r="I1235" s="18">
        <f aca="true" t="shared" si="153" ref="I1235:O1235">+I1233-I1234</f>
        <v>261287</v>
      </c>
      <c r="J1235" s="18">
        <f t="shared" si="153"/>
        <v>0</v>
      </c>
      <c r="K1235" s="18">
        <f t="shared" si="153"/>
        <v>0</v>
      </c>
      <c r="L1235" s="18">
        <f t="shared" si="153"/>
        <v>0</v>
      </c>
      <c r="M1235" s="18">
        <f t="shared" si="153"/>
        <v>0</v>
      </c>
      <c r="N1235" s="18">
        <f t="shared" si="153"/>
        <v>0</v>
      </c>
      <c r="O1235" s="18">
        <f t="shared" si="153"/>
        <v>0</v>
      </c>
      <c r="P1235" s="18"/>
      <c r="Q1235" s="18">
        <f>+Q1233-Q1234</f>
        <v>0</v>
      </c>
      <c r="R1235" s="18">
        <f>+R1233-R1234</f>
        <v>0</v>
      </c>
      <c r="S1235" s="18"/>
      <c r="T1235" s="18">
        <f>+T1233-T1234</f>
        <v>0</v>
      </c>
      <c r="U1235" s="18"/>
      <c r="V1235" s="27">
        <f>+V1233-V1234</f>
        <v>7614077</v>
      </c>
      <c r="W1235" s="27">
        <f>+W1233-W1234</f>
        <v>6164678</v>
      </c>
      <c r="X1235" s="18">
        <f>+X1233-X1234</f>
        <v>1449399</v>
      </c>
    </row>
    <row r="1236" spans="1:24" ht="28.5">
      <c r="A1236" s="4">
        <f>+A1235+1</f>
        <v>19</v>
      </c>
      <c r="B1236" s="88" t="s">
        <v>181</v>
      </c>
      <c r="C1236" s="11"/>
      <c r="D1236" s="18">
        <v>0</v>
      </c>
      <c r="E1236" s="18"/>
      <c r="F1236" s="18">
        <v>0</v>
      </c>
      <c r="G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0</v>
      </c>
      <c r="N1236" s="18">
        <v>0</v>
      </c>
      <c r="O1236" s="18">
        <v>0</v>
      </c>
      <c r="P1236" s="18"/>
      <c r="Q1236" s="18">
        <v>0</v>
      </c>
      <c r="R1236" s="18">
        <v>0</v>
      </c>
      <c r="S1236" s="18"/>
      <c r="T1236" s="18">
        <v>0</v>
      </c>
      <c r="U1236" s="18"/>
      <c r="V1236" s="18">
        <f>+D1219+I1219+J1219+K1219+L1219+M1219+N1219+O1219+Q1219+R1219+T1219+V1219+W1219+X1219+D1236+F1236+G1236+I1236+J1236+K1236+L1236+M1236+N1236+O1236+Q1236+R1236+T1236</f>
        <v>0</v>
      </c>
      <c r="W1236" s="18">
        <f>+F1219+K1236+L1236+M1236+N1236+O1236+Q1236+R1236+T1236</f>
        <v>0</v>
      </c>
      <c r="X1236" s="18">
        <f>+V1236-W1236</f>
        <v>0</v>
      </c>
    </row>
    <row r="1237" spans="1:24" ht="15">
      <c r="A1237" s="4">
        <f>+A1236+1</f>
        <v>20</v>
      </c>
      <c r="B1237" s="24" t="s">
        <v>46</v>
      </c>
      <c r="C1237" s="11" t="s">
        <v>47</v>
      </c>
      <c r="D1237" s="18">
        <f>+D1229+D1230+D1235+D1236+D1231</f>
        <v>-1853</v>
      </c>
      <c r="E1237" s="18"/>
      <c r="F1237" s="18">
        <f>+F1229+F1230+F1235+F1236+F1231</f>
        <v>0</v>
      </c>
      <c r="G1237" s="18">
        <f>+G1229+G1230+G1235+G1236+G1231</f>
        <v>0</v>
      </c>
      <c r="I1237" s="18">
        <f aca="true" t="shared" si="154" ref="I1237:O1237">+I1229+I1230+I1235+I1236+I1231</f>
        <v>260738</v>
      </c>
      <c r="J1237" s="18">
        <f t="shared" si="154"/>
        <v>4782</v>
      </c>
      <c r="K1237" s="18">
        <f t="shared" si="154"/>
        <v>0</v>
      </c>
      <c r="L1237" s="18">
        <f t="shared" si="154"/>
        <v>0</v>
      </c>
      <c r="M1237" s="18">
        <f t="shared" si="154"/>
        <v>67998</v>
      </c>
      <c r="N1237" s="18">
        <f t="shared" si="154"/>
        <v>-348835</v>
      </c>
      <c r="O1237" s="18">
        <f t="shared" si="154"/>
        <v>25669</v>
      </c>
      <c r="P1237" s="42"/>
      <c r="Q1237" s="18">
        <f>+Q1229+Q1230+Q1235+Q1236+Q1231</f>
        <v>0</v>
      </c>
      <c r="R1237" s="18">
        <f>+R1229+R1230+R1235+R1236+R1231</f>
        <v>0</v>
      </c>
      <c r="S1237" s="18"/>
      <c r="T1237" s="18">
        <f>+T1229+T1230+T1235+T1236+T1231</f>
        <v>0</v>
      </c>
      <c r="U1237" s="42"/>
      <c r="V1237" s="18">
        <f>SUM(V1229,V1231,V1235,V1236)</f>
        <v>7243318</v>
      </c>
      <c r="W1237" s="18">
        <f>+W1229+W1230+W1235+W1236+W1231</f>
        <v>6245684</v>
      </c>
      <c r="X1237" s="18">
        <f>+X1229+X1230+X1235+X1236+X1231</f>
        <v>997634</v>
      </c>
    </row>
    <row r="1238" spans="1:24" ht="15">
      <c r="A1238" s="4"/>
      <c r="B1238" s="24"/>
      <c r="C1238" s="11"/>
      <c r="D1238" s="18"/>
      <c r="E1238" s="18"/>
      <c r="F1238" s="18"/>
      <c r="G1238" s="18"/>
      <c r="I1238" s="18"/>
      <c r="J1238" s="18"/>
      <c r="K1238" s="18"/>
      <c r="L1238" s="18"/>
      <c r="M1238" s="18"/>
      <c r="N1238" s="18"/>
      <c r="O1238" s="18"/>
      <c r="P1238" s="42"/>
      <c r="Q1238" s="18"/>
      <c r="R1238" s="18"/>
      <c r="S1238" s="18"/>
      <c r="T1238" s="18"/>
      <c r="U1238" s="42"/>
      <c r="V1238" s="18"/>
      <c r="W1238" s="18"/>
      <c r="X1238" s="18"/>
    </row>
    <row r="1239" spans="1:24" ht="15">
      <c r="A1239" s="4"/>
      <c r="B1239" s="24"/>
      <c r="C1239" s="11"/>
      <c r="D1239" s="18"/>
      <c r="E1239" s="18"/>
      <c r="F1239" s="18"/>
      <c r="G1239" s="18"/>
      <c r="I1239" s="18"/>
      <c r="J1239" s="18"/>
      <c r="K1239" s="18"/>
      <c r="L1239" s="18"/>
      <c r="M1239" s="18"/>
      <c r="N1239" s="18"/>
      <c r="O1239" s="18"/>
      <c r="P1239" s="42"/>
      <c r="Q1239" s="18"/>
      <c r="R1239" s="18"/>
      <c r="S1239" s="18"/>
      <c r="T1239" s="18"/>
      <c r="U1239" s="42"/>
      <c r="V1239" s="18"/>
      <c r="W1239" s="18"/>
      <c r="X1239" s="18"/>
    </row>
    <row r="1240" spans="1:24" ht="15">
      <c r="A1240" s="4"/>
      <c r="B1240" s="24"/>
      <c r="C1240" s="11"/>
      <c r="D1240" s="18"/>
      <c r="E1240" s="18"/>
      <c r="F1240" s="18"/>
      <c r="G1240" s="18"/>
      <c r="I1240" s="18"/>
      <c r="J1240" s="18"/>
      <c r="K1240" s="18"/>
      <c r="L1240" s="18"/>
      <c r="M1240" s="18"/>
      <c r="N1240" s="18"/>
      <c r="O1240" s="18"/>
      <c r="P1240" s="42"/>
      <c r="Q1240" s="18"/>
      <c r="R1240" s="18"/>
      <c r="S1240" s="18"/>
      <c r="T1240" s="18"/>
      <c r="U1240" s="42"/>
      <c r="V1240" s="18"/>
      <c r="W1240" s="18"/>
      <c r="X1240" s="18"/>
    </row>
    <row r="1241" spans="1:25" ht="15">
      <c r="A1241" s="4"/>
      <c r="B1241" s="24"/>
      <c r="C1241" s="11"/>
      <c r="D1241" s="10" t="s">
        <v>80</v>
      </c>
      <c r="E1241" s="10"/>
      <c r="F1241" s="10" t="s">
        <v>81</v>
      </c>
      <c r="G1241" s="10" t="s">
        <v>82</v>
      </c>
      <c r="I1241" s="10" t="s">
        <v>83</v>
      </c>
      <c r="J1241" s="10" t="s">
        <v>84</v>
      </c>
      <c r="K1241" s="10" t="s">
        <v>85</v>
      </c>
      <c r="L1241" s="10" t="s">
        <v>86</v>
      </c>
      <c r="M1241" s="43" t="s">
        <v>87</v>
      </c>
      <c r="N1241" s="43" t="s">
        <v>88</v>
      </c>
      <c r="O1241" s="44" t="s">
        <v>89</v>
      </c>
      <c r="P1241" s="42"/>
      <c r="Q1241" s="43" t="s">
        <v>90</v>
      </c>
      <c r="R1241" s="43" t="s">
        <v>91</v>
      </c>
      <c r="S1241" s="43"/>
      <c r="T1241" s="43" t="s">
        <v>92</v>
      </c>
      <c r="U1241" s="42"/>
      <c r="V1241" s="43" t="s">
        <v>93</v>
      </c>
      <c r="W1241" s="43" t="s">
        <v>94</v>
      </c>
      <c r="X1241" s="43" t="s">
        <v>95</v>
      </c>
      <c r="Y1241" s="18"/>
    </row>
    <row r="1242" spans="1:25" ht="15">
      <c r="A1242" s="4"/>
      <c r="B1242"/>
      <c r="C1242" s="11"/>
      <c r="D1242" s="10" t="s">
        <v>20</v>
      </c>
      <c r="E1242" s="38"/>
      <c r="F1242" s="10" t="s">
        <v>20</v>
      </c>
      <c r="G1242" s="10" t="s">
        <v>20</v>
      </c>
      <c r="I1242" s="10" t="s">
        <v>20</v>
      </c>
      <c r="J1242" s="10" t="s">
        <v>20</v>
      </c>
      <c r="K1242" s="10" t="s">
        <v>20</v>
      </c>
      <c r="L1242" s="10" t="s">
        <v>20</v>
      </c>
      <c r="M1242" s="10" t="s">
        <v>20</v>
      </c>
      <c r="N1242" s="10" t="s">
        <v>20</v>
      </c>
      <c r="O1242" s="10" t="s">
        <v>20</v>
      </c>
      <c r="P1242" s="18"/>
      <c r="Q1242" s="10" t="s">
        <v>20</v>
      </c>
      <c r="R1242" s="10" t="s">
        <v>20</v>
      </c>
      <c r="S1242" s="14"/>
      <c r="T1242" s="10" t="s">
        <v>20</v>
      </c>
      <c r="U1242" s="18"/>
      <c r="W1242" s="39" t="s">
        <v>96</v>
      </c>
      <c r="Y1242" s="18"/>
    </row>
    <row r="1243" spans="1:25" ht="15">
      <c r="A1243" s="4"/>
      <c r="B1243" s="87" t="s">
        <v>174</v>
      </c>
      <c r="C1243" s="11"/>
      <c r="D1243" s="8" t="s">
        <v>156</v>
      </c>
      <c r="E1243" s="6"/>
      <c r="F1243" s="8" t="s">
        <v>157</v>
      </c>
      <c r="G1243" s="45" t="s">
        <v>99</v>
      </c>
      <c r="H1243" s="19"/>
      <c r="I1243" s="45" t="s">
        <v>100</v>
      </c>
      <c r="J1243" s="45" t="s">
        <v>101</v>
      </c>
      <c r="K1243" s="45" t="s">
        <v>102</v>
      </c>
      <c r="L1243" s="45" t="s">
        <v>103</v>
      </c>
      <c r="M1243" s="45" t="s">
        <v>104</v>
      </c>
      <c r="N1243" s="45" t="s">
        <v>105</v>
      </c>
      <c r="O1243" s="45" t="s">
        <v>106</v>
      </c>
      <c r="P1243" s="6"/>
      <c r="Q1243" s="45" t="s">
        <v>107</v>
      </c>
      <c r="R1243" s="45" t="s">
        <v>108</v>
      </c>
      <c r="S1243" s="45"/>
      <c r="T1243" s="45" t="s">
        <v>109</v>
      </c>
      <c r="U1243" s="18"/>
      <c r="V1243" s="10" t="s">
        <v>20</v>
      </c>
      <c r="W1243" s="10" t="s">
        <v>21</v>
      </c>
      <c r="X1243" s="10" t="s">
        <v>22</v>
      </c>
      <c r="Y1243" s="18"/>
    </row>
    <row r="1244" spans="1:9" ht="15">
      <c r="A1244" s="4"/>
      <c r="B1244" s="24"/>
      <c r="C1244" s="11"/>
      <c r="E1244" s="14"/>
      <c r="F1244"/>
      <c r="H1244" s="18"/>
      <c r="I1244" s="16"/>
    </row>
    <row r="1245" spans="1:24" ht="15">
      <c r="A1245" s="4">
        <f>+A1238+1</f>
        <v>1</v>
      </c>
      <c r="B1245" s="5" t="s">
        <v>36</v>
      </c>
      <c r="C1245" s="17" t="s">
        <v>37</v>
      </c>
      <c r="D1245" s="18">
        <v>0</v>
      </c>
      <c r="E1245" s="18"/>
      <c r="F1245" s="18">
        <v>0</v>
      </c>
      <c r="G1245" s="18">
        <v>0</v>
      </c>
      <c r="I1245" s="18">
        <v>0</v>
      </c>
      <c r="J1245" s="18">
        <v>0</v>
      </c>
      <c r="K1245" s="46">
        <v>15668</v>
      </c>
      <c r="L1245" s="27">
        <v>-7239</v>
      </c>
      <c r="M1245" s="18">
        <v>0</v>
      </c>
      <c r="N1245" s="18">
        <v>0</v>
      </c>
      <c r="O1245" s="18">
        <v>0</v>
      </c>
      <c r="Q1245" s="18">
        <v>0</v>
      </c>
      <c r="R1245" s="18">
        <v>0</v>
      </c>
      <c r="S1245" s="18"/>
      <c r="T1245" s="18">
        <v>0</v>
      </c>
      <c r="V1245" s="18">
        <f>+V1227+D1245+F1245+G1245+I1245+J1245+K1245+L1245+M1245+N1245+O1245+Q1245+R1245+T1245</f>
        <v>8884855</v>
      </c>
      <c r="W1245" s="18">
        <f>+W1227</f>
        <v>7171172</v>
      </c>
      <c r="X1245" s="18">
        <f>+V1245-W1245</f>
        <v>1713683</v>
      </c>
    </row>
    <row r="1246" spans="1:24" ht="15">
      <c r="A1246" s="4">
        <f>+A1245+1</f>
        <v>2</v>
      </c>
      <c r="B1246" s="5" t="s">
        <v>36</v>
      </c>
      <c r="C1246" s="22" t="s">
        <v>38</v>
      </c>
      <c r="D1246" s="18">
        <v>0</v>
      </c>
      <c r="E1246" s="18"/>
      <c r="F1246" s="18">
        <v>0</v>
      </c>
      <c r="G1246" s="18">
        <v>0</v>
      </c>
      <c r="I1246" s="18">
        <v>0</v>
      </c>
      <c r="J1246" s="18">
        <v>0</v>
      </c>
      <c r="K1246" s="46">
        <v>15668</v>
      </c>
      <c r="L1246" s="27">
        <v>-7239</v>
      </c>
      <c r="M1246" s="18">
        <v>0</v>
      </c>
      <c r="N1246" s="18">
        <v>0</v>
      </c>
      <c r="O1246" s="18">
        <v>0</v>
      </c>
      <c r="Q1246" s="18">
        <v>0</v>
      </c>
      <c r="R1246" s="18">
        <v>0</v>
      </c>
      <c r="S1246" s="18"/>
      <c r="T1246" s="18">
        <v>0</v>
      </c>
      <c r="V1246" s="18">
        <f>+V1228+D1246+F1246+G1246+I1246+J1246+K1246+L1246+M1246+N1246+O1246+Q1246+R1246+T1246</f>
        <v>8881303</v>
      </c>
      <c r="W1246" s="18">
        <f>+W1228</f>
        <v>7090166</v>
      </c>
      <c r="X1246" s="18">
        <f>+V1246-W1246</f>
        <v>1791137</v>
      </c>
    </row>
    <row r="1247" spans="1:24" ht="15">
      <c r="A1247" s="4">
        <f>+A1246+1</f>
        <v>3</v>
      </c>
      <c r="B1247" s="24" t="s">
        <v>46</v>
      </c>
      <c r="C1247" s="40" t="s">
        <v>78</v>
      </c>
      <c r="D1247" s="18">
        <f>+D1245-D1246</f>
        <v>0</v>
      </c>
      <c r="E1247" s="18"/>
      <c r="F1247" s="18">
        <f>+F1245-F1246</f>
        <v>0</v>
      </c>
      <c r="G1247" s="18">
        <f>+G1245-G1246</f>
        <v>0</v>
      </c>
      <c r="I1247" s="18">
        <f aca="true" t="shared" si="155" ref="I1247:O1247">+I1245-I1246</f>
        <v>0</v>
      </c>
      <c r="J1247" s="18">
        <f t="shared" si="155"/>
        <v>0</v>
      </c>
      <c r="K1247" s="18">
        <f t="shared" si="155"/>
        <v>0</v>
      </c>
      <c r="L1247" s="18">
        <f t="shared" si="155"/>
        <v>0</v>
      </c>
      <c r="M1247" s="18">
        <f t="shared" si="155"/>
        <v>0</v>
      </c>
      <c r="N1247" s="18">
        <f t="shared" si="155"/>
        <v>0</v>
      </c>
      <c r="O1247" s="18">
        <f t="shared" si="155"/>
        <v>0</v>
      </c>
      <c r="Q1247" s="18">
        <f>+Q1245-Q1246</f>
        <v>0</v>
      </c>
      <c r="R1247" s="18">
        <f>+R1245-R1246</f>
        <v>0</v>
      </c>
      <c r="S1247" s="18"/>
      <c r="T1247" s="18">
        <f>+T1245-T1246</f>
        <v>0</v>
      </c>
      <c r="V1247" s="27">
        <f>+V1245-V1246</f>
        <v>3552</v>
      </c>
      <c r="W1247" s="27">
        <f>+W1245-W1246</f>
        <v>81006</v>
      </c>
      <c r="X1247" s="18">
        <f>+X1245-X1246</f>
        <v>-77454</v>
      </c>
    </row>
    <row r="1248" spans="1:24" ht="28.5">
      <c r="A1248" s="4">
        <f>+A1247+1</f>
        <v>4</v>
      </c>
      <c r="B1248" s="88" t="s">
        <v>182</v>
      </c>
      <c r="C1248" s="11"/>
      <c r="D1248" s="18">
        <v>0</v>
      </c>
      <c r="E1248" s="18"/>
      <c r="F1248" s="18">
        <v>0</v>
      </c>
      <c r="G1248" s="18">
        <v>0</v>
      </c>
      <c r="I1248" s="18">
        <v>0</v>
      </c>
      <c r="J1248" s="27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Q1248" s="18">
        <v>0</v>
      </c>
      <c r="R1248" s="18">
        <v>0</v>
      </c>
      <c r="S1248" s="18"/>
      <c r="T1248" s="18">
        <v>0</v>
      </c>
      <c r="V1248" s="18">
        <f>+V1230+D1248+F1248+G1248+I1248+J1248+K1248+L1248+M1248+N1248+O1248+Q1248+R1248+T1248</f>
        <v>0</v>
      </c>
      <c r="W1248" s="18">
        <f>+W1230</f>
        <v>0</v>
      </c>
      <c r="X1248" s="18">
        <f>+V1248-W1248</f>
        <v>0</v>
      </c>
    </row>
    <row r="1249" spans="1:24" ht="24.75">
      <c r="A1249" s="4">
        <f>+A1248+1</f>
        <v>5</v>
      </c>
      <c r="B1249" s="89" t="s">
        <v>39</v>
      </c>
      <c r="C1249" s="40"/>
      <c r="D1249" s="27">
        <v>6205</v>
      </c>
      <c r="E1249" s="18"/>
      <c r="F1249" s="27">
        <v>35015</v>
      </c>
      <c r="G1249" s="27">
        <v>2084</v>
      </c>
      <c r="I1249" s="27">
        <v>0</v>
      </c>
      <c r="J1249" s="27">
        <v>0</v>
      </c>
      <c r="K1249" s="27">
        <v>-192087</v>
      </c>
      <c r="L1249" s="27">
        <v>0</v>
      </c>
      <c r="M1249" s="27">
        <v>-9333</v>
      </c>
      <c r="N1249" s="27">
        <v>0</v>
      </c>
      <c r="O1249" s="27">
        <v>-35497</v>
      </c>
      <c r="Q1249" s="27">
        <v>0</v>
      </c>
      <c r="R1249" s="27">
        <v>-7260</v>
      </c>
      <c r="S1249" s="27"/>
      <c r="T1249" s="27">
        <v>-37536</v>
      </c>
      <c r="V1249" s="18">
        <f>+V1231+D1249+F1249+G1249+I1249+J1249+K1249+L1249+M1249+N1249+O1249+Q1249+R1249+T1249</f>
        <v>-612720</v>
      </c>
      <c r="W1249" s="18">
        <f>+W1231</f>
        <v>0</v>
      </c>
      <c r="X1249" s="18">
        <f>+V1249-W1249</f>
        <v>-612720</v>
      </c>
    </row>
    <row r="1250" spans="1:24" ht="15">
      <c r="A1250" s="6" t="s">
        <v>41</v>
      </c>
      <c r="B1250" s="41"/>
      <c r="C1250" s="40"/>
      <c r="D1250" s="18"/>
      <c r="E1250" s="18"/>
      <c r="F1250" s="18"/>
      <c r="G1250" s="18"/>
      <c r="I1250" s="18"/>
      <c r="J1250" s="18"/>
      <c r="K1250" s="27"/>
      <c r="L1250" s="18"/>
      <c r="M1250" s="18"/>
      <c r="N1250" s="18"/>
      <c r="O1250" s="18"/>
      <c r="Q1250" s="18"/>
      <c r="R1250" s="18"/>
      <c r="S1250" s="18"/>
      <c r="T1250" s="18"/>
      <c r="V1250" s="18"/>
      <c r="W1250" s="18"/>
      <c r="X1250" s="18"/>
    </row>
    <row r="1251" spans="1:24" ht="15">
      <c r="A1251" s="4">
        <f>+A1249+1</f>
        <v>6</v>
      </c>
      <c r="B1251" s="5" t="s">
        <v>42</v>
      </c>
      <c r="C1251" s="22" t="s">
        <v>38</v>
      </c>
      <c r="D1251" s="18">
        <v>0</v>
      </c>
      <c r="E1251" s="18"/>
      <c r="F1251" s="18">
        <v>0</v>
      </c>
      <c r="G1251" s="18">
        <v>0</v>
      </c>
      <c r="I1251" s="18">
        <v>0</v>
      </c>
      <c r="J1251" s="18">
        <v>0</v>
      </c>
      <c r="K1251" s="46">
        <v>13181</v>
      </c>
      <c r="L1251" s="27">
        <v>-7239</v>
      </c>
      <c r="M1251" s="18">
        <v>0</v>
      </c>
      <c r="N1251" s="18">
        <v>0</v>
      </c>
      <c r="O1251" s="18">
        <v>0</v>
      </c>
      <c r="P1251" s="18"/>
      <c r="Q1251" s="18">
        <v>0</v>
      </c>
      <c r="R1251" s="18">
        <v>0</v>
      </c>
      <c r="S1251" s="18"/>
      <c r="T1251" s="18">
        <v>0</v>
      </c>
      <c r="U1251" s="18"/>
      <c r="V1251" s="18">
        <f>+V1233+D1251+F1251+G1251+I1251+J1251+K1251+L1251+M1251+N1251+O1251+Q1251+R1251+T1251</f>
        <v>7626468</v>
      </c>
      <c r="W1251" s="18">
        <f>+W1233</f>
        <v>6169076</v>
      </c>
      <c r="X1251" s="18">
        <f>+V1251-W1251</f>
        <v>1457392</v>
      </c>
    </row>
    <row r="1252" spans="1:24" ht="15">
      <c r="A1252" s="4">
        <f>+A1251+1</f>
        <v>7</v>
      </c>
      <c r="B1252" s="5" t="s">
        <v>43</v>
      </c>
      <c r="C1252" s="11"/>
      <c r="D1252" s="18">
        <v>0</v>
      </c>
      <c r="E1252" s="18"/>
      <c r="F1252" s="18">
        <v>0</v>
      </c>
      <c r="G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0</v>
      </c>
      <c r="N1252" s="18">
        <v>0</v>
      </c>
      <c r="O1252" s="18">
        <v>0</v>
      </c>
      <c r="P1252" s="18"/>
      <c r="Q1252" s="18">
        <v>0</v>
      </c>
      <c r="R1252" s="18">
        <v>0</v>
      </c>
      <c r="S1252" s="18"/>
      <c r="T1252" s="18">
        <v>0</v>
      </c>
      <c r="U1252" s="18"/>
      <c r="V1252" s="18">
        <f>+V1234+D1252+F1252+G1252+I1252+J1252+K1252+L1252+M1252+N1252+O1252+Q1252+R1252+T1252</f>
        <v>6449</v>
      </c>
      <c r="W1252" s="18">
        <f>+W1234</f>
        <v>4398</v>
      </c>
      <c r="X1252" s="18">
        <f>+V1252-W1252</f>
        <v>2051</v>
      </c>
    </row>
    <row r="1253" spans="1:24" ht="26.25">
      <c r="A1253" s="4">
        <f>+A1252+1</f>
        <v>8</v>
      </c>
      <c r="B1253" s="24" t="s">
        <v>79</v>
      </c>
      <c r="C1253" s="11"/>
      <c r="D1253" s="18">
        <f>+D1251-D1252</f>
        <v>0</v>
      </c>
      <c r="E1253" s="18"/>
      <c r="F1253" s="18">
        <f>+F1251-F1252</f>
        <v>0</v>
      </c>
      <c r="G1253" s="18">
        <f>+G1251-G1252</f>
        <v>0</v>
      </c>
      <c r="I1253" s="18">
        <f aca="true" t="shared" si="156" ref="I1253:O1253">+I1251-I1252</f>
        <v>0</v>
      </c>
      <c r="J1253" s="18">
        <f t="shared" si="156"/>
        <v>0</v>
      </c>
      <c r="K1253" s="18">
        <f t="shared" si="156"/>
        <v>13181</v>
      </c>
      <c r="L1253" s="18">
        <f t="shared" si="156"/>
        <v>-7239</v>
      </c>
      <c r="M1253" s="18">
        <f t="shared" si="156"/>
        <v>0</v>
      </c>
      <c r="N1253" s="18">
        <f t="shared" si="156"/>
        <v>0</v>
      </c>
      <c r="O1253" s="18">
        <f t="shared" si="156"/>
        <v>0</v>
      </c>
      <c r="P1253" s="18"/>
      <c r="Q1253" s="18">
        <f>+Q1251-Q1252</f>
        <v>0</v>
      </c>
      <c r="R1253" s="18">
        <f>+R1251-R1252</f>
        <v>0</v>
      </c>
      <c r="S1253" s="18"/>
      <c r="T1253" s="18">
        <f>+T1251-T1252</f>
        <v>0</v>
      </c>
      <c r="U1253" s="18"/>
      <c r="V1253" s="27">
        <f>+V1251-V1252</f>
        <v>7620019</v>
      </c>
      <c r="W1253" s="27">
        <f>+W1251-W1252</f>
        <v>6164678</v>
      </c>
      <c r="X1253" s="18">
        <f>+X1251-X1252</f>
        <v>1455341</v>
      </c>
    </row>
    <row r="1254" spans="1:24" ht="28.5">
      <c r="A1254" s="4">
        <f>+A1253+1</f>
        <v>9</v>
      </c>
      <c r="B1254" s="88" t="s">
        <v>181</v>
      </c>
      <c r="C1254" s="11"/>
      <c r="D1254" s="18">
        <v>0</v>
      </c>
      <c r="E1254" s="18"/>
      <c r="F1254" s="18">
        <v>0</v>
      </c>
      <c r="G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0</v>
      </c>
      <c r="N1254" s="18">
        <v>0</v>
      </c>
      <c r="O1254" s="18">
        <v>0</v>
      </c>
      <c r="P1254" s="18"/>
      <c r="Q1254" s="18">
        <v>0</v>
      </c>
      <c r="R1254" s="18">
        <v>0</v>
      </c>
      <c r="S1254" s="18"/>
      <c r="T1254" s="18">
        <v>0</v>
      </c>
      <c r="U1254" s="18"/>
      <c r="V1254" s="18">
        <f>+V1236+D1254+F1254+G1254+I1254+J1254+K1254+L1254+M1254+N1254+O1254+Q1254+R1254+T1254</f>
        <v>0</v>
      </c>
      <c r="W1254" s="18">
        <f>+W1236</f>
        <v>0</v>
      </c>
      <c r="X1254" s="18">
        <f>+V1254-W1254</f>
        <v>0</v>
      </c>
    </row>
    <row r="1255" spans="1:24" ht="15">
      <c r="A1255" s="4">
        <f>+A1254+1</f>
        <v>10</v>
      </c>
      <c r="B1255" s="24" t="s">
        <v>46</v>
      </c>
      <c r="C1255" s="11" t="s">
        <v>47</v>
      </c>
      <c r="D1255" s="18">
        <f>+D1247+D1248+D1253+D1254+D1249</f>
        <v>6205</v>
      </c>
      <c r="E1255" s="18"/>
      <c r="F1255" s="18">
        <f>+F1247+F1248+F1253+F1254+F1249</f>
        <v>35015</v>
      </c>
      <c r="G1255" s="18">
        <f>+G1247+G1248+G1253+G1254+G1249</f>
        <v>2084</v>
      </c>
      <c r="I1255" s="18">
        <f aca="true" t="shared" si="157" ref="I1255:O1255">+I1247+I1248+I1253+I1254+I1249</f>
        <v>0</v>
      </c>
      <c r="J1255" s="18">
        <f t="shared" si="157"/>
        <v>0</v>
      </c>
      <c r="K1255" s="18">
        <f t="shared" si="157"/>
        <v>-178906</v>
      </c>
      <c r="L1255" s="18">
        <f t="shared" si="157"/>
        <v>-7239</v>
      </c>
      <c r="M1255" s="18">
        <f t="shared" si="157"/>
        <v>-9333</v>
      </c>
      <c r="N1255" s="18">
        <f t="shared" si="157"/>
        <v>0</v>
      </c>
      <c r="O1255" s="18">
        <f t="shared" si="157"/>
        <v>-35497</v>
      </c>
      <c r="P1255" s="42"/>
      <c r="Q1255" s="18">
        <f>+Q1247+Q1248+Q1253+Q1254+Q1249</f>
        <v>0</v>
      </c>
      <c r="R1255" s="18">
        <f>+R1247+R1248+R1253+R1254+R1249</f>
        <v>-7260</v>
      </c>
      <c r="S1255" s="18"/>
      <c r="T1255" s="18">
        <f>+T1247+T1248+T1253+T1254+T1249</f>
        <v>-37536</v>
      </c>
      <c r="U1255" s="42"/>
      <c r="V1255" s="18">
        <f>+V1247+V1248+V1253+V1254+V1249</f>
        <v>7010851</v>
      </c>
      <c r="W1255" s="18">
        <f>+W1247+W1248+W1253+W1254+W1249</f>
        <v>6245684</v>
      </c>
      <c r="X1255" s="18">
        <f>+X1247+X1248+X1253+X1254+X1249</f>
        <v>765167</v>
      </c>
    </row>
    <row r="1256" spans="1:24" ht="15">
      <c r="A1256" s="4"/>
      <c r="B1256" s="24"/>
      <c r="C1256" s="11"/>
      <c r="D1256" s="18"/>
      <c r="E1256" s="18"/>
      <c r="F1256" s="18"/>
      <c r="G1256" s="18"/>
      <c r="I1256" s="18"/>
      <c r="J1256" s="18"/>
      <c r="K1256" s="27"/>
      <c r="L1256" s="18"/>
      <c r="M1256" s="18"/>
      <c r="N1256" s="18"/>
      <c r="O1256" s="18"/>
      <c r="P1256" s="42"/>
      <c r="Q1256" s="18"/>
      <c r="R1256" s="18"/>
      <c r="S1256" s="18"/>
      <c r="T1256" s="18"/>
      <c r="U1256" s="42"/>
      <c r="V1256" s="18"/>
      <c r="W1256" s="18"/>
      <c r="X1256" s="18"/>
    </row>
    <row r="1257" spans="1:24" ht="15">
      <c r="A1257" s="4"/>
      <c r="B1257" s="24"/>
      <c r="C1257" s="11"/>
      <c r="D1257" s="18"/>
      <c r="E1257" s="18"/>
      <c r="F1257" s="18"/>
      <c r="G1257" s="18"/>
      <c r="I1257" s="18"/>
      <c r="J1257" s="18"/>
      <c r="K1257" s="27"/>
      <c r="L1257" s="18"/>
      <c r="M1257" s="18"/>
      <c r="N1257" s="18"/>
      <c r="O1257" s="18"/>
      <c r="P1257" s="42"/>
      <c r="Q1257" s="18"/>
      <c r="R1257" s="18"/>
      <c r="S1257" s="18"/>
      <c r="T1257" s="18"/>
      <c r="U1257" s="42"/>
      <c r="V1257" s="18"/>
      <c r="W1257" s="18"/>
      <c r="X1257" s="18"/>
    </row>
    <row r="1258" spans="1:24" ht="15">
      <c r="A1258" s="4"/>
      <c r="B1258" s="24"/>
      <c r="C1258" s="11"/>
      <c r="D1258" s="18"/>
      <c r="E1258" s="18"/>
      <c r="F1258" s="18"/>
      <c r="G1258" s="18"/>
      <c r="I1258" s="18"/>
      <c r="J1258" s="18"/>
      <c r="K1258" s="18"/>
      <c r="L1258" s="18"/>
      <c r="M1258" s="18"/>
      <c r="N1258" s="18"/>
      <c r="O1258" s="18"/>
      <c r="P1258" s="42"/>
      <c r="Q1258" s="18"/>
      <c r="R1258" s="18"/>
      <c r="S1258" s="18"/>
      <c r="T1258" s="18"/>
      <c r="U1258" s="42"/>
      <c r="V1258" s="18"/>
      <c r="W1258" s="18"/>
      <c r="X1258" s="18"/>
    </row>
    <row r="1259" spans="1:24" ht="15">
      <c r="A1259" s="4"/>
      <c r="B1259" s="24"/>
      <c r="C1259" s="11"/>
      <c r="D1259" s="18"/>
      <c r="E1259" s="18"/>
      <c r="F1259" s="18"/>
      <c r="G1259" s="18"/>
      <c r="I1259" s="18"/>
      <c r="J1259" s="18"/>
      <c r="K1259" s="18"/>
      <c r="L1259" s="18"/>
      <c r="M1259" s="18"/>
      <c r="N1259" s="18"/>
      <c r="O1259" s="18"/>
      <c r="P1259" s="42"/>
      <c r="Q1259" s="18"/>
      <c r="R1259" s="18"/>
      <c r="S1259" s="18"/>
      <c r="T1259" s="18"/>
      <c r="U1259" s="42"/>
      <c r="V1259" s="18"/>
      <c r="W1259" s="18"/>
      <c r="X1259" s="18"/>
    </row>
    <row r="1260" spans="1:24" ht="15">
      <c r="A1260" s="4"/>
      <c r="B1260" s="24"/>
      <c r="C1260" s="11"/>
      <c r="D1260" s="18"/>
      <c r="E1260" s="18"/>
      <c r="F1260" s="18"/>
      <c r="G1260" s="18"/>
      <c r="I1260" s="18"/>
      <c r="J1260" s="18"/>
      <c r="K1260" s="18"/>
      <c r="L1260" s="18"/>
      <c r="M1260" s="18"/>
      <c r="N1260" s="18"/>
      <c r="O1260" s="18"/>
      <c r="P1260" s="42"/>
      <c r="Q1260" s="18"/>
      <c r="R1260" s="18"/>
      <c r="S1260" s="18"/>
      <c r="T1260" s="18"/>
      <c r="U1260" s="42"/>
      <c r="V1260" s="18"/>
      <c r="W1260" s="18"/>
      <c r="X1260" s="18"/>
    </row>
    <row r="1261" spans="1:24" ht="15">
      <c r="A1261" s="4"/>
      <c r="B1261" s="24"/>
      <c r="C1261" s="11"/>
      <c r="D1261" s="18"/>
      <c r="E1261" s="18"/>
      <c r="F1261" s="18"/>
      <c r="G1261" s="18"/>
      <c r="I1261" s="18"/>
      <c r="J1261" s="18"/>
      <c r="K1261" s="18"/>
      <c r="L1261" s="18"/>
      <c r="M1261" s="18"/>
      <c r="N1261" s="18"/>
      <c r="O1261" s="18"/>
      <c r="P1261" s="42"/>
      <c r="Q1261" s="18"/>
      <c r="R1261" s="18"/>
      <c r="S1261" s="18"/>
      <c r="T1261" s="18"/>
      <c r="U1261" s="42"/>
      <c r="V1261" s="18"/>
      <c r="W1261" s="18"/>
      <c r="X1261" s="18"/>
    </row>
    <row r="1262" spans="1:24" ht="15">
      <c r="A1262" s="4"/>
      <c r="B1262" s="24"/>
      <c r="C1262" s="11"/>
      <c r="D1262" s="18"/>
      <c r="E1262" s="18"/>
      <c r="F1262" s="18"/>
      <c r="G1262" s="18"/>
      <c r="I1262" s="18"/>
      <c r="J1262" s="18"/>
      <c r="K1262" s="18"/>
      <c r="L1262" s="18"/>
      <c r="M1262" s="18"/>
      <c r="N1262" s="18"/>
      <c r="O1262" s="18"/>
      <c r="P1262" s="42"/>
      <c r="Q1262" s="18"/>
      <c r="R1262" s="18"/>
      <c r="S1262" s="18"/>
      <c r="T1262" s="18"/>
      <c r="U1262" s="42"/>
      <c r="V1262" s="18"/>
      <c r="W1262" s="18"/>
      <c r="X1262" s="18"/>
    </row>
    <row r="1263" spans="1:24" ht="15">
      <c r="A1263" s="4"/>
      <c r="B1263" s="24"/>
      <c r="C1263" s="11"/>
      <c r="D1263" s="10" t="s">
        <v>4</v>
      </c>
      <c r="E1263" s="10"/>
      <c r="F1263" s="10" t="s">
        <v>5</v>
      </c>
      <c r="G1263" s="10" t="s">
        <v>6</v>
      </c>
      <c r="H1263" s="10"/>
      <c r="I1263" s="10" t="s">
        <v>7</v>
      </c>
      <c r="J1263" s="10" t="s">
        <v>8</v>
      </c>
      <c r="K1263" s="10" t="s">
        <v>9</v>
      </c>
      <c r="L1263" s="10" t="s">
        <v>10</v>
      </c>
      <c r="M1263" s="10" t="s">
        <v>11</v>
      </c>
      <c r="N1263" s="10" t="s">
        <v>12</v>
      </c>
      <c r="O1263" s="10" t="s">
        <v>13</v>
      </c>
      <c r="P1263" s="10"/>
      <c r="Q1263" s="10" t="s">
        <v>14</v>
      </c>
      <c r="R1263" s="10" t="s">
        <v>15</v>
      </c>
      <c r="S1263" s="10"/>
      <c r="T1263" s="10" t="s">
        <v>16</v>
      </c>
      <c r="U1263" s="10"/>
      <c r="V1263" s="10" t="s">
        <v>17</v>
      </c>
      <c r="W1263" s="10" t="s">
        <v>18</v>
      </c>
      <c r="X1263" s="10" t="s">
        <v>19</v>
      </c>
    </row>
    <row r="1264" spans="1:23" ht="15">
      <c r="A1264" s="4"/>
      <c r="B1264" s="24"/>
      <c r="C1264" s="11"/>
      <c r="D1264" s="10" t="s">
        <v>20</v>
      </c>
      <c r="E1264" s="10"/>
      <c r="F1264" s="14" t="s">
        <v>21</v>
      </c>
      <c r="G1264" s="10"/>
      <c r="I1264" s="39" t="s">
        <v>110</v>
      </c>
      <c r="J1264" s="47" t="s">
        <v>111</v>
      </c>
      <c r="K1264" s="39"/>
      <c r="L1264" s="10" t="s">
        <v>20</v>
      </c>
      <c r="M1264" s="10" t="s">
        <v>20</v>
      </c>
      <c r="N1264" s="10" t="s">
        <v>20</v>
      </c>
      <c r="O1264" s="10" t="s">
        <v>20</v>
      </c>
      <c r="P1264" s="42"/>
      <c r="Q1264" s="10" t="s">
        <v>20</v>
      </c>
      <c r="R1264" s="10" t="s">
        <v>20</v>
      </c>
      <c r="S1264" s="48"/>
      <c r="T1264" s="10" t="s">
        <v>20</v>
      </c>
      <c r="U1264" s="42"/>
      <c r="W1264" s="39" t="s">
        <v>112</v>
      </c>
    </row>
    <row r="1265" spans="1:24" ht="15">
      <c r="A1265" s="4"/>
      <c r="B1265" s="87" t="s">
        <v>183</v>
      </c>
      <c r="C1265" s="11"/>
      <c r="D1265" s="8" t="s">
        <v>113</v>
      </c>
      <c r="E1265" s="6"/>
      <c r="F1265" s="6" t="s">
        <v>114</v>
      </c>
      <c r="G1265" s="49" t="s">
        <v>22</v>
      </c>
      <c r="I1265" s="8" t="s">
        <v>113</v>
      </c>
      <c r="J1265" s="6" t="s">
        <v>114</v>
      </c>
      <c r="K1265" s="49" t="s">
        <v>24</v>
      </c>
      <c r="L1265" s="13" t="s">
        <v>115</v>
      </c>
      <c r="M1265" s="13" t="s">
        <v>116</v>
      </c>
      <c r="N1265" s="13" t="s">
        <v>117</v>
      </c>
      <c r="O1265" s="13" t="s">
        <v>118</v>
      </c>
      <c r="P1265" s="42"/>
      <c r="Q1265" s="13" t="s">
        <v>119</v>
      </c>
      <c r="R1265" s="13" t="s">
        <v>120</v>
      </c>
      <c r="T1265" s="13" t="s">
        <v>121</v>
      </c>
      <c r="U1265" s="42"/>
      <c r="V1265" s="10" t="s">
        <v>20</v>
      </c>
      <c r="W1265" s="10" t="s">
        <v>21</v>
      </c>
      <c r="X1265" s="10" t="s">
        <v>22</v>
      </c>
    </row>
    <row r="1266" spans="1:24" ht="15">
      <c r="A1266" s="4"/>
      <c r="B1266" s="24"/>
      <c r="C1266" s="11"/>
      <c r="D1266" s="18"/>
      <c r="E1266" s="18"/>
      <c r="F1266" s="18"/>
      <c r="G1266" s="18"/>
      <c r="I1266" s="72" t="s">
        <v>0</v>
      </c>
      <c r="K1266" s="42"/>
      <c r="L1266" s="42"/>
      <c r="N1266" s="42"/>
      <c r="O1266" s="18"/>
      <c r="P1266" s="42"/>
      <c r="U1266" s="42"/>
      <c r="V1266" s="18"/>
      <c r="W1266" s="39" t="s">
        <v>122</v>
      </c>
      <c r="X1266" s="18"/>
    </row>
    <row r="1267" spans="1:24" ht="15">
      <c r="A1267" s="4">
        <f>+A1235+1</f>
        <v>19</v>
      </c>
      <c r="B1267" s="5" t="s">
        <v>36</v>
      </c>
      <c r="C1267" s="17" t="s">
        <v>37</v>
      </c>
      <c r="D1267" s="27">
        <v>1369956</v>
      </c>
      <c r="E1267" s="18" t="s">
        <v>0</v>
      </c>
      <c r="F1267" s="27">
        <f>418638.27+17.86</f>
        <v>418656.13</v>
      </c>
      <c r="G1267" s="18">
        <f>D1267-F1267</f>
        <v>951299.87</v>
      </c>
      <c r="I1267" s="27">
        <f>-707</f>
        <v>-707</v>
      </c>
      <c r="J1267" s="27">
        <v>276</v>
      </c>
      <c r="K1267" s="36">
        <f>+I1267-J1267</f>
        <v>-983</v>
      </c>
      <c r="L1267" s="18">
        <v>0</v>
      </c>
      <c r="M1267" s="27">
        <v>-244824</v>
      </c>
      <c r="N1267" s="27">
        <v>41118</v>
      </c>
      <c r="O1267" s="18">
        <v>0</v>
      </c>
      <c r="P1267" s="42"/>
      <c r="Q1267" s="31">
        <v>0</v>
      </c>
      <c r="R1267" s="18">
        <v>0</v>
      </c>
      <c r="S1267" s="18"/>
      <c r="T1267" s="18">
        <v>0</v>
      </c>
      <c r="U1267" s="42"/>
      <c r="V1267" s="31">
        <f>+D1267+I1267+L1267+M1267+N1267+O1267+Q1267+R1267+T1267</f>
        <v>1165543</v>
      </c>
      <c r="W1267" s="18">
        <f>+F1267+J1267</f>
        <v>418932.13</v>
      </c>
      <c r="X1267" s="18">
        <f>+V1267-W1267</f>
        <v>746610.87</v>
      </c>
    </row>
    <row r="1268" spans="1:24" ht="15">
      <c r="A1268" s="4">
        <f>+A1267+1</f>
        <v>20</v>
      </c>
      <c r="B1268" s="5" t="s">
        <v>36</v>
      </c>
      <c r="C1268" s="22" t="s">
        <v>38</v>
      </c>
      <c r="D1268" s="27">
        <v>1370522</v>
      </c>
      <c r="E1268" s="18" t="s">
        <v>0</v>
      </c>
      <c r="F1268" s="27">
        <f>416324+17.86</f>
        <v>416341.86</v>
      </c>
      <c r="G1268" s="18">
        <f>D1268-F1268</f>
        <v>954180.14</v>
      </c>
      <c r="I1268" s="27">
        <f>-707</f>
        <v>-707</v>
      </c>
      <c r="J1268" s="31">
        <v>276</v>
      </c>
      <c r="K1268" s="36">
        <f>+I1268-J1268</f>
        <v>-983</v>
      </c>
      <c r="L1268" s="18">
        <v>0</v>
      </c>
      <c r="M1268" s="27">
        <v>-244824</v>
      </c>
      <c r="N1268" s="27">
        <v>38307</v>
      </c>
      <c r="O1268" s="18">
        <v>0</v>
      </c>
      <c r="P1268" s="42"/>
      <c r="Q1268" s="31">
        <v>0</v>
      </c>
      <c r="R1268" s="18">
        <v>0</v>
      </c>
      <c r="S1268" s="18"/>
      <c r="T1268" s="18">
        <v>0</v>
      </c>
      <c r="U1268" s="42"/>
      <c r="V1268" s="31">
        <f>+D1268+I1268+L1268+M1268+N1268+O1268+Q1268+R1268+T1268</f>
        <v>1163298</v>
      </c>
      <c r="W1268" s="18">
        <f>+F1268+J1268</f>
        <v>416617.86</v>
      </c>
      <c r="X1268" s="18">
        <f>+V1268-W1268</f>
        <v>746680.14</v>
      </c>
    </row>
    <row r="1269" spans="1:24" ht="15">
      <c r="A1269" s="4">
        <f>+A1268+1</f>
        <v>21</v>
      </c>
      <c r="B1269" s="24" t="s">
        <v>46</v>
      </c>
      <c r="C1269" s="40" t="s">
        <v>78</v>
      </c>
      <c r="D1269" s="18">
        <f>+D1267-D1268</f>
        <v>-566</v>
      </c>
      <c r="E1269" s="18"/>
      <c r="F1269" s="18">
        <f>+F1267-F1268</f>
        <v>2314.2700000000186</v>
      </c>
      <c r="G1269" s="18">
        <f>+G1267-G1268</f>
        <v>-2880.2700000000186</v>
      </c>
      <c r="I1269" s="18">
        <f>+I1267-I1268</f>
        <v>0</v>
      </c>
      <c r="J1269" s="18">
        <f>+J1267-J1268</f>
        <v>0</v>
      </c>
      <c r="K1269" s="18">
        <f>K1267-K1268</f>
        <v>0</v>
      </c>
      <c r="L1269" s="18">
        <f>+L1267-L1268</f>
        <v>0</v>
      </c>
      <c r="M1269" s="18">
        <f>+M1267-M1268</f>
        <v>0</v>
      </c>
      <c r="N1269" s="18">
        <f>+N1267-N1268</f>
        <v>2811</v>
      </c>
      <c r="O1269" s="18">
        <f>+O1267-O1268</f>
        <v>0</v>
      </c>
      <c r="P1269" s="42"/>
      <c r="Q1269" s="18">
        <f>+Q1267-Q1268</f>
        <v>0</v>
      </c>
      <c r="R1269" s="18">
        <f>+R1267-R1268</f>
        <v>0</v>
      </c>
      <c r="S1269" s="18"/>
      <c r="T1269" s="18">
        <f>+T1267-T1268</f>
        <v>0</v>
      </c>
      <c r="U1269" s="42"/>
      <c r="V1269" s="31">
        <f>+V1267-V1268</f>
        <v>2245</v>
      </c>
      <c r="W1269" s="31">
        <f>+W1267-W1268</f>
        <v>2314.2700000000186</v>
      </c>
      <c r="X1269" s="18">
        <f>+X1267-X1268</f>
        <v>-69.27000000001863</v>
      </c>
    </row>
    <row r="1270" spans="1:24" ht="28.5">
      <c r="A1270" s="4">
        <f>+A1269+1</f>
        <v>22</v>
      </c>
      <c r="B1270" s="88" t="s">
        <v>182</v>
      </c>
      <c r="C1270" s="11"/>
      <c r="D1270" s="18">
        <v>0</v>
      </c>
      <c r="E1270" s="18"/>
      <c r="F1270" s="18">
        <v>0</v>
      </c>
      <c r="G1270" s="18">
        <f>+D1270-F1270</f>
        <v>0</v>
      </c>
      <c r="I1270" s="18">
        <v>0</v>
      </c>
      <c r="J1270" s="18">
        <v>0</v>
      </c>
      <c r="K1270" s="18">
        <f>+I1270-J1270</f>
        <v>0</v>
      </c>
      <c r="L1270" s="18">
        <v>0</v>
      </c>
      <c r="M1270" s="18">
        <v>0</v>
      </c>
      <c r="N1270" s="18">
        <f>+L1270-M1270</f>
        <v>0</v>
      </c>
      <c r="O1270" s="18">
        <v>0</v>
      </c>
      <c r="P1270" s="42"/>
      <c r="Q1270" s="18">
        <v>0</v>
      </c>
      <c r="R1270" s="18">
        <v>0</v>
      </c>
      <c r="S1270" s="18"/>
      <c r="T1270" s="18">
        <v>0</v>
      </c>
      <c r="U1270" s="42"/>
      <c r="V1270" s="31">
        <f>+D1270+I1270+L1270+M1270+N1270+O1270+Q1270+R1270+T1270</f>
        <v>0</v>
      </c>
      <c r="W1270" s="18">
        <f>+F1270+J1270</f>
        <v>0</v>
      </c>
      <c r="X1270" s="18">
        <f>+V1270-W1270</f>
        <v>0</v>
      </c>
    </row>
    <row r="1271" spans="1:24" ht="24.75">
      <c r="A1271" s="4">
        <f>+A1270+1</f>
        <v>23</v>
      </c>
      <c r="B1271" s="89" t="s">
        <v>39</v>
      </c>
      <c r="C1271" s="40"/>
      <c r="D1271" s="27">
        <v>-32666</v>
      </c>
      <c r="E1271" s="18" t="s">
        <v>0</v>
      </c>
      <c r="F1271" s="27">
        <v>317886</v>
      </c>
      <c r="G1271" s="18">
        <f>D1271-F1271</f>
        <v>-350552</v>
      </c>
      <c r="I1271" s="27">
        <v>0</v>
      </c>
      <c r="J1271" s="27">
        <v>0</v>
      </c>
      <c r="K1271" s="18">
        <f>+I1271-J1271</f>
        <v>0</v>
      </c>
      <c r="L1271" s="18">
        <v>40102</v>
      </c>
      <c r="M1271" s="27">
        <v>-93965</v>
      </c>
      <c r="N1271" s="27">
        <v>0</v>
      </c>
      <c r="O1271" s="27">
        <v>7361</v>
      </c>
      <c r="P1271" s="42"/>
      <c r="Q1271" s="55">
        <v>0</v>
      </c>
      <c r="R1271" s="21">
        <v>0</v>
      </c>
      <c r="S1271" s="18"/>
      <c r="T1271" s="18">
        <v>0</v>
      </c>
      <c r="U1271" s="42"/>
      <c r="V1271" s="31">
        <f>+D1271+I1271+M1271+N1271+L1271+O1271+Q1271+R1271+T1271</f>
        <v>-79168</v>
      </c>
      <c r="W1271" s="18">
        <f>+F1271+J1271</f>
        <v>317886</v>
      </c>
      <c r="X1271" s="36">
        <f>+V1271-W1271</f>
        <v>-397054</v>
      </c>
    </row>
    <row r="1272" spans="1:24" ht="15">
      <c r="A1272" s="6" t="s">
        <v>41</v>
      </c>
      <c r="B1272" s="41"/>
      <c r="C1272" s="40"/>
      <c r="D1272" s="18"/>
      <c r="E1272" s="18"/>
      <c r="F1272" s="18" t="s">
        <v>0</v>
      </c>
      <c r="G1272" s="18"/>
      <c r="I1272" s="18"/>
      <c r="J1272" s="18"/>
      <c r="K1272" s="18"/>
      <c r="L1272" s="18"/>
      <c r="M1272" s="18"/>
      <c r="N1272" s="18"/>
      <c r="O1272" s="18"/>
      <c r="P1272" s="42"/>
      <c r="Q1272" s="18"/>
      <c r="R1272" s="18"/>
      <c r="S1272" s="18"/>
      <c r="T1272" s="18" t="s">
        <v>0</v>
      </c>
      <c r="U1272" s="42"/>
      <c r="V1272" s="30"/>
      <c r="W1272" s="30"/>
      <c r="X1272" s="36"/>
    </row>
    <row r="1273" spans="1:24" ht="15">
      <c r="A1273" s="4">
        <f>+A1271+1</f>
        <v>24</v>
      </c>
      <c r="B1273" s="5" t="s">
        <v>42</v>
      </c>
      <c r="C1273" s="22" t="s">
        <v>38</v>
      </c>
      <c r="D1273" s="27">
        <v>1154081</v>
      </c>
      <c r="E1273" s="18" t="s">
        <v>0</v>
      </c>
      <c r="F1273" s="27">
        <f>433572+17.86</f>
        <v>433589.86</v>
      </c>
      <c r="G1273" s="18">
        <f>D1273-F1273</f>
        <v>720491.14</v>
      </c>
      <c r="I1273" s="18">
        <v>-710</v>
      </c>
      <c r="J1273" s="26">
        <v>242</v>
      </c>
      <c r="K1273" s="18">
        <f>+I1273-J1273</f>
        <v>-952</v>
      </c>
      <c r="L1273" s="27">
        <v>0</v>
      </c>
      <c r="M1273" s="27">
        <v>-251463</v>
      </c>
      <c r="N1273" s="27">
        <v>37072</v>
      </c>
      <c r="O1273" s="18">
        <v>0</v>
      </c>
      <c r="P1273" s="42"/>
      <c r="Q1273" s="31">
        <v>0</v>
      </c>
      <c r="R1273" s="18">
        <v>0</v>
      </c>
      <c r="S1273" s="18" t="s">
        <v>0</v>
      </c>
      <c r="T1273" s="18">
        <v>0</v>
      </c>
      <c r="U1273" s="42"/>
      <c r="V1273" s="31">
        <f>+D1273+I1273+L1273+M1273+N1273+O1273+Q1273+R1273+T1273</f>
        <v>938980</v>
      </c>
      <c r="W1273" s="18">
        <f>+F1273+J1273</f>
        <v>433831.86</v>
      </c>
      <c r="X1273" s="18">
        <f>+V1273-W1273</f>
        <v>505148.14</v>
      </c>
    </row>
    <row r="1274" spans="1:24" ht="15">
      <c r="A1274" s="4">
        <f>+A1273+1</f>
        <v>25</v>
      </c>
      <c r="B1274" s="5" t="s">
        <v>43</v>
      </c>
      <c r="C1274" s="11"/>
      <c r="D1274" s="18"/>
      <c r="E1274" s="18"/>
      <c r="F1274" s="18">
        <v>0</v>
      </c>
      <c r="G1274" s="18">
        <f>+D1274-F1274</f>
        <v>0</v>
      </c>
      <c r="I1274" s="18">
        <v>0</v>
      </c>
      <c r="J1274" s="18">
        <v>0</v>
      </c>
      <c r="K1274" s="18">
        <f>+I1274-J1274</f>
        <v>0</v>
      </c>
      <c r="L1274" s="18">
        <v>0</v>
      </c>
      <c r="M1274" s="18">
        <v>0</v>
      </c>
      <c r="N1274" s="18">
        <f>+L1274-M1274</f>
        <v>0</v>
      </c>
      <c r="O1274" s="18">
        <v>0</v>
      </c>
      <c r="P1274" s="42"/>
      <c r="Q1274" s="18">
        <v>0</v>
      </c>
      <c r="R1274" s="18">
        <v>0</v>
      </c>
      <c r="S1274" s="18"/>
      <c r="T1274" s="18">
        <v>0</v>
      </c>
      <c r="U1274" s="42"/>
      <c r="V1274" s="31">
        <f>+D1274+I1274+L1274+O1274+Q1274+R1274+T1274</f>
        <v>0</v>
      </c>
      <c r="W1274" s="18">
        <f>+F1274+J1274+M1274</f>
        <v>0</v>
      </c>
      <c r="X1274" s="18">
        <f>+V1274-W1274</f>
        <v>0</v>
      </c>
    </row>
    <row r="1275" spans="1:24" ht="26.25">
      <c r="A1275" s="4">
        <f>+A1274+1</f>
        <v>26</v>
      </c>
      <c r="B1275" s="24" t="s">
        <v>79</v>
      </c>
      <c r="C1275" s="11"/>
      <c r="D1275" s="18">
        <f>+D1273-D1274</f>
        <v>1154081</v>
      </c>
      <c r="E1275" s="18"/>
      <c r="F1275" s="18">
        <f>+F1273-F1274</f>
        <v>433589.86</v>
      </c>
      <c r="G1275" s="18">
        <f>+G1273-G1274</f>
        <v>720491.14</v>
      </c>
      <c r="I1275" s="18">
        <f aca="true" t="shared" si="158" ref="I1275:N1275">+I1273-I1274</f>
        <v>-710</v>
      </c>
      <c r="J1275" s="18">
        <f t="shared" si="158"/>
        <v>242</v>
      </c>
      <c r="K1275" s="18">
        <f t="shared" si="158"/>
        <v>-952</v>
      </c>
      <c r="L1275" s="18">
        <f t="shared" si="158"/>
        <v>0</v>
      </c>
      <c r="M1275" s="18">
        <f t="shared" si="158"/>
        <v>-251463</v>
      </c>
      <c r="N1275" s="18">
        <f t="shared" si="158"/>
        <v>37072</v>
      </c>
      <c r="O1275" s="18">
        <v>0</v>
      </c>
      <c r="P1275" s="42"/>
      <c r="Q1275" s="18">
        <f>+Q1273-Q1274</f>
        <v>0</v>
      </c>
      <c r="R1275" s="18">
        <f>+R1273-R1274</f>
        <v>0</v>
      </c>
      <c r="S1275" s="18"/>
      <c r="T1275" s="18">
        <f>+T1273-T1274</f>
        <v>0</v>
      </c>
      <c r="U1275" s="42"/>
      <c r="V1275" s="27">
        <f>+V1273-V1274</f>
        <v>938980</v>
      </c>
      <c r="W1275" s="27">
        <f>+W1273-W1274</f>
        <v>433831.86</v>
      </c>
      <c r="X1275" s="31">
        <f>+X1273-X1274</f>
        <v>505148.14</v>
      </c>
    </row>
    <row r="1276" spans="1:24" ht="28.5">
      <c r="A1276" s="4">
        <f>+A1275+1</f>
        <v>27</v>
      </c>
      <c r="B1276" s="88" t="s">
        <v>181</v>
      </c>
      <c r="C1276" s="11"/>
      <c r="D1276" s="18">
        <v>0</v>
      </c>
      <c r="E1276" s="18"/>
      <c r="F1276" s="18">
        <v>0</v>
      </c>
      <c r="G1276" s="18">
        <f>+D1276-F1276</f>
        <v>0</v>
      </c>
      <c r="I1276" s="18">
        <v>0</v>
      </c>
      <c r="J1276" s="18">
        <v>0</v>
      </c>
      <c r="K1276" s="18">
        <f>+I1276-J1276</f>
        <v>0</v>
      </c>
      <c r="L1276" s="18">
        <v>0</v>
      </c>
      <c r="M1276" s="18">
        <v>0</v>
      </c>
      <c r="N1276" s="18">
        <f>+L1276-M1276</f>
        <v>0</v>
      </c>
      <c r="O1276" s="18">
        <v>0</v>
      </c>
      <c r="P1276" s="42"/>
      <c r="Q1276" s="18">
        <v>0</v>
      </c>
      <c r="R1276" s="18">
        <v>0</v>
      </c>
      <c r="S1276" s="18"/>
      <c r="T1276" s="18">
        <v>0</v>
      </c>
      <c r="U1276" s="42"/>
      <c r="V1276" s="31">
        <f>+D1276+I1276+L1276+O1276+Q1276+R1276+T1276</f>
        <v>0</v>
      </c>
      <c r="W1276" s="18">
        <f>+F1276+J1276+M1276</f>
        <v>0</v>
      </c>
      <c r="X1276" s="18">
        <f>+V1276-W1276</f>
        <v>0</v>
      </c>
    </row>
    <row r="1277" spans="1:24" ht="15">
      <c r="A1277" s="4">
        <f>+A1276+1</f>
        <v>28</v>
      </c>
      <c r="B1277" s="24" t="s">
        <v>46</v>
      </c>
      <c r="C1277" s="11" t="s">
        <v>47</v>
      </c>
      <c r="D1277" s="51">
        <f>+D1269+D1270+D1275+D1276+D1271</f>
        <v>1120849</v>
      </c>
      <c r="E1277" s="18"/>
      <c r="F1277" s="52">
        <f>+F1269+F1270+F1275+F1276+F1271</f>
        <v>753790.13</v>
      </c>
      <c r="G1277" s="18">
        <f>+G1269+G1270+G1275+G1276+G1271</f>
        <v>367058.87</v>
      </c>
      <c r="I1277" s="51">
        <f aca="true" t="shared" si="159" ref="I1277:O1277">+I1269+I1270+I1275+I1276+I1271</f>
        <v>-710</v>
      </c>
      <c r="J1277" s="52">
        <f t="shared" si="159"/>
        <v>242</v>
      </c>
      <c r="K1277" s="18">
        <f t="shared" si="159"/>
        <v>-952</v>
      </c>
      <c r="L1277" s="18">
        <f t="shared" si="159"/>
        <v>40102</v>
      </c>
      <c r="M1277" s="18">
        <f t="shared" si="159"/>
        <v>-345428</v>
      </c>
      <c r="N1277" s="18">
        <f t="shared" si="159"/>
        <v>39883</v>
      </c>
      <c r="O1277" s="18">
        <f t="shared" si="159"/>
        <v>7361</v>
      </c>
      <c r="P1277" s="42"/>
      <c r="Q1277" s="18">
        <f>+Q1269+Q1270+Q1275+Q1276+Q1271</f>
        <v>0</v>
      </c>
      <c r="R1277" s="18">
        <f>+R1269+R1270+R1275+R1276+R1271</f>
        <v>0</v>
      </c>
      <c r="S1277" s="18"/>
      <c r="T1277" s="18">
        <f>+T1269+T1270+T1275+T1276+T1271</f>
        <v>0</v>
      </c>
      <c r="U1277" s="42"/>
      <c r="V1277" s="18">
        <f>+V1269+V1270+V1275+V1276+V1271</f>
        <v>862057</v>
      </c>
      <c r="W1277" s="18">
        <f>+W1269+W1270+W1275+W1276+W1271</f>
        <v>754032.13</v>
      </c>
      <c r="X1277" s="18">
        <f>+X1269+X1270+X1275+X1276+X1271</f>
        <v>108024.87</v>
      </c>
    </row>
    <row r="1278" spans="1:24" ht="15">
      <c r="A1278" s="4"/>
      <c r="B1278" s="24" t="s">
        <v>0</v>
      </c>
      <c r="C1278" s="11"/>
      <c r="D1278" s="27">
        <v>1120139</v>
      </c>
      <c r="E1278" s="18"/>
      <c r="F1278" s="18">
        <v>754032</v>
      </c>
      <c r="G1278" s="18"/>
      <c r="I1278" s="18"/>
      <c r="J1278" s="18"/>
      <c r="K1278" s="18"/>
      <c r="L1278" s="18"/>
      <c r="M1278" s="42"/>
      <c r="N1278" s="73" t="s">
        <v>0</v>
      </c>
      <c r="O1278" s="42"/>
      <c r="P1278" s="42"/>
      <c r="Q1278" s="42"/>
      <c r="U1278" s="42"/>
      <c r="V1278" s="18"/>
      <c r="W1278" s="18"/>
      <c r="X1278" s="18"/>
    </row>
    <row r="1279" spans="1:24" ht="15">
      <c r="A1279" s="4"/>
      <c r="B1279" s="92"/>
      <c r="C1279" s="11"/>
      <c r="D1279" s="6" t="s">
        <v>48</v>
      </c>
      <c r="E1279" s="6"/>
      <c r="F1279" s="10" t="s">
        <v>49</v>
      </c>
      <c r="G1279" s="10" t="s">
        <v>50</v>
      </c>
      <c r="I1279" s="10" t="s">
        <v>51</v>
      </c>
      <c r="J1279" s="10" t="s">
        <v>52</v>
      </c>
      <c r="K1279" s="10" t="s">
        <v>53</v>
      </c>
      <c r="L1279" s="10" t="s">
        <v>54</v>
      </c>
      <c r="M1279" s="10" t="s">
        <v>55</v>
      </c>
      <c r="N1279" s="10" t="s">
        <v>56</v>
      </c>
      <c r="O1279" s="10" t="s">
        <v>57</v>
      </c>
      <c r="P1279" s="18"/>
      <c r="Q1279" s="10" t="s">
        <v>58</v>
      </c>
      <c r="R1279" s="10" t="s">
        <v>59</v>
      </c>
      <c r="S1279" s="10"/>
      <c r="T1279" s="10" t="s">
        <v>60</v>
      </c>
      <c r="U1279" s="18"/>
      <c r="V1279" s="10" t="s">
        <v>61</v>
      </c>
      <c r="W1279" s="10" t="s">
        <v>62</v>
      </c>
      <c r="X1279" s="10" t="s">
        <v>63</v>
      </c>
    </row>
    <row r="1280" spans="1:24" ht="15">
      <c r="A1280" s="4"/>
      <c r="B1280" s="24"/>
      <c r="C1280" s="11"/>
      <c r="D1280" s="14" t="s">
        <v>20</v>
      </c>
      <c r="E1280" s="18"/>
      <c r="F1280" s="14" t="s">
        <v>20</v>
      </c>
      <c r="G1280" s="14" t="s">
        <v>20</v>
      </c>
      <c r="I1280" s="14" t="s">
        <v>20</v>
      </c>
      <c r="J1280" s="14" t="s">
        <v>21</v>
      </c>
      <c r="K1280" s="14" t="s">
        <v>21</v>
      </c>
      <c r="L1280" s="14" t="s">
        <v>21</v>
      </c>
      <c r="M1280" s="14" t="s">
        <v>21</v>
      </c>
      <c r="N1280" s="14" t="s">
        <v>21</v>
      </c>
      <c r="O1280" s="14" t="s">
        <v>21</v>
      </c>
      <c r="P1280" s="14"/>
      <c r="Q1280" s="14" t="s">
        <v>21</v>
      </c>
      <c r="R1280" s="14" t="s">
        <v>21</v>
      </c>
      <c r="T1280" s="14" t="s">
        <v>21</v>
      </c>
      <c r="U1280" s="42"/>
      <c r="V1280" s="18"/>
      <c r="W1280" s="39" t="s">
        <v>123</v>
      </c>
      <c r="X1280" s="18"/>
    </row>
    <row r="1281" spans="1:24" ht="15">
      <c r="A1281" s="4"/>
      <c r="B1281" s="87" t="s">
        <v>183</v>
      </c>
      <c r="C1281" s="11"/>
      <c r="D1281" s="53" t="s">
        <v>124</v>
      </c>
      <c r="E1281" s="18"/>
      <c r="F1281" s="53" t="s">
        <v>125</v>
      </c>
      <c r="G1281" s="53" t="s">
        <v>126</v>
      </c>
      <c r="I1281" s="53" t="s">
        <v>127</v>
      </c>
      <c r="J1281" s="53" t="s">
        <v>128</v>
      </c>
      <c r="K1281" s="53" t="s">
        <v>129</v>
      </c>
      <c r="L1281" s="53" t="s">
        <v>130</v>
      </c>
      <c r="M1281" s="53" t="s">
        <v>131</v>
      </c>
      <c r="N1281" s="24" t="s">
        <v>132</v>
      </c>
      <c r="O1281" s="24" t="s">
        <v>98</v>
      </c>
      <c r="P1281" s="24"/>
      <c r="Q1281" s="24" t="s">
        <v>99</v>
      </c>
      <c r="R1281" s="24" t="s">
        <v>133</v>
      </c>
      <c r="S1281" s="42"/>
      <c r="T1281" s="24" t="s">
        <v>134</v>
      </c>
      <c r="U1281" s="42"/>
      <c r="V1281" s="10" t="s">
        <v>20</v>
      </c>
      <c r="W1281" s="10" t="s">
        <v>21</v>
      </c>
      <c r="X1281" s="10" t="s">
        <v>22</v>
      </c>
    </row>
    <row r="1282" spans="1:24" ht="15">
      <c r="A1282" s="4"/>
      <c r="B1282" s="24"/>
      <c r="C1282" s="11"/>
      <c r="D1282" s="18"/>
      <c r="E1282" s="18"/>
      <c r="F1282" s="18"/>
      <c r="I1282" s="18"/>
      <c r="J1282" s="18"/>
      <c r="O1282" s="42"/>
      <c r="P1282" s="42"/>
      <c r="Q1282" s="42"/>
      <c r="R1282" s="42"/>
      <c r="S1282" s="42"/>
      <c r="T1282" s="42"/>
      <c r="U1282" s="42"/>
      <c r="V1282" s="18"/>
      <c r="W1282" s="39"/>
      <c r="X1282" s="18"/>
    </row>
    <row r="1283" spans="1:24" ht="15">
      <c r="A1283" s="4">
        <f>+A1277+1</f>
        <v>29</v>
      </c>
      <c r="B1283" s="5" t="s">
        <v>36</v>
      </c>
      <c r="C1283" s="17" t="s">
        <v>37</v>
      </c>
      <c r="D1283" s="18">
        <v>0</v>
      </c>
      <c r="E1283" s="18"/>
      <c r="F1283" s="18">
        <v>0</v>
      </c>
      <c r="G1283" s="18">
        <v>0</v>
      </c>
      <c r="I1283" s="18">
        <v>0</v>
      </c>
      <c r="J1283" s="18">
        <v>0</v>
      </c>
      <c r="K1283" s="18">
        <v>0</v>
      </c>
      <c r="L1283" s="18">
        <v>0</v>
      </c>
      <c r="M1283" s="18">
        <v>0</v>
      </c>
      <c r="N1283" s="18">
        <v>0</v>
      </c>
      <c r="O1283" s="18">
        <v>0</v>
      </c>
      <c r="P1283" s="18"/>
      <c r="Q1283" s="18">
        <v>0</v>
      </c>
      <c r="R1283" s="18">
        <v>0</v>
      </c>
      <c r="S1283" s="42"/>
      <c r="T1283" s="18">
        <v>0</v>
      </c>
      <c r="U1283" s="42"/>
      <c r="V1283" s="18">
        <f>+V1267+D1283+F1283+G1283+I1283</f>
        <v>1165543</v>
      </c>
      <c r="W1283" s="18">
        <f>+W1267+J1283+K1283+L1283+M1283+N1283+O1283+Q1283+R1283+T1283</f>
        <v>418932.13</v>
      </c>
      <c r="X1283" s="18">
        <f>+V1283-W1283</f>
        <v>746610.87</v>
      </c>
    </row>
    <row r="1284" spans="1:24" ht="15">
      <c r="A1284" s="4">
        <f>+A1283+1</f>
        <v>30</v>
      </c>
      <c r="B1284" s="5" t="s">
        <v>36</v>
      </c>
      <c r="C1284" s="22" t="s">
        <v>38</v>
      </c>
      <c r="D1284" s="18">
        <v>0</v>
      </c>
      <c r="E1284" s="18"/>
      <c r="F1284" s="18">
        <v>0</v>
      </c>
      <c r="G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8">
        <v>0</v>
      </c>
      <c r="N1284" s="18">
        <v>0</v>
      </c>
      <c r="O1284" s="18">
        <v>0</v>
      </c>
      <c r="P1284" s="18"/>
      <c r="Q1284" s="18">
        <v>0</v>
      </c>
      <c r="R1284" s="18">
        <v>0</v>
      </c>
      <c r="S1284" s="42"/>
      <c r="T1284" s="18">
        <v>0</v>
      </c>
      <c r="U1284" s="42"/>
      <c r="V1284" s="18">
        <f>+V1268+D1284+F1284+G1284+I1284</f>
        <v>1163298</v>
      </c>
      <c r="W1284" s="18">
        <f>+W1268+J1284+K1284+L1284+M1284+N1284+O1284+Q1284+R1284+T1284</f>
        <v>416617.86</v>
      </c>
      <c r="X1284" s="18">
        <f>+V1284-W1284</f>
        <v>746680.14</v>
      </c>
    </row>
    <row r="1285" spans="1:24" ht="15">
      <c r="A1285" s="4">
        <f>+A1284+1</f>
        <v>31</v>
      </c>
      <c r="B1285" s="24" t="s">
        <v>46</v>
      </c>
      <c r="C1285" s="40" t="s">
        <v>78</v>
      </c>
      <c r="D1285" s="18">
        <f>+D1283-D1284</f>
        <v>0</v>
      </c>
      <c r="E1285" s="18"/>
      <c r="F1285" s="18">
        <f>+F1283-F1284</f>
        <v>0</v>
      </c>
      <c r="G1285" s="18">
        <f>+G1283-G1284</f>
        <v>0</v>
      </c>
      <c r="I1285" s="18">
        <f aca="true" t="shared" si="160" ref="I1285:O1285">+I1283-I1284</f>
        <v>0</v>
      </c>
      <c r="J1285" s="18">
        <f t="shared" si="160"/>
        <v>0</v>
      </c>
      <c r="K1285" s="18">
        <f t="shared" si="160"/>
        <v>0</v>
      </c>
      <c r="L1285" s="18">
        <f t="shared" si="160"/>
        <v>0</v>
      </c>
      <c r="M1285" s="18">
        <f t="shared" si="160"/>
        <v>0</v>
      </c>
      <c r="N1285" s="18">
        <f t="shared" si="160"/>
        <v>0</v>
      </c>
      <c r="O1285" s="18">
        <f t="shared" si="160"/>
        <v>0</v>
      </c>
      <c r="P1285" s="18"/>
      <c r="Q1285" s="18">
        <f>+Q1283-Q1284</f>
        <v>0</v>
      </c>
      <c r="R1285" s="18">
        <f>+R1283-R1284</f>
        <v>0</v>
      </c>
      <c r="S1285" s="42"/>
      <c r="T1285" s="18">
        <f>+T1283-T1284</f>
        <v>0</v>
      </c>
      <c r="U1285" s="42"/>
      <c r="V1285" s="27">
        <f>+V1283-V1284</f>
        <v>2245</v>
      </c>
      <c r="W1285" s="27">
        <f>+W1283-W1284</f>
        <v>2314.2700000000186</v>
      </c>
      <c r="X1285" s="18">
        <f>+X1283-X1284</f>
        <v>-69.27000000001863</v>
      </c>
    </row>
    <row r="1286" spans="1:24" ht="28.5">
      <c r="A1286" s="4">
        <f>+A1285+1</f>
        <v>32</v>
      </c>
      <c r="B1286" s="88" t="s">
        <v>182</v>
      </c>
      <c r="C1286" s="11"/>
      <c r="D1286" s="18">
        <v>0</v>
      </c>
      <c r="E1286" s="18"/>
      <c r="F1286" s="18">
        <v>0</v>
      </c>
      <c r="G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0</v>
      </c>
      <c r="N1286" s="18">
        <v>0</v>
      </c>
      <c r="O1286" s="18">
        <v>0</v>
      </c>
      <c r="P1286" s="18"/>
      <c r="Q1286" s="18">
        <v>0</v>
      </c>
      <c r="R1286" s="18">
        <v>0</v>
      </c>
      <c r="S1286" s="42"/>
      <c r="T1286" s="18">
        <v>0</v>
      </c>
      <c r="U1286" s="42"/>
      <c r="V1286" s="18">
        <f>+V1270+D1286+F1286+G1286+I1286</f>
        <v>0</v>
      </c>
      <c r="W1286" s="18">
        <f>+W1270+J1286+K1286+L1286+M1286+N1286+O1286+Q1286+R1286+T1286</f>
        <v>0</v>
      </c>
      <c r="X1286" s="18">
        <f>+V1286-W1286</f>
        <v>0</v>
      </c>
    </row>
    <row r="1287" spans="1:24" ht="24.75">
      <c r="A1287" s="4">
        <f>+A1286+1</f>
        <v>33</v>
      </c>
      <c r="B1287" s="89" t="s">
        <v>39</v>
      </c>
      <c r="C1287" s="40"/>
      <c r="D1287" s="27">
        <v>19917</v>
      </c>
      <c r="E1287" s="27" t="s">
        <v>0</v>
      </c>
      <c r="F1287" s="27">
        <v>247</v>
      </c>
      <c r="G1287" s="27">
        <v>-4180</v>
      </c>
      <c r="H1287" t="s">
        <v>0</v>
      </c>
      <c r="I1287" s="27">
        <v>0</v>
      </c>
      <c r="J1287" s="27">
        <v>139</v>
      </c>
      <c r="K1287" s="27">
        <v>0</v>
      </c>
      <c r="L1287" s="27">
        <v>0</v>
      </c>
      <c r="M1287" s="18">
        <v>0</v>
      </c>
      <c r="N1287" s="18">
        <v>0</v>
      </c>
      <c r="O1287" s="18">
        <v>0</v>
      </c>
      <c r="P1287" s="18"/>
      <c r="Q1287" s="18">
        <v>0</v>
      </c>
      <c r="R1287" s="18">
        <v>0</v>
      </c>
      <c r="S1287" s="42"/>
      <c r="T1287" s="18">
        <v>0</v>
      </c>
      <c r="U1287" s="42"/>
      <c r="V1287" s="18">
        <f>+V1271+D1287+F1287+G1287+I1287</f>
        <v>-63184</v>
      </c>
      <c r="W1287" s="18">
        <f>+W1271+J1287+K1287+L1287+M1287+N1287+O1287+Q1287+R1287+T1287</f>
        <v>318025</v>
      </c>
      <c r="X1287" s="36">
        <f>+V1287-W1287</f>
        <v>-381209</v>
      </c>
    </row>
    <row r="1288" spans="1:24" ht="15">
      <c r="A1288" s="6" t="s">
        <v>41</v>
      </c>
      <c r="B1288" s="41"/>
      <c r="C1288" s="40"/>
      <c r="D1288" s="18"/>
      <c r="E1288" s="18"/>
      <c r="F1288" s="18"/>
      <c r="G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42"/>
      <c r="T1288" s="18"/>
      <c r="U1288" s="42"/>
      <c r="V1288" s="18"/>
      <c r="W1288" s="54"/>
      <c r="X1288" s="36"/>
    </row>
    <row r="1289" spans="1:24" ht="15">
      <c r="A1289" s="4">
        <f>+A1287+1</f>
        <v>34</v>
      </c>
      <c r="B1289" s="5" t="s">
        <v>42</v>
      </c>
      <c r="C1289" s="22" t="s">
        <v>38</v>
      </c>
      <c r="D1289" s="18">
        <v>0</v>
      </c>
      <c r="E1289" s="18"/>
      <c r="F1289" s="18">
        <v>0</v>
      </c>
      <c r="G1289" s="18">
        <v>0</v>
      </c>
      <c r="I1289" s="18">
        <v>0</v>
      </c>
      <c r="J1289" s="18">
        <v>0</v>
      </c>
      <c r="K1289" s="18">
        <v>0</v>
      </c>
      <c r="L1289" s="18"/>
      <c r="M1289" s="18">
        <v>0</v>
      </c>
      <c r="N1289" s="18">
        <v>0</v>
      </c>
      <c r="O1289" s="18">
        <v>0</v>
      </c>
      <c r="P1289" s="18"/>
      <c r="Q1289" s="18">
        <v>0</v>
      </c>
      <c r="R1289" s="18">
        <v>0</v>
      </c>
      <c r="S1289" s="42"/>
      <c r="T1289" s="18">
        <v>0</v>
      </c>
      <c r="U1289" s="42"/>
      <c r="V1289" s="18">
        <f>+V1273+D1289+F1289+G1289+I1289</f>
        <v>938980</v>
      </c>
      <c r="W1289" s="18">
        <f>+W1273+J1289+K1289+L1289+M1289+N1289+O1289+Q1289+R1289+T1289</f>
        <v>433831.86</v>
      </c>
      <c r="X1289" s="18">
        <f>+V1289-W1289</f>
        <v>505148.14</v>
      </c>
    </row>
    <row r="1290" spans="1:24" ht="15">
      <c r="A1290" s="4">
        <f>+A1289+1</f>
        <v>35</v>
      </c>
      <c r="B1290" s="5" t="s">
        <v>43</v>
      </c>
      <c r="C1290" s="11"/>
      <c r="D1290" s="18">
        <v>0</v>
      </c>
      <c r="E1290" s="18"/>
      <c r="F1290" s="18">
        <v>0</v>
      </c>
      <c r="G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0</v>
      </c>
      <c r="N1290" s="18">
        <v>0</v>
      </c>
      <c r="O1290" s="18">
        <v>0</v>
      </c>
      <c r="P1290" s="18"/>
      <c r="Q1290" s="18">
        <v>0</v>
      </c>
      <c r="R1290" s="18">
        <v>0</v>
      </c>
      <c r="S1290" s="42"/>
      <c r="T1290" s="18">
        <v>0</v>
      </c>
      <c r="U1290" s="42"/>
      <c r="V1290" s="18">
        <f>+V1274+D1290+F1290+G1290+I1290</f>
        <v>0</v>
      </c>
      <c r="W1290" s="18">
        <f>+W1274+J1290+K1290+L1290+M1290+N1290+O1290+Q1290+R1290+T1290</f>
        <v>0</v>
      </c>
      <c r="X1290" s="18">
        <f>+V1290-W1290</f>
        <v>0</v>
      </c>
    </row>
    <row r="1291" spans="1:24" ht="26.25">
      <c r="A1291" s="4">
        <f>+A1290+1</f>
        <v>36</v>
      </c>
      <c r="B1291" s="24" t="s">
        <v>79</v>
      </c>
      <c r="C1291" s="11"/>
      <c r="D1291" s="18">
        <f>+D1289-D1290</f>
        <v>0</v>
      </c>
      <c r="E1291" s="18"/>
      <c r="F1291" s="18">
        <f>+F1289-F1290</f>
        <v>0</v>
      </c>
      <c r="G1291" s="18">
        <f>+G1289-G1290</f>
        <v>0</v>
      </c>
      <c r="I1291" s="18">
        <f aca="true" t="shared" si="161" ref="I1291:O1291">+I1289-I1290</f>
        <v>0</v>
      </c>
      <c r="J1291" s="18">
        <f t="shared" si="161"/>
        <v>0</v>
      </c>
      <c r="K1291" s="18">
        <f t="shared" si="161"/>
        <v>0</v>
      </c>
      <c r="L1291" s="18">
        <f t="shared" si="161"/>
        <v>0</v>
      </c>
      <c r="M1291" s="18">
        <f t="shared" si="161"/>
        <v>0</v>
      </c>
      <c r="N1291" s="18">
        <f t="shared" si="161"/>
        <v>0</v>
      </c>
      <c r="O1291" s="18">
        <f t="shared" si="161"/>
        <v>0</v>
      </c>
      <c r="P1291" s="18"/>
      <c r="Q1291" s="18">
        <f>+Q1289-Q1290</f>
        <v>0</v>
      </c>
      <c r="R1291" s="18">
        <f>+R1289-R1290</f>
        <v>0</v>
      </c>
      <c r="S1291" s="42"/>
      <c r="T1291" s="18">
        <f>+T1289-T1290</f>
        <v>0</v>
      </c>
      <c r="U1291" s="42"/>
      <c r="V1291" s="55">
        <f>+V1289-V1290</f>
        <v>938980</v>
      </c>
      <c r="W1291" s="55">
        <f>+W1289-W1290</f>
        <v>433831.86</v>
      </c>
      <c r="X1291" s="31">
        <f>+X1289-X1290</f>
        <v>505148.14</v>
      </c>
    </row>
    <row r="1292" spans="1:24" ht="28.5">
      <c r="A1292" s="4">
        <f>+A1291+1</f>
        <v>37</v>
      </c>
      <c r="B1292" s="88" t="s">
        <v>181</v>
      </c>
      <c r="C1292" s="11"/>
      <c r="D1292" s="18">
        <v>0</v>
      </c>
      <c r="E1292" s="18"/>
      <c r="F1292" s="18">
        <v>0</v>
      </c>
      <c r="G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8">
        <v>0</v>
      </c>
      <c r="N1292" s="18">
        <v>0</v>
      </c>
      <c r="O1292" s="18">
        <v>0</v>
      </c>
      <c r="P1292" s="18"/>
      <c r="Q1292" s="18">
        <v>0</v>
      </c>
      <c r="R1292" s="18">
        <v>0</v>
      </c>
      <c r="S1292" s="42"/>
      <c r="T1292" s="18">
        <v>0</v>
      </c>
      <c r="U1292" s="42"/>
      <c r="V1292" s="18">
        <f>+V1276+D1292+F1292+G1292+I1292</f>
        <v>0</v>
      </c>
      <c r="W1292" s="18">
        <f>+W1276+J1292+K1292+L1292+M1292+N1292+O1292+Q1292+R1292+T1292</f>
        <v>0</v>
      </c>
      <c r="X1292" s="18">
        <f>+V1292-W1292</f>
        <v>0</v>
      </c>
    </row>
    <row r="1293" spans="1:24" ht="15">
      <c r="A1293" s="4">
        <f>+A1292+1</f>
        <v>38</v>
      </c>
      <c r="B1293" s="24" t="s">
        <v>46</v>
      </c>
      <c r="C1293" s="11" t="s">
        <v>47</v>
      </c>
      <c r="D1293" s="18">
        <f>+D1285+D1286+D1291+D1292+D1287</f>
        <v>19917</v>
      </c>
      <c r="E1293" s="18"/>
      <c r="F1293" s="18">
        <f>+F1285+F1286+F1291+F1292+F1287</f>
        <v>247</v>
      </c>
      <c r="G1293" s="18">
        <f>+G1285+G1286+G1291+G1292+G1287</f>
        <v>-4180</v>
      </c>
      <c r="I1293" s="18">
        <f aca="true" t="shared" si="162" ref="I1293:O1293">+I1285+I1286+I1291+I1292+I1287</f>
        <v>0</v>
      </c>
      <c r="J1293" s="18">
        <f t="shared" si="162"/>
        <v>139</v>
      </c>
      <c r="K1293" s="18">
        <f t="shared" si="162"/>
        <v>0</v>
      </c>
      <c r="L1293" s="18">
        <f t="shared" si="162"/>
        <v>0</v>
      </c>
      <c r="M1293" s="18">
        <f t="shared" si="162"/>
        <v>0</v>
      </c>
      <c r="N1293" s="18">
        <f t="shared" si="162"/>
        <v>0</v>
      </c>
      <c r="O1293" s="18">
        <f t="shared" si="162"/>
        <v>0</v>
      </c>
      <c r="P1293" s="18"/>
      <c r="Q1293" s="18">
        <f>+Q1285+Q1286+Q1291+Q1292+Q1287</f>
        <v>0</v>
      </c>
      <c r="R1293" s="18">
        <f>+R1285+R1286+R1291+R1292+R1287</f>
        <v>0</v>
      </c>
      <c r="S1293" s="42"/>
      <c r="T1293" s="18">
        <f>+T1285+T1286+T1291+T1292+T1287</f>
        <v>0</v>
      </c>
      <c r="U1293" s="42"/>
      <c r="V1293" s="18">
        <f>+V1285+V1286+V1291+V1292+V1287</f>
        <v>878041</v>
      </c>
      <c r="W1293" s="18">
        <f>+W1285+W1286+W1291+W1292+W1287</f>
        <v>754171.13</v>
      </c>
      <c r="X1293" s="18">
        <f>+X1285+X1286+X1291+X1292+X1287</f>
        <v>123869.87</v>
      </c>
    </row>
    <row r="1294" spans="1:24" ht="15">
      <c r="A1294" s="4"/>
      <c r="B1294" s="24"/>
      <c r="C1294" s="11"/>
      <c r="D1294" s="18"/>
      <c r="E1294" s="18"/>
      <c r="F1294" s="18"/>
      <c r="G1294" s="18"/>
      <c r="N1294" s="42"/>
      <c r="O1294" s="42"/>
      <c r="P1294" s="42"/>
      <c r="Q1294" s="42"/>
      <c r="R1294" s="42"/>
      <c r="S1294" s="42"/>
      <c r="T1294" s="42"/>
      <c r="U1294" s="42"/>
      <c r="V1294" s="18"/>
      <c r="W1294" s="18"/>
      <c r="X1294" s="18"/>
    </row>
    <row r="1295" spans="1:24" ht="15">
      <c r="A1295" s="4"/>
      <c r="B1295" s="24"/>
      <c r="C1295" s="11"/>
      <c r="D1295" s="18"/>
      <c r="E1295" s="18"/>
      <c r="F1295" s="18"/>
      <c r="G1295" s="18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18"/>
      <c r="W1295" s="18"/>
      <c r="X1295" s="18"/>
    </row>
    <row r="1296" spans="1:24" ht="15">
      <c r="A1296" s="4"/>
      <c r="B1296" s="24"/>
      <c r="C1296" s="11"/>
      <c r="D1296" s="18"/>
      <c r="E1296" s="18"/>
      <c r="F1296" s="18"/>
      <c r="G1296" s="18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18"/>
      <c r="W1296" s="18"/>
      <c r="X1296" s="18"/>
    </row>
    <row r="1297" spans="1:24" ht="15">
      <c r="A1297" s="4"/>
      <c r="B1297" s="24"/>
      <c r="C1297" s="11"/>
      <c r="D1297" s="18"/>
      <c r="E1297" s="18"/>
      <c r="F1297" s="18"/>
      <c r="G1297" s="18"/>
      <c r="H1297" s="56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18"/>
      <c r="W1297" s="18"/>
      <c r="X1297" s="18"/>
    </row>
    <row r="1298" spans="1:24" ht="15">
      <c r="A1298" s="4"/>
      <c r="B1298" s="24"/>
      <c r="C1298" s="11"/>
      <c r="D1298" s="18"/>
      <c r="E1298" s="18"/>
      <c r="F1298" s="18"/>
      <c r="G1298" s="18"/>
      <c r="H1298" s="56"/>
      <c r="I1298" s="57" t="s">
        <v>135</v>
      </c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18"/>
      <c r="W1298" s="18"/>
      <c r="X1298" s="18"/>
    </row>
    <row r="1299" spans="1:24" ht="15">
      <c r="A1299" s="4"/>
      <c r="B1299" s="24"/>
      <c r="C1299" s="11"/>
      <c r="D1299" s="18"/>
      <c r="E1299" s="18"/>
      <c r="F1299" s="18"/>
      <c r="G1299" s="18"/>
      <c r="H1299" s="56"/>
      <c r="I1299" s="58"/>
      <c r="L1299" s="42"/>
      <c r="T1299" s="42"/>
      <c r="U1299" s="42"/>
      <c r="V1299" s="18"/>
      <c r="W1299" s="18"/>
      <c r="X1299" s="18"/>
    </row>
    <row r="1300" spans="1:24" ht="15">
      <c r="A1300" s="4"/>
      <c r="B1300" s="24"/>
      <c r="C1300" s="11"/>
      <c r="D1300" s="18"/>
      <c r="E1300" s="18"/>
      <c r="F1300" s="18"/>
      <c r="G1300" s="18"/>
      <c r="H1300" s="56"/>
      <c r="I1300" s="59" t="s">
        <v>136</v>
      </c>
      <c r="L1300" s="74">
        <v>10829783</v>
      </c>
      <c r="T1300" s="42"/>
      <c r="U1300" s="42"/>
      <c r="V1300" s="18"/>
      <c r="W1300" s="18"/>
      <c r="X1300" s="18"/>
    </row>
    <row r="1301" spans="1:24" ht="15">
      <c r="A1301" s="4"/>
      <c r="B1301" s="24"/>
      <c r="C1301" s="11"/>
      <c r="D1301" s="18"/>
      <c r="E1301" s="18"/>
      <c r="F1301" s="18"/>
      <c r="G1301" s="18"/>
      <c r="H1301" s="56"/>
      <c r="I1301" s="59"/>
      <c r="L1301" s="18"/>
      <c r="T1301" s="42"/>
      <c r="U1301" s="42"/>
      <c r="V1301" s="18"/>
      <c r="W1301" s="18"/>
      <c r="X1301" s="18"/>
    </row>
    <row r="1302" spans="1:24" ht="15">
      <c r="A1302" s="4"/>
      <c r="B1302" s="24"/>
      <c r="C1302" s="11"/>
      <c r="D1302" s="44" t="s">
        <v>137</v>
      </c>
      <c r="E1302" s="18"/>
      <c r="F1302" s="10" t="s">
        <v>138</v>
      </c>
      <c r="G1302" s="44" t="s">
        <v>24</v>
      </c>
      <c r="H1302" s="56"/>
      <c r="I1302" s="59" t="s">
        <v>139</v>
      </c>
      <c r="L1302" s="27">
        <v>3695064</v>
      </c>
      <c r="N1302" s="6" t="s">
        <v>137</v>
      </c>
      <c r="O1302" s="6" t="s">
        <v>137</v>
      </c>
      <c r="P1302" s="42"/>
      <c r="Q1302" s="6" t="s">
        <v>138</v>
      </c>
      <c r="R1302" s="6" t="s">
        <v>138</v>
      </c>
      <c r="S1302" s="6"/>
      <c r="T1302" s="42"/>
      <c r="U1302" s="42"/>
      <c r="V1302" s="18"/>
      <c r="W1302" s="18"/>
      <c r="X1302" s="18"/>
    </row>
    <row r="1303" spans="1:24" ht="15">
      <c r="A1303" s="4"/>
      <c r="B1303" s="24"/>
      <c r="C1303" s="11"/>
      <c r="D1303" s="18"/>
      <c r="E1303" s="18"/>
      <c r="F1303" s="18"/>
      <c r="G1303" s="18"/>
      <c r="H1303" s="56"/>
      <c r="I1303" s="59"/>
      <c r="L1303" s="18"/>
      <c r="N1303" s="8" t="s">
        <v>140</v>
      </c>
      <c r="O1303" s="49" t="s">
        <v>141</v>
      </c>
      <c r="P1303" s="42"/>
      <c r="Q1303" s="8" t="s">
        <v>140</v>
      </c>
      <c r="R1303" s="49" t="s">
        <v>141</v>
      </c>
      <c r="S1303" s="49"/>
      <c r="T1303" s="42"/>
      <c r="U1303" s="42"/>
      <c r="V1303" s="18"/>
      <c r="W1303" s="18"/>
      <c r="X1303" s="18"/>
    </row>
    <row r="1304" spans="1:24" ht="15">
      <c r="A1304" s="4">
        <f>+A1292+1</f>
        <v>38</v>
      </c>
      <c r="B1304" s="5" t="s">
        <v>36</v>
      </c>
      <c r="C1304" s="17" t="s">
        <v>37</v>
      </c>
      <c r="D1304" s="31">
        <f>+V1245+V1283</f>
        <v>10050398</v>
      </c>
      <c r="E1304" s="18"/>
      <c r="F1304" s="31">
        <f>+W1245+W1283</f>
        <v>7590104.13</v>
      </c>
      <c r="G1304" s="18">
        <f>+D1304-F1304</f>
        <v>2460293.87</v>
      </c>
      <c r="H1304" s="56"/>
      <c r="I1304" s="59" t="s">
        <v>142</v>
      </c>
      <c r="J1304" s="18"/>
      <c r="K1304" s="18"/>
      <c r="L1304" s="36">
        <f>F1220</f>
        <v>6245684</v>
      </c>
      <c r="N1304" s="60"/>
      <c r="O1304" s="6"/>
      <c r="P1304" s="42"/>
      <c r="Q1304" s="61"/>
      <c r="R1304" s="61"/>
      <c r="S1304" s="61"/>
      <c r="T1304" s="42"/>
      <c r="U1304" s="42"/>
      <c r="V1304" s="18"/>
      <c r="W1304" s="18"/>
      <c r="X1304" s="18"/>
    </row>
    <row r="1305" spans="1:21" ht="15">
      <c r="A1305" s="4">
        <f>+A1304+1</f>
        <v>39</v>
      </c>
      <c r="B1305" s="5" t="s">
        <v>36</v>
      </c>
      <c r="C1305" s="22" t="s">
        <v>38</v>
      </c>
      <c r="D1305" s="31">
        <f>+V1246+V1284</f>
        <v>10044601</v>
      </c>
      <c r="E1305" s="18"/>
      <c r="F1305" s="31">
        <f>+W1246+W1284</f>
        <v>7506783.86</v>
      </c>
      <c r="G1305" s="18">
        <f>+D1305-F1305</f>
        <v>2537817.1399999997</v>
      </c>
      <c r="H1305" s="56"/>
      <c r="I1305" s="58"/>
      <c r="J1305" s="18"/>
      <c r="K1305" s="18"/>
      <c r="L1305" s="60"/>
      <c r="N1305" s="62">
        <f>+D1306</f>
        <v>5797</v>
      </c>
      <c r="O1305" s="63">
        <f>+D1312</f>
        <v>8558999</v>
      </c>
      <c r="P1305" s="42"/>
      <c r="Q1305" s="31">
        <f>+F1212</f>
        <v>81006</v>
      </c>
      <c r="R1305" s="31">
        <f>+F1214</f>
        <v>0</v>
      </c>
      <c r="S1305" s="31"/>
      <c r="T1305" s="42"/>
      <c r="U1305" s="42"/>
    </row>
    <row r="1306" spans="1:25" ht="15">
      <c r="A1306" s="4">
        <f>+A1305+1</f>
        <v>40</v>
      </c>
      <c r="B1306" s="24" t="s">
        <v>46</v>
      </c>
      <c r="C1306" s="40" t="s">
        <v>78</v>
      </c>
      <c r="D1306" s="26">
        <f>+D1304-D1305</f>
        <v>5797</v>
      </c>
      <c r="E1306" s="18"/>
      <c r="F1306" s="26">
        <f>+F1304-F1305</f>
        <v>83320.26999999955</v>
      </c>
      <c r="G1306" s="18">
        <f>+G1304-G1305</f>
        <v>-77523.26999999955</v>
      </c>
      <c r="H1306" s="56"/>
      <c r="I1306" s="58" t="s">
        <v>143</v>
      </c>
      <c r="J1306" s="18"/>
      <c r="K1306" s="18"/>
      <c r="L1306">
        <v>0</v>
      </c>
      <c r="N1306" s="62">
        <f>+D1307</f>
        <v>0</v>
      </c>
      <c r="O1306" s="63">
        <f>+D1313</f>
        <v>0</v>
      </c>
      <c r="P1306" s="42"/>
      <c r="Q1306" s="31">
        <f>+F1213</f>
        <v>0</v>
      </c>
      <c r="R1306" s="31">
        <f>+F1218</f>
        <v>6164678</v>
      </c>
      <c r="S1306" s="31"/>
      <c r="U1306" s="18"/>
      <c r="V1306" s="10" t="s">
        <v>20</v>
      </c>
      <c r="W1306" s="10" t="s">
        <v>21</v>
      </c>
      <c r="X1306" s="10" t="s">
        <v>22</v>
      </c>
      <c r="Y1306" s="18"/>
    </row>
    <row r="1307" spans="1:25" ht="28.5">
      <c r="A1307" s="4">
        <f>+A1306+1</f>
        <v>41</v>
      </c>
      <c r="B1307" s="88" t="s">
        <v>182</v>
      </c>
      <c r="C1307" s="11"/>
      <c r="D1307" s="26">
        <f>+V1248+V1286</f>
        <v>0</v>
      </c>
      <c r="E1307" s="26"/>
      <c r="F1307" s="26">
        <f>+W1248+W1286</f>
        <v>0</v>
      </c>
      <c r="G1307" s="18">
        <f>+D1307-F1307</f>
        <v>0</v>
      </c>
      <c r="H1307" s="56"/>
      <c r="I1307" s="58"/>
      <c r="J1307" s="18"/>
      <c r="K1307" s="18"/>
      <c r="L1307" s="60" t="s">
        <v>144</v>
      </c>
      <c r="N1307" s="62">
        <f>+F1306</f>
        <v>83320.26999999955</v>
      </c>
      <c r="O1307" s="63">
        <f>+F1312</f>
        <v>6598509.86</v>
      </c>
      <c r="P1307" s="42"/>
      <c r="R1307" s="31">
        <f>+F1219</f>
        <v>0</v>
      </c>
      <c r="S1307" s="31"/>
      <c r="U1307" s="18"/>
      <c r="Y1307" s="18"/>
    </row>
    <row r="1308" spans="1:25" ht="24.75">
      <c r="A1308" s="4">
        <f>+A1307+1</f>
        <v>42</v>
      </c>
      <c r="B1308" s="89" t="s">
        <v>39</v>
      </c>
      <c r="C1308" s="40"/>
      <c r="D1308" s="30">
        <f>+V1249+V1287</f>
        <v>-675904</v>
      </c>
      <c r="E1308" s="30"/>
      <c r="F1308" s="30">
        <f>+W1249+W1287</f>
        <v>318025</v>
      </c>
      <c r="G1308" s="18">
        <f>+D1308-F1308</f>
        <v>-993929</v>
      </c>
      <c r="H1308" s="56"/>
      <c r="I1308" s="64" t="s">
        <v>145</v>
      </c>
      <c r="J1308" s="18"/>
      <c r="K1308" s="18"/>
      <c r="L1308" s="31">
        <f>+L1300-L1302-L1304-L1306</f>
        <v>889035</v>
      </c>
      <c r="N1308" s="62">
        <f>+F1307</f>
        <v>0</v>
      </c>
      <c r="O1308" s="63">
        <f>+F1313</f>
        <v>0</v>
      </c>
      <c r="P1308" s="42"/>
      <c r="Q1308" s="31"/>
      <c r="R1308" s="31"/>
      <c r="S1308" s="31"/>
      <c r="U1308" s="65"/>
      <c r="V1308" s="66"/>
      <c r="W1308" s="66"/>
      <c r="X1308" s="65"/>
      <c r="Y1308" s="65"/>
    </row>
    <row r="1309" spans="1:25" ht="15">
      <c r="A1309" s="6" t="s">
        <v>41</v>
      </c>
      <c r="B1309" s="41"/>
      <c r="C1309" s="40"/>
      <c r="D1309" s="18"/>
      <c r="E1309" s="18"/>
      <c r="F1309" s="18"/>
      <c r="G1309" s="18"/>
      <c r="H1309" s="56"/>
      <c r="I1309" s="58"/>
      <c r="J1309" s="18"/>
      <c r="K1309" s="18"/>
      <c r="N1309" s="62">
        <f>+F1212</f>
        <v>81006</v>
      </c>
      <c r="O1309" s="63">
        <f>+F1218</f>
        <v>6164678</v>
      </c>
      <c r="P1309" s="42"/>
      <c r="Q1309" s="31"/>
      <c r="U1309" s="65"/>
      <c r="V1309" s="67"/>
      <c r="W1309" s="67"/>
      <c r="X1309" s="68"/>
      <c r="Y1309" s="65"/>
    </row>
    <row r="1310" spans="1:25" ht="15">
      <c r="A1310" s="4">
        <f>+A1308+1</f>
        <v>43</v>
      </c>
      <c r="B1310" s="5" t="s">
        <v>42</v>
      </c>
      <c r="C1310" s="22" t="s">
        <v>38</v>
      </c>
      <c r="D1310" s="31">
        <f>+V1251+V1289</f>
        <v>8565448</v>
      </c>
      <c r="E1310" s="18"/>
      <c r="F1310" s="31">
        <f>+W1251+W1289</f>
        <v>6602907.86</v>
      </c>
      <c r="G1310" s="18">
        <f>+D1310-F1310</f>
        <v>1962540.1399999997</v>
      </c>
      <c r="H1310" s="56"/>
      <c r="I1310" s="59" t="s">
        <v>22</v>
      </c>
      <c r="J1310" s="18"/>
      <c r="K1310" s="18"/>
      <c r="L1310" s="30">
        <f>+X1315</f>
        <v>889036.8700000001</v>
      </c>
      <c r="N1310" s="62"/>
      <c r="O1310" s="63">
        <f>+D1308</f>
        <v>-675904</v>
      </c>
      <c r="P1310" s="42"/>
      <c r="Q1310" s="31"/>
      <c r="R1310" s="31"/>
      <c r="S1310" s="31"/>
      <c r="T1310" s="69" t="s">
        <v>78</v>
      </c>
      <c r="U1310" s="65"/>
      <c r="V1310" s="26">
        <f>+D1306+D1307-F1306-F1307+F1212</f>
        <v>3482.730000000447</v>
      </c>
      <c r="W1310" s="26">
        <f>+F1212+F1213</f>
        <v>81006</v>
      </c>
      <c r="X1310" s="26">
        <f>+V1310-W1310</f>
        <v>-77523.26999999955</v>
      </c>
      <c r="Y1310" s="65"/>
    </row>
    <row r="1311" spans="1:25" ht="15">
      <c r="A1311" s="4">
        <f>+A1310+1</f>
        <v>44</v>
      </c>
      <c r="B1311" s="5" t="s">
        <v>43</v>
      </c>
      <c r="C1311" s="11"/>
      <c r="D1311" s="31">
        <f>+V1252+V1290</f>
        <v>6449</v>
      </c>
      <c r="E1311" s="18"/>
      <c r="F1311" s="31">
        <f>+W1252+W1290</f>
        <v>4398</v>
      </c>
      <c r="G1311" s="18">
        <f>+D1311-F1311</f>
        <v>2051</v>
      </c>
      <c r="H1311" s="56"/>
      <c r="I1311" s="59"/>
      <c r="J1311" s="18"/>
      <c r="K1311" s="18"/>
      <c r="L1311" s="60" t="s">
        <v>144</v>
      </c>
      <c r="O1311" s="63">
        <f>+F1308</f>
        <v>318025</v>
      </c>
      <c r="P1311" s="42"/>
      <c r="Q1311" s="31"/>
      <c r="R1311" s="31"/>
      <c r="S1311" s="31"/>
      <c r="T1311" s="11" t="s">
        <v>146</v>
      </c>
      <c r="U1311" s="65"/>
      <c r="V1311" s="30">
        <f>+D1312+D1313-F1312-F1313+F1218+D1308-F1308+F1214</f>
        <v>7131238.14</v>
      </c>
      <c r="W1311" s="30">
        <f>+F1214+F1218+F1219</f>
        <v>6164678</v>
      </c>
      <c r="X1311" s="30">
        <f>+V1311-W1311</f>
        <v>966560.1399999997</v>
      </c>
      <c r="Y1311" s="65"/>
    </row>
    <row r="1312" spans="1:25" ht="26.25">
      <c r="A1312" s="4">
        <f>+A1311+1</f>
        <v>45</v>
      </c>
      <c r="B1312" s="24" t="s">
        <v>79</v>
      </c>
      <c r="C1312" s="11"/>
      <c r="D1312" s="30">
        <f>+D1310-D1311</f>
        <v>8558999</v>
      </c>
      <c r="E1312" s="18"/>
      <c r="F1312" s="30">
        <f>+F1310-F1311</f>
        <v>6598509.86</v>
      </c>
      <c r="G1312" s="18">
        <f>+G1310-G1311</f>
        <v>1960489.1399999997</v>
      </c>
      <c r="H1312" s="56"/>
      <c r="I1312" s="58"/>
      <c r="J1312" s="18"/>
      <c r="K1312" s="18"/>
      <c r="N1312" s="62"/>
      <c r="O1312" s="63">
        <f>+F1214</f>
        <v>0</v>
      </c>
      <c r="P1312" s="42"/>
      <c r="Q1312" s="31"/>
      <c r="R1312" s="31"/>
      <c r="S1312" s="31"/>
      <c r="T1312" s="11"/>
      <c r="U1312" s="65"/>
      <c r="V1312" s="30"/>
      <c r="W1312" s="30"/>
      <c r="X1312" s="30"/>
      <c r="Y1312" s="65"/>
    </row>
    <row r="1313" spans="1:25" ht="28.5">
      <c r="A1313" s="4">
        <f>+A1312+1</f>
        <v>46</v>
      </c>
      <c r="B1313" s="88" t="s">
        <v>181</v>
      </c>
      <c r="C1313" s="11"/>
      <c r="D1313" s="30">
        <f>+V1254+V1292</f>
        <v>0</v>
      </c>
      <c r="E1313" s="30"/>
      <c r="F1313" s="30">
        <f>+W1254+W1292</f>
        <v>0</v>
      </c>
      <c r="G1313" s="18">
        <f>+D1313-F1313</f>
        <v>0</v>
      </c>
      <c r="H1313" s="56"/>
      <c r="N1313" s="62"/>
      <c r="O1313" s="62"/>
      <c r="P1313" s="42"/>
      <c r="Q1313" s="31"/>
      <c r="R1313" s="31"/>
      <c r="S1313" s="31"/>
      <c r="T1313" s="11"/>
      <c r="U1313" s="65"/>
      <c r="V1313" s="30"/>
      <c r="W1313" s="30"/>
      <c r="X1313" s="30"/>
      <c r="Y1313" s="65"/>
    </row>
    <row r="1314" spans="1:25" ht="15">
      <c r="A1314" s="4">
        <f>+A1313+1</f>
        <v>47</v>
      </c>
      <c r="B1314" s="24" t="s">
        <v>46</v>
      </c>
      <c r="C1314" s="11" t="s">
        <v>47</v>
      </c>
      <c r="D1314" s="18">
        <f>+D1306+D1307+D1312+D1313+D1308</f>
        <v>7888892</v>
      </c>
      <c r="E1314" s="18"/>
      <c r="F1314" s="18">
        <f>+F1306+F1307+F1312+F1313+F1308</f>
        <v>6999855.13</v>
      </c>
      <c r="G1314" s="18">
        <f>+G1306+G1307+G1312+G1313+G1308</f>
        <v>889036.8700000001</v>
      </c>
      <c r="H1314" s="56"/>
      <c r="I1314" s="59" t="s">
        <v>147</v>
      </c>
      <c r="J1314" s="18"/>
      <c r="K1314" s="18"/>
      <c r="L1314" s="36">
        <f>+L1308-L1310</f>
        <v>-1.8700000001117587</v>
      </c>
      <c r="N1314" s="70">
        <f>+N1305+N1306-N1307-N1308+N1309</f>
        <v>3482.730000000447</v>
      </c>
      <c r="O1314" s="71">
        <f>+O1305+O1306-O1307-O1308+O1309+O1310-O1311+O1312</f>
        <v>7131238.14</v>
      </c>
      <c r="P1314" s="42"/>
      <c r="Q1314" s="26">
        <f>SUM(Q1305:Q1306)</f>
        <v>81006</v>
      </c>
      <c r="R1314" s="30">
        <f>SUM(R1305:R1308)</f>
        <v>6164678</v>
      </c>
      <c r="S1314" s="30"/>
      <c r="T1314" s="11"/>
      <c r="U1314" s="65"/>
      <c r="V1314" s="30"/>
      <c r="W1314" s="30"/>
      <c r="X1314" s="30"/>
      <c r="Y1314" s="65"/>
    </row>
    <row r="1315" spans="1:25" ht="15">
      <c r="A1315" s="4"/>
      <c r="B1315" s="24"/>
      <c r="C1315" s="11"/>
      <c r="D1315" s="18"/>
      <c r="E1315" s="18"/>
      <c r="F1315" s="18"/>
      <c r="G1315" s="18"/>
      <c r="H1315" s="56"/>
      <c r="L1315" s="60" t="s">
        <v>148</v>
      </c>
      <c r="M1315" s="42"/>
      <c r="N1315" s="42"/>
      <c r="O1315" s="42"/>
      <c r="P1315" s="42"/>
      <c r="Q1315" s="42"/>
      <c r="R1315" s="42"/>
      <c r="S1315" s="42"/>
      <c r="T1315" s="10" t="s">
        <v>22</v>
      </c>
      <c r="U1315" s="65"/>
      <c r="V1315" s="36"/>
      <c r="W1315" s="36"/>
      <c r="X1315" s="36">
        <f>+X1310+X1311</f>
        <v>889036.8700000001</v>
      </c>
      <c r="Y1315" s="65"/>
    </row>
    <row r="1316" spans="1:25" ht="15">
      <c r="A1316" s="1"/>
      <c r="B1316" s="2"/>
      <c r="C1316" s="2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</row>
    <row r="1317" spans="1:6" ht="15">
      <c r="A1317" s="4"/>
      <c r="B1317"/>
      <c r="F1317"/>
    </row>
    <row r="1318" spans="1:6" ht="15">
      <c r="A1318" s="4"/>
      <c r="B1318"/>
      <c r="F1318"/>
    </row>
    <row r="1319" spans="1:6" ht="15">
      <c r="A1319" s="4"/>
      <c r="B1319"/>
      <c r="F1319"/>
    </row>
    <row r="1320" spans="1:6" ht="15">
      <c r="A1320" s="4"/>
      <c r="B1320"/>
      <c r="F1320"/>
    </row>
    <row r="1321" spans="1:6" ht="15">
      <c r="A1321" s="4"/>
      <c r="B1321"/>
      <c r="F1321"/>
    </row>
    <row r="1322" spans="1:6" ht="15">
      <c r="A1322" s="4"/>
      <c r="B1322"/>
      <c r="F1322"/>
    </row>
    <row r="1323" spans="1:25" ht="15">
      <c r="A1323" s="1"/>
      <c r="B1323" s="2"/>
      <c r="C1323" s="2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</row>
    <row r="1324" spans="1:6" ht="15">
      <c r="A1324" s="4" t="s">
        <v>0</v>
      </c>
      <c r="B1324" s="5"/>
      <c r="C1324" s="6" t="s">
        <v>1</v>
      </c>
      <c r="F1324"/>
    </row>
    <row r="1325" spans="1:6" ht="15">
      <c r="A1325" s="4"/>
      <c r="B1325" s="5"/>
      <c r="C1325" s="6" t="s">
        <v>2</v>
      </c>
      <c r="F1325"/>
    </row>
    <row r="1326" spans="1:6" ht="15">
      <c r="A1326" s="4"/>
      <c r="B1326" s="5"/>
      <c r="C1326" s="7" t="s">
        <v>162</v>
      </c>
      <c r="F1326"/>
    </row>
    <row r="1327" spans="1:6" ht="15">
      <c r="A1327" s="4"/>
      <c r="B1327" s="5"/>
      <c r="C1327" s="8"/>
      <c r="F1327"/>
    </row>
    <row r="1328" spans="1:25" ht="15">
      <c r="A1328" s="4"/>
      <c r="B1328" s="5"/>
      <c r="C1328" s="9"/>
      <c r="D1328" s="10" t="s">
        <v>4</v>
      </c>
      <c r="E1328" s="10"/>
      <c r="F1328" s="10" t="s">
        <v>5</v>
      </c>
      <c r="G1328" s="10" t="s">
        <v>6</v>
      </c>
      <c r="H1328" s="10"/>
      <c r="I1328" s="10" t="s">
        <v>7</v>
      </c>
      <c r="J1328" s="10" t="s">
        <v>8</v>
      </c>
      <c r="K1328" s="10" t="s">
        <v>9</v>
      </c>
      <c r="L1328" s="10" t="s">
        <v>10</v>
      </c>
      <c r="M1328" s="10" t="s">
        <v>11</v>
      </c>
      <c r="N1328" s="10" t="s">
        <v>12</v>
      </c>
      <c r="O1328" s="10" t="s">
        <v>13</v>
      </c>
      <c r="P1328" s="10"/>
      <c r="Q1328" s="10" t="s">
        <v>14</v>
      </c>
      <c r="R1328" s="10" t="s">
        <v>15</v>
      </c>
      <c r="S1328" s="10"/>
      <c r="T1328" s="10" t="s">
        <v>16</v>
      </c>
      <c r="U1328" s="10"/>
      <c r="V1328" s="10" t="s">
        <v>17</v>
      </c>
      <c r="W1328" s="10" t="s">
        <v>18</v>
      </c>
      <c r="X1328" s="10" t="s">
        <v>19</v>
      </c>
      <c r="Y1328" s="10"/>
    </row>
    <row r="1329" spans="1:24" ht="15">
      <c r="A1329" s="4"/>
      <c r="B1329" s="87" t="s">
        <v>174</v>
      </c>
      <c r="C1329" s="5"/>
      <c r="D1329" s="10" t="s">
        <v>20</v>
      </c>
      <c r="E1329" s="10"/>
      <c r="F1329" s="10" t="s">
        <v>21</v>
      </c>
      <c r="G1329" s="10" t="s">
        <v>22</v>
      </c>
      <c r="I1329" s="10" t="s">
        <v>20</v>
      </c>
      <c r="J1329" s="10" t="s">
        <v>20</v>
      </c>
      <c r="K1329" s="10" t="s">
        <v>20</v>
      </c>
      <c r="L1329" s="10" t="s">
        <v>20</v>
      </c>
      <c r="M1329" s="10" t="s">
        <v>20</v>
      </c>
      <c r="N1329" s="10" t="s">
        <v>20</v>
      </c>
      <c r="O1329" s="10" t="s">
        <v>20</v>
      </c>
      <c r="Q1329" s="10" t="s">
        <v>20</v>
      </c>
      <c r="R1329" s="10" t="s">
        <v>20</v>
      </c>
      <c r="S1329" s="10"/>
      <c r="T1329" s="10" t="s">
        <v>20</v>
      </c>
      <c r="V1329" s="10" t="s">
        <v>20</v>
      </c>
      <c r="W1329" s="10" t="s">
        <v>20</v>
      </c>
      <c r="X1329" s="10" t="s">
        <v>20</v>
      </c>
    </row>
    <row r="1330" spans="1:24" ht="42.75">
      <c r="A1330" s="4"/>
      <c r="B1330" s="5"/>
      <c r="C1330" s="11"/>
      <c r="D1330" s="12" t="s">
        <v>23</v>
      </c>
      <c r="E1330" s="13"/>
      <c r="F1330" s="12" t="s">
        <v>175</v>
      </c>
      <c r="G1330" s="13" t="s">
        <v>24</v>
      </c>
      <c r="I1330" s="13" t="s">
        <v>25</v>
      </c>
      <c r="J1330" s="8" t="s">
        <v>26</v>
      </c>
      <c r="K1330" s="13" t="s">
        <v>27</v>
      </c>
      <c r="L1330" s="13" t="s">
        <v>28</v>
      </c>
      <c r="M1330" s="13" t="s">
        <v>29</v>
      </c>
      <c r="N1330" s="13" t="s">
        <v>30</v>
      </c>
      <c r="O1330" s="13" t="s">
        <v>31</v>
      </c>
      <c r="Q1330" s="14">
        <v>4470115</v>
      </c>
      <c r="R1330" s="13" t="s">
        <v>32</v>
      </c>
      <c r="S1330" s="13"/>
      <c r="T1330" s="14">
        <v>4470119</v>
      </c>
      <c r="V1330" s="8" t="s">
        <v>33</v>
      </c>
      <c r="W1330" s="8" t="s">
        <v>34</v>
      </c>
      <c r="X1330" s="8" t="s">
        <v>35</v>
      </c>
    </row>
    <row r="1331" spans="1:23" ht="15">
      <c r="A1331" s="4"/>
      <c r="B1331" s="5"/>
      <c r="C1331" s="11"/>
      <c r="D1331" s="13"/>
      <c r="E1331" s="13"/>
      <c r="F1331" s="13"/>
      <c r="G1331" s="15"/>
      <c r="I1331" s="13"/>
      <c r="J1331" s="13"/>
      <c r="K1331" s="13"/>
      <c r="L1331" s="13"/>
      <c r="M1331" s="13"/>
      <c r="N1331" s="13"/>
      <c r="O1331" s="13"/>
      <c r="Q1331" s="14"/>
      <c r="R1331" s="13"/>
      <c r="S1331" s="14"/>
      <c r="T1331" s="16"/>
      <c r="V1331" s="14"/>
      <c r="W1331" s="13"/>
    </row>
    <row r="1332" spans="1:25" ht="15">
      <c r="A1332" s="4">
        <v>1</v>
      </c>
      <c r="B1332" s="5" t="s">
        <v>36</v>
      </c>
      <c r="C1332" s="17" t="s">
        <v>37</v>
      </c>
      <c r="D1332" s="27">
        <v>7354099</v>
      </c>
      <c r="E1332" s="19"/>
      <c r="F1332" s="20">
        <v>6257387</v>
      </c>
      <c r="G1332" s="21">
        <f>+D1332-F1332</f>
        <v>1096712</v>
      </c>
      <c r="H1332" s="18"/>
      <c r="I1332" s="18">
        <v>0</v>
      </c>
      <c r="J1332" s="18">
        <v>0</v>
      </c>
      <c r="K1332" s="18">
        <v>0</v>
      </c>
      <c r="L1332" s="18">
        <v>0</v>
      </c>
      <c r="M1332" s="18">
        <v>0</v>
      </c>
      <c r="N1332" s="18">
        <v>0</v>
      </c>
      <c r="O1332" s="18">
        <v>0</v>
      </c>
      <c r="P1332" s="18"/>
      <c r="Q1332" s="18">
        <v>0</v>
      </c>
      <c r="R1332" s="18">
        <v>0</v>
      </c>
      <c r="S1332" s="18"/>
      <c r="T1332" s="18">
        <v>0</v>
      </c>
      <c r="U1332" s="18"/>
      <c r="V1332" s="18">
        <v>0</v>
      </c>
      <c r="W1332" s="18">
        <v>0</v>
      </c>
      <c r="X1332" s="18">
        <v>0</v>
      </c>
      <c r="Y1332" s="18"/>
    </row>
    <row r="1333" spans="1:25" ht="15">
      <c r="A1333" s="4">
        <f>+A1332+1</f>
        <v>2</v>
      </c>
      <c r="B1333" s="5" t="s">
        <v>36</v>
      </c>
      <c r="C1333" s="22" t="s">
        <v>38</v>
      </c>
      <c r="D1333" s="27">
        <v>7352790</v>
      </c>
      <c r="E1333" s="19"/>
      <c r="F1333" s="23">
        <v>6164678</v>
      </c>
      <c r="G1333" s="21">
        <f>+D1333-F1333</f>
        <v>1188112</v>
      </c>
      <c r="H1333" s="18"/>
      <c r="I1333" s="18">
        <v>0</v>
      </c>
      <c r="J1333" s="18">
        <v>0</v>
      </c>
      <c r="K1333" s="18">
        <v>0</v>
      </c>
      <c r="L1333" s="18">
        <v>0</v>
      </c>
      <c r="M1333" s="18">
        <v>0</v>
      </c>
      <c r="N1333" s="18">
        <v>0</v>
      </c>
      <c r="O1333" s="18">
        <v>0</v>
      </c>
      <c r="P1333" s="18"/>
      <c r="Q1333" s="18">
        <v>0</v>
      </c>
      <c r="R1333" s="18">
        <v>0</v>
      </c>
      <c r="S1333" s="18"/>
      <c r="T1333" s="18">
        <v>0</v>
      </c>
      <c r="U1333" s="18"/>
      <c r="V1333" s="18">
        <v>0</v>
      </c>
      <c r="W1333" s="18">
        <v>0</v>
      </c>
      <c r="X1333" s="18">
        <v>0</v>
      </c>
      <c r="Y1333" s="18"/>
    </row>
    <row r="1334" spans="1:25" ht="22.5">
      <c r="A1334" s="4">
        <f>+A1333+1</f>
        <v>3</v>
      </c>
      <c r="B1334" s="24" t="s">
        <v>176</v>
      </c>
      <c r="C1334" s="25" t="s">
        <v>177</v>
      </c>
      <c r="D1334" s="18">
        <f>+D1332-D1333</f>
        <v>1309</v>
      </c>
      <c r="E1334" s="19"/>
      <c r="F1334" s="26">
        <f>+F1332-F1333</f>
        <v>92709</v>
      </c>
      <c r="G1334" s="18">
        <f>+G1332-G1333</f>
        <v>-91400</v>
      </c>
      <c r="H1334" s="18"/>
      <c r="I1334" s="18">
        <f aca="true" t="shared" si="163" ref="I1334:O1334">+I1332-I1333</f>
        <v>0</v>
      </c>
      <c r="J1334" s="18">
        <f t="shared" si="163"/>
        <v>0</v>
      </c>
      <c r="K1334" s="18">
        <f t="shared" si="163"/>
        <v>0</v>
      </c>
      <c r="L1334" s="18">
        <f t="shared" si="163"/>
        <v>0</v>
      </c>
      <c r="M1334" s="18">
        <f t="shared" si="163"/>
        <v>0</v>
      </c>
      <c r="N1334" s="18">
        <f t="shared" si="163"/>
        <v>0</v>
      </c>
      <c r="O1334" s="18">
        <f t="shared" si="163"/>
        <v>0</v>
      </c>
      <c r="P1334" s="18"/>
      <c r="Q1334" s="18">
        <f>+Q1332-Q1333</f>
        <v>0</v>
      </c>
      <c r="R1334" s="18">
        <f>+R1332-R1333</f>
        <v>0</v>
      </c>
      <c r="S1334" s="18"/>
      <c r="T1334" s="18">
        <f>+T1332-T1333</f>
        <v>0</v>
      </c>
      <c r="U1334" s="18"/>
      <c r="V1334" s="18">
        <f>+V1332-V1333</f>
        <v>0</v>
      </c>
      <c r="W1334" s="18">
        <f>+W1332-W1333</f>
        <v>0</v>
      </c>
      <c r="X1334" s="18">
        <f>+X1332-X1333</f>
        <v>0</v>
      </c>
      <c r="Y1334" s="18"/>
    </row>
    <row r="1335" spans="1:25" ht="28.5">
      <c r="A1335" s="4">
        <f>+A1334+1</f>
        <v>4</v>
      </c>
      <c r="B1335" s="88" t="s">
        <v>178</v>
      </c>
      <c r="C1335" s="25" t="s">
        <v>179</v>
      </c>
      <c r="D1335" s="18">
        <v>0</v>
      </c>
      <c r="E1335" s="19"/>
      <c r="F1335" s="26">
        <v>0</v>
      </c>
      <c r="G1335" s="18">
        <f>+D1335-F1335</f>
        <v>0</v>
      </c>
      <c r="H1335" s="18"/>
      <c r="I1335" s="27">
        <v>0</v>
      </c>
      <c r="J1335" s="18">
        <v>0</v>
      </c>
      <c r="K1335" s="18">
        <v>0</v>
      </c>
      <c r="L1335" s="18">
        <v>0</v>
      </c>
      <c r="M1335" s="18">
        <v>0</v>
      </c>
      <c r="N1335" s="18">
        <v>0</v>
      </c>
      <c r="O1335" s="18">
        <v>0</v>
      </c>
      <c r="P1335" s="18"/>
      <c r="Q1335" s="18">
        <v>0</v>
      </c>
      <c r="R1335" s="18">
        <v>0</v>
      </c>
      <c r="S1335" s="18"/>
      <c r="T1335" s="18">
        <v>0</v>
      </c>
      <c r="U1335" s="18"/>
      <c r="V1335" s="18">
        <v>0</v>
      </c>
      <c r="W1335" s="18">
        <v>0</v>
      </c>
      <c r="X1335" s="18">
        <v>0</v>
      </c>
      <c r="Y1335" s="18"/>
    </row>
    <row r="1336" spans="1:25" ht="24.75">
      <c r="A1336" s="4">
        <f>+A1335+1</f>
        <v>5</v>
      </c>
      <c r="B1336" s="89" t="s">
        <v>39</v>
      </c>
      <c r="C1336" s="28" t="s">
        <v>40</v>
      </c>
      <c r="D1336" s="27">
        <v>34046</v>
      </c>
      <c r="E1336" s="29"/>
      <c r="F1336" s="30">
        <v>0</v>
      </c>
      <c r="G1336" s="31">
        <f>+D1336-F1336</f>
        <v>34046</v>
      </c>
      <c r="H1336" s="18"/>
      <c r="I1336" s="27">
        <v>0</v>
      </c>
      <c r="J1336" s="27">
        <v>370</v>
      </c>
      <c r="K1336" s="27">
        <v>0</v>
      </c>
      <c r="L1336" s="27">
        <v>131052</v>
      </c>
      <c r="M1336" s="27">
        <v>5128</v>
      </c>
      <c r="N1336" s="27">
        <v>-30</v>
      </c>
      <c r="O1336" s="27">
        <v>-1837</v>
      </c>
      <c r="P1336" s="18"/>
      <c r="Q1336" s="27">
        <v>-13826</v>
      </c>
      <c r="R1336" s="27">
        <v>0</v>
      </c>
      <c r="S1336" s="27"/>
      <c r="T1336" s="27">
        <v>0</v>
      </c>
      <c r="U1336" s="27"/>
      <c r="V1336" s="27">
        <v>0</v>
      </c>
      <c r="W1336" s="27">
        <v>0</v>
      </c>
      <c r="X1336" s="27">
        <v>-105253</v>
      </c>
      <c r="Y1336" s="18"/>
    </row>
    <row r="1337" spans="1:25" ht="15">
      <c r="A1337" s="6" t="s">
        <v>41</v>
      </c>
      <c r="B1337" s="90"/>
      <c r="C1337" s="11"/>
      <c r="D1337" s="18"/>
      <c r="E1337" s="19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 t="s">
        <v>0</v>
      </c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</row>
    <row r="1338" spans="1:25" ht="15">
      <c r="A1338" s="4">
        <f>+A1336+1</f>
        <v>6</v>
      </c>
      <c r="B1338" s="5" t="s">
        <v>42</v>
      </c>
      <c r="C1338" s="22" t="s">
        <v>38</v>
      </c>
      <c r="D1338" s="27">
        <v>5302542</v>
      </c>
      <c r="E1338" s="19"/>
      <c r="F1338" s="23">
        <v>4871740</v>
      </c>
      <c r="G1338" s="18">
        <f>+D1338-F1338</f>
        <v>430802</v>
      </c>
      <c r="H1338" s="18"/>
      <c r="I1338" s="18">
        <v>0</v>
      </c>
      <c r="J1338" s="18">
        <v>0</v>
      </c>
      <c r="K1338" s="18">
        <v>0</v>
      </c>
      <c r="L1338" s="18">
        <v>0</v>
      </c>
      <c r="M1338" s="18">
        <v>0</v>
      </c>
      <c r="N1338" s="18">
        <v>0</v>
      </c>
      <c r="O1338" s="18">
        <v>0</v>
      </c>
      <c r="P1338" s="18"/>
      <c r="Q1338" s="18">
        <v>0</v>
      </c>
      <c r="R1338" s="18">
        <v>0</v>
      </c>
      <c r="S1338" s="18"/>
      <c r="T1338" s="18">
        <v>0</v>
      </c>
      <c r="U1338" s="18"/>
      <c r="V1338" s="18">
        <v>0</v>
      </c>
      <c r="W1338" s="18">
        <v>0</v>
      </c>
      <c r="X1338" s="18">
        <v>0</v>
      </c>
      <c r="Y1338" s="18"/>
    </row>
    <row r="1339" spans="1:25" ht="15">
      <c r="A1339" s="4">
        <f>+A1338+1</f>
        <v>7</v>
      </c>
      <c r="B1339" s="5" t="s">
        <v>43</v>
      </c>
      <c r="C1339" s="11"/>
      <c r="D1339" s="27">
        <v>12780</v>
      </c>
      <c r="E1339" s="19"/>
      <c r="F1339" s="23">
        <v>10880</v>
      </c>
      <c r="G1339" s="18">
        <f>+D1339-F1339</f>
        <v>1900</v>
      </c>
      <c r="H1339" s="18"/>
      <c r="I1339" s="18">
        <v>0</v>
      </c>
      <c r="J1339" s="18">
        <v>0</v>
      </c>
      <c r="K1339" s="18">
        <v>0</v>
      </c>
      <c r="L1339" s="18">
        <v>0</v>
      </c>
      <c r="M1339" s="18">
        <v>0</v>
      </c>
      <c r="N1339" s="18">
        <v>0</v>
      </c>
      <c r="O1339" s="31">
        <v>0</v>
      </c>
      <c r="P1339" s="18"/>
      <c r="Q1339" s="18">
        <v>0</v>
      </c>
      <c r="R1339" s="18">
        <v>0</v>
      </c>
      <c r="S1339" s="18"/>
      <c r="T1339" s="18">
        <v>0</v>
      </c>
      <c r="U1339" s="18"/>
      <c r="V1339" s="18">
        <v>0</v>
      </c>
      <c r="W1339" s="18">
        <v>0</v>
      </c>
      <c r="X1339" s="18">
        <v>0</v>
      </c>
      <c r="Y1339" s="18"/>
    </row>
    <row r="1340" spans="1:25" ht="35.25">
      <c r="A1340" s="4">
        <f>+A1339+1</f>
        <v>8</v>
      </c>
      <c r="B1340" s="24" t="s">
        <v>180</v>
      </c>
      <c r="C1340" s="32" t="s">
        <v>44</v>
      </c>
      <c r="D1340" s="33">
        <f>D1338-D1339</f>
        <v>5289762</v>
      </c>
      <c r="E1340" s="34"/>
      <c r="F1340" s="91">
        <f>+F1338-F1339</f>
        <v>4860860</v>
      </c>
      <c r="G1340" s="18">
        <f>+G1338-G1339</f>
        <v>428902</v>
      </c>
      <c r="H1340" s="18"/>
      <c r="I1340" s="18">
        <f aca="true" t="shared" si="164" ref="I1340:O1340">+I1338-I1339</f>
        <v>0</v>
      </c>
      <c r="J1340" s="18">
        <f t="shared" si="164"/>
        <v>0</v>
      </c>
      <c r="K1340" s="18">
        <f t="shared" si="164"/>
        <v>0</v>
      </c>
      <c r="L1340" s="18">
        <f t="shared" si="164"/>
        <v>0</v>
      </c>
      <c r="M1340" s="18">
        <f t="shared" si="164"/>
        <v>0</v>
      </c>
      <c r="N1340" s="18">
        <f t="shared" si="164"/>
        <v>0</v>
      </c>
      <c r="O1340" s="18">
        <f t="shared" si="164"/>
        <v>0</v>
      </c>
      <c r="P1340" s="18"/>
      <c r="Q1340" s="18">
        <f>+Q1338-Q1339</f>
        <v>0</v>
      </c>
      <c r="R1340" s="18">
        <f>+R1338-R1339</f>
        <v>0</v>
      </c>
      <c r="S1340" s="18"/>
      <c r="T1340" s="18">
        <f>+T1338-T1339</f>
        <v>0</v>
      </c>
      <c r="U1340" s="18"/>
      <c r="V1340" s="18">
        <f>+V1338-V1339</f>
        <v>0</v>
      </c>
      <c r="W1340" s="18">
        <f>+W1338-W1339</f>
        <v>0</v>
      </c>
      <c r="X1340" s="18">
        <f>+X1338-X1339</f>
        <v>0</v>
      </c>
      <c r="Y1340" s="18"/>
    </row>
    <row r="1341" spans="1:25" ht="28.5">
      <c r="A1341" s="4">
        <f>+A1340+1</f>
        <v>9</v>
      </c>
      <c r="B1341" s="88" t="s">
        <v>181</v>
      </c>
      <c r="C1341" s="35" t="s">
        <v>45</v>
      </c>
      <c r="D1341" s="18">
        <v>0</v>
      </c>
      <c r="E1341" s="19"/>
      <c r="F1341" s="31">
        <v>0</v>
      </c>
      <c r="G1341" s="31">
        <f>+D1341-F1341</f>
        <v>0</v>
      </c>
      <c r="H1341" s="18"/>
      <c r="I1341" s="18">
        <v>0</v>
      </c>
      <c r="J1341" s="18">
        <v>0</v>
      </c>
      <c r="K1341" s="18">
        <v>0</v>
      </c>
      <c r="L1341" s="18">
        <v>0</v>
      </c>
      <c r="M1341" s="18">
        <v>0</v>
      </c>
      <c r="N1341" s="18">
        <v>0</v>
      </c>
      <c r="O1341" s="31">
        <v>0</v>
      </c>
      <c r="P1341" s="18"/>
      <c r="Q1341" s="18">
        <v>0</v>
      </c>
      <c r="R1341" s="18">
        <v>0</v>
      </c>
      <c r="S1341" s="18"/>
      <c r="T1341" s="18">
        <v>0</v>
      </c>
      <c r="U1341" s="18"/>
      <c r="V1341" s="18">
        <v>0</v>
      </c>
      <c r="W1341" s="18">
        <v>0</v>
      </c>
      <c r="X1341" s="18">
        <v>0</v>
      </c>
      <c r="Y1341" s="18"/>
    </row>
    <row r="1342" spans="1:25" ht="15">
      <c r="A1342" s="4">
        <f>+A1341+1</f>
        <v>10</v>
      </c>
      <c r="B1342" s="24" t="s">
        <v>46</v>
      </c>
      <c r="C1342" s="11" t="s">
        <v>47</v>
      </c>
      <c r="D1342" s="36">
        <f>+D1334+D1335+D1336+D1340+D1341</f>
        <v>5325117</v>
      </c>
      <c r="E1342" s="19"/>
      <c r="F1342" s="36">
        <f>+F1334+F1335+F1336+F1340+F1341</f>
        <v>4953569</v>
      </c>
      <c r="G1342" s="18">
        <f>+G1334+G1335+G1340+G1341+G1336</f>
        <v>371548</v>
      </c>
      <c r="H1342" s="18"/>
      <c r="I1342" s="18">
        <f aca="true" t="shared" si="165" ref="I1342:O1342">+I1334+I1335+I1340+I1341+I1336</f>
        <v>0</v>
      </c>
      <c r="J1342" s="21">
        <f t="shared" si="165"/>
        <v>370</v>
      </c>
      <c r="K1342" s="18">
        <f t="shared" si="165"/>
        <v>0</v>
      </c>
      <c r="L1342" s="18">
        <f t="shared" si="165"/>
        <v>131052</v>
      </c>
      <c r="M1342" s="18">
        <f t="shared" si="165"/>
        <v>5128</v>
      </c>
      <c r="N1342" s="18">
        <f t="shared" si="165"/>
        <v>-30</v>
      </c>
      <c r="O1342" s="18">
        <f t="shared" si="165"/>
        <v>-1837</v>
      </c>
      <c r="P1342" s="18"/>
      <c r="Q1342" s="18">
        <f>+Q1334+Q1335+Q1340+Q1341+Q1336</f>
        <v>-13826</v>
      </c>
      <c r="R1342" s="18">
        <f>+R1334+R1335+R1340+R1341+R1336</f>
        <v>0</v>
      </c>
      <c r="S1342" s="18"/>
      <c r="T1342" s="18">
        <f>+T1334+T1335+T1340+T1341+T1336</f>
        <v>0</v>
      </c>
      <c r="U1342" s="18"/>
      <c r="V1342" s="18">
        <f>+V1334+V1335+V1340+V1341+V1336</f>
        <v>0</v>
      </c>
      <c r="W1342" s="18">
        <f>+W1334+W1335+W1340+W1341+W1336</f>
        <v>0</v>
      </c>
      <c r="X1342" s="18">
        <f>+X1334+X1335+X1340+X1341+X1336</f>
        <v>-105253</v>
      </c>
      <c r="Y1342" s="18"/>
    </row>
    <row r="1343" spans="1:25" ht="15">
      <c r="A1343" s="4"/>
      <c r="B1343" s="24"/>
      <c r="C1343" s="11" t="s">
        <v>0</v>
      </c>
      <c r="D1343" s="27" t="s">
        <v>0</v>
      </c>
      <c r="E1343" s="18"/>
      <c r="F1343" s="36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</row>
    <row r="1344" spans="1:25" ht="15">
      <c r="A1344" s="4"/>
      <c r="B1344"/>
      <c r="C1344" s="37" t="s">
        <v>0</v>
      </c>
      <c r="D1344" s="18">
        <f>181027+308872+234708+4600510</f>
        <v>5325117</v>
      </c>
      <c r="E1344" s="18"/>
      <c r="F1344" s="92" t="s">
        <v>0</v>
      </c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</row>
    <row r="1345" spans="1:25" ht="15">
      <c r="A1345" s="4"/>
      <c r="B1345" s="24"/>
      <c r="C1345" s="11"/>
      <c r="D1345" s="6" t="s">
        <v>48</v>
      </c>
      <c r="E1345" s="6"/>
      <c r="F1345" s="10" t="s">
        <v>49</v>
      </c>
      <c r="G1345" s="10" t="s">
        <v>50</v>
      </c>
      <c r="I1345" s="10" t="s">
        <v>51</v>
      </c>
      <c r="J1345" s="10" t="s">
        <v>52</v>
      </c>
      <c r="K1345" s="10" t="s">
        <v>53</v>
      </c>
      <c r="L1345" s="10" t="s">
        <v>54</v>
      </c>
      <c r="M1345" s="10" t="s">
        <v>55</v>
      </c>
      <c r="N1345" s="10" t="s">
        <v>56</v>
      </c>
      <c r="O1345" s="10" t="s">
        <v>57</v>
      </c>
      <c r="P1345" s="18"/>
      <c r="Q1345" s="10" t="s">
        <v>58</v>
      </c>
      <c r="R1345" s="10" t="s">
        <v>59</v>
      </c>
      <c r="S1345" s="10"/>
      <c r="T1345" s="10" t="s">
        <v>60</v>
      </c>
      <c r="U1345" s="18"/>
      <c r="V1345" s="10" t="s">
        <v>61</v>
      </c>
      <c r="W1345" s="10" t="s">
        <v>62</v>
      </c>
      <c r="X1345" s="10" t="s">
        <v>63</v>
      </c>
      <c r="Y1345" s="18"/>
    </row>
    <row r="1346" spans="1:25" ht="15">
      <c r="A1346" s="4"/>
      <c r="B1346"/>
      <c r="C1346" s="11"/>
      <c r="D1346" s="10" t="s">
        <v>20</v>
      </c>
      <c r="E1346" s="38"/>
      <c r="F1346" s="10" t="s">
        <v>20</v>
      </c>
      <c r="G1346" s="10" t="s">
        <v>20</v>
      </c>
      <c r="I1346" s="10" t="s">
        <v>20</v>
      </c>
      <c r="J1346" s="10" t="s">
        <v>20</v>
      </c>
      <c r="K1346" s="10" t="s">
        <v>20</v>
      </c>
      <c r="L1346" s="10" t="s">
        <v>20</v>
      </c>
      <c r="M1346" s="10" t="s">
        <v>20</v>
      </c>
      <c r="N1346" s="10" t="s">
        <v>20</v>
      </c>
      <c r="O1346" s="10" t="s">
        <v>20</v>
      </c>
      <c r="P1346" s="18"/>
      <c r="Q1346" s="10" t="s">
        <v>20</v>
      </c>
      <c r="R1346" s="10" t="s">
        <v>20</v>
      </c>
      <c r="S1346" s="14"/>
      <c r="T1346" s="10" t="s">
        <v>20</v>
      </c>
      <c r="U1346" s="18"/>
      <c r="W1346" s="39" t="s">
        <v>64</v>
      </c>
      <c r="Y1346" s="18"/>
    </row>
    <row r="1347" spans="1:25" ht="15">
      <c r="A1347" s="4"/>
      <c r="B1347" s="87" t="s">
        <v>174</v>
      </c>
      <c r="C1347" s="11"/>
      <c r="D1347" s="8" t="s">
        <v>155</v>
      </c>
      <c r="E1347" s="6"/>
      <c r="F1347" s="8" t="s">
        <v>66</v>
      </c>
      <c r="G1347" s="8" t="s">
        <v>67</v>
      </c>
      <c r="H1347" s="19"/>
      <c r="I1347" s="8" t="s">
        <v>68</v>
      </c>
      <c r="J1347" s="8" t="s">
        <v>69</v>
      </c>
      <c r="K1347" s="8" t="s">
        <v>70</v>
      </c>
      <c r="L1347" s="8" t="s">
        <v>71</v>
      </c>
      <c r="M1347" s="8" t="s">
        <v>72</v>
      </c>
      <c r="N1347" s="8" t="s">
        <v>73</v>
      </c>
      <c r="O1347" s="8" t="s">
        <v>74</v>
      </c>
      <c r="P1347" s="6"/>
      <c r="Q1347" s="8" t="s">
        <v>75</v>
      </c>
      <c r="R1347" s="8" t="s">
        <v>76</v>
      </c>
      <c r="S1347" s="8"/>
      <c r="T1347" s="8" t="s">
        <v>77</v>
      </c>
      <c r="U1347" s="18"/>
      <c r="V1347" s="10" t="s">
        <v>20</v>
      </c>
      <c r="W1347" s="14" t="s">
        <v>21</v>
      </c>
      <c r="X1347" s="10" t="s">
        <v>22</v>
      </c>
      <c r="Y1347" s="18"/>
    </row>
    <row r="1348" spans="1:8" ht="15">
      <c r="A1348" s="4"/>
      <c r="B1348" s="24"/>
      <c r="C1348" s="11"/>
      <c r="E1348" s="14"/>
      <c r="F1348"/>
      <c r="H1348" s="18"/>
    </row>
    <row r="1349" spans="1:24" ht="15">
      <c r="A1349" s="4">
        <f>+A1342+1</f>
        <v>11</v>
      </c>
      <c r="B1349" s="5" t="s">
        <v>36</v>
      </c>
      <c r="C1349" s="17" t="s">
        <v>37</v>
      </c>
      <c r="D1349" s="18">
        <v>0</v>
      </c>
      <c r="E1349" s="18"/>
      <c r="F1349" s="18">
        <v>0</v>
      </c>
      <c r="G1349" s="18">
        <v>0</v>
      </c>
      <c r="I1349" s="27">
        <v>261184</v>
      </c>
      <c r="J1349" s="18">
        <v>0</v>
      </c>
      <c r="K1349" s="18">
        <v>0</v>
      </c>
      <c r="L1349" s="18">
        <v>0</v>
      </c>
      <c r="M1349" s="18">
        <v>0</v>
      </c>
      <c r="N1349" s="18">
        <v>0</v>
      </c>
      <c r="O1349" s="18">
        <v>0</v>
      </c>
      <c r="Q1349" s="18">
        <v>0</v>
      </c>
      <c r="R1349" s="18">
        <v>0</v>
      </c>
      <c r="S1349" s="18"/>
      <c r="T1349" s="18">
        <v>0</v>
      </c>
      <c r="V1349" s="18">
        <f>+D1332+I1332+J1332+K1332+L1332+M1332+N1332+O1332+Q1332+R1332+T1332+V1332+W1332+X1332+D1349+F1349+G1349+I1349+J1349+K1349+L1349+M1349+N1349+O1349+Q1349+R1349+T1349</f>
        <v>7615283</v>
      </c>
      <c r="W1349" s="18">
        <f>+F1332</f>
        <v>6257387</v>
      </c>
      <c r="X1349" s="18">
        <f>+V1349-W1349</f>
        <v>1357896</v>
      </c>
    </row>
    <row r="1350" spans="1:24" ht="15">
      <c r="A1350" s="4">
        <f>+A1349+1</f>
        <v>12</v>
      </c>
      <c r="B1350" s="5" t="s">
        <v>36</v>
      </c>
      <c r="C1350" s="22" t="s">
        <v>38</v>
      </c>
      <c r="D1350" s="18">
        <v>0</v>
      </c>
      <c r="E1350" s="18"/>
      <c r="F1350" s="18">
        <v>0</v>
      </c>
      <c r="G1350" s="18">
        <v>0</v>
      </c>
      <c r="I1350" s="27">
        <v>261286.51</v>
      </c>
      <c r="J1350" s="18">
        <v>0</v>
      </c>
      <c r="K1350" s="18">
        <v>0</v>
      </c>
      <c r="L1350" s="18">
        <v>0</v>
      </c>
      <c r="M1350" s="18">
        <v>0</v>
      </c>
      <c r="N1350" s="18">
        <v>0</v>
      </c>
      <c r="O1350" s="18">
        <v>0</v>
      </c>
      <c r="Q1350" s="18">
        <v>0</v>
      </c>
      <c r="R1350" s="18">
        <v>0</v>
      </c>
      <c r="S1350" s="18"/>
      <c r="T1350" s="18">
        <v>0</v>
      </c>
      <c r="V1350" s="18">
        <f>+D1333+I1333+J1333+K1333+L1333+M1333+N1333+O1333+Q1333+R1333+T1333+V1333+W1333+X1333+D1350+F1350+G1350+I1350+J1350+K1350+L1350+M1350+N1350+O1350+Q1350+R1350+T1350</f>
        <v>7614076.51</v>
      </c>
      <c r="W1350" s="18">
        <f>+F1333</f>
        <v>6164678</v>
      </c>
      <c r="X1350" s="18">
        <f>+V1350-W1350</f>
        <v>1449398.5099999998</v>
      </c>
    </row>
    <row r="1351" spans="1:24" ht="15">
      <c r="A1351" s="4">
        <f>+A1350+1</f>
        <v>13</v>
      </c>
      <c r="B1351" s="24" t="s">
        <v>46</v>
      </c>
      <c r="C1351" s="40" t="s">
        <v>78</v>
      </c>
      <c r="D1351" s="18">
        <f>+D1349-D1350</f>
        <v>0</v>
      </c>
      <c r="E1351" s="18"/>
      <c r="F1351" s="18">
        <f>+F1349-F1350</f>
        <v>0</v>
      </c>
      <c r="G1351" s="18">
        <f>+G1349-G1350</f>
        <v>0</v>
      </c>
      <c r="I1351" s="18">
        <f aca="true" t="shared" si="166" ref="I1351:O1351">+I1349-I1350</f>
        <v>-102.51000000000931</v>
      </c>
      <c r="J1351" s="18">
        <f t="shared" si="166"/>
        <v>0</v>
      </c>
      <c r="K1351" s="18">
        <f t="shared" si="166"/>
        <v>0</v>
      </c>
      <c r="L1351" s="18">
        <f t="shared" si="166"/>
        <v>0</v>
      </c>
      <c r="M1351" s="18">
        <f t="shared" si="166"/>
        <v>0</v>
      </c>
      <c r="N1351" s="18">
        <f t="shared" si="166"/>
        <v>0</v>
      </c>
      <c r="O1351" s="18">
        <f t="shared" si="166"/>
        <v>0</v>
      </c>
      <c r="Q1351" s="18">
        <f>+Q1349-Q1350</f>
        <v>0</v>
      </c>
      <c r="R1351" s="18">
        <f>+R1349-R1350</f>
        <v>0</v>
      </c>
      <c r="S1351" s="18"/>
      <c r="T1351" s="18">
        <f>+T1349-T1350</f>
        <v>0</v>
      </c>
      <c r="V1351" s="27">
        <f>+V1349-V1350</f>
        <v>1206.4900000002235</v>
      </c>
      <c r="W1351" s="27">
        <f>+W1349-W1350</f>
        <v>92709</v>
      </c>
      <c r="X1351" s="18">
        <f>+X1349-X1350</f>
        <v>-91502.50999999978</v>
      </c>
    </row>
    <row r="1352" spans="1:24" ht="28.5">
      <c r="A1352" s="4">
        <f>+A1351+1</f>
        <v>14</v>
      </c>
      <c r="B1352" s="88" t="s">
        <v>182</v>
      </c>
      <c r="C1352" s="11"/>
      <c r="D1352" s="18">
        <v>0</v>
      </c>
      <c r="E1352" s="18"/>
      <c r="F1352" s="18">
        <v>0</v>
      </c>
      <c r="G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0</v>
      </c>
      <c r="N1352" s="18">
        <v>0</v>
      </c>
      <c r="O1352" s="18">
        <v>0</v>
      </c>
      <c r="Q1352" s="18">
        <v>0</v>
      </c>
      <c r="R1352" s="18">
        <v>0</v>
      </c>
      <c r="S1352" s="18"/>
      <c r="T1352" s="18">
        <v>0</v>
      </c>
      <c r="V1352" s="18">
        <f>+D1335+I1335+J1335+K1335+L1335+M1335+N1335+O1335+Q1335+R1335+T1335+V1335+W1335+X1335+D1352+F1352+G1352+I1352+J1352+K1352+L1352+M1352+N1352+O1352+Q1352+R1352+T1352</f>
        <v>0</v>
      </c>
      <c r="W1352" s="18">
        <f>+F1335</f>
        <v>0</v>
      </c>
      <c r="X1352" s="18">
        <f>+V1352-W1352</f>
        <v>0</v>
      </c>
    </row>
    <row r="1353" spans="1:24" ht="24.75">
      <c r="A1353" s="4">
        <f>+A1352+1</f>
        <v>15</v>
      </c>
      <c r="B1353" s="89" t="s">
        <v>39</v>
      </c>
      <c r="C1353" s="40"/>
      <c r="D1353" s="27">
        <v>146</v>
      </c>
      <c r="E1353" s="18" t="s">
        <v>0</v>
      </c>
      <c r="F1353" s="27">
        <v>0</v>
      </c>
      <c r="G1353" s="27">
        <v>0</v>
      </c>
      <c r="H1353" t="s">
        <v>0</v>
      </c>
      <c r="I1353" s="27">
        <v>0</v>
      </c>
      <c r="J1353" s="27">
        <v>3512</v>
      </c>
      <c r="K1353" s="27">
        <v>0</v>
      </c>
      <c r="L1353" s="27">
        <v>0</v>
      </c>
      <c r="M1353" s="27">
        <v>27944</v>
      </c>
      <c r="N1353" s="27">
        <v>-216185</v>
      </c>
      <c r="O1353" s="27">
        <v>30</v>
      </c>
      <c r="Q1353" s="27">
        <v>0</v>
      </c>
      <c r="R1353" s="27">
        <v>0</v>
      </c>
      <c r="S1353" s="27"/>
      <c r="T1353" s="27">
        <v>0</v>
      </c>
      <c r="V1353" s="18">
        <f>+D1336+I1336+J1336+K1336+L1336+M1336+N1336+O1336+Q1336+R1336+T1336+V1336+W1336+X1336+D1353+F1353+G1353+I1353+J1353+K1353+L1353+M1353+N1353+O1353+Q1353+R1353+T1353</f>
        <v>-134903</v>
      </c>
      <c r="W1353" s="18">
        <f>+F1336</f>
        <v>0</v>
      </c>
      <c r="X1353" s="18">
        <f>+V1353-W1353</f>
        <v>-134903</v>
      </c>
    </row>
    <row r="1354" spans="1:24" ht="15">
      <c r="A1354" s="6" t="s">
        <v>41</v>
      </c>
      <c r="B1354" s="41"/>
      <c r="C1354" s="40"/>
      <c r="D1354" s="18"/>
      <c r="E1354" s="18"/>
      <c r="F1354" s="18"/>
      <c r="G1354" s="18"/>
      <c r="I1354" s="18"/>
      <c r="J1354" s="18"/>
      <c r="K1354" s="18"/>
      <c r="L1354" s="18"/>
      <c r="M1354" s="18"/>
      <c r="N1354" s="18"/>
      <c r="O1354" s="18"/>
      <c r="Q1354" s="18"/>
      <c r="R1354" s="18"/>
      <c r="S1354" s="18"/>
      <c r="T1354" s="18"/>
      <c r="V1354" s="18"/>
      <c r="W1354" s="18"/>
      <c r="X1354" s="18"/>
    </row>
    <row r="1355" spans="1:24" ht="15">
      <c r="A1355" s="4">
        <f>+A1353+1</f>
        <v>16</v>
      </c>
      <c r="B1355" s="5" t="s">
        <v>42</v>
      </c>
      <c r="C1355" s="22" t="s">
        <v>38</v>
      </c>
      <c r="D1355" s="18">
        <v>0</v>
      </c>
      <c r="E1355" s="18"/>
      <c r="F1355" s="18">
        <v>0</v>
      </c>
      <c r="G1355" s="18">
        <v>0</v>
      </c>
      <c r="I1355" s="27">
        <v>268949</v>
      </c>
      <c r="J1355" s="18">
        <v>0</v>
      </c>
      <c r="K1355" s="18">
        <v>0</v>
      </c>
      <c r="L1355" s="18">
        <v>0</v>
      </c>
      <c r="M1355" s="18">
        <v>0</v>
      </c>
      <c r="N1355" s="18">
        <v>0</v>
      </c>
      <c r="O1355" s="18">
        <v>0</v>
      </c>
      <c r="P1355" s="18"/>
      <c r="Q1355" s="18">
        <v>0</v>
      </c>
      <c r="R1355" s="18">
        <v>0</v>
      </c>
      <c r="S1355" s="18"/>
      <c r="T1355" s="18">
        <v>0</v>
      </c>
      <c r="U1355" s="18"/>
      <c r="V1355" s="18">
        <f>+D1338+I1338+J1338+K1338+L1338+M1338+N1338+O1338+Q1338+R1338+T1338+V1338+W1338+X1338+D1355+F1355+G1355+I1355+J1355+K1355+L1355+M1355+N1355+O1355+Q1355+R1355+T1355</f>
        <v>5571491</v>
      </c>
      <c r="W1355" s="18">
        <f>+F1338</f>
        <v>4871740</v>
      </c>
      <c r="X1355" s="18">
        <f>+V1355-W1355</f>
        <v>699751</v>
      </c>
    </row>
    <row r="1356" spans="1:24" ht="15">
      <c r="A1356" s="4">
        <f>+A1355+1</f>
        <v>17</v>
      </c>
      <c r="B1356" s="5" t="s">
        <v>43</v>
      </c>
      <c r="C1356" s="11"/>
      <c r="D1356" s="18">
        <v>0</v>
      </c>
      <c r="E1356" s="18"/>
      <c r="F1356" s="18">
        <v>0</v>
      </c>
      <c r="G1356" s="18">
        <v>0</v>
      </c>
      <c r="I1356" s="27">
        <v>0</v>
      </c>
      <c r="J1356" s="18">
        <v>0</v>
      </c>
      <c r="K1356" s="18">
        <v>0</v>
      </c>
      <c r="L1356" s="18">
        <v>0</v>
      </c>
      <c r="M1356" s="18">
        <v>0</v>
      </c>
      <c r="N1356" s="18">
        <v>0</v>
      </c>
      <c r="O1356" s="18">
        <v>0</v>
      </c>
      <c r="P1356" s="18"/>
      <c r="Q1356" s="18">
        <v>0</v>
      </c>
      <c r="R1356" s="18">
        <v>0</v>
      </c>
      <c r="S1356" s="18"/>
      <c r="T1356" s="18">
        <v>0</v>
      </c>
      <c r="U1356" s="18"/>
      <c r="V1356" s="18">
        <f>+D1339+I1339+J1339+K1339+L1339+M1339+N1339+O1339+Q1339+R1339+T1339+V1339+W1339+X1339+D1356+F1356+G1356+I1356+J1356+K1356+L1356+M1356+N1356+O1356+Q1356+R1356+T1356</f>
        <v>12780</v>
      </c>
      <c r="W1356" s="18">
        <f>+F1339</f>
        <v>10880</v>
      </c>
      <c r="X1356" s="18">
        <f>+V1356-W1356</f>
        <v>1900</v>
      </c>
    </row>
    <row r="1357" spans="1:24" ht="26.25">
      <c r="A1357" s="4">
        <f>+A1356+1</f>
        <v>18</v>
      </c>
      <c r="B1357" s="24" t="s">
        <v>79</v>
      </c>
      <c r="C1357" s="11"/>
      <c r="D1357" s="18">
        <f>+D1355-D1356</f>
        <v>0</v>
      </c>
      <c r="E1357" s="18"/>
      <c r="F1357" s="18">
        <f>+F1355-F1356</f>
        <v>0</v>
      </c>
      <c r="G1357" s="18">
        <f>+G1355-G1356</f>
        <v>0</v>
      </c>
      <c r="I1357" s="18">
        <f aca="true" t="shared" si="167" ref="I1357:O1357">+I1355-I1356</f>
        <v>268949</v>
      </c>
      <c r="J1357" s="18">
        <f t="shared" si="167"/>
        <v>0</v>
      </c>
      <c r="K1357" s="18">
        <f t="shared" si="167"/>
        <v>0</v>
      </c>
      <c r="L1357" s="18">
        <f t="shared" si="167"/>
        <v>0</v>
      </c>
      <c r="M1357" s="18">
        <f t="shared" si="167"/>
        <v>0</v>
      </c>
      <c r="N1357" s="18">
        <f t="shared" si="167"/>
        <v>0</v>
      </c>
      <c r="O1357" s="18">
        <f t="shared" si="167"/>
        <v>0</v>
      </c>
      <c r="P1357" s="18"/>
      <c r="Q1357" s="18">
        <f>+Q1355-Q1356</f>
        <v>0</v>
      </c>
      <c r="R1357" s="18">
        <f>+R1355-R1356</f>
        <v>0</v>
      </c>
      <c r="S1357" s="18"/>
      <c r="T1357" s="18">
        <f>+T1355-T1356</f>
        <v>0</v>
      </c>
      <c r="U1357" s="18"/>
      <c r="V1357" s="27">
        <f>+V1355-V1356</f>
        <v>5558711</v>
      </c>
      <c r="W1357" s="27">
        <f>+W1355-W1356</f>
        <v>4860860</v>
      </c>
      <c r="X1357" s="18">
        <f>+X1355-X1356</f>
        <v>697851</v>
      </c>
    </row>
    <row r="1358" spans="1:24" ht="28.5">
      <c r="A1358" s="4">
        <f>+A1357+1</f>
        <v>19</v>
      </c>
      <c r="B1358" s="88" t="s">
        <v>181</v>
      </c>
      <c r="C1358" s="11"/>
      <c r="D1358" s="18">
        <v>0</v>
      </c>
      <c r="E1358" s="18"/>
      <c r="F1358" s="18">
        <v>0</v>
      </c>
      <c r="G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0</v>
      </c>
      <c r="N1358" s="18">
        <v>0</v>
      </c>
      <c r="O1358" s="18">
        <v>0</v>
      </c>
      <c r="P1358" s="18"/>
      <c r="Q1358" s="18">
        <v>0</v>
      </c>
      <c r="R1358" s="18">
        <v>0</v>
      </c>
      <c r="S1358" s="18"/>
      <c r="T1358" s="18">
        <v>0</v>
      </c>
      <c r="U1358" s="18"/>
      <c r="V1358" s="18">
        <f>+D1341+I1341+J1341+K1341+L1341+M1341+N1341+O1341+Q1341+R1341+T1341+V1341+W1341+X1341+D1358+F1358+G1358+I1358+J1358+K1358+L1358+M1358+N1358+O1358+Q1358+R1358+T1358</f>
        <v>0</v>
      </c>
      <c r="W1358" s="18">
        <f>+F1341+K1358+L1358+M1358+N1358+O1358+Q1358+R1358+T1358</f>
        <v>0</v>
      </c>
      <c r="X1358" s="18">
        <f>+V1358-W1358</f>
        <v>0</v>
      </c>
    </row>
    <row r="1359" spans="1:24" ht="15">
      <c r="A1359" s="4">
        <f>+A1358+1</f>
        <v>20</v>
      </c>
      <c r="B1359" s="24" t="s">
        <v>46</v>
      </c>
      <c r="C1359" s="11" t="s">
        <v>47</v>
      </c>
      <c r="D1359" s="18">
        <f>+D1351+D1352+D1357+D1358+D1353</f>
        <v>146</v>
      </c>
      <c r="E1359" s="18"/>
      <c r="F1359" s="18">
        <f>+F1351+F1352+F1357+F1358+F1353</f>
        <v>0</v>
      </c>
      <c r="G1359" s="18">
        <f>+G1351+G1352+G1357+G1358+G1353</f>
        <v>0</v>
      </c>
      <c r="I1359" s="18">
        <f aca="true" t="shared" si="168" ref="I1359:O1359">+I1351+I1352+I1357+I1358+I1353</f>
        <v>268846.49</v>
      </c>
      <c r="J1359" s="18">
        <f t="shared" si="168"/>
        <v>3512</v>
      </c>
      <c r="K1359" s="18">
        <f t="shared" si="168"/>
        <v>0</v>
      </c>
      <c r="L1359" s="18">
        <f t="shared" si="168"/>
        <v>0</v>
      </c>
      <c r="M1359" s="18">
        <f t="shared" si="168"/>
        <v>27944</v>
      </c>
      <c r="N1359" s="18">
        <f t="shared" si="168"/>
        <v>-216185</v>
      </c>
      <c r="O1359" s="18">
        <f t="shared" si="168"/>
        <v>30</v>
      </c>
      <c r="P1359" s="42"/>
      <c r="Q1359" s="18">
        <f>+Q1351+Q1352+Q1357+Q1358+Q1353</f>
        <v>0</v>
      </c>
      <c r="R1359" s="18">
        <f>+R1351+R1352+R1357+R1358+R1353</f>
        <v>0</v>
      </c>
      <c r="S1359" s="18"/>
      <c r="T1359" s="18">
        <f>+T1351+T1352+T1357+T1358+T1353</f>
        <v>0</v>
      </c>
      <c r="U1359" s="42"/>
      <c r="V1359" s="18">
        <f>SUM(V1351,V1353,V1357,V1358)</f>
        <v>5425014.49</v>
      </c>
      <c r="W1359" s="18">
        <f>+W1351+W1352+W1357+W1358+W1353</f>
        <v>4953569</v>
      </c>
      <c r="X1359" s="18">
        <f>+X1351+X1352+X1357+X1358+X1353</f>
        <v>471445.4900000002</v>
      </c>
    </row>
    <row r="1360" spans="1:24" ht="15">
      <c r="A1360" s="4"/>
      <c r="B1360" s="24"/>
      <c r="C1360" s="11"/>
      <c r="D1360" s="18"/>
      <c r="E1360" s="18"/>
      <c r="F1360" s="18"/>
      <c r="G1360" s="18"/>
      <c r="I1360" s="18"/>
      <c r="J1360" s="18"/>
      <c r="K1360" s="18"/>
      <c r="L1360" s="18"/>
      <c r="M1360" s="18"/>
      <c r="N1360" s="18"/>
      <c r="O1360" s="18"/>
      <c r="P1360" s="42"/>
      <c r="Q1360" s="18"/>
      <c r="R1360" s="18"/>
      <c r="S1360" s="18"/>
      <c r="T1360" s="18"/>
      <c r="U1360" s="42"/>
      <c r="V1360" s="18"/>
      <c r="W1360" s="18"/>
      <c r="X1360" s="18"/>
    </row>
    <row r="1361" spans="1:24" ht="15">
      <c r="A1361" s="4"/>
      <c r="B1361" s="24"/>
      <c r="C1361" s="11"/>
      <c r="D1361" s="18"/>
      <c r="E1361" s="18"/>
      <c r="F1361" s="18"/>
      <c r="G1361" s="18"/>
      <c r="I1361" s="18"/>
      <c r="J1361" s="18"/>
      <c r="K1361" s="18"/>
      <c r="L1361" s="18"/>
      <c r="M1361" s="18"/>
      <c r="N1361" s="18"/>
      <c r="O1361" s="18"/>
      <c r="P1361" s="42"/>
      <c r="Q1361" s="18"/>
      <c r="R1361" s="18"/>
      <c r="S1361" s="18"/>
      <c r="T1361" s="18"/>
      <c r="U1361" s="42"/>
      <c r="V1361" s="18"/>
      <c r="W1361" s="18"/>
      <c r="X1361" s="18"/>
    </row>
    <row r="1362" spans="1:24" ht="15">
      <c r="A1362" s="4"/>
      <c r="B1362" s="24"/>
      <c r="C1362" s="11"/>
      <c r="D1362" s="18"/>
      <c r="E1362" s="18"/>
      <c r="F1362" s="18"/>
      <c r="G1362" s="18"/>
      <c r="I1362" s="18"/>
      <c r="J1362" s="18"/>
      <c r="K1362" s="18"/>
      <c r="L1362" s="18"/>
      <c r="M1362" s="18"/>
      <c r="N1362" s="18"/>
      <c r="O1362" s="18"/>
      <c r="P1362" s="42"/>
      <c r="Q1362" s="18"/>
      <c r="R1362" s="18"/>
      <c r="S1362" s="18"/>
      <c r="T1362" s="18"/>
      <c r="U1362" s="42"/>
      <c r="V1362" s="18"/>
      <c r="W1362" s="18"/>
      <c r="X1362" s="18"/>
    </row>
    <row r="1363" spans="1:25" ht="15">
      <c r="A1363" s="4"/>
      <c r="B1363" s="24"/>
      <c r="C1363" s="11"/>
      <c r="D1363" s="10" t="s">
        <v>80</v>
      </c>
      <c r="E1363" s="10"/>
      <c r="F1363" s="10" t="s">
        <v>81</v>
      </c>
      <c r="G1363" s="10" t="s">
        <v>82</v>
      </c>
      <c r="I1363" s="10" t="s">
        <v>83</v>
      </c>
      <c r="J1363" s="10" t="s">
        <v>84</v>
      </c>
      <c r="K1363" s="10" t="s">
        <v>85</v>
      </c>
      <c r="L1363" s="10" t="s">
        <v>86</v>
      </c>
      <c r="M1363" s="43" t="s">
        <v>87</v>
      </c>
      <c r="N1363" s="43" t="s">
        <v>88</v>
      </c>
      <c r="O1363" s="44" t="s">
        <v>89</v>
      </c>
      <c r="P1363" s="42"/>
      <c r="Q1363" s="43" t="s">
        <v>90</v>
      </c>
      <c r="R1363" s="43" t="s">
        <v>91</v>
      </c>
      <c r="S1363" s="43"/>
      <c r="T1363" s="43" t="s">
        <v>92</v>
      </c>
      <c r="U1363" s="42"/>
      <c r="V1363" s="43" t="s">
        <v>93</v>
      </c>
      <c r="W1363" s="43" t="s">
        <v>94</v>
      </c>
      <c r="X1363" s="43" t="s">
        <v>95</v>
      </c>
      <c r="Y1363" s="18"/>
    </row>
    <row r="1364" spans="1:25" ht="15">
      <c r="A1364" s="4"/>
      <c r="B1364"/>
      <c r="C1364" s="11"/>
      <c r="D1364" s="10" t="s">
        <v>20</v>
      </c>
      <c r="E1364" s="38"/>
      <c r="F1364" s="10" t="s">
        <v>20</v>
      </c>
      <c r="G1364" s="10" t="s">
        <v>20</v>
      </c>
      <c r="I1364" s="10" t="s">
        <v>20</v>
      </c>
      <c r="J1364" s="10" t="s">
        <v>20</v>
      </c>
      <c r="K1364" s="10" t="s">
        <v>20</v>
      </c>
      <c r="L1364" s="10" t="s">
        <v>20</v>
      </c>
      <c r="M1364" s="10" t="s">
        <v>20</v>
      </c>
      <c r="N1364" s="10" t="s">
        <v>20</v>
      </c>
      <c r="O1364" s="10" t="s">
        <v>20</v>
      </c>
      <c r="P1364" s="18"/>
      <c r="Q1364" s="10" t="s">
        <v>20</v>
      </c>
      <c r="R1364" s="10" t="s">
        <v>20</v>
      </c>
      <c r="S1364" s="14"/>
      <c r="T1364" s="10" t="s">
        <v>20</v>
      </c>
      <c r="U1364" s="18"/>
      <c r="W1364" s="39" t="s">
        <v>96</v>
      </c>
      <c r="Y1364" s="18"/>
    </row>
    <row r="1365" spans="1:25" ht="15">
      <c r="A1365" s="4"/>
      <c r="B1365" s="87" t="s">
        <v>174</v>
      </c>
      <c r="C1365" s="11"/>
      <c r="D1365" s="8" t="s">
        <v>156</v>
      </c>
      <c r="E1365" s="6"/>
      <c r="F1365" s="8" t="s">
        <v>157</v>
      </c>
      <c r="G1365" s="45" t="s">
        <v>99</v>
      </c>
      <c r="H1365" s="19"/>
      <c r="I1365" s="45" t="s">
        <v>100</v>
      </c>
      <c r="J1365" s="45" t="s">
        <v>101</v>
      </c>
      <c r="K1365" s="45" t="s">
        <v>102</v>
      </c>
      <c r="L1365" s="45" t="s">
        <v>103</v>
      </c>
      <c r="M1365" s="45" t="s">
        <v>104</v>
      </c>
      <c r="N1365" s="45" t="s">
        <v>105</v>
      </c>
      <c r="O1365" s="45" t="s">
        <v>106</v>
      </c>
      <c r="P1365" s="6"/>
      <c r="Q1365" s="45" t="s">
        <v>107</v>
      </c>
      <c r="R1365" s="45" t="s">
        <v>108</v>
      </c>
      <c r="S1365" s="45"/>
      <c r="T1365" s="45" t="s">
        <v>109</v>
      </c>
      <c r="U1365" s="18"/>
      <c r="V1365" s="10" t="s">
        <v>20</v>
      </c>
      <c r="W1365" s="10" t="s">
        <v>21</v>
      </c>
      <c r="X1365" s="10" t="s">
        <v>22</v>
      </c>
      <c r="Y1365" s="18"/>
    </row>
    <row r="1366" spans="1:9" ht="15">
      <c r="A1366" s="4"/>
      <c r="B1366" s="24"/>
      <c r="C1366" s="11"/>
      <c r="E1366" s="14"/>
      <c r="F1366"/>
      <c r="H1366" s="18"/>
      <c r="I1366" s="16"/>
    </row>
    <row r="1367" spans="1:24" ht="15">
      <c r="A1367" s="4">
        <f>+A1360+1</f>
        <v>1</v>
      </c>
      <c r="B1367" s="5" t="s">
        <v>36</v>
      </c>
      <c r="C1367" s="17" t="s">
        <v>37</v>
      </c>
      <c r="D1367" s="18">
        <v>0</v>
      </c>
      <c r="E1367" s="18"/>
      <c r="F1367" s="18">
        <v>0</v>
      </c>
      <c r="G1367" s="18">
        <v>0</v>
      </c>
      <c r="I1367" s="18">
        <v>0</v>
      </c>
      <c r="J1367" s="18">
        <v>0</v>
      </c>
      <c r="K1367" s="46">
        <v>13177</v>
      </c>
      <c r="L1367" s="27">
        <v>-7239</v>
      </c>
      <c r="M1367" s="18">
        <v>0</v>
      </c>
      <c r="N1367" s="18">
        <v>0</v>
      </c>
      <c r="O1367" s="18">
        <v>0</v>
      </c>
      <c r="Q1367" s="18">
        <v>0</v>
      </c>
      <c r="R1367" s="18">
        <v>0</v>
      </c>
      <c r="S1367" s="18"/>
      <c r="T1367" s="18">
        <v>0</v>
      </c>
      <c r="V1367" s="18">
        <f>+V1349+D1367+F1367+G1367+I1367+J1367+K1367+L1367+M1367+N1367+O1367+Q1367+R1367+T1367</f>
        <v>7621221</v>
      </c>
      <c r="W1367" s="18">
        <f>+W1349</f>
        <v>6257387</v>
      </c>
      <c r="X1367" s="18">
        <f>+V1367-W1367</f>
        <v>1363834</v>
      </c>
    </row>
    <row r="1368" spans="1:24" ht="15">
      <c r="A1368" s="4">
        <f>+A1367+1</f>
        <v>2</v>
      </c>
      <c r="B1368" s="5" t="s">
        <v>36</v>
      </c>
      <c r="C1368" s="22" t="s">
        <v>38</v>
      </c>
      <c r="D1368" s="18">
        <v>0</v>
      </c>
      <c r="E1368" s="18"/>
      <c r="F1368" s="18">
        <v>0</v>
      </c>
      <c r="G1368" s="18">
        <v>0</v>
      </c>
      <c r="I1368" s="18">
        <v>0</v>
      </c>
      <c r="J1368" s="18">
        <v>0</v>
      </c>
      <c r="K1368" s="46">
        <v>13181</v>
      </c>
      <c r="L1368" s="27">
        <v>-7239</v>
      </c>
      <c r="M1368" s="18">
        <v>0</v>
      </c>
      <c r="N1368" s="18">
        <v>0</v>
      </c>
      <c r="O1368" s="18">
        <v>0</v>
      </c>
      <c r="Q1368" s="18">
        <v>0</v>
      </c>
      <c r="R1368" s="18">
        <v>0</v>
      </c>
      <c r="S1368" s="18"/>
      <c r="T1368" s="18">
        <v>0</v>
      </c>
      <c r="V1368" s="18">
        <f>+V1350+D1368+F1368+G1368+I1368+J1368+K1368+L1368+M1368+N1368+O1368+Q1368+R1368+T1368</f>
        <v>7620018.51</v>
      </c>
      <c r="W1368" s="18">
        <f>+W1350</f>
        <v>6164678</v>
      </c>
      <c r="X1368" s="18">
        <f>+V1368-W1368</f>
        <v>1455340.5099999998</v>
      </c>
    </row>
    <row r="1369" spans="1:24" ht="15">
      <c r="A1369" s="4">
        <f>+A1368+1</f>
        <v>3</v>
      </c>
      <c r="B1369" s="24" t="s">
        <v>46</v>
      </c>
      <c r="C1369" s="40" t="s">
        <v>78</v>
      </c>
      <c r="D1369" s="18">
        <f>+D1367-D1368</f>
        <v>0</v>
      </c>
      <c r="E1369" s="18"/>
      <c r="F1369" s="18">
        <f>+F1367-F1368</f>
        <v>0</v>
      </c>
      <c r="G1369" s="18">
        <f>+G1367-G1368</f>
        <v>0</v>
      </c>
      <c r="I1369" s="18">
        <f aca="true" t="shared" si="169" ref="I1369:O1369">+I1367-I1368</f>
        <v>0</v>
      </c>
      <c r="J1369" s="18">
        <f t="shared" si="169"/>
        <v>0</v>
      </c>
      <c r="K1369" s="18">
        <f t="shared" si="169"/>
        <v>-4</v>
      </c>
      <c r="L1369" s="18">
        <f t="shared" si="169"/>
        <v>0</v>
      </c>
      <c r="M1369" s="18">
        <f t="shared" si="169"/>
        <v>0</v>
      </c>
      <c r="N1369" s="18">
        <f t="shared" si="169"/>
        <v>0</v>
      </c>
      <c r="O1369" s="18">
        <f t="shared" si="169"/>
        <v>0</v>
      </c>
      <c r="Q1369" s="18">
        <f>+Q1367-Q1368</f>
        <v>0</v>
      </c>
      <c r="R1369" s="18">
        <f>+R1367-R1368</f>
        <v>0</v>
      </c>
      <c r="S1369" s="18"/>
      <c r="T1369" s="18">
        <f>+T1367-T1368</f>
        <v>0</v>
      </c>
      <c r="V1369" s="27">
        <f>+V1367-V1368</f>
        <v>1202.4900000002235</v>
      </c>
      <c r="W1369" s="27">
        <f>+W1367-W1368</f>
        <v>92709</v>
      </c>
      <c r="X1369" s="18">
        <f>+X1367-X1368</f>
        <v>-91506.50999999978</v>
      </c>
    </row>
    <row r="1370" spans="1:24" ht="28.5">
      <c r="A1370" s="4">
        <f>+A1369+1</f>
        <v>4</v>
      </c>
      <c r="B1370" s="88" t="s">
        <v>182</v>
      </c>
      <c r="C1370" s="11"/>
      <c r="D1370" s="18">
        <v>0</v>
      </c>
      <c r="E1370" s="18"/>
      <c r="F1370" s="18">
        <v>0</v>
      </c>
      <c r="G1370" s="18">
        <v>0</v>
      </c>
      <c r="I1370" s="18">
        <v>0</v>
      </c>
      <c r="J1370" s="27">
        <v>0</v>
      </c>
      <c r="K1370" s="18">
        <v>0</v>
      </c>
      <c r="L1370" s="18">
        <v>0</v>
      </c>
      <c r="M1370" s="18">
        <v>0</v>
      </c>
      <c r="N1370" s="18">
        <v>0</v>
      </c>
      <c r="O1370" s="18">
        <v>0</v>
      </c>
      <c r="Q1370" s="18">
        <v>0</v>
      </c>
      <c r="R1370" s="18">
        <v>0</v>
      </c>
      <c r="S1370" s="18"/>
      <c r="T1370" s="18">
        <v>0</v>
      </c>
      <c r="V1370" s="18">
        <f>+V1352+D1370+F1370+G1370+I1370+J1370+K1370+L1370+M1370+N1370+O1370+Q1370+R1370+T1370</f>
        <v>0</v>
      </c>
      <c r="W1370" s="18">
        <f>+W1352</f>
        <v>0</v>
      </c>
      <c r="X1370" s="18">
        <f>+V1370-W1370</f>
        <v>0</v>
      </c>
    </row>
    <row r="1371" spans="1:24" ht="24.75">
      <c r="A1371" s="4">
        <f>+A1370+1</f>
        <v>5</v>
      </c>
      <c r="B1371" s="89" t="s">
        <v>39</v>
      </c>
      <c r="C1371" s="40"/>
      <c r="D1371" s="27">
        <v>6237</v>
      </c>
      <c r="E1371" s="18"/>
      <c r="F1371" s="27">
        <v>35613</v>
      </c>
      <c r="G1371" s="27">
        <v>1852</v>
      </c>
      <c r="I1371" s="27">
        <v>0</v>
      </c>
      <c r="J1371" s="27">
        <v>0</v>
      </c>
      <c r="K1371" s="27">
        <v>-174740</v>
      </c>
      <c r="L1371" s="27">
        <v>0</v>
      </c>
      <c r="M1371" s="27">
        <v>-9626</v>
      </c>
      <c r="N1371" s="27">
        <v>0</v>
      </c>
      <c r="O1371" s="27">
        <v>-24220</v>
      </c>
      <c r="Q1371" s="27">
        <v>0</v>
      </c>
      <c r="R1371" s="27">
        <v>-5174</v>
      </c>
      <c r="S1371" s="27"/>
      <c r="T1371" s="27">
        <v>-24757</v>
      </c>
      <c r="V1371" s="18">
        <f>+V1353+D1371+F1371+G1371+I1371+J1371+K1371+L1371+M1371+N1371+O1371+Q1371+R1371+T1371</f>
        <v>-329718</v>
      </c>
      <c r="W1371" s="18">
        <f>+W1353</f>
        <v>0</v>
      </c>
      <c r="X1371" s="18">
        <f>+V1371-W1371</f>
        <v>-329718</v>
      </c>
    </row>
    <row r="1372" spans="1:24" ht="15">
      <c r="A1372" s="6" t="s">
        <v>41</v>
      </c>
      <c r="B1372" s="41"/>
      <c r="C1372" s="40"/>
      <c r="D1372" s="18"/>
      <c r="E1372" s="18"/>
      <c r="F1372" s="18"/>
      <c r="G1372" s="18"/>
      <c r="I1372" s="18"/>
      <c r="J1372" s="18"/>
      <c r="K1372" s="27"/>
      <c r="L1372" s="18"/>
      <c r="M1372" s="18"/>
      <c r="N1372" s="18"/>
      <c r="O1372" s="18"/>
      <c r="Q1372" s="18"/>
      <c r="R1372" s="18"/>
      <c r="S1372" s="18"/>
      <c r="T1372" s="18"/>
      <c r="V1372" s="18"/>
      <c r="W1372" s="18"/>
      <c r="X1372" s="18"/>
    </row>
    <row r="1373" spans="1:24" ht="15">
      <c r="A1373" s="4">
        <f>+A1371+1</f>
        <v>6</v>
      </c>
      <c r="B1373" s="5" t="s">
        <v>42</v>
      </c>
      <c r="C1373" s="22" t="s">
        <v>38</v>
      </c>
      <c r="D1373" s="18">
        <v>0</v>
      </c>
      <c r="E1373" s="18"/>
      <c r="F1373" s="18">
        <v>0</v>
      </c>
      <c r="G1373" s="18">
        <v>0</v>
      </c>
      <c r="I1373" s="18">
        <v>0</v>
      </c>
      <c r="J1373" s="18">
        <v>0</v>
      </c>
      <c r="K1373" s="46">
        <v>6559</v>
      </c>
      <c r="L1373" s="27">
        <v>-7226</v>
      </c>
      <c r="M1373" s="18">
        <v>0</v>
      </c>
      <c r="N1373" s="18">
        <v>0</v>
      </c>
      <c r="O1373" s="18">
        <v>0</v>
      </c>
      <c r="P1373" s="18"/>
      <c r="Q1373" s="18">
        <v>0</v>
      </c>
      <c r="R1373" s="18">
        <v>0</v>
      </c>
      <c r="S1373" s="18"/>
      <c r="T1373" s="18">
        <v>0</v>
      </c>
      <c r="U1373" s="18"/>
      <c r="V1373" s="18">
        <f>+V1355+D1373+F1373+G1373+I1373+J1373+K1373+L1373+M1373+N1373+O1373+Q1373+R1373+T1373</f>
        <v>5570824</v>
      </c>
      <c r="W1373" s="18">
        <f>+W1355</f>
        <v>4871740</v>
      </c>
      <c r="X1373" s="18">
        <f>+V1373-W1373</f>
        <v>699084</v>
      </c>
    </row>
    <row r="1374" spans="1:24" ht="15">
      <c r="A1374" s="4">
        <f>+A1373+1</f>
        <v>7</v>
      </c>
      <c r="B1374" s="5" t="s">
        <v>43</v>
      </c>
      <c r="C1374" s="11"/>
      <c r="D1374" s="18">
        <v>0</v>
      </c>
      <c r="E1374" s="18"/>
      <c r="F1374" s="18">
        <v>0</v>
      </c>
      <c r="G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8">
        <v>0</v>
      </c>
      <c r="P1374" s="18"/>
      <c r="Q1374" s="18">
        <v>0</v>
      </c>
      <c r="R1374" s="18">
        <v>0</v>
      </c>
      <c r="S1374" s="18"/>
      <c r="T1374" s="18">
        <v>0</v>
      </c>
      <c r="U1374" s="18"/>
      <c r="V1374" s="18">
        <f>+V1356+D1374+F1374+G1374+I1374+J1374+K1374+L1374+M1374+N1374+O1374+Q1374+R1374+T1374</f>
        <v>12780</v>
      </c>
      <c r="W1374" s="18">
        <f>+W1356</f>
        <v>10880</v>
      </c>
      <c r="X1374" s="18">
        <f>+V1374-W1374</f>
        <v>1900</v>
      </c>
    </row>
    <row r="1375" spans="1:24" ht="26.25">
      <c r="A1375" s="4">
        <f>+A1374+1</f>
        <v>8</v>
      </c>
      <c r="B1375" s="24" t="s">
        <v>79</v>
      </c>
      <c r="C1375" s="11"/>
      <c r="D1375" s="18">
        <f>+D1373-D1374</f>
        <v>0</v>
      </c>
      <c r="E1375" s="18"/>
      <c r="F1375" s="18">
        <f>+F1373-F1374</f>
        <v>0</v>
      </c>
      <c r="G1375" s="18">
        <f>+G1373-G1374</f>
        <v>0</v>
      </c>
      <c r="I1375" s="18">
        <f aca="true" t="shared" si="170" ref="I1375:O1375">+I1373-I1374</f>
        <v>0</v>
      </c>
      <c r="J1375" s="18">
        <f t="shared" si="170"/>
        <v>0</v>
      </c>
      <c r="K1375" s="18">
        <f t="shared" si="170"/>
        <v>6559</v>
      </c>
      <c r="L1375" s="18">
        <f t="shared" si="170"/>
        <v>-7226</v>
      </c>
      <c r="M1375" s="18">
        <f t="shared" si="170"/>
        <v>0</v>
      </c>
      <c r="N1375" s="18">
        <f t="shared" si="170"/>
        <v>0</v>
      </c>
      <c r="O1375" s="18">
        <f t="shared" si="170"/>
        <v>0</v>
      </c>
      <c r="P1375" s="18"/>
      <c r="Q1375" s="18">
        <f>+Q1373-Q1374</f>
        <v>0</v>
      </c>
      <c r="R1375" s="18">
        <f>+R1373-R1374</f>
        <v>0</v>
      </c>
      <c r="S1375" s="18"/>
      <c r="T1375" s="18">
        <f>+T1373-T1374</f>
        <v>0</v>
      </c>
      <c r="U1375" s="18"/>
      <c r="V1375" s="27">
        <f>+V1373-V1374</f>
        <v>5558044</v>
      </c>
      <c r="W1375" s="27">
        <f>+W1373-W1374</f>
        <v>4860860</v>
      </c>
      <c r="X1375" s="18">
        <f>+X1373-X1374</f>
        <v>697184</v>
      </c>
    </row>
    <row r="1376" spans="1:24" ht="28.5">
      <c r="A1376" s="4">
        <f>+A1375+1</f>
        <v>9</v>
      </c>
      <c r="B1376" s="88" t="s">
        <v>181</v>
      </c>
      <c r="C1376" s="11"/>
      <c r="D1376" s="18">
        <v>0</v>
      </c>
      <c r="E1376" s="18"/>
      <c r="F1376" s="18">
        <v>0</v>
      </c>
      <c r="G1376" s="18">
        <v>0</v>
      </c>
      <c r="I1376" s="18">
        <v>0</v>
      </c>
      <c r="J1376" s="18">
        <v>0</v>
      </c>
      <c r="K1376" s="18">
        <v>0</v>
      </c>
      <c r="L1376" s="18">
        <v>0</v>
      </c>
      <c r="M1376" s="18">
        <v>0</v>
      </c>
      <c r="N1376" s="18">
        <v>0</v>
      </c>
      <c r="O1376" s="18">
        <v>0</v>
      </c>
      <c r="P1376" s="18"/>
      <c r="Q1376" s="18">
        <v>0</v>
      </c>
      <c r="R1376" s="18">
        <v>0</v>
      </c>
      <c r="S1376" s="18"/>
      <c r="T1376" s="18">
        <v>0</v>
      </c>
      <c r="U1376" s="18"/>
      <c r="V1376" s="18">
        <f>+V1358+D1376+F1376+G1376+I1376+J1376+K1376+L1376+M1376+N1376+O1376+Q1376+R1376+T1376</f>
        <v>0</v>
      </c>
      <c r="W1376" s="18">
        <f>+W1358</f>
        <v>0</v>
      </c>
      <c r="X1376" s="18">
        <f>+V1376-W1376</f>
        <v>0</v>
      </c>
    </row>
    <row r="1377" spans="1:24" ht="15">
      <c r="A1377" s="4">
        <f>+A1376+1</f>
        <v>10</v>
      </c>
      <c r="B1377" s="24" t="s">
        <v>46</v>
      </c>
      <c r="C1377" s="11" t="s">
        <v>47</v>
      </c>
      <c r="D1377" s="18">
        <f>+D1369+D1370+D1375+D1376+D1371</f>
        <v>6237</v>
      </c>
      <c r="E1377" s="18"/>
      <c r="F1377" s="18">
        <f>+F1369+F1370+F1375+F1376+F1371</f>
        <v>35613</v>
      </c>
      <c r="G1377" s="18">
        <f>+G1369+G1370+G1375+G1376+G1371</f>
        <v>1852</v>
      </c>
      <c r="I1377" s="18">
        <f aca="true" t="shared" si="171" ref="I1377:O1377">+I1369+I1370+I1375+I1376+I1371</f>
        <v>0</v>
      </c>
      <c r="J1377" s="18">
        <f t="shared" si="171"/>
        <v>0</v>
      </c>
      <c r="K1377" s="18">
        <f t="shared" si="171"/>
        <v>-168185</v>
      </c>
      <c r="L1377" s="18">
        <f t="shared" si="171"/>
        <v>-7226</v>
      </c>
      <c r="M1377" s="18">
        <f t="shared" si="171"/>
        <v>-9626</v>
      </c>
      <c r="N1377" s="18">
        <f t="shared" si="171"/>
        <v>0</v>
      </c>
      <c r="O1377" s="18">
        <f t="shared" si="171"/>
        <v>-24220</v>
      </c>
      <c r="P1377" s="42"/>
      <c r="Q1377" s="18">
        <f>+Q1369+Q1370+Q1375+Q1376+Q1371</f>
        <v>0</v>
      </c>
      <c r="R1377" s="18">
        <f>+R1369+R1370+R1375+R1376+R1371</f>
        <v>-5174</v>
      </c>
      <c r="S1377" s="18"/>
      <c r="T1377" s="18">
        <f>+T1369+T1370+T1375+T1376+T1371</f>
        <v>-24757</v>
      </c>
      <c r="U1377" s="42"/>
      <c r="V1377" s="18">
        <f>+V1369+V1370+V1375+V1376+V1371</f>
        <v>5229528.49</v>
      </c>
      <c r="W1377" s="18">
        <f>+W1369+W1370+W1375+W1376+W1371</f>
        <v>4953569</v>
      </c>
      <c r="X1377" s="18">
        <f>+X1369+X1370+X1375+X1376+X1371</f>
        <v>275959.4900000002</v>
      </c>
    </row>
    <row r="1378" spans="1:24" ht="15">
      <c r="A1378" s="4"/>
      <c r="B1378" s="24"/>
      <c r="C1378" s="11"/>
      <c r="D1378" s="18"/>
      <c r="E1378" s="18"/>
      <c r="F1378" s="18"/>
      <c r="G1378" s="18"/>
      <c r="I1378" s="18"/>
      <c r="J1378" s="18"/>
      <c r="K1378" s="27"/>
      <c r="L1378" s="18"/>
      <c r="M1378" s="18"/>
      <c r="N1378" s="18"/>
      <c r="O1378" s="18"/>
      <c r="P1378" s="42"/>
      <c r="Q1378" s="18"/>
      <c r="R1378" s="18"/>
      <c r="S1378" s="18"/>
      <c r="T1378" s="18"/>
      <c r="U1378" s="42"/>
      <c r="V1378" s="18"/>
      <c r="W1378" s="18"/>
      <c r="X1378" s="18"/>
    </row>
    <row r="1379" spans="1:24" ht="15">
      <c r="A1379" s="4"/>
      <c r="B1379" s="24"/>
      <c r="C1379" s="11"/>
      <c r="D1379" s="18"/>
      <c r="E1379" s="18"/>
      <c r="F1379" s="18"/>
      <c r="G1379" s="18"/>
      <c r="I1379" s="18"/>
      <c r="J1379" s="18"/>
      <c r="K1379" s="27"/>
      <c r="L1379" s="18"/>
      <c r="M1379" s="18"/>
      <c r="N1379" s="18"/>
      <c r="O1379" s="18"/>
      <c r="P1379" s="42"/>
      <c r="Q1379" s="18"/>
      <c r="R1379" s="18"/>
      <c r="S1379" s="18"/>
      <c r="T1379" s="18"/>
      <c r="U1379" s="42"/>
      <c r="V1379" s="18"/>
      <c r="W1379" s="18"/>
      <c r="X1379" s="18"/>
    </row>
    <row r="1380" spans="1:24" ht="15">
      <c r="A1380" s="4"/>
      <c r="B1380" s="24"/>
      <c r="C1380" s="11"/>
      <c r="D1380" s="18"/>
      <c r="E1380" s="18"/>
      <c r="F1380" s="18"/>
      <c r="G1380" s="18"/>
      <c r="I1380" s="18"/>
      <c r="J1380" s="18"/>
      <c r="K1380" s="18"/>
      <c r="L1380" s="18"/>
      <c r="M1380" s="18"/>
      <c r="N1380" s="18"/>
      <c r="O1380" s="18"/>
      <c r="P1380" s="42"/>
      <c r="Q1380" s="18"/>
      <c r="R1380" s="18"/>
      <c r="S1380" s="18"/>
      <c r="T1380" s="18"/>
      <c r="U1380" s="42"/>
      <c r="V1380" s="18"/>
      <c r="W1380" s="18"/>
      <c r="X1380" s="18"/>
    </row>
    <row r="1381" spans="1:24" ht="15">
      <c r="A1381" s="4"/>
      <c r="B1381" s="24"/>
      <c r="C1381" s="11"/>
      <c r="D1381" s="18"/>
      <c r="E1381" s="18"/>
      <c r="F1381" s="18"/>
      <c r="G1381" s="18"/>
      <c r="I1381" s="18"/>
      <c r="J1381" s="18"/>
      <c r="K1381" s="18"/>
      <c r="L1381" s="18"/>
      <c r="M1381" s="18"/>
      <c r="N1381" s="18"/>
      <c r="O1381" s="18"/>
      <c r="P1381" s="42"/>
      <c r="Q1381" s="18"/>
      <c r="R1381" s="18"/>
      <c r="S1381" s="18"/>
      <c r="T1381" s="18"/>
      <c r="U1381" s="42"/>
      <c r="V1381" s="18"/>
      <c r="W1381" s="18"/>
      <c r="X1381" s="18"/>
    </row>
    <row r="1382" spans="1:24" ht="15">
      <c r="A1382" s="4"/>
      <c r="B1382" s="24"/>
      <c r="C1382" s="11"/>
      <c r="D1382" s="18"/>
      <c r="E1382" s="18"/>
      <c r="F1382" s="18"/>
      <c r="G1382" s="18"/>
      <c r="I1382" s="18"/>
      <c r="J1382" s="18"/>
      <c r="K1382" s="18"/>
      <c r="L1382" s="18"/>
      <c r="M1382" s="18"/>
      <c r="N1382" s="18"/>
      <c r="O1382" s="18"/>
      <c r="P1382" s="42"/>
      <c r="Q1382" s="18"/>
      <c r="R1382" s="18"/>
      <c r="S1382" s="18"/>
      <c r="T1382" s="18"/>
      <c r="U1382" s="42"/>
      <c r="V1382" s="18"/>
      <c r="W1382" s="18"/>
      <c r="X1382" s="18"/>
    </row>
    <row r="1383" spans="1:24" ht="15">
      <c r="A1383" s="4"/>
      <c r="B1383" s="24"/>
      <c r="C1383" s="11"/>
      <c r="D1383" s="18"/>
      <c r="E1383" s="18"/>
      <c r="F1383" s="18"/>
      <c r="G1383" s="18"/>
      <c r="I1383" s="18"/>
      <c r="J1383" s="18"/>
      <c r="K1383" s="18"/>
      <c r="L1383" s="18"/>
      <c r="M1383" s="18"/>
      <c r="N1383" s="18"/>
      <c r="O1383" s="18"/>
      <c r="P1383" s="42"/>
      <c r="Q1383" s="18"/>
      <c r="R1383" s="18"/>
      <c r="S1383" s="18"/>
      <c r="T1383" s="18"/>
      <c r="U1383" s="42"/>
      <c r="V1383" s="18"/>
      <c r="W1383" s="18"/>
      <c r="X1383" s="18"/>
    </row>
    <row r="1384" spans="1:24" ht="15">
      <c r="A1384" s="4"/>
      <c r="B1384" s="24"/>
      <c r="C1384" s="11"/>
      <c r="D1384" s="18"/>
      <c r="E1384" s="18"/>
      <c r="F1384" s="18"/>
      <c r="G1384" s="18"/>
      <c r="I1384" s="18"/>
      <c r="J1384" s="18"/>
      <c r="K1384" s="18"/>
      <c r="L1384" s="18"/>
      <c r="M1384" s="18"/>
      <c r="N1384" s="18"/>
      <c r="O1384" s="18"/>
      <c r="P1384" s="42"/>
      <c r="Q1384" s="18"/>
      <c r="R1384" s="18"/>
      <c r="S1384" s="18"/>
      <c r="T1384" s="18"/>
      <c r="U1384" s="42"/>
      <c r="V1384" s="18"/>
      <c r="W1384" s="18"/>
      <c r="X1384" s="18"/>
    </row>
    <row r="1385" spans="1:24" ht="15">
      <c r="A1385" s="4"/>
      <c r="B1385" s="24"/>
      <c r="C1385" s="11"/>
      <c r="D1385" s="10" t="s">
        <v>4</v>
      </c>
      <c r="E1385" s="10"/>
      <c r="F1385" s="10" t="s">
        <v>5</v>
      </c>
      <c r="G1385" s="10" t="s">
        <v>6</v>
      </c>
      <c r="H1385" s="10"/>
      <c r="I1385" s="10" t="s">
        <v>7</v>
      </c>
      <c r="J1385" s="10" t="s">
        <v>8</v>
      </c>
      <c r="K1385" s="10" t="s">
        <v>9</v>
      </c>
      <c r="L1385" s="10" t="s">
        <v>10</v>
      </c>
      <c r="M1385" s="10" t="s">
        <v>11</v>
      </c>
      <c r="N1385" s="10" t="s">
        <v>12</v>
      </c>
      <c r="O1385" s="10" t="s">
        <v>13</v>
      </c>
      <c r="P1385" s="10"/>
      <c r="Q1385" s="10" t="s">
        <v>14</v>
      </c>
      <c r="R1385" s="10" t="s">
        <v>15</v>
      </c>
      <c r="S1385" s="10"/>
      <c r="T1385" s="10" t="s">
        <v>16</v>
      </c>
      <c r="U1385" s="10"/>
      <c r="V1385" s="10" t="s">
        <v>17</v>
      </c>
      <c r="W1385" s="10" t="s">
        <v>18</v>
      </c>
      <c r="X1385" s="10" t="s">
        <v>19</v>
      </c>
    </row>
    <row r="1386" spans="1:23" ht="15">
      <c r="A1386" s="4"/>
      <c r="B1386" s="24"/>
      <c r="C1386" s="11"/>
      <c r="D1386" s="10" t="s">
        <v>20</v>
      </c>
      <c r="E1386" s="10"/>
      <c r="F1386" s="14" t="s">
        <v>21</v>
      </c>
      <c r="G1386" s="10"/>
      <c r="I1386" s="39" t="s">
        <v>110</v>
      </c>
      <c r="J1386" s="47" t="s">
        <v>111</v>
      </c>
      <c r="K1386" s="39"/>
      <c r="L1386" s="10" t="s">
        <v>20</v>
      </c>
      <c r="M1386" s="10" t="s">
        <v>20</v>
      </c>
      <c r="N1386" s="10" t="s">
        <v>20</v>
      </c>
      <c r="O1386" s="10" t="s">
        <v>20</v>
      </c>
      <c r="P1386" s="42"/>
      <c r="Q1386" s="10" t="s">
        <v>20</v>
      </c>
      <c r="R1386" s="10" t="s">
        <v>20</v>
      </c>
      <c r="S1386" s="48"/>
      <c r="T1386" s="10" t="s">
        <v>20</v>
      </c>
      <c r="U1386" s="42"/>
      <c r="W1386" s="39" t="s">
        <v>112</v>
      </c>
    </row>
    <row r="1387" spans="1:24" ht="15">
      <c r="A1387" s="4"/>
      <c r="B1387" s="87" t="s">
        <v>183</v>
      </c>
      <c r="C1387" s="11"/>
      <c r="D1387" s="8" t="s">
        <v>113</v>
      </c>
      <c r="E1387" s="6"/>
      <c r="F1387" s="6" t="s">
        <v>114</v>
      </c>
      <c r="G1387" s="49" t="s">
        <v>22</v>
      </c>
      <c r="I1387" s="8" t="s">
        <v>113</v>
      </c>
      <c r="J1387" s="6" t="s">
        <v>114</v>
      </c>
      <c r="K1387" s="49" t="s">
        <v>24</v>
      </c>
      <c r="L1387" s="13" t="s">
        <v>115</v>
      </c>
      <c r="M1387" s="13" t="s">
        <v>116</v>
      </c>
      <c r="N1387" s="13" t="s">
        <v>117</v>
      </c>
      <c r="O1387" s="13" t="s">
        <v>118</v>
      </c>
      <c r="P1387" s="42"/>
      <c r="Q1387" s="13" t="s">
        <v>119</v>
      </c>
      <c r="R1387" s="13" t="s">
        <v>120</v>
      </c>
      <c r="T1387" s="13" t="s">
        <v>121</v>
      </c>
      <c r="U1387" s="42"/>
      <c r="V1387" s="10" t="s">
        <v>20</v>
      </c>
      <c r="W1387" s="10" t="s">
        <v>21</v>
      </c>
      <c r="X1387" s="10" t="s">
        <v>22</v>
      </c>
    </row>
    <row r="1388" spans="1:24" ht="15">
      <c r="A1388" s="4"/>
      <c r="B1388" s="24"/>
      <c r="C1388" s="11"/>
      <c r="D1388" s="18"/>
      <c r="E1388" s="18"/>
      <c r="F1388" s="18"/>
      <c r="G1388" s="18"/>
      <c r="I1388" s="72" t="s">
        <v>0</v>
      </c>
      <c r="K1388" s="42"/>
      <c r="L1388" s="42"/>
      <c r="N1388" s="42"/>
      <c r="O1388" s="18"/>
      <c r="P1388" s="42"/>
      <c r="U1388" s="42"/>
      <c r="V1388" s="18"/>
      <c r="W1388" s="39" t="s">
        <v>122</v>
      </c>
      <c r="X1388" s="18"/>
    </row>
    <row r="1389" spans="1:24" ht="15">
      <c r="A1389" s="4">
        <f>+A1357+1</f>
        <v>19</v>
      </c>
      <c r="B1389" s="5" t="s">
        <v>36</v>
      </c>
      <c r="C1389" s="17" t="s">
        <v>37</v>
      </c>
      <c r="D1389" s="27">
        <f>397165+752683+1</f>
        <v>1149849</v>
      </c>
      <c r="E1389" s="18" t="s">
        <v>0</v>
      </c>
      <c r="F1389" s="27">
        <f>359862+18</f>
        <v>359880</v>
      </c>
      <c r="G1389" s="18">
        <f>D1389-F1389</f>
        <v>789969</v>
      </c>
      <c r="I1389" s="27">
        <v>-714</v>
      </c>
      <c r="J1389" s="27">
        <v>242</v>
      </c>
      <c r="K1389" s="36">
        <f>+I1389-J1389</f>
        <v>-956</v>
      </c>
      <c r="L1389" s="18">
        <v>0</v>
      </c>
      <c r="M1389" s="27">
        <v>-251461</v>
      </c>
      <c r="N1389" s="27">
        <v>37072</v>
      </c>
      <c r="O1389" s="18">
        <v>0</v>
      </c>
      <c r="P1389" s="42"/>
      <c r="Q1389" s="31">
        <v>0</v>
      </c>
      <c r="R1389" s="18">
        <v>0</v>
      </c>
      <c r="S1389" s="18"/>
      <c r="T1389" s="18">
        <v>0</v>
      </c>
      <c r="U1389" s="42"/>
      <c r="V1389" s="31">
        <f>+D1389+I1389+L1389+M1389+N1389+O1389+Q1389+R1389+T1389</f>
        <v>934746</v>
      </c>
      <c r="W1389" s="18">
        <f>+F1389+J1389</f>
        <v>360122</v>
      </c>
      <c r="X1389" s="18">
        <f>+V1389-W1389</f>
        <v>574624</v>
      </c>
    </row>
    <row r="1390" spans="1:24" ht="15">
      <c r="A1390" s="4">
        <f>+A1389+1</f>
        <v>20</v>
      </c>
      <c r="B1390" s="5" t="s">
        <v>36</v>
      </c>
      <c r="C1390" s="22" t="s">
        <v>38</v>
      </c>
      <c r="D1390" s="27">
        <v>1154081</v>
      </c>
      <c r="E1390" s="18" t="s">
        <v>0</v>
      </c>
      <c r="F1390" s="27">
        <f>358931.18</f>
        <v>358931.18</v>
      </c>
      <c r="G1390" s="18">
        <f>D1390-F1390</f>
        <v>795149.8200000001</v>
      </c>
      <c r="I1390" s="27">
        <v>-710</v>
      </c>
      <c r="J1390" s="31">
        <v>242</v>
      </c>
      <c r="K1390" s="36">
        <f>+I1390-J1390</f>
        <v>-952</v>
      </c>
      <c r="L1390" s="18">
        <v>0</v>
      </c>
      <c r="M1390" s="27">
        <v>-251463</v>
      </c>
      <c r="N1390" s="27">
        <v>37072</v>
      </c>
      <c r="O1390" s="18">
        <v>0</v>
      </c>
      <c r="P1390" s="42"/>
      <c r="Q1390" s="31">
        <v>0</v>
      </c>
      <c r="R1390" s="18">
        <v>0</v>
      </c>
      <c r="S1390" s="18"/>
      <c r="T1390" s="18">
        <v>0</v>
      </c>
      <c r="U1390" s="42"/>
      <c r="V1390" s="31">
        <f>+D1390+I1390+L1390+M1390+N1390+O1390+Q1390+R1390+T1390</f>
        <v>938980</v>
      </c>
      <c r="W1390" s="18">
        <f>+F1390+J1390</f>
        <v>359173.18</v>
      </c>
      <c r="X1390" s="18">
        <f>+V1390-W1390</f>
        <v>579806.8200000001</v>
      </c>
    </row>
    <row r="1391" spans="1:24" ht="15">
      <c r="A1391" s="4">
        <f>+A1390+1</f>
        <v>21</v>
      </c>
      <c r="B1391" s="24" t="s">
        <v>46</v>
      </c>
      <c r="C1391" s="40" t="s">
        <v>78</v>
      </c>
      <c r="D1391" s="18">
        <f>+D1389-D1390</f>
        <v>-4232</v>
      </c>
      <c r="E1391" s="18"/>
      <c r="F1391" s="18">
        <f>+F1389-F1390</f>
        <v>948.820000000007</v>
      </c>
      <c r="G1391" s="18">
        <f>+G1389-G1390</f>
        <v>-5180.820000000065</v>
      </c>
      <c r="I1391" s="18">
        <f>+I1389-I1390</f>
        <v>-4</v>
      </c>
      <c r="J1391" s="18">
        <f>+J1389-J1390</f>
        <v>0</v>
      </c>
      <c r="K1391" s="18">
        <f>K1389-K1390</f>
        <v>-4</v>
      </c>
      <c r="L1391" s="18">
        <f>+L1389-L1390</f>
        <v>0</v>
      </c>
      <c r="M1391" s="18">
        <f>+M1389-M1390</f>
        <v>2</v>
      </c>
      <c r="N1391" s="18">
        <f>+N1389-N1390</f>
        <v>0</v>
      </c>
      <c r="O1391" s="18">
        <f>+O1389-O1390</f>
        <v>0</v>
      </c>
      <c r="P1391" s="42"/>
      <c r="Q1391" s="18">
        <f>+Q1389-Q1390</f>
        <v>0</v>
      </c>
      <c r="R1391" s="18">
        <f>+R1389-R1390</f>
        <v>0</v>
      </c>
      <c r="S1391" s="18"/>
      <c r="T1391" s="18">
        <f>+T1389-T1390</f>
        <v>0</v>
      </c>
      <c r="U1391" s="42"/>
      <c r="V1391" s="31">
        <f>+V1389-V1390</f>
        <v>-4234</v>
      </c>
      <c r="W1391" s="31">
        <f>+W1389-W1390</f>
        <v>948.820000000007</v>
      </c>
      <c r="X1391" s="18">
        <f>+X1389-X1390</f>
        <v>-5182.820000000065</v>
      </c>
    </row>
    <row r="1392" spans="1:24" ht="28.5">
      <c r="A1392" s="4">
        <f>+A1391+1</f>
        <v>22</v>
      </c>
      <c r="B1392" s="88" t="s">
        <v>182</v>
      </c>
      <c r="C1392" s="11"/>
      <c r="D1392" s="18">
        <v>0</v>
      </c>
      <c r="E1392" s="18"/>
      <c r="F1392" s="18">
        <v>0</v>
      </c>
      <c r="G1392" s="18">
        <f>+D1392-F1392</f>
        <v>0</v>
      </c>
      <c r="I1392" s="18">
        <v>0</v>
      </c>
      <c r="J1392" s="18">
        <v>0</v>
      </c>
      <c r="K1392" s="18">
        <f>+I1392-J1392</f>
        <v>0</v>
      </c>
      <c r="L1392" s="18">
        <v>0</v>
      </c>
      <c r="M1392" s="18">
        <v>0</v>
      </c>
      <c r="N1392" s="18">
        <f>+L1392-M1392</f>
        <v>0</v>
      </c>
      <c r="O1392" s="18">
        <v>0</v>
      </c>
      <c r="P1392" s="42"/>
      <c r="Q1392" s="18">
        <v>0</v>
      </c>
      <c r="R1392" s="18">
        <v>0</v>
      </c>
      <c r="S1392" s="18"/>
      <c r="T1392" s="18">
        <v>0</v>
      </c>
      <c r="U1392" s="42"/>
      <c r="V1392" s="31">
        <f>+D1392+I1392+L1392+M1392+N1392+O1392+Q1392+R1392+T1392</f>
        <v>0</v>
      </c>
      <c r="W1392" s="18">
        <f>+F1392+J1392</f>
        <v>0</v>
      </c>
      <c r="X1392" s="18">
        <f>+V1392-W1392</f>
        <v>0</v>
      </c>
    </row>
    <row r="1393" spans="1:24" ht="24.75">
      <c r="A1393" s="4">
        <f>+A1392+1</f>
        <v>23</v>
      </c>
      <c r="B1393" s="89" t="s">
        <v>39</v>
      </c>
      <c r="C1393" s="40"/>
      <c r="D1393" s="27">
        <v>-23684</v>
      </c>
      <c r="E1393" s="18" t="s">
        <v>0</v>
      </c>
      <c r="F1393" s="27">
        <f>346793-155</f>
        <v>346638</v>
      </c>
      <c r="G1393" s="18">
        <f>D1393-F1393</f>
        <v>-370322</v>
      </c>
      <c r="I1393" s="27">
        <v>0</v>
      </c>
      <c r="J1393" s="27">
        <v>0</v>
      </c>
      <c r="K1393" s="18">
        <f>+I1393-J1393</f>
        <v>0</v>
      </c>
      <c r="L1393" s="18">
        <v>38672</v>
      </c>
      <c r="M1393" s="27">
        <f>6238-4370-129628+42542-98595+6425-7026-1</f>
        <v>-184415</v>
      </c>
      <c r="N1393" s="27">
        <v>0</v>
      </c>
      <c r="O1393" s="27">
        <v>9105</v>
      </c>
      <c r="P1393" s="42"/>
      <c r="Q1393" s="55">
        <v>0</v>
      </c>
      <c r="R1393" s="21">
        <v>0</v>
      </c>
      <c r="S1393" s="18"/>
      <c r="T1393" s="18">
        <v>0</v>
      </c>
      <c r="U1393" s="42"/>
      <c r="V1393" s="31">
        <f>+D1393+I1393+M1393+N1393+L1393+O1393+Q1393+R1393+T1393</f>
        <v>-160322</v>
      </c>
      <c r="W1393" s="18">
        <f>+F1393+J1393</f>
        <v>346638</v>
      </c>
      <c r="X1393" s="36">
        <f>+V1393-W1393</f>
        <v>-506960</v>
      </c>
    </row>
    <row r="1394" spans="1:24" ht="15">
      <c r="A1394" s="6" t="s">
        <v>41</v>
      </c>
      <c r="B1394" s="41"/>
      <c r="C1394" s="40"/>
      <c r="D1394" s="18"/>
      <c r="E1394" s="18"/>
      <c r="F1394" s="18" t="s">
        <v>0</v>
      </c>
      <c r="G1394" s="18"/>
      <c r="I1394" s="18"/>
      <c r="J1394" s="18"/>
      <c r="K1394" s="18"/>
      <c r="L1394" s="18"/>
      <c r="M1394" s="18"/>
      <c r="N1394" s="18"/>
      <c r="O1394" s="18"/>
      <c r="P1394" s="42"/>
      <c r="Q1394" s="18"/>
      <c r="R1394" s="18"/>
      <c r="S1394" s="18"/>
      <c r="T1394" s="18" t="s">
        <v>0</v>
      </c>
      <c r="U1394" s="42"/>
      <c r="V1394" s="30"/>
      <c r="W1394" s="30"/>
      <c r="X1394" s="36"/>
    </row>
    <row r="1395" spans="1:24" ht="15">
      <c r="A1395" s="4">
        <f>+A1393+1</f>
        <v>24</v>
      </c>
      <c r="B1395" s="5" t="s">
        <v>42</v>
      </c>
      <c r="C1395" s="22" t="s">
        <v>38</v>
      </c>
      <c r="D1395" s="27">
        <f>348523+744593</f>
        <v>1093116</v>
      </c>
      <c r="E1395" s="18" t="s">
        <v>0</v>
      </c>
      <c r="F1395" s="27">
        <f>359295+18</f>
        <v>359313</v>
      </c>
      <c r="G1395" s="18">
        <f>D1395-F1395</f>
        <v>733803</v>
      </c>
      <c r="I1395" s="18">
        <v>-693</v>
      </c>
      <c r="J1395" s="26">
        <v>155</v>
      </c>
      <c r="K1395" s="18">
        <f>+I1395-J1395</f>
        <v>-848</v>
      </c>
      <c r="L1395" s="27">
        <v>0</v>
      </c>
      <c r="M1395" s="27">
        <v>-202445</v>
      </c>
      <c r="N1395" s="27">
        <v>38235</v>
      </c>
      <c r="O1395" s="18">
        <v>0</v>
      </c>
      <c r="P1395" s="42"/>
      <c r="Q1395" s="31">
        <v>0</v>
      </c>
      <c r="R1395" s="18">
        <v>0</v>
      </c>
      <c r="S1395" s="18" t="s">
        <v>0</v>
      </c>
      <c r="T1395" s="18">
        <v>0</v>
      </c>
      <c r="U1395" s="42"/>
      <c r="V1395" s="31">
        <f>+D1395+I1395+L1395+M1395+N1395+O1395+Q1395+R1395+T1395</f>
        <v>928213</v>
      </c>
      <c r="W1395" s="18">
        <f>+F1395+J1395</f>
        <v>359468</v>
      </c>
      <c r="X1395" s="18">
        <f>+V1395-W1395</f>
        <v>568745</v>
      </c>
    </row>
    <row r="1396" spans="1:24" ht="15">
      <c r="A1396" s="4">
        <f>+A1395+1</f>
        <v>25</v>
      </c>
      <c r="B1396" s="5" t="s">
        <v>43</v>
      </c>
      <c r="C1396" s="11"/>
      <c r="D1396" s="18"/>
      <c r="E1396" s="18"/>
      <c r="F1396" s="18">
        <v>0</v>
      </c>
      <c r="G1396" s="18">
        <f>+D1396-F1396</f>
        <v>0</v>
      </c>
      <c r="I1396" s="18">
        <v>0</v>
      </c>
      <c r="J1396" s="18">
        <v>0</v>
      </c>
      <c r="K1396" s="18">
        <f>+I1396-J1396</f>
        <v>0</v>
      </c>
      <c r="L1396" s="18">
        <v>0</v>
      </c>
      <c r="M1396" s="18">
        <v>0</v>
      </c>
      <c r="N1396" s="18">
        <f>+L1396-M1396</f>
        <v>0</v>
      </c>
      <c r="O1396" s="18">
        <v>0</v>
      </c>
      <c r="P1396" s="42"/>
      <c r="Q1396" s="18">
        <v>0</v>
      </c>
      <c r="R1396" s="18">
        <v>0</v>
      </c>
      <c r="S1396" s="18"/>
      <c r="T1396" s="18">
        <v>0</v>
      </c>
      <c r="U1396" s="42"/>
      <c r="V1396" s="31">
        <f>+D1396+I1396+L1396+O1396+Q1396+R1396+T1396</f>
        <v>0</v>
      </c>
      <c r="W1396" s="18">
        <f>+F1396+J1396+M1396</f>
        <v>0</v>
      </c>
      <c r="X1396" s="18">
        <f>+V1396-W1396</f>
        <v>0</v>
      </c>
    </row>
    <row r="1397" spans="1:24" ht="26.25">
      <c r="A1397" s="4">
        <f>+A1396+1</f>
        <v>26</v>
      </c>
      <c r="B1397" s="24" t="s">
        <v>79</v>
      </c>
      <c r="C1397" s="11"/>
      <c r="D1397" s="18">
        <f>+D1395-D1396</f>
        <v>1093116</v>
      </c>
      <c r="E1397" s="18"/>
      <c r="F1397" s="18">
        <f>+F1395-F1396</f>
        <v>359313</v>
      </c>
      <c r="G1397" s="18">
        <f>+G1395-G1396</f>
        <v>733803</v>
      </c>
      <c r="I1397" s="18">
        <f aca="true" t="shared" si="172" ref="I1397:N1397">+I1395-I1396</f>
        <v>-693</v>
      </c>
      <c r="J1397" s="18">
        <f t="shared" si="172"/>
        <v>155</v>
      </c>
      <c r="K1397" s="18">
        <f t="shared" si="172"/>
        <v>-848</v>
      </c>
      <c r="L1397" s="18">
        <f t="shared" si="172"/>
        <v>0</v>
      </c>
      <c r="M1397" s="18">
        <f t="shared" si="172"/>
        <v>-202445</v>
      </c>
      <c r="N1397" s="18">
        <f t="shared" si="172"/>
        <v>38235</v>
      </c>
      <c r="O1397" s="18">
        <v>0</v>
      </c>
      <c r="P1397" s="42"/>
      <c r="Q1397" s="18">
        <f>+Q1395-Q1396</f>
        <v>0</v>
      </c>
      <c r="R1397" s="18">
        <f>+R1395-R1396</f>
        <v>0</v>
      </c>
      <c r="S1397" s="18"/>
      <c r="T1397" s="18">
        <f>+T1395-T1396</f>
        <v>0</v>
      </c>
      <c r="U1397" s="42"/>
      <c r="V1397" s="27">
        <f>+V1395-V1396</f>
        <v>928213</v>
      </c>
      <c r="W1397" s="27">
        <f>+W1395-W1396</f>
        <v>359468</v>
      </c>
      <c r="X1397" s="31">
        <f>+X1395-X1396</f>
        <v>568745</v>
      </c>
    </row>
    <row r="1398" spans="1:24" ht="28.5">
      <c r="A1398" s="4">
        <f>+A1397+1</f>
        <v>27</v>
      </c>
      <c r="B1398" s="88" t="s">
        <v>181</v>
      </c>
      <c r="C1398" s="11"/>
      <c r="D1398" s="18">
        <v>0</v>
      </c>
      <c r="E1398" s="18"/>
      <c r="F1398" s="18">
        <v>0</v>
      </c>
      <c r="G1398" s="18">
        <f>+D1398-F1398</f>
        <v>0</v>
      </c>
      <c r="I1398" s="18">
        <v>0</v>
      </c>
      <c r="J1398" s="18">
        <v>0</v>
      </c>
      <c r="K1398" s="18">
        <f>+I1398-J1398</f>
        <v>0</v>
      </c>
      <c r="L1398" s="18">
        <v>0</v>
      </c>
      <c r="M1398" s="18">
        <v>0</v>
      </c>
      <c r="N1398" s="18">
        <f>+L1398-M1398</f>
        <v>0</v>
      </c>
      <c r="O1398" s="18">
        <v>0</v>
      </c>
      <c r="P1398" s="42"/>
      <c r="Q1398" s="18">
        <v>0</v>
      </c>
      <c r="R1398" s="18">
        <v>0</v>
      </c>
      <c r="S1398" s="18"/>
      <c r="T1398" s="18">
        <v>0</v>
      </c>
      <c r="U1398" s="42"/>
      <c r="V1398" s="31">
        <f>+D1398+I1398+L1398+O1398+Q1398+R1398+T1398</f>
        <v>0</v>
      </c>
      <c r="W1398" s="18">
        <f>+F1398+J1398+M1398</f>
        <v>0</v>
      </c>
      <c r="X1398" s="18">
        <f>+V1398-W1398</f>
        <v>0</v>
      </c>
    </row>
    <row r="1399" spans="1:24" ht="15">
      <c r="A1399" s="4">
        <f>+A1398+1</f>
        <v>28</v>
      </c>
      <c r="B1399" s="24" t="s">
        <v>46</v>
      </c>
      <c r="C1399" s="11" t="s">
        <v>47</v>
      </c>
      <c r="D1399" s="51">
        <f>+D1391+D1392+D1397+D1398+D1393</f>
        <v>1065200</v>
      </c>
      <c r="E1399" s="18"/>
      <c r="F1399" s="52">
        <f>+F1391+F1392+F1397+F1398+F1393</f>
        <v>706899.8200000001</v>
      </c>
      <c r="G1399" s="18">
        <f>+G1391+G1392+G1397+G1398+G1393</f>
        <v>358300.17999999993</v>
      </c>
      <c r="I1399" s="51">
        <f aca="true" t="shared" si="173" ref="I1399:O1399">+I1391+I1392+I1397+I1398+I1393</f>
        <v>-697</v>
      </c>
      <c r="J1399" s="52">
        <f t="shared" si="173"/>
        <v>155</v>
      </c>
      <c r="K1399" s="18">
        <f t="shared" si="173"/>
        <v>-852</v>
      </c>
      <c r="L1399" s="18">
        <f t="shared" si="173"/>
        <v>38672</v>
      </c>
      <c r="M1399" s="18">
        <f t="shared" si="173"/>
        <v>-386858</v>
      </c>
      <c r="N1399" s="18">
        <f t="shared" si="173"/>
        <v>38235</v>
      </c>
      <c r="O1399" s="18">
        <f t="shared" si="173"/>
        <v>9105</v>
      </c>
      <c r="P1399" s="42"/>
      <c r="Q1399" s="18">
        <f>+Q1391+Q1392+Q1397+Q1398+Q1393</f>
        <v>0</v>
      </c>
      <c r="R1399" s="18">
        <f>+R1391+R1392+R1397+R1398+R1393</f>
        <v>0</v>
      </c>
      <c r="S1399" s="18"/>
      <c r="T1399" s="18">
        <f>+T1391+T1392+T1397+T1398+T1393</f>
        <v>0</v>
      </c>
      <c r="U1399" s="42"/>
      <c r="V1399" s="18">
        <f>+V1391+V1392+V1397+V1398+V1393</f>
        <v>763657</v>
      </c>
      <c r="W1399" s="18">
        <f>+W1391+W1392+W1397+W1398+W1393</f>
        <v>707054.8200000001</v>
      </c>
      <c r="X1399" s="18">
        <f>+X1391+X1392+X1397+X1398+X1393</f>
        <v>56602.179999999935</v>
      </c>
    </row>
    <row r="1400" spans="1:24" ht="15">
      <c r="A1400" s="4"/>
      <c r="B1400" s="24" t="s">
        <v>0</v>
      </c>
      <c r="C1400" s="11"/>
      <c r="D1400" s="27">
        <v>1064502.7</v>
      </c>
      <c r="E1400" s="18"/>
      <c r="F1400" s="18">
        <v>707055</v>
      </c>
      <c r="G1400" s="18"/>
      <c r="I1400" s="18"/>
      <c r="J1400" s="18"/>
      <c r="K1400" s="18"/>
      <c r="L1400" s="18"/>
      <c r="M1400" s="42"/>
      <c r="N1400" s="73" t="s">
        <v>0</v>
      </c>
      <c r="O1400" s="42"/>
      <c r="P1400" s="42"/>
      <c r="Q1400" s="42"/>
      <c r="U1400" s="42"/>
      <c r="V1400" s="18"/>
      <c r="W1400" s="18"/>
      <c r="X1400" s="18"/>
    </row>
    <row r="1401" spans="1:24" ht="15">
      <c r="A1401" s="4"/>
      <c r="B1401" s="92"/>
      <c r="C1401" s="11"/>
      <c r="D1401" s="6" t="s">
        <v>48</v>
      </c>
      <c r="E1401" s="6"/>
      <c r="F1401" s="10" t="s">
        <v>49</v>
      </c>
      <c r="G1401" s="10" t="s">
        <v>50</v>
      </c>
      <c r="I1401" s="10" t="s">
        <v>51</v>
      </c>
      <c r="J1401" s="10" t="s">
        <v>52</v>
      </c>
      <c r="K1401" s="10" t="s">
        <v>53</v>
      </c>
      <c r="L1401" s="10" t="s">
        <v>54</v>
      </c>
      <c r="M1401" s="10" t="s">
        <v>55</v>
      </c>
      <c r="N1401" s="10" t="s">
        <v>56</v>
      </c>
      <c r="O1401" s="10" t="s">
        <v>57</v>
      </c>
      <c r="P1401" s="18"/>
      <c r="Q1401" s="10" t="s">
        <v>58</v>
      </c>
      <c r="R1401" s="10" t="s">
        <v>59</v>
      </c>
      <c r="S1401" s="10"/>
      <c r="T1401" s="10" t="s">
        <v>60</v>
      </c>
      <c r="U1401" s="18"/>
      <c r="V1401" s="10" t="s">
        <v>61</v>
      </c>
      <c r="W1401" s="10" t="s">
        <v>62</v>
      </c>
      <c r="X1401" s="10" t="s">
        <v>63</v>
      </c>
    </row>
    <row r="1402" spans="1:24" ht="15">
      <c r="A1402" s="4"/>
      <c r="B1402" s="24"/>
      <c r="C1402" s="11"/>
      <c r="D1402" s="14" t="s">
        <v>20</v>
      </c>
      <c r="E1402" s="18"/>
      <c r="F1402" s="14" t="s">
        <v>20</v>
      </c>
      <c r="G1402" s="14" t="s">
        <v>20</v>
      </c>
      <c r="I1402" s="14" t="s">
        <v>20</v>
      </c>
      <c r="J1402" s="14" t="s">
        <v>21</v>
      </c>
      <c r="K1402" s="14" t="s">
        <v>21</v>
      </c>
      <c r="L1402" s="14" t="s">
        <v>21</v>
      </c>
      <c r="M1402" s="14" t="s">
        <v>21</v>
      </c>
      <c r="N1402" s="14" t="s">
        <v>21</v>
      </c>
      <c r="O1402" s="14" t="s">
        <v>21</v>
      </c>
      <c r="P1402" s="14"/>
      <c r="Q1402" s="14" t="s">
        <v>21</v>
      </c>
      <c r="R1402" s="14" t="s">
        <v>21</v>
      </c>
      <c r="T1402" s="14" t="s">
        <v>21</v>
      </c>
      <c r="U1402" s="42"/>
      <c r="V1402" s="18"/>
      <c r="W1402" s="39" t="s">
        <v>123</v>
      </c>
      <c r="X1402" s="18"/>
    </row>
    <row r="1403" spans="1:24" ht="15">
      <c r="A1403" s="4"/>
      <c r="B1403" s="87" t="s">
        <v>183</v>
      </c>
      <c r="C1403" s="11"/>
      <c r="D1403" s="53" t="s">
        <v>124</v>
      </c>
      <c r="E1403" s="18"/>
      <c r="F1403" s="53" t="s">
        <v>125</v>
      </c>
      <c r="G1403" s="53" t="s">
        <v>126</v>
      </c>
      <c r="I1403" s="53" t="s">
        <v>127</v>
      </c>
      <c r="J1403" s="53" t="s">
        <v>128</v>
      </c>
      <c r="K1403" s="53" t="s">
        <v>129</v>
      </c>
      <c r="L1403" s="53" t="s">
        <v>130</v>
      </c>
      <c r="M1403" s="53" t="s">
        <v>131</v>
      </c>
      <c r="N1403" s="24" t="s">
        <v>132</v>
      </c>
      <c r="O1403" s="24" t="s">
        <v>98</v>
      </c>
      <c r="P1403" s="24"/>
      <c r="Q1403" s="24" t="s">
        <v>99</v>
      </c>
      <c r="R1403" s="24" t="s">
        <v>133</v>
      </c>
      <c r="S1403" s="42"/>
      <c r="T1403" s="24" t="s">
        <v>134</v>
      </c>
      <c r="U1403" s="42"/>
      <c r="V1403" s="10" t="s">
        <v>20</v>
      </c>
      <c r="W1403" s="10" t="s">
        <v>21</v>
      </c>
      <c r="X1403" s="10" t="s">
        <v>22</v>
      </c>
    </row>
    <row r="1404" spans="1:24" ht="15">
      <c r="A1404" s="4"/>
      <c r="B1404" s="24"/>
      <c r="C1404" s="11"/>
      <c r="D1404" s="18"/>
      <c r="E1404" s="18"/>
      <c r="F1404" s="18"/>
      <c r="I1404" s="18"/>
      <c r="J1404" s="18"/>
      <c r="O1404" s="42"/>
      <c r="P1404" s="42"/>
      <c r="Q1404" s="42"/>
      <c r="R1404" s="42"/>
      <c r="S1404" s="42"/>
      <c r="T1404" s="42"/>
      <c r="U1404" s="42"/>
      <c r="V1404" s="18"/>
      <c r="W1404" s="39"/>
      <c r="X1404" s="18"/>
    </row>
    <row r="1405" spans="1:24" ht="15">
      <c r="A1405" s="4">
        <f>+A1399+1</f>
        <v>29</v>
      </c>
      <c r="B1405" s="5" t="s">
        <v>36</v>
      </c>
      <c r="C1405" s="17" t="s">
        <v>37</v>
      </c>
      <c r="D1405" s="18">
        <v>0</v>
      </c>
      <c r="E1405" s="18"/>
      <c r="F1405" s="18">
        <v>0</v>
      </c>
      <c r="G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>
        <v>0</v>
      </c>
      <c r="P1405" s="18"/>
      <c r="Q1405" s="18">
        <v>0</v>
      </c>
      <c r="R1405" s="18">
        <v>0</v>
      </c>
      <c r="S1405" s="42"/>
      <c r="T1405" s="18">
        <v>0</v>
      </c>
      <c r="U1405" s="42"/>
      <c r="V1405" s="18">
        <f>+V1389+D1405+F1405+G1405+I1405</f>
        <v>934746</v>
      </c>
      <c r="W1405" s="18">
        <f>+W1389+J1405+K1405+L1405+M1405+N1405+O1405+Q1405+R1405+T1405</f>
        <v>360122</v>
      </c>
      <c r="X1405" s="18">
        <f>+V1405-W1405</f>
        <v>574624</v>
      </c>
    </row>
    <row r="1406" spans="1:24" ht="15">
      <c r="A1406" s="4">
        <f>+A1405+1</f>
        <v>30</v>
      </c>
      <c r="B1406" s="5" t="s">
        <v>36</v>
      </c>
      <c r="C1406" s="22" t="s">
        <v>38</v>
      </c>
      <c r="D1406" s="18">
        <v>0</v>
      </c>
      <c r="E1406" s="18"/>
      <c r="F1406" s="18">
        <v>0</v>
      </c>
      <c r="G1406" s="18">
        <v>0</v>
      </c>
      <c r="I1406" s="18">
        <v>0</v>
      </c>
      <c r="J1406" s="18">
        <v>0</v>
      </c>
      <c r="K1406" s="18">
        <v>0</v>
      </c>
      <c r="L1406" s="18">
        <v>0</v>
      </c>
      <c r="M1406" s="18">
        <v>0</v>
      </c>
      <c r="N1406" s="18">
        <v>0</v>
      </c>
      <c r="O1406" s="18">
        <v>0</v>
      </c>
      <c r="P1406" s="18"/>
      <c r="Q1406" s="18">
        <v>0</v>
      </c>
      <c r="R1406" s="18">
        <v>0</v>
      </c>
      <c r="S1406" s="42"/>
      <c r="T1406" s="18">
        <v>0</v>
      </c>
      <c r="U1406" s="42"/>
      <c r="V1406" s="18">
        <f>+V1390+D1406+F1406+G1406+I1406</f>
        <v>938980</v>
      </c>
      <c r="W1406" s="18">
        <f>+W1390+J1406+K1406+L1406+M1406+N1406+O1406+Q1406+R1406+T1406</f>
        <v>359173.18</v>
      </c>
      <c r="X1406" s="18">
        <f>+V1406-W1406</f>
        <v>579806.8200000001</v>
      </c>
    </row>
    <row r="1407" spans="1:24" ht="15">
      <c r="A1407" s="4">
        <f>+A1406+1</f>
        <v>31</v>
      </c>
      <c r="B1407" s="24" t="s">
        <v>46</v>
      </c>
      <c r="C1407" s="40" t="s">
        <v>78</v>
      </c>
      <c r="D1407" s="18">
        <f>+D1405-D1406</f>
        <v>0</v>
      </c>
      <c r="E1407" s="18"/>
      <c r="F1407" s="18">
        <f>+F1405-F1406</f>
        <v>0</v>
      </c>
      <c r="G1407" s="18">
        <f>+G1405-G1406</f>
        <v>0</v>
      </c>
      <c r="I1407" s="18">
        <f aca="true" t="shared" si="174" ref="I1407:O1407">+I1405-I1406</f>
        <v>0</v>
      </c>
      <c r="J1407" s="18">
        <f t="shared" si="174"/>
        <v>0</v>
      </c>
      <c r="K1407" s="18">
        <f t="shared" si="174"/>
        <v>0</v>
      </c>
      <c r="L1407" s="18">
        <f t="shared" si="174"/>
        <v>0</v>
      </c>
      <c r="M1407" s="18">
        <f t="shared" si="174"/>
        <v>0</v>
      </c>
      <c r="N1407" s="18">
        <f t="shared" si="174"/>
        <v>0</v>
      </c>
      <c r="O1407" s="18">
        <f t="shared" si="174"/>
        <v>0</v>
      </c>
      <c r="P1407" s="18"/>
      <c r="Q1407" s="18">
        <f>+Q1405-Q1406</f>
        <v>0</v>
      </c>
      <c r="R1407" s="18">
        <f>+R1405-R1406</f>
        <v>0</v>
      </c>
      <c r="S1407" s="42"/>
      <c r="T1407" s="18">
        <f>+T1405-T1406</f>
        <v>0</v>
      </c>
      <c r="U1407" s="42"/>
      <c r="V1407" s="27">
        <f>+V1405-V1406</f>
        <v>-4234</v>
      </c>
      <c r="W1407" s="27">
        <f>+W1405-W1406</f>
        <v>948.820000000007</v>
      </c>
      <c r="X1407" s="18">
        <f>+X1405-X1406</f>
        <v>-5182.820000000065</v>
      </c>
    </row>
    <row r="1408" spans="1:24" ht="28.5">
      <c r="A1408" s="4">
        <f>+A1407+1</f>
        <v>32</v>
      </c>
      <c r="B1408" s="88" t="s">
        <v>182</v>
      </c>
      <c r="C1408" s="11"/>
      <c r="D1408" s="18">
        <v>0</v>
      </c>
      <c r="E1408" s="18"/>
      <c r="F1408" s="18">
        <v>0</v>
      </c>
      <c r="G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/>
      <c r="Q1408" s="18">
        <v>0</v>
      </c>
      <c r="R1408" s="18">
        <v>0</v>
      </c>
      <c r="S1408" s="42"/>
      <c r="T1408" s="18">
        <v>0</v>
      </c>
      <c r="U1408" s="42"/>
      <c r="V1408" s="18">
        <f>+V1392+D1408+F1408+G1408+I1408</f>
        <v>0</v>
      </c>
      <c r="W1408" s="18">
        <f>+W1392+J1408+K1408+L1408+M1408+N1408+O1408+Q1408+R1408+T1408</f>
        <v>0</v>
      </c>
      <c r="X1408" s="18">
        <f>+V1408-W1408</f>
        <v>0</v>
      </c>
    </row>
    <row r="1409" spans="1:24" ht="24.75">
      <c r="A1409" s="4">
        <f>+A1408+1</f>
        <v>33</v>
      </c>
      <c r="B1409" s="89" t="s">
        <v>39</v>
      </c>
      <c r="C1409" s="40"/>
      <c r="D1409" s="27">
        <v>13764</v>
      </c>
      <c r="E1409" s="27" t="s">
        <v>0</v>
      </c>
      <c r="F1409" s="27">
        <v>61</v>
      </c>
      <c r="G1409" s="27">
        <v>0</v>
      </c>
      <c r="H1409" t="s">
        <v>0</v>
      </c>
      <c r="I1409" s="27">
        <v>0</v>
      </c>
      <c r="J1409" s="27">
        <v>443</v>
      </c>
      <c r="K1409" s="27">
        <v>0</v>
      </c>
      <c r="L1409" s="27">
        <v>0</v>
      </c>
      <c r="M1409" s="18">
        <v>0</v>
      </c>
      <c r="N1409" s="18">
        <v>0</v>
      </c>
      <c r="O1409" s="18">
        <v>0</v>
      </c>
      <c r="P1409" s="18"/>
      <c r="Q1409" s="18">
        <v>0</v>
      </c>
      <c r="R1409" s="18">
        <v>0</v>
      </c>
      <c r="S1409" s="42"/>
      <c r="T1409" s="18">
        <v>7310</v>
      </c>
      <c r="U1409" s="42"/>
      <c r="V1409" s="18">
        <f>+V1393+D1409+F1409+G1409+I1409</f>
        <v>-146497</v>
      </c>
      <c r="W1409" s="18">
        <f>+W1393+J1409+K1409+L1409+M1409+N1409+O1409+Q1409+R1409+T1409</f>
        <v>354391</v>
      </c>
      <c r="X1409" s="36">
        <f>+V1409-W1409</f>
        <v>-500888</v>
      </c>
    </row>
    <row r="1410" spans="1:24" ht="15">
      <c r="A1410" s="6" t="s">
        <v>41</v>
      </c>
      <c r="B1410" s="41"/>
      <c r="C1410" s="40"/>
      <c r="D1410" s="18"/>
      <c r="E1410" s="18"/>
      <c r="F1410" s="18"/>
      <c r="G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42"/>
      <c r="T1410" s="18"/>
      <c r="U1410" s="42"/>
      <c r="V1410" s="18"/>
      <c r="W1410" s="54"/>
      <c r="X1410" s="36"/>
    </row>
    <row r="1411" spans="1:24" ht="15">
      <c r="A1411" s="4">
        <f>+A1409+1</f>
        <v>34</v>
      </c>
      <c r="B1411" s="5" t="s">
        <v>42</v>
      </c>
      <c r="C1411" s="22" t="s">
        <v>38</v>
      </c>
      <c r="D1411" s="18">
        <v>0</v>
      </c>
      <c r="E1411" s="18"/>
      <c r="F1411" s="18">
        <v>0</v>
      </c>
      <c r="G1411" s="18">
        <v>0</v>
      </c>
      <c r="I1411" s="18">
        <v>0</v>
      </c>
      <c r="J1411" s="18">
        <v>0</v>
      </c>
      <c r="K1411" s="18">
        <v>0</v>
      </c>
      <c r="L1411" s="18"/>
      <c r="M1411" s="18">
        <v>0</v>
      </c>
      <c r="N1411" s="18">
        <v>0</v>
      </c>
      <c r="O1411" s="18">
        <v>0</v>
      </c>
      <c r="P1411" s="18"/>
      <c r="Q1411" s="18">
        <v>0</v>
      </c>
      <c r="R1411" s="18">
        <v>0</v>
      </c>
      <c r="S1411" s="42"/>
      <c r="T1411" s="18">
        <v>0</v>
      </c>
      <c r="U1411" s="42"/>
      <c r="V1411" s="18">
        <f>+V1395+D1411+F1411+G1411+I1411</f>
        <v>928213</v>
      </c>
      <c r="W1411" s="18">
        <f>+W1395+J1411+K1411+L1411+M1411+N1411+O1411+Q1411+R1411+T1411</f>
        <v>359468</v>
      </c>
      <c r="X1411" s="18">
        <f>+V1411-W1411</f>
        <v>568745</v>
      </c>
    </row>
    <row r="1412" spans="1:24" ht="15">
      <c r="A1412" s="4">
        <f>+A1411+1</f>
        <v>35</v>
      </c>
      <c r="B1412" s="5" t="s">
        <v>43</v>
      </c>
      <c r="C1412" s="11"/>
      <c r="D1412" s="18">
        <v>0</v>
      </c>
      <c r="E1412" s="18"/>
      <c r="F1412" s="18">
        <v>0</v>
      </c>
      <c r="G1412" s="18">
        <v>0</v>
      </c>
      <c r="I1412" s="18">
        <v>0</v>
      </c>
      <c r="J1412" s="18">
        <v>0</v>
      </c>
      <c r="K1412" s="18">
        <v>0</v>
      </c>
      <c r="L1412" s="18">
        <v>0</v>
      </c>
      <c r="M1412" s="18">
        <v>0</v>
      </c>
      <c r="N1412" s="18">
        <v>0</v>
      </c>
      <c r="O1412" s="18">
        <v>0</v>
      </c>
      <c r="P1412" s="18"/>
      <c r="Q1412" s="18">
        <v>0</v>
      </c>
      <c r="R1412" s="18">
        <v>0</v>
      </c>
      <c r="S1412" s="42"/>
      <c r="T1412" s="18">
        <v>0</v>
      </c>
      <c r="U1412" s="42"/>
      <c r="V1412" s="18">
        <f>+V1396+D1412+F1412+G1412+I1412</f>
        <v>0</v>
      </c>
      <c r="W1412" s="18">
        <f>+W1396+J1412+K1412+L1412+M1412+N1412+O1412+Q1412+R1412+T1412</f>
        <v>0</v>
      </c>
      <c r="X1412" s="18">
        <f>+V1412-W1412</f>
        <v>0</v>
      </c>
    </row>
    <row r="1413" spans="1:24" ht="26.25">
      <c r="A1413" s="4">
        <f>+A1412+1</f>
        <v>36</v>
      </c>
      <c r="B1413" s="24" t="s">
        <v>79</v>
      </c>
      <c r="C1413" s="11"/>
      <c r="D1413" s="18">
        <f>+D1411-D1412</f>
        <v>0</v>
      </c>
      <c r="E1413" s="18"/>
      <c r="F1413" s="18">
        <f>+F1411-F1412</f>
        <v>0</v>
      </c>
      <c r="G1413" s="18">
        <f>+G1411-G1412</f>
        <v>0</v>
      </c>
      <c r="I1413" s="18">
        <f aca="true" t="shared" si="175" ref="I1413:O1413">+I1411-I1412</f>
        <v>0</v>
      </c>
      <c r="J1413" s="18">
        <f t="shared" si="175"/>
        <v>0</v>
      </c>
      <c r="K1413" s="18">
        <f t="shared" si="175"/>
        <v>0</v>
      </c>
      <c r="L1413" s="18">
        <f t="shared" si="175"/>
        <v>0</v>
      </c>
      <c r="M1413" s="18">
        <f t="shared" si="175"/>
        <v>0</v>
      </c>
      <c r="N1413" s="18">
        <f t="shared" si="175"/>
        <v>0</v>
      </c>
      <c r="O1413" s="18">
        <f t="shared" si="175"/>
        <v>0</v>
      </c>
      <c r="P1413" s="18"/>
      <c r="Q1413" s="18">
        <f>+Q1411-Q1412</f>
        <v>0</v>
      </c>
      <c r="R1413" s="18">
        <f>+R1411-R1412</f>
        <v>0</v>
      </c>
      <c r="S1413" s="42"/>
      <c r="T1413" s="18">
        <f>+T1411-T1412</f>
        <v>0</v>
      </c>
      <c r="U1413" s="42"/>
      <c r="V1413" s="55">
        <f>+V1411-V1412</f>
        <v>928213</v>
      </c>
      <c r="W1413" s="55">
        <f>+W1411-W1412</f>
        <v>359468</v>
      </c>
      <c r="X1413" s="31">
        <f>+X1411-X1412</f>
        <v>568745</v>
      </c>
    </row>
    <row r="1414" spans="1:24" ht="28.5">
      <c r="A1414" s="4">
        <f>+A1413+1</f>
        <v>37</v>
      </c>
      <c r="B1414" s="88" t="s">
        <v>181</v>
      </c>
      <c r="C1414" s="11"/>
      <c r="D1414" s="18">
        <v>0</v>
      </c>
      <c r="E1414" s="18"/>
      <c r="F1414" s="18">
        <v>0</v>
      </c>
      <c r="G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0</v>
      </c>
      <c r="P1414" s="18"/>
      <c r="Q1414" s="18">
        <v>0</v>
      </c>
      <c r="R1414" s="18">
        <v>0</v>
      </c>
      <c r="S1414" s="42"/>
      <c r="T1414" s="18">
        <v>0</v>
      </c>
      <c r="U1414" s="42"/>
      <c r="V1414" s="18">
        <f>+V1398+D1414+F1414+G1414+I1414</f>
        <v>0</v>
      </c>
      <c r="W1414" s="18">
        <f>+W1398+J1414+K1414+L1414+M1414+N1414+O1414+Q1414+R1414+T1414</f>
        <v>0</v>
      </c>
      <c r="X1414" s="18">
        <f>+V1414-W1414</f>
        <v>0</v>
      </c>
    </row>
    <row r="1415" spans="1:24" ht="15">
      <c r="A1415" s="4">
        <f>+A1414+1</f>
        <v>38</v>
      </c>
      <c r="B1415" s="24" t="s">
        <v>46</v>
      </c>
      <c r="C1415" s="11" t="s">
        <v>47</v>
      </c>
      <c r="D1415" s="18">
        <f>+D1407+D1408+D1413+D1414+D1409</f>
        <v>13764</v>
      </c>
      <c r="E1415" s="18"/>
      <c r="F1415" s="18">
        <f>+F1407+F1408+F1413+F1414+F1409</f>
        <v>61</v>
      </c>
      <c r="G1415" s="18">
        <f>+G1407+G1408+G1413+G1414+G1409</f>
        <v>0</v>
      </c>
      <c r="I1415" s="18">
        <f aca="true" t="shared" si="176" ref="I1415:O1415">+I1407+I1408+I1413+I1414+I1409</f>
        <v>0</v>
      </c>
      <c r="J1415" s="18">
        <f t="shared" si="176"/>
        <v>443</v>
      </c>
      <c r="K1415" s="18">
        <f t="shared" si="176"/>
        <v>0</v>
      </c>
      <c r="L1415" s="18">
        <f t="shared" si="176"/>
        <v>0</v>
      </c>
      <c r="M1415" s="18">
        <f t="shared" si="176"/>
        <v>0</v>
      </c>
      <c r="N1415" s="18">
        <f t="shared" si="176"/>
        <v>0</v>
      </c>
      <c r="O1415" s="18">
        <f t="shared" si="176"/>
        <v>0</v>
      </c>
      <c r="P1415" s="18"/>
      <c r="Q1415" s="18">
        <f>+Q1407+Q1408+Q1413+Q1414+Q1409</f>
        <v>0</v>
      </c>
      <c r="R1415" s="18">
        <f>+R1407+R1408+R1413+R1414+R1409</f>
        <v>0</v>
      </c>
      <c r="S1415" s="42"/>
      <c r="T1415" s="18">
        <f>+T1407+T1408+T1413+T1414+T1409</f>
        <v>7310</v>
      </c>
      <c r="U1415" s="42"/>
      <c r="V1415" s="18">
        <f>+V1407+V1408+V1413+V1414+V1409</f>
        <v>777482</v>
      </c>
      <c r="W1415" s="18">
        <f>+W1407+W1408+W1413+W1414+W1409</f>
        <v>714807.8200000001</v>
      </c>
      <c r="X1415" s="18">
        <f>+X1407+X1408+X1413+X1414+X1409</f>
        <v>62674.179999999935</v>
      </c>
    </row>
    <row r="1416" spans="1:24" ht="15">
      <c r="A1416" s="4"/>
      <c r="B1416" s="24"/>
      <c r="C1416" s="11"/>
      <c r="D1416" s="18"/>
      <c r="E1416" s="18"/>
      <c r="F1416" s="18"/>
      <c r="G1416" s="18"/>
      <c r="N1416" s="42"/>
      <c r="O1416" s="42"/>
      <c r="P1416" s="42"/>
      <c r="Q1416" s="42"/>
      <c r="R1416" s="42"/>
      <c r="S1416" s="42"/>
      <c r="T1416" s="42"/>
      <c r="U1416" s="42"/>
      <c r="V1416" s="18"/>
      <c r="W1416" s="18"/>
      <c r="X1416" s="18"/>
    </row>
    <row r="1417" spans="1:24" ht="15">
      <c r="A1417" s="4"/>
      <c r="B1417" s="24"/>
      <c r="C1417" s="11"/>
      <c r="D1417" s="18"/>
      <c r="E1417" s="18"/>
      <c r="F1417" s="18"/>
      <c r="G1417" s="18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18"/>
      <c r="W1417" s="18"/>
      <c r="X1417" s="18"/>
    </row>
    <row r="1418" spans="1:24" ht="15">
      <c r="A1418" s="4"/>
      <c r="B1418" s="24"/>
      <c r="C1418" s="11"/>
      <c r="D1418" s="18"/>
      <c r="E1418" s="18"/>
      <c r="F1418" s="18"/>
      <c r="G1418" s="18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18"/>
      <c r="W1418" s="18"/>
      <c r="X1418" s="18"/>
    </row>
    <row r="1419" spans="1:24" ht="15">
      <c r="A1419" s="4"/>
      <c r="B1419" s="24"/>
      <c r="C1419" s="11"/>
      <c r="D1419" s="18"/>
      <c r="E1419" s="18"/>
      <c r="F1419" s="18"/>
      <c r="G1419" s="18"/>
      <c r="H1419" s="56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18"/>
      <c r="W1419" s="18"/>
      <c r="X1419" s="18"/>
    </row>
    <row r="1420" spans="1:24" ht="15">
      <c r="A1420" s="4"/>
      <c r="B1420" s="24"/>
      <c r="C1420" s="11"/>
      <c r="D1420" s="18"/>
      <c r="E1420" s="18"/>
      <c r="F1420" s="18"/>
      <c r="G1420" s="18"/>
      <c r="H1420" s="56"/>
      <c r="I1420" s="57" t="s">
        <v>135</v>
      </c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18"/>
      <c r="W1420" s="18"/>
      <c r="X1420" s="18"/>
    </row>
    <row r="1421" spans="1:24" ht="15">
      <c r="A1421" s="4"/>
      <c r="B1421" s="24"/>
      <c r="C1421" s="11"/>
      <c r="D1421" s="18"/>
      <c r="E1421" s="18"/>
      <c r="F1421" s="18"/>
      <c r="G1421" s="18"/>
      <c r="H1421" s="56"/>
      <c r="I1421" s="58"/>
      <c r="L1421" s="42"/>
      <c r="T1421" s="42"/>
      <c r="U1421" s="42"/>
      <c r="V1421" s="18"/>
      <c r="W1421" s="18"/>
      <c r="X1421" s="18"/>
    </row>
    <row r="1422" spans="1:24" ht="15">
      <c r="A1422" s="4"/>
      <c r="B1422" s="24"/>
      <c r="C1422" s="11"/>
      <c r="D1422" s="18"/>
      <c r="E1422" s="18"/>
      <c r="F1422" s="18"/>
      <c r="G1422" s="18"/>
      <c r="H1422" s="56"/>
      <c r="I1422" s="59" t="s">
        <v>136</v>
      </c>
      <c r="L1422" s="75">
        <v>6446956</v>
      </c>
      <c r="T1422" s="42"/>
      <c r="U1422" s="42"/>
      <c r="V1422" s="18"/>
      <c r="W1422" s="18"/>
      <c r="X1422" s="18"/>
    </row>
    <row r="1423" spans="1:24" ht="15">
      <c r="A1423" s="4"/>
      <c r="B1423" s="24"/>
      <c r="C1423" s="11"/>
      <c r="D1423" s="18"/>
      <c r="E1423" s="18"/>
      <c r="F1423" s="18"/>
      <c r="G1423" s="18"/>
      <c r="H1423" s="56"/>
      <c r="I1423" s="59"/>
      <c r="L1423" s="18"/>
      <c r="T1423" s="42"/>
      <c r="U1423" s="42"/>
      <c r="V1423" s="18"/>
      <c r="W1423" s="18"/>
      <c r="X1423" s="18"/>
    </row>
    <row r="1424" spans="1:24" ht="15">
      <c r="A1424" s="4"/>
      <c r="B1424" s="24"/>
      <c r="C1424" s="11"/>
      <c r="D1424" s="44" t="s">
        <v>137</v>
      </c>
      <c r="E1424" s="18"/>
      <c r="F1424" s="10" t="s">
        <v>138</v>
      </c>
      <c r="G1424" s="44" t="s">
        <v>24</v>
      </c>
      <c r="H1424" s="56"/>
      <c r="I1424" s="59" t="s">
        <v>139</v>
      </c>
      <c r="L1424" s="27">
        <v>1154753</v>
      </c>
      <c r="N1424" s="6" t="s">
        <v>137</v>
      </c>
      <c r="O1424" s="6" t="s">
        <v>137</v>
      </c>
      <c r="P1424" s="42"/>
      <c r="Q1424" s="6" t="s">
        <v>138</v>
      </c>
      <c r="R1424" s="6" t="s">
        <v>138</v>
      </c>
      <c r="S1424" s="6"/>
      <c r="T1424" s="42"/>
      <c r="U1424" s="42"/>
      <c r="V1424" s="18"/>
      <c r="W1424" s="18"/>
      <c r="X1424" s="18"/>
    </row>
    <row r="1425" spans="1:24" ht="15">
      <c r="A1425" s="4"/>
      <c r="B1425" s="24"/>
      <c r="C1425" s="11"/>
      <c r="D1425" s="18"/>
      <c r="E1425" s="18"/>
      <c r="F1425" s="18"/>
      <c r="G1425" s="18"/>
      <c r="H1425" s="56"/>
      <c r="I1425" s="59"/>
      <c r="L1425" s="18"/>
      <c r="N1425" s="8" t="s">
        <v>140</v>
      </c>
      <c r="O1425" s="49" t="s">
        <v>141</v>
      </c>
      <c r="P1425" s="42"/>
      <c r="Q1425" s="8" t="s">
        <v>140</v>
      </c>
      <c r="R1425" s="49" t="s">
        <v>141</v>
      </c>
      <c r="S1425" s="49"/>
      <c r="T1425" s="42"/>
      <c r="U1425" s="42"/>
      <c r="V1425" s="18"/>
      <c r="W1425" s="18"/>
      <c r="X1425" s="18"/>
    </row>
    <row r="1426" spans="1:24" ht="15">
      <c r="A1426" s="4">
        <f>+A1414+1</f>
        <v>38</v>
      </c>
      <c r="B1426" s="5" t="s">
        <v>36</v>
      </c>
      <c r="C1426" s="17" t="s">
        <v>37</v>
      </c>
      <c r="D1426" s="31">
        <f>+V1367+V1405</f>
        <v>8555967</v>
      </c>
      <c r="E1426" s="18"/>
      <c r="F1426" s="31">
        <f>+W1367+W1405</f>
        <v>6617509</v>
      </c>
      <c r="G1426" s="18">
        <f>+D1426-F1426</f>
        <v>1938458</v>
      </c>
      <c r="H1426" s="56"/>
      <c r="I1426" s="59" t="s">
        <v>142</v>
      </c>
      <c r="J1426" s="18"/>
      <c r="K1426" s="18"/>
      <c r="L1426" s="36">
        <f>F1342</f>
        <v>4953569</v>
      </c>
      <c r="N1426" s="60"/>
      <c r="O1426" s="6"/>
      <c r="P1426" s="42"/>
      <c r="Q1426" s="61"/>
      <c r="R1426" s="61"/>
      <c r="S1426" s="61"/>
      <c r="T1426" s="42"/>
      <c r="U1426" s="42"/>
      <c r="V1426" s="18"/>
      <c r="W1426" s="18"/>
      <c r="X1426" s="18"/>
    </row>
    <row r="1427" spans="1:21" ht="15">
      <c r="A1427" s="4">
        <f>+A1426+1</f>
        <v>39</v>
      </c>
      <c r="B1427" s="5" t="s">
        <v>36</v>
      </c>
      <c r="C1427" s="22" t="s">
        <v>38</v>
      </c>
      <c r="D1427" s="31">
        <f>+V1368+V1406</f>
        <v>8558998.51</v>
      </c>
      <c r="E1427" s="18"/>
      <c r="F1427" s="31">
        <f>+W1368+W1406</f>
        <v>6523851.18</v>
      </c>
      <c r="G1427" s="18">
        <f>+D1427-F1427</f>
        <v>2035147.33</v>
      </c>
      <c r="H1427" s="56"/>
      <c r="I1427" s="58"/>
      <c r="J1427" s="18"/>
      <c r="K1427" s="18"/>
      <c r="L1427" s="60"/>
      <c r="N1427" s="62">
        <f>+D1428</f>
        <v>-3031.5099999997765</v>
      </c>
      <c r="O1427" s="63">
        <f>+D1434</f>
        <v>6486257</v>
      </c>
      <c r="P1427" s="42"/>
      <c r="Q1427" s="31">
        <f>+F1334</f>
        <v>92709</v>
      </c>
      <c r="R1427" s="31">
        <f>+F1336</f>
        <v>0</v>
      </c>
      <c r="S1427" s="31"/>
      <c r="T1427" s="42"/>
      <c r="U1427" s="42"/>
    </row>
    <row r="1428" spans="1:25" ht="15">
      <c r="A1428" s="4">
        <f>+A1427+1</f>
        <v>40</v>
      </c>
      <c r="B1428" s="24" t="s">
        <v>46</v>
      </c>
      <c r="C1428" s="40" t="s">
        <v>78</v>
      </c>
      <c r="D1428" s="26">
        <f>+D1426-D1427</f>
        <v>-3031.5099999997765</v>
      </c>
      <c r="E1428" s="18"/>
      <c r="F1428" s="26">
        <f>+F1426-F1427</f>
        <v>93657.8200000003</v>
      </c>
      <c r="G1428" s="18">
        <f>+G1426-G1427</f>
        <v>-96689.33000000007</v>
      </c>
      <c r="H1428" s="56"/>
      <c r="I1428" s="58" t="s">
        <v>143</v>
      </c>
      <c r="J1428" s="18"/>
      <c r="K1428" s="18"/>
      <c r="L1428">
        <v>0</v>
      </c>
      <c r="N1428" s="62">
        <f>+D1429</f>
        <v>0</v>
      </c>
      <c r="O1428" s="63">
        <f>+D1435</f>
        <v>0</v>
      </c>
      <c r="P1428" s="42"/>
      <c r="Q1428" s="31">
        <f>+F1335</f>
        <v>0</v>
      </c>
      <c r="R1428" s="31">
        <f>+F1340</f>
        <v>4860860</v>
      </c>
      <c r="S1428" s="31"/>
      <c r="U1428" s="18"/>
      <c r="V1428" s="10" t="s">
        <v>20</v>
      </c>
      <c r="W1428" s="10" t="s">
        <v>21</v>
      </c>
      <c r="X1428" s="10" t="s">
        <v>22</v>
      </c>
      <c r="Y1428" s="18"/>
    </row>
    <row r="1429" spans="1:25" ht="28.5">
      <c r="A1429" s="4">
        <f>+A1428+1</f>
        <v>41</v>
      </c>
      <c r="B1429" s="88" t="s">
        <v>182</v>
      </c>
      <c r="C1429" s="11"/>
      <c r="D1429" s="26">
        <f>+V1370+V1408</f>
        <v>0</v>
      </c>
      <c r="E1429" s="26"/>
      <c r="F1429" s="26">
        <f>+W1370+W1408</f>
        <v>0</v>
      </c>
      <c r="G1429" s="18">
        <f>+D1429-F1429</f>
        <v>0</v>
      </c>
      <c r="H1429" s="56"/>
      <c r="I1429" s="58"/>
      <c r="J1429" s="18"/>
      <c r="K1429" s="18"/>
      <c r="L1429" s="60" t="s">
        <v>144</v>
      </c>
      <c r="N1429" s="62">
        <f>+F1428</f>
        <v>93657.8200000003</v>
      </c>
      <c r="O1429" s="63">
        <f>+F1434</f>
        <v>5220328</v>
      </c>
      <c r="P1429" s="42"/>
      <c r="R1429" s="31">
        <f>+F1341</f>
        <v>0</v>
      </c>
      <c r="S1429" s="31"/>
      <c r="U1429" s="18"/>
      <c r="Y1429" s="18"/>
    </row>
    <row r="1430" spans="1:25" ht="24.75">
      <c r="A1430" s="4">
        <f>+A1429+1</f>
        <v>42</v>
      </c>
      <c r="B1430" s="89" t="s">
        <v>39</v>
      </c>
      <c r="C1430" s="40"/>
      <c r="D1430" s="30">
        <f>+V1371+V1409</f>
        <v>-476215</v>
      </c>
      <c r="E1430" s="30"/>
      <c r="F1430" s="30">
        <f>+W1371+W1409</f>
        <v>354391</v>
      </c>
      <c r="G1430" s="18">
        <f>+D1430-F1430</f>
        <v>-830606</v>
      </c>
      <c r="H1430" s="56"/>
      <c r="I1430" s="64" t="s">
        <v>145</v>
      </c>
      <c r="J1430" s="18"/>
      <c r="K1430" s="18"/>
      <c r="L1430" s="31">
        <f>+L1422-L1424-L1426-L1428</f>
        <v>338634</v>
      </c>
      <c r="N1430" s="62">
        <f>+F1429</f>
        <v>0</v>
      </c>
      <c r="O1430" s="63">
        <f>+F1435</f>
        <v>0</v>
      </c>
      <c r="P1430" s="42"/>
      <c r="Q1430" s="31"/>
      <c r="R1430" s="31"/>
      <c r="S1430" s="31"/>
      <c r="U1430" s="65"/>
      <c r="V1430" s="66"/>
      <c r="W1430" s="66"/>
      <c r="X1430" s="65"/>
      <c r="Y1430" s="65"/>
    </row>
    <row r="1431" spans="1:25" ht="15">
      <c r="A1431" s="6" t="s">
        <v>41</v>
      </c>
      <c r="B1431" s="41"/>
      <c r="C1431" s="40"/>
      <c r="D1431" s="18"/>
      <c r="E1431" s="18"/>
      <c r="F1431" s="18"/>
      <c r="G1431" s="18"/>
      <c r="H1431" s="56"/>
      <c r="I1431" s="58"/>
      <c r="J1431" s="18"/>
      <c r="K1431" s="18"/>
      <c r="N1431" s="62">
        <f>+F1334</f>
        <v>92709</v>
      </c>
      <c r="O1431" s="63">
        <f>+F1340</f>
        <v>4860860</v>
      </c>
      <c r="P1431" s="42"/>
      <c r="Q1431" s="31"/>
      <c r="U1431" s="65"/>
      <c r="V1431" s="67"/>
      <c r="W1431" s="67"/>
      <c r="X1431" s="68"/>
      <c r="Y1431" s="65"/>
    </row>
    <row r="1432" spans="1:25" ht="15">
      <c r="A1432" s="4">
        <f>+A1430+1</f>
        <v>43</v>
      </c>
      <c r="B1432" s="5" t="s">
        <v>42</v>
      </c>
      <c r="C1432" s="22" t="s">
        <v>38</v>
      </c>
      <c r="D1432" s="31">
        <f>+V1373+V1411</f>
        <v>6499037</v>
      </c>
      <c r="E1432" s="18"/>
      <c r="F1432" s="31">
        <f>+W1373+W1411</f>
        <v>5231208</v>
      </c>
      <c r="G1432" s="18">
        <f>+D1432-F1432</f>
        <v>1267829</v>
      </c>
      <c r="H1432" s="56"/>
      <c r="I1432" s="59" t="s">
        <v>22</v>
      </c>
      <c r="J1432" s="18"/>
      <c r="K1432" s="18"/>
      <c r="L1432" s="30">
        <f>+X1437</f>
        <v>338633.6699999999</v>
      </c>
      <c r="N1432" s="62"/>
      <c r="O1432" s="63">
        <f>+D1430</f>
        <v>-476215</v>
      </c>
      <c r="P1432" s="42"/>
      <c r="Q1432" s="31"/>
      <c r="R1432" s="31"/>
      <c r="S1432" s="31"/>
      <c r="T1432" s="69" t="s">
        <v>78</v>
      </c>
      <c r="U1432" s="65"/>
      <c r="V1432" s="26">
        <f>+D1428+D1429-F1428-F1429+F1334</f>
        <v>-3980.3300000000745</v>
      </c>
      <c r="W1432" s="26">
        <f>+F1334+F1335</f>
        <v>92709</v>
      </c>
      <c r="X1432" s="26">
        <f>+V1432-W1432</f>
        <v>-96689.33000000007</v>
      </c>
      <c r="Y1432" s="65"/>
    </row>
    <row r="1433" spans="1:25" ht="15">
      <c r="A1433" s="4">
        <f>+A1432+1</f>
        <v>44</v>
      </c>
      <c r="B1433" s="5" t="s">
        <v>43</v>
      </c>
      <c r="C1433" s="11"/>
      <c r="D1433" s="31">
        <f>+V1374+V1412</f>
        <v>12780</v>
      </c>
      <c r="E1433" s="18"/>
      <c r="F1433" s="31">
        <f>+W1374+W1412</f>
        <v>10880</v>
      </c>
      <c r="G1433" s="18">
        <f>+D1433-F1433</f>
        <v>1900</v>
      </c>
      <c r="H1433" s="56"/>
      <c r="I1433" s="59"/>
      <c r="J1433" s="18"/>
      <c r="K1433" s="18"/>
      <c r="L1433" s="60" t="s">
        <v>144</v>
      </c>
      <c r="O1433" s="63">
        <f>+F1430</f>
        <v>354391</v>
      </c>
      <c r="P1433" s="42"/>
      <c r="Q1433" s="31"/>
      <c r="R1433" s="31"/>
      <c r="S1433" s="31"/>
      <c r="T1433" s="11" t="s">
        <v>146</v>
      </c>
      <c r="U1433" s="65"/>
      <c r="V1433" s="30">
        <f>+D1434+D1435-F1434-F1435+F1340+D1430-F1430+F1336</f>
        <v>5296183</v>
      </c>
      <c r="W1433" s="30">
        <f>+F1336+F1340+F1341</f>
        <v>4860860</v>
      </c>
      <c r="X1433" s="30">
        <f>+V1433-W1433</f>
        <v>435323</v>
      </c>
      <c r="Y1433" s="65"/>
    </row>
    <row r="1434" spans="1:25" ht="26.25">
      <c r="A1434" s="4">
        <f>+A1433+1</f>
        <v>45</v>
      </c>
      <c r="B1434" s="24" t="s">
        <v>79</v>
      </c>
      <c r="C1434" s="11"/>
      <c r="D1434" s="30">
        <f>+D1432-D1433</f>
        <v>6486257</v>
      </c>
      <c r="E1434" s="18"/>
      <c r="F1434" s="30">
        <f>+F1432-F1433</f>
        <v>5220328</v>
      </c>
      <c r="G1434" s="18">
        <f>+G1432-G1433</f>
        <v>1265929</v>
      </c>
      <c r="H1434" s="56"/>
      <c r="I1434" s="58"/>
      <c r="J1434" s="18"/>
      <c r="K1434" s="18"/>
      <c r="N1434" s="62"/>
      <c r="O1434" s="63">
        <f>+F1336</f>
        <v>0</v>
      </c>
      <c r="P1434" s="42"/>
      <c r="Q1434" s="31"/>
      <c r="R1434" s="31"/>
      <c r="S1434" s="31"/>
      <c r="T1434" s="11"/>
      <c r="U1434" s="65"/>
      <c r="V1434" s="30"/>
      <c r="W1434" s="30"/>
      <c r="X1434" s="30"/>
      <c r="Y1434" s="65"/>
    </row>
    <row r="1435" spans="1:25" ht="28.5">
      <c r="A1435" s="4">
        <f>+A1434+1</f>
        <v>46</v>
      </c>
      <c r="B1435" s="88" t="s">
        <v>181</v>
      </c>
      <c r="C1435" s="11"/>
      <c r="D1435" s="30">
        <f>+V1376+V1414</f>
        <v>0</v>
      </c>
      <c r="E1435" s="30"/>
      <c r="F1435" s="30">
        <f>+W1376+W1414</f>
        <v>0</v>
      </c>
      <c r="G1435" s="18">
        <f>+D1435-F1435</f>
        <v>0</v>
      </c>
      <c r="H1435" s="56"/>
      <c r="N1435" s="62"/>
      <c r="O1435" s="62"/>
      <c r="P1435" s="42"/>
      <c r="Q1435" s="31"/>
      <c r="R1435" s="31"/>
      <c r="S1435" s="31"/>
      <c r="T1435" s="11"/>
      <c r="U1435" s="65"/>
      <c r="V1435" s="30"/>
      <c r="W1435" s="30"/>
      <c r="X1435" s="30"/>
      <c r="Y1435" s="65"/>
    </row>
    <row r="1436" spans="1:25" ht="15">
      <c r="A1436" s="4">
        <f>+A1435+1</f>
        <v>47</v>
      </c>
      <c r="B1436" s="24" t="s">
        <v>46</v>
      </c>
      <c r="C1436" s="11" t="s">
        <v>47</v>
      </c>
      <c r="D1436" s="18">
        <f>+D1428+D1429+D1434+D1435+D1430</f>
        <v>6007010.49</v>
      </c>
      <c r="E1436" s="18"/>
      <c r="F1436" s="18">
        <f>+F1428+F1429+F1434+F1435+F1430</f>
        <v>5668376.82</v>
      </c>
      <c r="G1436" s="18">
        <f>+G1428+G1429+G1434+G1435+G1430</f>
        <v>338633.6699999999</v>
      </c>
      <c r="H1436" s="56"/>
      <c r="I1436" s="59" t="s">
        <v>147</v>
      </c>
      <c r="J1436" s="18"/>
      <c r="K1436" s="18"/>
      <c r="L1436" s="36">
        <f>+L1430-L1432</f>
        <v>0.3300000000745058</v>
      </c>
      <c r="N1436" s="70">
        <f>+N1427+N1428-N1429-N1430+N1431</f>
        <v>-3980.3300000000745</v>
      </c>
      <c r="O1436" s="71">
        <f>+O1427+O1428-O1429-O1430+O1431+O1432-O1433+O1434</f>
        <v>5296183</v>
      </c>
      <c r="P1436" s="42"/>
      <c r="Q1436" s="26">
        <f>SUM(Q1427:Q1428)</f>
        <v>92709</v>
      </c>
      <c r="R1436" s="30">
        <f>SUM(R1427:R1430)</f>
        <v>4860860</v>
      </c>
      <c r="S1436" s="30"/>
      <c r="T1436" s="11"/>
      <c r="U1436" s="65"/>
      <c r="V1436" s="30"/>
      <c r="W1436" s="30"/>
      <c r="X1436" s="30"/>
      <c r="Y1436" s="65"/>
    </row>
    <row r="1437" spans="1:25" ht="15">
      <c r="A1437" s="4"/>
      <c r="B1437" s="24"/>
      <c r="C1437" s="11"/>
      <c r="D1437" s="18"/>
      <c r="E1437" s="18"/>
      <c r="F1437" s="18"/>
      <c r="G1437" s="18"/>
      <c r="H1437" s="56"/>
      <c r="L1437" s="60" t="s">
        <v>148</v>
      </c>
      <c r="M1437" s="42"/>
      <c r="N1437" s="42"/>
      <c r="O1437" s="42"/>
      <c r="P1437" s="42"/>
      <c r="Q1437" s="42"/>
      <c r="R1437" s="42"/>
      <c r="S1437" s="42"/>
      <c r="T1437" s="10" t="s">
        <v>22</v>
      </c>
      <c r="U1437" s="65"/>
      <c r="V1437" s="36"/>
      <c r="W1437" s="36"/>
      <c r="X1437" s="36">
        <f>+X1432+X1433</f>
        <v>338633.6699999999</v>
      </c>
      <c r="Y1437" s="65"/>
    </row>
    <row r="1438" spans="1:25" ht="15">
      <c r="A1438" s="1"/>
      <c r="B1438" s="2"/>
      <c r="C1438" s="2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</row>
    <row r="1439" spans="1:6" ht="15">
      <c r="A1439" s="4"/>
      <c r="B1439"/>
      <c r="F1439"/>
    </row>
    <row r="1440" spans="1:6" ht="15">
      <c r="A1440" s="4"/>
      <c r="B1440"/>
      <c r="F1440"/>
    </row>
    <row r="1441" spans="1:6" ht="15">
      <c r="A1441" s="4"/>
      <c r="B1441"/>
      <c r="F1441"/>
    </row>
    <row r="1442" spans="1:25" ht="15">
      <c r="A1442" s="1"/>
      <c r="B1442" s="2"/>
      <c r="C1442" s="2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</row>
    <row r="1443" spans="1:6" ht="15">
      <c r="A1443" s="4" t="s">
        <v>0</v>
      </c>
      <c r="B1443" s="5"/>
      <c r="C1443" s="6" t="s">
        <v>1</v>
      </c>
      <c r="F1443"/>
    </row>
    <row r="1444" spans="1:6" ht="15">
      <c r="A1444" s="4"/>
      <c r="B1444" s="5"/>
      <c r="C1444" s="6" t="s">
        <v>2</v>
      </c>
      <c r="F1444"/>
    </row>
    <row r="1445" spans="1:6" ht="15">
      <c r="A1445" s="4"/>
      <c r="B1445" s="5"/>
      <c r="C1445" s="7" t="s">
        <v>163</v>
      </c>
      <c r="F1445"/>
    </row>
    <row r="1446" spans="1:6" ht="15">
      <c r="A1446" s="4"/>
      <c r="B1446" s="5"/>
      <c r="C1446" s="8"/>
      <c r="F1446"/>
    </row>
    <row r="1447" spans="1:25" ht="15">
      <c r="A1447" s="4"/>
      <c r="B1447" s="5"/>
      <c r="C1447" s="9"/>
      <c r="D1447" s="10" t="s">
        <v>4</v>
      </c>
      <c r="E1447" s="10"/>
      <c r="F1447" s="10" t="s">
        <v>5</v>
      </c>
      <c r="G1447" s="10" t="s">
        <v>6</v>
      </c>
      <c r="H1447" s="10"/>
      <c r="I1447" s="10" t="s">
        <v>7</v>
      </c>
      <c r="J1447" s="10" t="s">
        <v>8</v>
      </c>
      <c r="K1447" s="10" t="s">
        <v>9</v>
      </c>
      <c r="L1447" s="10" t="s">
        <v>10</v>
      </c>
      <c r="M1447" s="10" t="s">
        <v>11</v>
      </c>
      <c r="N1447" s="10" t="s">
        <v>12</v>
      </c>
      <c r="O1447" s="10" t="s">
        <v>13</v>
      </c>
      <c r="P1447" s="10"/>
      <c r="Q1447" s="10" t="s">
        <v>14</v>
      </c>
      <c r="R1447" s="10" t="s">
        <v>15</v>
      </c>
      <c r="S1447" s="10"/>
      <c r="T1447" s="10" t="s">
        <v>16</v>
      </c>
      <c r="U1447" s="10"/>
      <c r="V1447" s="10" t="s">
        <v>17</v>
      </c>
      <c r="W1447" s="10" t="s">
        <v>18</v>
      </c>
      <c r="X1447" s="10" t="s">
        <v>19</v>
      </c>
      <c r="Y1447" s="10"/>
    </row>
    <row r="1448" spans="1:24" ht="15">
      <c r="A1448" s="4"/>
      <c r="B1448" s="87" t="s">
        <v>174</v>
      </c>
      <c r="C1448" s="5"/>
      <c r="D1448" s="10" t="s">
        <v>20</v>
      </c>
      <c r="E1448" s="10"/>
      <c r="F1448" s="10" t="s">
        <v>21</v>
      </c>
      <c r="G1448" s="10" t="s">
        <v>22</v>
      </c>
      <c r="I1448" s="10" t="s">
        <v>20</v>
      </c>
      <c r="J1448" s="10" t="s">
        <v>20</v>
      </c>
      <c r="K1448" s="10" t="s">
        <v>20</v>
      </c>
      <c r="L1448" s="10" t="s">
        <v>20</v>
      </c>
      <c r="M1448" s="10" t="s">
        <v>20</v>
      </c>
      <c r="N1448" s="10" t="s">
        <v>20</v>
      </c>
      <c r="O1448" s="10" t="s">
        <v>20</v>
      </c>
      <c r="Q1448" s="10" t="s">
        <v>20</v>
      </c>
      <c r="R1448" s="10" t="s">
        <v>20</v>
      </c>
      <c r="S1448" s="10"/>
      <c r="T1448" s="10" t="s">
        <v>20</v>
      </c>
      <c r="V1448" s="10" t="s">
        <v>20</v>
      </c>
      <c r="W1448" s="10" t="s">
        <v>20</v>
      </c>
      <c r="X1448" s="10" t="s">
        <v>20</v>
      </c>
    </row>
    <row r="1449" spans="1:24" ht="42.75">
      <c r="A1449" s="4"/>
      <c r="B1449" s="5"/>
      <c r="C1449" s="11"/>
      <c r="D1449" s="12" t="s">
        <v>23</v>
      </c>
      <c r="E1449" s="13"/>
      <c r="F1449" s="12" t="s">
        <v>175</v>
      </c>
      <c r="G1449" s="13" t="s">
        <v>24</v>
      </c>
      <c r="I1449" s="13" t="s">
        <v>25</v>
      </c>
      <c r="J1449" s="8" t="s">
        <v>26</v>
      </c>
      <c r="K1449" s="13" t="s">
        <v>27</v>
      </c>
      <c r="L1449" s="13" t="s">
        <v>28</v>
      </c>
      <c r="M1449" s="13" t="s">
        <v>29</v>
      </c>
      <c r="N1449" s="13" t="s">
        <v>30</v>
      </c>
      <c r="O1449" s="13" t="s">
        <v>31</v>
      </c>
      <c r="Q1449" s="14">
        <v>4470115</v>
      </c>
      <c r="R1449" s="13" t="s">
        <v>32</v>
      </c>
      <c r="S1449" s="13"/>
      <c r="T1449" s="14">
        <v>4470119</v>
      </c>
      <c r="V1449" s="8" t="s">
        <v>33</v>
      </c>
      <c r="W1449" s="8" t="s">
        <v>34</v>
      </c>
      <c r="X1449" s="8" t="s">
        <v>35</v>
      </c>
    </row>
    <row r="1450" spans="1:23" ht="15">
      <c r="A1450" s="4"/>
      <c r="B1450" s="5"/>
      <c r="C1450" s="11"/>
      <c r="D1450" s="13"/>
      <c r="E1450" s="13"/>
      <c r="F1450" s="13"/>
      <c r="G1450" s="15"/>
      <c r="I1450" s="13"/>
      <c r="J1450" s="13"/>
      <c r="K1450" s="13"/>
      <c r="L1450" s="13"/>
      <c r="M1450" s="13"/>
      <c r="N1450" s="13"/>
      <c r="O1450" s="13"/>
      <c r="Q1450" s="14"/>
      <c r="R1450" s="13"/>
      <c r="S1450" s="14"/>
      <c r="T1450" s="16"/>
      <c r="V1450" s="14"/>
      <c r="W1450" s="13"/>
    </row>
    <row r="1451" spans="1:25" ht="15">
      <c r="A1451" s="4">
        <v>1</v>
      </c>
      <c r="B1451" s="5" t="s">
        <v>36</v>
      </c>
      <c r="C1451" s="17" t="s">
        <v>37</v>
      </c>
      <c r="D1451" s="76">
        <v>5296218</v>
      </c>
      <c r="E1451" s="77"/>
      <c r="F1451" s="93">
        <v>4922824</v>
      </c>
      <c r="G1451" s="21">
        <f>+D1451-F1451</f>
        <v>373394</v>
      </c>
      <c r="H1451" s="18"/>
      <c r="I1451" s="18">
        <v>0</v>
      </c>
      <c r="J1451" s="18">
        <v>0</v>
      </c>
      <c r="K1451" s="18">
        <v>0</v>
      </c>
      <c r="L1451" s="18">
        <v>0</v>
      </c>
      <c r="M1451" s="18">
        <v>0</v>
      </c>
      <c r="N1451" s="18">
        <v>0</v>
      </c>
      <c r="O1451" s="18">
        <v>0</v>
      </c>
      <c r="P1451" s="18"/>
      <c r="Q1451" s="18">
        <v>0</v>
      </c>
      <c r="R1451" s="18">
        <v>0</v>
      </c>
      <c r="S1451" s="18"/>
      <c r="T1451" s="18">
        <v>0</v>
      </c>
      <c r="U1451" s="18"/>
      <c r="V1451" s="18">
        <v>0</v>
      </c>
      <c r="W1451" s="18">
        <v>0</v>
      </c>
      <c r="X1451" s="18">
        <v>0</v>
      </c>
      <c r="Y1451" s="18"/>
    </row>
    <row r="1452" spans="1:25" ht="15">
      <c r="A1452" s="4">
        <f>+A1451+1</f>
        <v>2</v>
      </c>
      <c r="B1452" s="5" t="s">
        <v>36</v>
      </c>
      <c r="C1452" s="22" t="s">
        <v>38</v>
      </c>
      <c r="D1452" s="27">
        <v>5289762</v>
      </c>
      <c r="E1452" s="19"/>
      <c r="F1452" s="23">
        <v>4860860</v>
      </c>
      <c r="G1452" s="21">
        <f>+D1452-F1452</f>
        <v>428902</v>
      </c>
      <c r="H1452" s="18"/>
      <c r="I1452" s="18">
        <v>0</v>
      </c>
      <c r="J1452" s="18">
        <v>0</v>
      </c>
      <c r="K1452" s="18">
        <v>0</v>
      </c>
      <c r="L1452" s="18">
        <v>0</v>
      </c>
      <c r="M1452" s="18">
        <v>0</v>
      </c>
      <c r="N1452" s="18">
        <v>0</v>
      </c>
      <c r="O1452" s="18">
        <v>0</v>
      </c>
      <c r="P1452" s="18"/>
      <c r="Q1452" s="18">
        <v>0</v>
      </c>
      <c r="R1452" s="18">
        <v>0</v>
      </c>
      <c r="S1452" s="18"/>
      <c r="T1452" s="18">
        <v>0</v>
      </c>
      <c r="U1452" s="18"/>
      <c r="V1452" s="18">
        <v>0</v>
      </c>
      <c r="W1452" s="18">
        <v>0</v>
      </c>
      <c r="X1452" s="18">
        <v>0</v>
      </c>
      <c r="Y1452" s="18"/>
    </row>
    <row r="1453" spans="1:25" ht="22.5">
      <c r="A1453" s="4">
        <f>+A1452+1</f>
        <v>3</v>
      </c>
      <c r="B1453" s="24" t="s">
        <v>176</v>
      </c>
      <c r="C1453" s="25" t="s">
        <v>177</v>
      </c>
      <c r="D1453" s="18">
        <f>+D1451-D1452</f>
        <v>6456</v>
      </c>
      <c r="E1453" s="19"/>
      <c r="F1453" s="26">
        <f>+F1451-F1452</f>
        <v>61964</v>
      </c>
      <c r="G1453" s="18">
        <f>+G1451-G1452</f>
        <v>-55508</v>
      </c>
      <c r="H1453" s="18"/>
      <c r="I1453" s="18">
        <f aca="true" t="shared" si="177" ref="I1453:O1453">+I1451-I1452</f>
        <v>0</v>
      </c>
      <c r="J1453" s="18">
        <f t="shared" si="177"/>
        <v>0</v>
      </c>
      <c r="K1453" s="18">
        <f t="shared" si="177"/>
        <v>0</v>
      </c>
      <c r="L1453" s="18">
        <f t="shared" si="177"/>
        <v>0</v>
      </c>
      <c r="M1453" s="18">
        <f t="shared" si="177"/>
        <v>0</v>
      </c>
      <c r="N1453" s="18">
        <f t="shared" si="177"/>
        <v>0</v>
      </c>
      <c r="O1453" s="18">
        <f t="shared" si="177"/>
        <v>0</v>
      </c>
      <c r="P1453" s="18"/>
      <c r="Q1453" s="18">
        <f>+Q1451-Q1452</f>
        <v>0</v>
      </c>
      <c r="R1453" s="18">
        <f>+R1451-R1452</f>
        <v>0</v>
      </c>
      <c r="S1453" s="18"/>
      <c r="T1453" s="18">
        <f>+T1451-T1452</f>
        <v>0</v>
      </c>
      <c r="U1453" s="18"/>
      <c r="V1453" s="18">
        <f>+V1451-V1452</f>
        <v>0</v>
      </c>
      <c r="W1453" s="18">
        <f>+W1451-W1452</f>
        <v>0</v>
      </c>
      <c r="X1453" s="18">
        <f>+X1451-X1452</f>
        <v>0</v>
      </c>
      <c r="Y1453" s="18"/>
    </row>
    <row r="1454" spans="1:25" ht="28.5">
      <c r="A1454" s="4">
        <f>+A1453+1</f>
        <v>4</v>
      </c>
      <c r="B1454" s="88" t="s">
        <v>178</v>
      </c>
      <c r="C1454" s="25" t="s">
        <v>179</v>
      </c>
      <c r="D1454" s="18">
        <v>0</v>
      </c>
      <c r="E1454" s="19"/>
      <c r="F1454" s="26">
        <v>0</v>
      </c>
      <c r="G1454" s="18">
        <f>+D1454-F1454</f>
        <v>0</v>
      </c>
      <c r="H1454" s="18"/>
      <c r="I1454" s="27">
        <v>0</v>
      </c>
      <c r="J1454" s="18">
        <v>0</v>
      </c>
      <c r="K1454" s="18">
        <v>0</v>
      </c>
      <c r="L1454" s="18">
        <v>0</v>
      </c>
      <c r="M1454" s="18">
        <v>0</v>
      </c>
      <c r="N1454" s="18">
        <v>0</v>
      </c>
      <c r="O1454" s="18">
        <v>0</v>
      </c>
      <c r="P1454" s="18"/>
      <c r="Q1454" s="18">
        <v>0</v>
      </c>
      <c r="R1454" s="18">
        <v>0</v>
      </c>
      <c r="S1454" s="18"/>
      <c r="T1454" s="18">
        <v>0</v>
      </c>
      <c r="U1454" s="18"/>
      <c r="V1454" s="18">
        <v>0</v>
      </c>
      <c r="W1454" s="18">
        <v>0</v>
      </c>
      <c r="X1454" s="18">
        <v>0</v>
      </c>
      <c r="Y1454" s="18"/>
    </row>
    <row r="1455" spans="1:25" ht="24.75">
      <c r="A1455" s="4">
        <f>+A1454+1</f>
        <v>5</v>
      </c>
      <c r="B1455" s="89" t="s">
        <v>39</v>
      </c>
      <c r="C1455" s="28" t="s">
        <v>40</v>
      </c>
      <c r="D1455" s="27">
        <v>-27974</v>
      </c>
      <c r="E1455" s="29"/>
      <c r="F1455" s="30">
        <v>0</v>
      </c>
      <c r="G1455" s="31">
        <f>+D1455-F1455</f>
        <v>-27974</v>
      </c>
      <c r="H1455" s="18"/>
      <c r="I1455" s="27">
        <v>0</v>
      </c>
      <c r="J1455" s="27">
        <v>-4</v>
      </c>
      <c r="K1455" s="27">
        <v>0</v>
      </c>
      <c r="L1455" s="27">
        <v>83357</v>
      </c>
      <c r="M1455" s="27">
        <v>4502</v>
      </c>
      <c r="N1455" s="27">
        <v>-1</v>
      </c>
      <c r="O1455" s="27">
        <v>-1517.98</v>
      </c>
      <c r="P1455" s="18"/>
      <c r="Q1455" s="27">
        <v>15457.8</v>
      </c>
      <c r="R1455" s="27">
        <v>0</v>
      </c>
      <c r="S1455" s="27"/>
      <c r="T1455" s="27">
        <v>0</v>
      </c>
      <c r="U1455" s="27"/>
      <c r="V1455" s="27">
        <v>0</v>
      </c>
      <c r="W1455" s="27">
        <v>0</v>
      </c>
      <c r="X1455" s="27">
        <v>-97146</v>
      </c>
      <c r="Y1455" s="18"/>
    </row>
    <row r="1456" spans="1:25" ht="15">
      <c r="A1456" s="6" t="s">
        <v>41</v>
      </c>
      <c r="B1456" s="90"/>
      <c r="C1456" s="11"/>
      <c r="D1456" s="18"/>
      <c r="E1456" s="19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 t="s">
        <v>0</v>
      </c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</row>
    <row r="1457" spans="1:25" ht="15">
      <c r="A1457" s="4">
        <f>+A1455+1</f>
        <v>6</v>
      </c>
      <c r="B1457" s="5" t="s">
        <v>42</v>
      </c>
      <c r="C1457" s="22" t="s">
        <v>38</v>
      </c>
      <c r="D1457" s="27">
        <v>3989003</v>
      </c>
      <c r="E1457" s="19"/>
      <c r="F1457" s="23">
        <v>3879313</v>
      </c>
      <c r="G1457" s="18">
        <f>+D1457-F1457</f>
        <v>109690</v>
      </c>
      <c r="H1457" s="18"/>
      <c r="I1457" s="18">
        <v>0</v>
      </c>
      <c r="J1457" s="18">
        <v>0</v>
      </c>
      <c r="K1457" s="18">
        <v>0</v>
      </c>
      <c r="L1457" s="18">
        <v>0</v>
      </c>
      <c r="M1457" s="18">
        <v>0</v>
      </c>
      <c r="N1457" s="18">
        <v>0</v>
      </c>
      <c r="O1457" s="18">
        <v>0</v>
      </c>
      <c r="P1457" s="18"/>
      <c r="Q1457" s="18">
        <v>0</v>
      </c>
      <c r="R1457" s="18">
        <v>0</v>
      </c>
      <c r="S1457" s="18"/>
      <c r="T1457" s="18">
        <v>0</v>
      </c>
      <c r="U1457" s="18"/>
      <c r="V1457" s="18">
        <v>0</v>
      </c>
      <c r="W1457" s="18">
        <v>0</v>
      </c>
      <c r="X1457" s="18">
        <v>0</v>
      </c>
      <c r="Y1457" s="18"/>
    </row>
    <row r="1458" spans="1:25" ht="15">
      <c r="A1458" s="4">
        <f>+A1457+1</f>
        <v>7</v>
      </c>
      <c r="B1458" s="5" t="s">
        <v>43</v>
      </c>
      <c r="C1458" s="11"/>
      <c r="D1458" s="27">
        <v>22399</v>
      </c>
      <c r="E1458" s="19"/>
      <c r="F1458" s="23">
        <v>20486</v>
      </c>
      <c r="G1458" s="18">
        <f>+D1458-F1458</f>
        <v>1913</v>
      </c>
      <c r="H1458" s="18"/>
      <c r="I1458" s="18">
        <v>0</v>
      </c>
      <c r="J1458" s="18">
        <v>0</v>
      </c>
      <c r="K1458" s="18">
        <v>0</v>
      </c>
      <c r="L1458" s="18">
        <v>0</v>
      </c>
      <c r="M1458" s="18">
        <v>0</v>
      </c>
      <c r="N1458" s="18">
        <v>0</v>
      </c>
      <c r="O1458" s="31">
        <v>0</v>
      </c>
      <c r="P1458" s="18"/>
      <c r="Q1458" s="18">
        <v>0</v>
      </c>
      <c r="R1458" s="18">
        <v>0</v>
      </c>
      <c r="S1458" s="18"/>
      <c r="T1458" s="18">
        <v>0</v>
      </c>
      <c r="U1458" s="18"/>
      <c r="V1458" s="18">
        <v>0</v>
      </c>
      <c r="W1458" s="18">
        <v>0</v>
      </c>
      <c r="X1458" s="18">
        <v>0</v>
      </c>
      <c r="Y1458" s="18"/>
    </row>
    <row r="1459" spans="1:25" ht="35.25">
      <c r="A1459" s="4">
        <f>+A1458+1</f>
        <v>8</v>
      </c>
      <c r="B1459" s="24" t="s">
        <v>180</v>
      </c>
      <c r="C1459" s="32" t="s">
        <v>44</v>
      </c>
      <c r="D1459" s="33">
        <f>D1457-D1458</f>
        <v>3966604</v>
      </c>
      <c r="E1459" s="34"/>
      <c r="F1459" s="91">
        <f>+F1457-F1458</f>
        <v>3858827</v>
      </c>
      <c r="G1459" s="18">
        <f>+G1457-G1458</f>
        <v>107777</v>
      </c>
      <c r="H1459" s="18"/>
      <c r="I1459" s="18">
        <f aca="true" t="shared" si="178" ref="I1459:O1459">+I1457-I1458</f>
        <v>0</v>
      </c>
      <c r="J1459" s="18">
        <f t="shared" si="178"/>
        <v>0</v>
      </c>
      <c r="K1459" s="18">
        <f t="shared" si="178"/>
        <v>0</v>
      </c>
      <c r="L1459" s="18">
        <f t="shared" si="178"/>
        <v>0</v>
      </c>
      <c r="M1459" s="18">
        <f t="shared" si="178"/>
        <v>0</v>
      </c>
      <c r="N1459" s="18">
        <f t="shared" si="178"/>
        <v>0</v>
      </c>
      <c r="O1459" s="18">
        <f t="shared" si="178"/>
        <v>0</v>
      </c>
      <c r="P1459" s="18"/>
      <c r="Q1459" s="18">
        <f>+Q1457-Q1458</f>
        <v>0</v>
      </c>
      <c r="R1459" s="18">
        <f>+R1457-R1458</f>
        <v>0</v>
      </c>
      <c r="S1459" s="18"/>
      <c r="T1459" s="18">
        <f>+T1457-T1458</f>
        <v>0</v>
      </c>
      <c r="U1459" s="18"/>
      <c r="V1459" s="18">
        <f>+V1457-V1458</f>
        <v>0</v>
      </c>
      <c r="W1459" s="18">
        <f>+W1457-W1458</f>
        <v>0</v>
      </c>
      <c r="X1459" s="18">
        <f>+X1457-X1458</f>
        <v>0</v>
      </c>
      <c r="Y1459" s="18"/>
    </row>
    <row r="1460" spans="1:25" ht="28.5">
      <c r="A1460" s="4">
        <f>+A1459+1</f>
        <v>9</v>
      </c>
      <c r="B1460" s="88" t="s">
        <v>181</v>
      </c>
      <c r="C1460" s="35" t="s">
        <v>45</v>
      </c>
      <c r="D1460" s="18">
        <v>0</v>
      </c>
      <c r="E1460" s="19"/>
      <c r="F1460" s="31">
        <v>0</v>
      </c>
      <c r="G1460" s="31">
        <f>+D1460-F1460</f>
        <v>0</v>
      </c>
      <c r="H1460" s="18"/>
      <c r="I1460" s="18">
        <v>0</v>
      </c>
      <c r="J1460" s="18">
        <v>0</v>
      </c>
      <c r="K1460" s="18">
        <v>0</v>
      </c>
      <c r="L1460" s="18">
        <v>0</v>
      </c>
      <c r="M1460" s="18">
        <v>0</v>
      </c>
      <c r="N1460" s="18">
        <v>0</v>
      </c>
      <c r="O1460" s="31">
        <v>0</v>
      </c>
      <c r="P1460" s="18"/>
      <c r="Q1460" s="18">
        <v>0</v>
      </c>
      <c r="R1460" s="18">
        <v>0</v>
      </c>
      <c r="S1460" s="18"/>
      <c r="T1460" s="18">
        <v>0</v>
      </c>
      <c r="U1460" s="18"/>
      <c r="V1460" s="18">
        <v>0</v>
      </c>
      <c r="W1460" s="18">
        <v>0</v>
      </c>
      <c r="X1460" s="18">
        <v>0</v>
      </c>
      <c r="Y1460" s="18"/>
    </row>
    <row r="1461" spans="1:25" ht="15">
      <c r="A1461" s="4">
        <f>+A1460+1</f>
        <v>10</v>
      </c>
      <c r="B1461" s="24" t="s">
        <v>46</v>
      </c>
      <c r="C1461" s="11" t="s">
        <v>47</v>
      </c>
      <c r="D1461" s="36">
        <f>+D1453+D1454+D1455+D1459+D1460</f>
        <v>3945086</v>
      </c>
      <c r="E1461" s="19"/>
      <c r="F1461" s="36">
        <f>+F1453+F1454+F1455+F1459+F1460</f>
        <v>3920791</v>
      </c>
      <c r="G1461" s="18">
        <f>+G1453+G1454+G1459+G1460+G1455</f>
        <v>24295</v>
      </c>
      <c r="H1461" s="18"/>
      <c r="I1461" s="18">
        <f aca="true" t="shared" si="179" ref="I1461:O1461">+I1453+I1454+I1459+I1460+I1455</f>
        <v>0</v>
      </c>
      <c r="J1461" s="21">
        <f t="shared" si="179"/>
        <v>-4</v>
      </c>
      <c r="K1461" s="18">
        <f t="shared" si="179"/>
        <v>0</v>
      </c>
      <c r="L1461" s="18">
        <f t="shared" si="179"/>
        <v>83357</v>
      </c>
      <c r="M1461" s="18">
        <f t="shared" si="179"/>
        <v>4502</v>
      </c>
      <c r="N1461" s="18">
        <f t="shared" si="179"/>
        <v>-1</v>
      </c>
      <c r="O1461" s="18">
        <f t="shared" si="179"/>
        <v>-1517.98</v>
      </c>
      <c r="P1461" s="18"/>
      <c r="Q1461" s="18">
        <f>+Q1453+Q1454+Q1459+Q1460+Q1455</f>
        <v>15457.8</v>
      </c>
      <c r="R1461" s="18">
        <f>+R1453+R1454+R1459+R1460+R1455</f>
        <v>0</v>
      </c>
      <c r="S1461" s="18"/>
      <c r="T1461" s="18">
        <f>+T1453+T1454+T1459+T1460+T1455</f>
        <v>0</v>
      </c>
      <c r="U1461" s="18"/>
      <c r="V1461" s="18">
        <f>+V1453+V1454+V1459+V1460+V1455</f>
        <v>0</v>
      </c>
      <c r="W1461" s="18">
        <f>+W1453+W1454+W1459+W1460+W1455</f>
        <v>0</v>
      </c>
      <c r="X1461" s="18">
        <f>+X1453+X1454+X1459+X1460+X1455</f>
        <v>-97146</v>
      </c>
      <c r="Y1461" s="18"/>
    </row>
    <row r="1462" spans="1:25" ht="15">
      <c r="A1462" s="4"/>
      <c r="B1462" s="24"/>
      <c r="C1462" s="11" t="s">
        <v>0</v>
      </c>
      <c r="D1462" s="27" t="s">
        <v>0</v>
      </c>
      <c r="E1462" s="18"/>
      <c r="F1462" s="36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</row>
    <row r="1463" spans="1:25" ht="15">
      <c r="A1463" s="4"/>
      <c r="B1463"/>
      <c r="C1463" s="37"/>
      <c r="D1463" s="18">
        <f>143736.68+467018.55-48772.21+3383102.95</f>
        <v>3945085.97</v>
      </c>
      <c r="E1463" s="18"/>
      <c r="F1463" s="92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</row>
    <row r="1464" spans="1:25" ht="15">
      <c r="A1464" s="4"/>
      <c r="B1464" s="24"/>
      <c r="C1464" s="11"/>
      <c r="D1464" s="6" t="s">
        <v>48</v>
      </c>
      <c r="E1464" s="6"/>
      <c r="F1464" s="10" t="s">
        <v>49</v>
      </c>
      <c r="G1464" s="10" t="s">
        <v>50</v>
      </c>
      <c r="I1464" s="10" t="s">
        <v>51</v>
      </c>
      <c r="J1464" s="10" t="s">
        <v>52</v>
      </c>
      <c r="K1464" s="10" t="s">
        <v>53</v>
      </c>
      <c r="L1464" s="10" t="s">
        <v>54</v>
      </c>
      <c r="M1464" s="10" t="s">
        <v>55</v>
      </c>
      <c r="N1464" s="10" t="s">
        <v>56</v>
      </c>
      <c r="O1464" s="10" t="s">
        <v>57</v>
      </c>
      <c r="P1464" s="18"/>
      <c r="Q1464" s="10" t="s">
        <v>58</v>
      </c>
      <c r="R1464" s="10" t="s">
        <v>59</v>
      </c>
      <c r="S1464" s="10"/>
      <c r="T1464" s="10" t="s">
        <v>60</v>
      </c>
      <c r="U1464" s="18"/>
      <c r="V1464" s="10" t="s">
        <v>61</v>
      </c>
      <c r="W1464" s="10" t="s">
        <v>62</v>
      </c>
      <c r="X1464" s="10" t="s">
        <v>63</v>
      </c>
      <c r="Y1464" s="18"/>
    </row>
    <row r="1465" spans="1:25" ht="15">
      <c r="A1465" s="4"/>
      <c r="B1465"/>
      <c r="C1465" s="11"/>
      <c r="D1465" s="10" t="s">
        <v>20</v>
      </c>
      <c r="E1465" s="38"/>
      <c r="F1465" s="10" t="s">
        <v>20</v>
      </c>
      <c r="G1465" s="10" t="s">
        <v>20</v>
      </c>
      <c r="I1465" s="10" t="s">
        <v>20</v>
      </c>
      <c r="J1465" s="10" t="s">
        <v>20</v>
      </c>
      <c r="K1465" s="10" t="s">
        <v>20</v>
      </c>
      <c r="L1465" s="10" t="s">
        <v>20</v>
      </c>
      <c r="M1465" s="10" t="s">
        <v>20</v>
      </c>
      <c r="N1465" s="10" t="s">
        <v>20</v>
      </c>
      <c r="O1465" s="10" t="s">
        <v>20</v>
      </c>
      <c r="P1465" s="18"/>
      <c r="Q1465" s="10" t="s">
        <v>20</v>
      </c>
      <c r="R1465" s="10" t="s">
        <v>20</v>
      </c>
      <c r="S1465" s="14"/>
      <c r="T1465" s="10" t="s">
        <v>20</v>
      </c>
      <c r="U1465" s="18"/>
      <c r="W1465" s="39" t="s">
        <v>64</v>
      </c>
      <c r="Y1465" s="18"/>
    </row>
    <row r="1466" spans="1:25" ht="15">
      <c r="A1466" s="4"/>
      <c r="B1466" s="87" t="s">
        <v>174</v>
      </c>
      <c r="C1466" s="11"/>
      <c r="D1466" s="8" t="s">
        <v>155</v>
      </c>
      <c r="E1466" s="6"/>
      <c r="F1466" s="8" t="s">
        <v>66</v>
      </c>
      <c r="G1466" s="8" t="s">
        <v>67</v>
      </c>
      <c r="H1466" s="19"/>
      <c r="I1466" s="8" t="s">
        <v>68</v>
      </c>
      <c r="J1466" s="8" t="s">
        <v>69</v>
      </c>
      <c r="K1466" s="8" t="s">
        <v>70</v>
      </c>
      <c r="L1466" s="8" t="s">
        <v>71</v>
      </c>
      <c r="M1466" s="8" t="s">
        <v>72</v>
      </c>
      <c r="N1466" s="8" t="s">
        <v>73</v>
      </c>
      <c r="O1466" s="8" t="s">
        <v>74</v>
      </c>
      <c r="P1466" s="6"/>
      <c r="Q1466" s="8" t="s">
        <v>75</v>
      </c>
      <c r="R1466" s="8" t="s">
        <v>76</v>
      </c>
      <c r="S1466" s="8"/>
      <c r="T1466" s="8" t="s">
        <v>77</v>
      </c>
      <c r="U1466" s="18"/>
      <c r="V1466" s="10" t="s">
        <v>20</v>
      </c>
      <c r="W1466" s="14" t="s">
        <v>21</v>
      </c>
      <c r="X1466" s="10" t="s">
        <v>22</v>
      </c>
      <c r="Y1466" s="18"/>
    </row>
    <row r="1467" spans="1:8" ht="15">
      <c r="A1467" s="4"/>
      <c r="B1467" s="24"/>
      <c r="C1467" s="11"/>
      <c r="E1467" s="14"/>
      <c r="F1467"/>
      <c r="H1467" s="18"/>
    </row>
    <row r="1468" spans="1:24" ht="15">
      <c r="A1468" s="4">
        <f>+A1461+1</f>
        <v>11</v>
      </c>
      <c r="B1468" s="5" t="s">
        <v>36</v>
      </c>
      <c r="C1468" s="17" t="s">
        <v>37</v>
      </c>
      <c r="D1468" s="18">
        <v>0</v>
      </c>
      <c r="E1468" s="18"/>
      <c r="F1468" s="18">
        <v>0</v>
      </c>
      <c r="G1468" s="18">
        <v>0</v>
      </c>
      <c r="I1468" s="27">
        <v>267493</v>
      </c>
      <c r="J1468" s="18">
        <v>0</v>
      </c>
      <c r="K1468" s="18">
        <v>0</v>
      </c>
      <c r="L1468" s="18">
        <v>0</v>
      </c>
      <c r="M1468" s="18">
        <v>0</v>
      </c>
      <c r="N1468" s="18">
        <v>0</v>
      </c>
      <c r="O1468" s="18">
        <v>0</v>
      </c>
      <c r="Q1468" s="18">
        <v>0</v>
      </c>
      <c r="R1468" s="18">
        <v>0</v>
      </c>
      <c r="S1468" s="18"/>
      <c r="T1468" s="18">
        <v>0</v>
      </c>
      <c r="V1468" s="18">
        <f>+D1451+I1451+J1451+K1451+L1451+M1451+N1451+O1451+Q1451+R1451+T1451+V1451+W1451+X1451+D1468+F1468+G1468+I1468+J1468+K1468+L1468+M1468+N1468+O1468+Q1468+R1468+T1468</f>
        <v>5563711</v>
      </c>
      <c r="W1468" s="18">
        <f>+F1451</f>
        <v>4922824</v>
      </c>
      <c r="X1468" s="18">
        <f>+V1468-W1468</f>
        <v>640887</v>
      </c>
    </row>
    <row r="1469" spans="1:24" ht="15">
      <c r="A1469" s="4">
        <f>+A1468+1</f>
        <v>12</v>
      </c>
      <c r="B1469" s="5" t="s">
        <v>36</v>
      </c>
      <c r="C1469" s="22" t="s">
        <v>38</v>
      </c>
      <c r="D1469" s="18">
        <v>0</v>
      </c>
      <c r="E1469" s="18"/>
      <c r="F1469" s="18">
        <v>0</v>
      </c>
      <c r="G1469" s="18">
        <v>0</v>
      </c>
      <c r="I1469" s="27">
        <v>268949</v>
      </c>
      <c r="J1469" s="18">
        <v>0</v>
      </c>
      <c r="K1469" s="18">
        <v>0</v>
      </c>
      <c r="L1469" s="18">
        <v>0</v>
      </c>
      <c r="M1469" s="18">
        <v>0</v>
      </c>
      <c r="N1469" s="18">
        <v>0</v>
      </c>
      <c r="O1469" s="18">
        <v>0</v>
      </c>
      <c r="Q1469" s="18">
        <v>0</v>
      </c>
      <c r="R1469" s="18">
        <v>0</v>
      </c>
      <c r="S1469" s="18"/>
      <c r="T1469" s="18">
        <v>0</v>
      </c>
      <c r="V1469" s="18">
        <f>+D1452+I1452+J1452+K1452+L1452+M1452+N1452+O1452+Q1452+R1452+T1452+V1452+W1452+X1452+D1469+F1469+G1469+I1469+J1469+K1469+L1469+M1469+N1469+O1469+Q1469+R1469+T1469</f>
        <v>5558711</v>
      </c>
      <c r="W1469" s="18">
        <f>+F1452</f>
        <v>4860860</v>
      </c>
      <c r="X1469" s="18">
        <f>+V1469-W1469</f>
        <v>697851</v>
      </c>
    </row>
    <row r="1470" spans="1:24" ht="15">
      <c r="A1470" s="4">
        <f>+A1469+1</f>
        <v>13</v>
      </c>
      <c r="B1470" s="24" t="s">
        <v>46</v>
      </c>
      <c r="C1470" s="40" t="s">
        <v>78</v>
      </c>
      <c r="D1470" s="18">
        <f>+D1468-D1469</f>
        <v>0</v>
      </c>
      <c r="E1470" s="18"/>
      <c r="F1470" s="18">
        <f>+F1468-F1469</f>
        <v>0</v>
      </c>
      <c r="G1470" s="18">
        <f>+G1468-G1469</f>
        <v>0</v>
      </c>
      <c r="I1470" s="18">
        <f aca="true" t="shared" si="180" ref="I1470:O1470">+I1468-I1469</f>
        <v>-1456</v>
      </c>
      <c r="J1470" s="18">
        <f t="shared" si="180"/>
        <v>0</v>
      </c>
      <c r="K1470" s="18">
        <f t="shared" si="180"/>
        <v>0</v>
      </c>
      <c r="L1470" s="18">
        <f t="shared" si="180"/>
        <v>0</v>
      </c>
      <c r="M1470" s="18">
        <f t="shared" si="180"/>
        <v>0</v>
      </c>
      <c r="N1470" s="18">
        <f t="shared" si="180"/>
        <v>0</v>
      </c>
      <c r="O1470" s="18">
        <f t="shared" si="180"/>
        <v>0</v>
      </c>
      <c r="Q1470" s="18">
        <f>+Q1468-Q1469</f>
        <v>0</v>
      </c>
      <c r="R1470" s="18">
        <f>+R1468-R1469</f>
        <v>0</v>
      </c>
      <c r="S1470" s="18"/>
      <c r="T1470" s="18">
        <f>+T1468-T1469</f>
        <v>0</v>
      </c>
      <c r="V1470" s="27">
        <f>+V1468-V1469</f>
        <v>5000</v>
      </c>
      <c r="W1470" s="27">
        <f>+W1468-W1469</f>
        <v>61964</v>
      </c>
      <c r="X1470" s="18">
        <f>+X1468-X1469</f>
        <v>-56964</v>
      </c>
    </row>
    <row r="1471" spans="1:24" ht="28.5">
      <c r="A1471" s="4">
        <f>+A1470+1</f>
        <v>14</v>
      </c>
      <c r="B1471" s="88" t="s">
        <v>182</v>
      </c>
      <c r="C1471" s="11"/>
      <c r="D1471" s="18">
        <v>0</v>
      </c>
      <c r="E1471" s="18"/>
      <c r="F1471" s="18">
        <v>0</v>
      </c>
      <c r="G1471" s="18">
        <v>0</v>
      </c>
      <c r="I1471" s="18">
        <v>0</v>
      </c>
      <c r="J1471" s="18">
        <v>0</v>
      </c>
      <c r="K1471" s="18">
        <v>0</v>
      </c>
      <c r="L1471" s="18">
        <v>0</v>
      </c>
      <c r="M1471" s="18">
        <v>0</v>
      </c>
      <c r="N1471" s="18">
        <v>0</v>
      </c>
      <c r="O1471" s="18">
        <v>0</v>
      </c>
      <c r="Q1471" s="18">
        <v>0</v>
      </c>
      <c r="R1471" s="18">
        <v>0</v>
      </c>
      <c r="S1471" s="18"/>
      <c r="T1471" s="18">
        <v>0</v>
      </c>
      <c r="V1471" s="18">
        <f>+D1454+I1454+J1454+K1454+L1454+M1454+N1454+O1454+Q1454+R1454+T1454+V1454+W1454+X1454+D1471+F1471+G1471+I1471+J1471+K1471+L1471+M1471+N1471+O1471+Q1471+R1471+T1471</f>
        <v>0</v>
      </c>
      <c r="W1471" s="18">
        <f>+F1454</f>
        <v>0</v>
      </c>
      <c r="X1471" s="18">
        <f>+V1471-W1471</f>
        <v>0</v>
      </c>
    </row>
    <row r="1472" spans="1:24" ht="24.75">
      <c r="A1472" s="4">
        <f>+A1471+1</f>
        <v>15</v>
      </c>
      <c r="B1472" s="89" t="s">
        <v>39</v>
      </c>
      <c r="C1472" s="40"/>
      <c r="D1472" s="27">
        <v>-535</v>
      </c>
      <c r="E1472" s="18" t="s">
        <v>0</v>
      </c>
      <c r="F1472" s="27">
        <v>0</v>
      </c>
      <c r="G1472" s="27">
        <v>0</v>
      </c>
      <c r="H1472" t="s">
        <v>0</v>
      </c>
      <c r="I1472" s="27">
        <v>0</v>
      </c>
      <c r="J1472" s="27">
        <v>6688</v>
      </c>
      <c r="K1472" s="27">
        <v>0</v>
      </c>
      <c r="L1472" s="27">
        <v>0</v>
      </c>
      <c r="M1472" s="27">
        <v>40734</v>
      </c>
      <c r="N1472" s="27">
        <v>-171798</v>
      </c>
      <c r="O1472" s="27">
        <v>25</v>
      </c>
      <c r="Q1472" s="27">
        <v>0</v>
      </c>
      <c r="R1472" s="27">
        <v>0</v>
      </c>
      <c r="S1472" s="27"/>
      <c r="T1472" s="27">
        <v>0</v>
      </c>
      <c r="V1472" s="18">
        <f>+D1455+I1455+J1455+K1455+L1455+M1455+N1455+O1455+Q1455+R1455+T1455+V1455+W1455+X1455+D1472+F1472+G1472+I1472+J1472+K1472+L1472+M1472+N1472+O1472+Q1472+R1472+T1472</f>
        <v>-148212.18</v>
      </c>
      <c r="W1472" s="18">
        <f>+F1455</f>
        <v>0</v>
      </c>
      <c r="X1472" s="18">
        <f>+V1472-W1472</f>
        <v>-148212.18</v>
      </c>
    </row>
    <row r="1473" spans="1:24" ht="15">
      <c r="A1473" s="6" t="s">
        <v>41</v>
      </c>
      <c r="B1473" s="41"/>
      <c r="C1473" s="40"/>
      <c r="D1473" s="18"/>
      <c r="E1473" s="18"/>
      <c r="F1473" s="18"/>
      <c r="G1473" s="18"/>
      <c r="I1473" s="18"/>
      <c r="J1473" s="18"/>
      <c r="K1473" s="18"/>
      <c r="L1473" s="18"/>
      <c r="M1473" s="18"/>
      <c r="N1473" s="18"/>
      <c r="O1473" s="18"/>
      <c r="Q1473" s="18"/>
      <c r="R1473" s="18"/>
      <c r="S1473" s="18"/>
      <c r="T1473" s="18"/>
      <c r="V1473" s="18"/>
      <c r="W1473" s="18"/>
      <c r="X1473" s="18"/>
    </row>
    <row r="1474" spans="1:24" ht="15">
      <c r="A1474" s="4">
        <f>+A1472+1</f>
        <v>16</v>
      </c>
      <c r="B1474" s="5" t="s">
        <v>42</v>
      </c>
      <c r="C1474" s="22" t="s">
        <v>38</v>
      </c>
      <c r="D1474" s="18">
        <v>0</v>
      </c>
      <c r="E1474" s="18"/>
      <c r="F1474" s="18">
        <v>0</v>
      </c>
      <c r="G1474" s="18">
        <v>0</v>
      </c>
      <c r="I1474" s="27">
        <v>279349</v>
      </c>
      <c r="J1474" s="18">
        <v>0</v>
      </c>
      <c r="K1474" s="18">
        <v>0</v>
      </c>
      <c r="L1474" s="18">
        <v>0</v>
      </c>
      <c r="M1474" s="18">
        <v>0</v>
      </c>
      <c r="N1474" s="18">
        <v>0</v>
      </c>
      <c r="O1474" s="18">
        <v>0</v>
      </c>
      <c r="P1474" s="18"/>
      <c r="Q1474" s="18">
        <v>0</v>
      </c>
      <c r="R1474" s="18">
        <v>0</v>
      </c>
      <c r="S1474" s="18"/>
      <c r="T1474" s="18">
        <v>0</v>
      </c>
      <c r="U1474" s="18"/>
      <c r="V1474" s="18">
        <f>+D1457+I1457+J1457+K1457+L1457+M1457+N1457+O1457+Q1457+R1457+T1457+V1457+W1457+X1457+D1474+F1474+G1474+I1474+J1474+K1474+L1474+M1474+N1474+O1474+Q1474+R1474+T1474</f>
        <v>4268352</v>
      </c>
      <c r="W1474" s="18">
        <f>+F1457</f>
        <v>3879313</v>
      </c>
      <c r="X1474" s="18">
        <f>+V1474-W1474</f>
        <v>389039</v>
      </c>
    </row>
    <row r="1475" spans="1:24" ht="15">
      <c r="A1475" s="4">
        <f>+A1474+1</f>
        <v>17</v>
      </c>
      <c r="B1475" s="5" t="s">
        <v>43</v>
      </c>
      <c r="C1475" s="11"/>
      <c r="D1475" s="18">
        <v>0</v>
      </c>
      <c r="E1475" s="18"/>
      <c r="F1475" s="18">
        <v>0</v>
      </c>
      <c r="G1475" s="18">
        <v>0</v>
      </c>
      <c r="I1475" s="27">
        <v>0</v>
      </c>
      <c r="J1475" s="18">
        <v>0</v>
      </c>
      <c r="K1475" s="18">
        <v>0</v>
      </c>
      <c r="L1475" s="18">
        <v>0</v>
      </c>
      <c r="M1475" s="18">
        <v>0</v>
      </c>
      <c r="N1475" s="18">
        <v>0</v>
      </c>
      <c r="O1475" s="18">
        <v>0</v>
      </c>
      <c r="P1475" s="18"/>
      <c r="Q1475" s="18">
        <v>0</v>
      </c>
      <c r="R1475" s="18">
        <v>0</v>
      </c>
      <c r="S1475" s="18"/>
      <c r="T1475" s="18">
        <v>0</v>
      </c>
      <c r="U1475" s="18"/>
      <c r="V1475" s="18">
        <f>+D1458+I1458+J1458+K1458+L1458+M1458+N1458+O1458+Q1458+R1458+T1458+V1458+W1458+X1458+D1475+F1475+G1475+I1475+J1475+K1475+L1475+M1475+N1475+O1475+Q1475+R1475+T1475</f>
        <v>22399</v>
      </c>
      <c r="W1475" s="18">
        <f>+F1458</f>
        <v>20486</v>
      </c>
      <c r="X1475" s="18">
        <f>+V1475-W1475</f>
        <v>1913</v>
      </c>
    </row>
    <row r="1476" spans="1:24" ht="26.25">
      <c r="A1476" s="4">
        <f>+A1475+1</f>
        <v>18</v>
      </c>
      <c r="B1476" s="24" t="s">
        <v>79</v>
      </c>
      <c r="C1476" s="11"/>
      <c r="D1476" s="18">
        <f>+D1474-D1475</f>
        <v>0</v>
      </c>
      <c r="E1476" s="18"/>
      <c r="F1476" s="18">
        <f>+F1474-F1475</f>
        <v>0</v>
      </c>
      <c r="G1476" s="18">
        <f>+G1474-G1475</f>
        <v>0</v>
      </c>
      <c r="I1476" s="18">
        <f aca="true" t="shared" si="181" ref="I1476:O1476">+I1474-I1475</f>
        <v>279349</v>
      </c>
      <c r="J1476" s="18">
        <f t="shared" si="181"/>
        <v>0</v>
      </c>
      <c r="K1476" s="18">
        <f t="shared" si="181"/>
        <v>0</v>
      </c>
      <c r="L1476" s="18">
        <f t="shared" si="181"/>
        <v>0</v>
      </c>
      <c r="M1476" s="18">
        <f t="shared" si="181"/>
        <v>0</v>
      </c>
      <c r="N1476" s="18">
        <f t="shared" si="181"/>
        <v>0</v>
      </c>
      <c r="O1476" s="18">
        <f t="shared" si="181"/>
        <v>0</v>
      </c>
      <c r="P1476" s="18"/>
      <c r="Q1476" s="18">
        <f>+Q1474-Q1475</f>
        <v>0</v>
      </c>
      <c r="R1476" s="18">
        <f>+R1474-R1475</f>
        <v>0</v>
      </c>
      <c r="S1476" s="18"/>
      <c r="T1476" s="18">
        <f>+T1474-T1475</f>
        <v>0</v>
      </c>
      <c r="U1476" s="18"/>
      <c r="V1476" s="27">
        <f>+V1474-V1475</f>
        <v>4245953</v>
      </c>
      <c r="W1476" s="27">
        <f>+W1474-W1475</f>
        <v>3858827</v>
      </c>
      <c r="X1476" s="18">
        <f>+X1474-X1475</f>
        <v>387126</v>
      </c>
    </row>
    <row r="1477" spans="1:24" ht="28.5">
      <c r="A1477" s="4">
        <f>+A1476+1</f>
        <v>19</v>
      </c>
      <c r="B1477" s="88" t="s">
        <v>181</v>
      </c>
      <c r="C1477" s="11"/>
      <c r="D1477" s="18">
        <v>0</v>
      </c>
      <c r="E1477" s="18"/>
      <c r="F1477" s="18">
        <v>0</v>
      </c>
      <c r="G1477" s="18">
        <v>0</v>
      </c>
      <c r="I1477" s="18">
        <v>0</v>
      </c>
      <c r="J1477" s="18">
        <v>0</v>
      </c>
      <c r="K1477" s="18">
        <v>0</v>
      </c>
      <c r="L1477" s="18">
        <v>0</v>
      </c>
      <c r="M1477" s="18">
        <v>0</v>
      </c>
      <c r="N1477" s="18">
        <v>0</v>
      </c>
      <c r="O1477" s="18">
        <v>0</v>
      </c>
      <c r="P1477" s="18"/>
      <c r="Q1477" s="18">
        <v>0</v>
      </c>
      <c r="R1477" s="18">
        <v>0</v>
      </c>
      <c r="S1477" s="18"/>
      <c r="T1477" s="18">
        <v>0</v>
      </c>
      <c r="U1477" s="18"/>
      <c r="V1477" s="18">
        <f>+D1460+I1460+J1460+K1460+L1460+M1460+N1460+O1460+Q1460+R1460+T1460+V1460+W1460+X1460+D1477+F1477+G1477+I1477+J1477+K1477+L1477+M1477+N1477+O1477+Q1477+R1477+T1477</f>
        <v>0</v>
      </c>
      <c r="W1477" s="18">
        <f>+F1460+K1477+L1477+M1477+N1477+O1477+Q1477+R1477+T1477</f>
        <v>0</v>
      </c>
      <c r="X1477" s="18">
        <f>+V1477-W1477</f>
        <v>0</v>
      </c>
    </row>
    <row r="1478" spans="1:24" ht="15">
      <c r="A1478" s="4">
        <f>+A1477+1</f>
        <v>20</v>
      </c>
      <c r="B1478" s="24" t="s">
        <v>46</v>
      </c>
      <c r="C1478" s="11" t="s">
        <v>47</v>
      </c>
      <c r="D1478" s="18">
        <f>+D1470+D1471+D1476+D1477+D1472</f>
        <v>-535</v>
      </c>
      <c r="E1478" s="18"/>
      <c r="F1478" s="18">
        <f>+F1470+F1471+F1476+F1477+F1472</f>
        <v>0</v>
      </c>
      <c r="G1478" s="18">
        <f>+G1470+G1471+G1476+G1477+G1472</f>
        <v>0</v>
      </c>
      <c r="I1478" s="18">
        <f aca="true" t="shared" si="182" ref="I1478:O1478">+I1470+I1471+I1476+I1477+I1472</f>
        <v>277893</v>
      </c>
      <c r="J1478" s="18">
        <f t="shared" si="182"/>
        <v>6688</v>
      </c>
      <c r="K1478" s="18">
        <f t="shared" si="182"/>
        <v>0</v>
      </c>
      <c r="L1478" s="18">
        <f t="shared" si="182"/>
        <v>0</v>
      </c>
      <c r="M1478" s="18">
        <f t="shared" si="182"/>
        <v>40734</v>
      </c>
      <c r="N1478" s="18">
        <f t="shared" si="182"/>
        <v>-171798</v>
      </c>
      <c r="O1478" s="18">
        <f t="shared" si="182"/>
        <v>25</v>
      </c>
      <c r="P1478" s="42"/>
      <c r="Q1478" s="18">
        <f>+Q1470+Q1471+Q1476+Q1477+Q1472</f>
        <v>0</v>
      </c>
      <c r="R1478" s="18">
        <f>+R1470+R1471+R1476+R1477+R1472</f>
        <v>0</v>
      </c>
      <c r="S1478" s="18"/>
      <c r="T1478" s="18">
        <f>+T1470+T1471+T1476+T1477+T1472</f>
        <v>0</v>
      </c>
      <c r="U1478" s="42"/>
      <c r="V1478" s="18">
        <f>SUM(V1470,V1472,V1476,V1477)</f>
        <v>4102740.82</v>
      </c>
      <c r="W1478" s="18">
        <f>+W1470+W1471+W1476+W1477+W1472</f>
        <v>3920791</v>
      </c>
      <c r="X1478" s="18">
        <f>+X1470+X1471+X1476+X1477+X1472</f>
        <v>181949.82</v>
      </c>
    </row>
    <row r="1479" spans="1:24" ht="15">
      <c r="A1479" s="4"/>
      <c r="B1479" s="24"/>
      <c r="C1479" s="11"/>
      <c r="D1479" s="18"/>
      <c r="E1479" s="18"/>
      <c r="F1479" s="18"/>
      <c r="G1479" s="18"/>
      <c r="I1479" s="18"/>
      <c r="J1479" s="18"/>
      <c r="K1479" s="18"/>
      <c r="L1479" s="18"/>
      <c r="M1479" s="18"/>
      <c r="N1479" s="18"/>
      <c r="O1479" s="18"/>
      <c r="P1479" s="42"/>
      <c r="Q1479" s="18"/>
      <c r="R1479" s="18"/>
      <c r="S1479" s="18"/>
      <c r="T1479" s="18"/>
      <c r="U1479" s="42"/>
      <c r="V1479" s="18"/>
      <c r="W1479" s="18"/>
      <c r="X1479" s="18"/>
    </row>
    <row r="1480" spans="1:24" ht="15">
      <c r="A1480" s="4"/>
      <c r="B1480" s="24"/>
      <c r="C1480" s="11"/>
      <c r="D1480" s="18"/>
      <c r="E1480" s="18"/>
      <c r="F1480" s="18"/>
      <c r="G1480" s="18"/>
      <c r="I1480" s="18"/>
      <c r="J1480" s="18"/>
      <c r="K1480" s="18"/>
      <c r="L1480" s="18"/>
      <c r="M1480" s="18"/>
      <c r="N1480" s="18"/>
      <c r="O1480" s="18"/>
      <c r="P1480" s="42"/>
      <c r="Q1480" s="18"/>
      <c r="R1480" s="18"/>
      <c r="S1480" s="18"/>
      <c r="T1480" s="18"/>
      <c r="U1480" s="42"/>
      <c r="V1480" s="18"/>
      <c r="W1480" s="18"/>
      <c r="X1480" s="18"/>
    </row>
    <row r="1481" spans="1:24" ht="15">
      <c r="A1481" s="4"/>
      <c r="B1481" s="24"/>
      <c r="C1481" s="11"/>
      <c r="D1481" s="18"/>
      <c r="E1481" s="18"/>
      <c r="F1481" s="18"/>
      <c r="G1481" s="18"/>
      <c r="I1481" s="18"/>
      <c r="J1481" s="18"/>
      <c r="K1481" s="18"/>
      <c r="L1481" s="18"/>
      <c r="M1481" s="18"/>
      <c r="N1481" s="18"/>
      <c r="O1481" s="18"/>
      <c r="P1481" s="42"/>
      <c r="Q1481" s="18"/>
      <c r="R1481" s="18"/>
      <c r="S1481" s="18"/>
      <c r="T1481" s="18"/>
      <c r="U1481" s="42"/>
      <c r="V1481" s="18"/>
      <c r="W1481" s="18"/>
      <c r="X1481" s="18"/>
    </row>
    <row r="1482" spans="1:25" ht="15">
      <c r="A1482" s="4"/>
      <c r="B1482" s="24"/>
      <c r="C1482" s="11"/>
      <c r="D1482" s="10" t="s">
        <v>80</v>
      </c>
      <c r="E1482" s="10"/>
      <c r="F1482" s="10" t="s">
        <v>81</v>
      </c>
      <c r="G1482" s="10" t="s">
        <v>82</v>
      </c>
      <c r="I1482" s="10" t="s">
        <v>83</v>
      </c>
      <c r="J1482" s="10" t="s">
        <v>84</v>
      </c>
      <c r="K1482" s="10" t="s">
        <v>85</v>
      </c>
      <c r="L1482" s="10" t="s">
        <v>86</v>
      </c>
      <c r="M1482" s="43" t="s">
        <v>87</v>
      </c>
      <c r="N1482" s="43" t="s">
        <v>88</v>
      </c>
      <c r="O1482" s="44" t="s">
        <v>89</v>
      </c>
      <c r="P1482" s="42"/>
      <c r="Q1482" s="43" t="s">
        <v>90</v>
      </c>
      <c r="R1482" s="43" t="s">
        <v>91</v>
      </c>
      <c r="S1482" s="43"/>
      <c r="T1482" s="43" t="s">
        <v>92</v>
      </c>
      <c r="U1482" s="42"/>
      <c r="V1482" s="43" t="s">
        <v>93</v>
      </c>
      <c r="W1482" s="43" t="s">
        <v>94</v>
      </c>
      <c r="X1482" s="43" t="s">
        <v>95</v>
      </c>
      <c r="Y1482" s="18"/>
    </row>
    <row r="1483" spans="1:25" ht="15">
      <c r="A1483" s="4"/>
      <c r="B1483"/>
      <c r="C1483" s="11"/>
      <c r="D1483" s="10" t="s">
        <v>20</v>
      </c>
      <c r="E1483" s="38"/>
      <c r="F1483" s="10" t="s">
        <v>20</v>
      </c>
      <c r="G1483" s="10" t="s">
        <v>20</v>
      </c>
      <c r="I1483" s="10" t="s">
        <v>20</v>
      </c>
      <c r="J1483" s="10" t="s">
        <v>20</v>
      </c>
      <c r="K1483" s="10" t="s">
        <v>20</v>
      </c>
      <c r="L1483" s="10" t="s">
        <v>20</v>
      </c>
      <c r="M1483" s="10" t="s">
        <v>20</v>
      </c>
      <c r="N1483" s="10" t="s">
        <v>20</v>
      </c>
      <c r="O1483" s="10" t="s">
        <v>20</v>
      </c>
      <c r="P1483" s="18"/>
      <c r="Q1483" s="10" t="s">
        <v>20</v>
      </c>
      <c r="R1483" s="10" t="s">
        <v>20</v>
      </c>
      <c r="S1483" s="14"/>
      <c r="T1483" s="10" t="s">
        <v>20</v>
      </c>
      <c r="U1483" s="18"/>
      <c r="W1483" s="39" t="s">
        <v>96</v>
      </c>
      <c r="Y1483" s="18"/>
    </row>
    <row r="1484" spans="1:25" ht="15">
      <c r="A1484" s="4"/>
      <c r="B1484" s="87" t="s">
        <v>174</v>
      </c>
      <c r="C1484" s="11"/>
      <c r="D1484" s="8" t="s">
        <v>156</v>
      </c>
      <c r="E1484" s="6"/>
      <c r="F1484" s="8" t="s">
        <v>157</v>
      </c>
      <c r="G1484" s="45" t="s">
        <v>99</v>
      </c>
      <c r="H1484" s="19"/>
      <c r="I1484" s="45" t="s">
        <v>100</v>
      </c>
      <c r="J1484" s="45" t="s">
        <v>101</v>
      </c>
      <c r="K1484" s="45" t="s">
        <v>102</v>
      </c>
      <c r="L1484" s="45" t="s">
        <v>103</v>
      </c>
      <c r="M1484" s="45" t="s">
        <v>104</v>
      </c>
      <c r="N1484" s="45" t="s">
        <v>105</v>
      </c>
      <c r="O1484" s="45" t="s">
        <v>106</v>
      </c>
      <c r="P1484" s="6"/>
      <c r="Q1484" s="45" t="s">
        <v>107</v>
      </c>
      <c r="R1484" s="45" t="s">
        <v>108</v>
      </c>
      <c r="S1484" s="45"/>
      <c r="T1484" s="45" t="s">
        <v>109</v>
      </c>
      <c r="U1484" s="18"/>
      <c r="V1484" s="10" t="s">
        <v>20</v>
      </c>
      <c r="W1484" s="10" t="s">
        <v>21</v>
      </c>
      <c r="X1484" s="10" t="s">
        <v>22</v>
      </c>
      <c r="Y1484" s="18"/>
    </row>
    <row r="1485" spans="1:9" ht="15">
      <c r="A1485" s="4"/>
      <c r="B1485" s="24"/>
      <c r="C1485" s="11"/>
      <c r="E1485" s="14"/>
      <c r="F1485"/>
      <c r="H1485" s="18"/>
      <c r="I1485" s="16"/>
    </row>
    <row r="1486" spans="1:24" ht="15">
      <c r="A1486" s="4">
        <f>+A1479+1</f>
        <v>1</v>
      </c>
      <c r="B1486" s="5" t="s">
        <v>36</v>
      </c>
      <c r="C1486" s="17" t="s">
        <v>37</v>
      </c>
      <c r="D1486" s="18">
        <v>0</v>
      </c>
      <c r="E1486" s="18"/>
      <c r="F1486" s="18">
        <v>0</v>
      </c>
      <c r="G1486" s="18">
        <v>0</v>
      </c>
      <c r="I1486" s="18">
        <v>0</v>
      </c>
      <c r="J1486" s="18">
        <v>0</v>
      </c>
      <c r="K1486" s="46">
        <f>-6559.36-194532.99</f>
        <v>-201092.34999999998</v>
      </c>
      <c r="L1486" s="27">
        <v>-7226</v>
      </c>
      <c r="M1486" s="18">
        <v>0</v>
      </c>
      <c r="N1486" s="18">
        <v>0</v>
      </c>
      <c r="O1486" s="18">
        <v>0</v>
      </c>
      <c r="Q1486" s="18">
        <v>0</v>
      </c>
      <c r="R1486" s="18">
        <v>0</v>
      </c>
      <c r="S1486" s="18"/>
      <c r="T1486" s="18">
        <v>0</v>
      </c>
      <c r="V1486" s="18">
        <f>+V1468+D1486+F1486+G1486+I1486+J1486+K1486+L1486+M1486+N1486+O1486+Q1486+R1486+T1486</f>
        <v>5355392.65</v>
      </c>
      <c r="W1486" s="18">
        <f>+W1468</f>
        <v>4922824</v>
      </c>
      <c r="X1486" s="18">
        <f>+V1486-W1486</f>
        <v>432568.6500000004</v>
      </c>
    </row>
    <row r="1487" spans="1:24" ht="15">
      <c r="A1487" s="4">
        <f>+A1486+1</f>
        <v>2</v>
      </c>
      <c r="B1487" s="5" t="s">
        <v>36</v>
      </c>
      <c r="C1487" s="22" t="s">
        <v>38</v>
      </c>
      <c r="D1487" s="18">
        <v>0</v>
      </c>
      <c r="E1487" s="18"/>
      <c r="F1487" s="18">
        <v>0</v>
      </c>
      <c r="G1487" s="18">
        <v>0</v>
      </c>
      <c r="I1487" s="18">
        <v>0</v>
      </c>
      <c r="J1487" s="18">
        <v>0</v>
      </c>
      <c r="K1487" s="46">
        <f>-6559.38-194532.99</f>
        <v>-201092.37</v>
      </c>
      <c r="L1487" s="27">
        <v>-7226</v>
      </c>
      <c r="M1487" s="18">
        <v>0</v>
      </c>
      <c r="N1487" s="18">
        <v>0</v>
      </c>
      <c r="O1487" s="18">
        <v>0</v>
      </c>
      <c r="Q1487" s="18">
        <v>0</v>
      </c>
      <c r="R1487" s="18">
        <v>0</v>
      </c>
      <c r="S1487" s="18"/>
      <c r="T1487" s="18">
        <v>0</v>
      </c>
      <c r="V1487" s="18">
        <f>+V1469+D1487+F1487+G1487+I1487+J1487+K1487+L1487+M1487+N1487+O1487+Q1487+R1487+T1487</f>
        <v>5350392.63</v>
      </c>
      <c r="W1487" s="18">
        <f>+W1469</f>
        <v>4860860</v>
      </c>
      <c r="X1487" s="18">
        <f>+V1487-W1487</f>
        <v>489532.6299999999</v>
      </c>
    </row>
    <row r="1488" spans="1:24" ht="15">
      <c r="A1488" s="4">
        <f>+A1487+1</f>
        <v>3</v>
      </c>
      <c r="B1488" s="24" t="s">
        <v>46</v>
      </c>
      <c r="C1488" s="40" t="s">
        <v>78</v>
      </c>
      <c r="D1488" s="18">
        <f>+D1486-D1487</f>
        <v>0</v>
      </c>
      <c r="E1488" s="18"/>
      <c r="F1488" s="18">
        <f>+F1486-F1487</f>
        <v>0</v>
      </c>
      <c r="G1488" s="18">
        <f>+G1486-G1487</f>
        <v>0</v>
      </c>
      <c r="I1488" s="18">
        <f aca="true" t="shared" si="183" ref="I1488:O1488">+I1486-I1487</f>
        <v>0</v>
      </c>
      <c r="J1488" s="18">
        <f t="shared" si="183"/>
        <v>0</v>
      </c>
      <c r="K1488" s="18">
        <f t="shared" si="183"/>
        <v>0.02000000001862645</v>
      </c>
      <c r="L1488" s="18">
        <f t="shared" si="183"/>
        <v>0</v>
      </c>
      <c r="M1488" s="18">
        <f t="shared" si="183"/>
        <v>0</v>
      </c>
      <c r="N1488" s="18">
        <f t="shared" si="183"/>
        <v>0</v>
      </c>
      <c r="O1488" s="18">
        <f t="shared" si="183"/>
        <v>0</v>
      </c>
      <c r="Q1488" s="18">
        <f>+Q1486-Q1487</f>
        <v>0</v>
      </c>
      <c r="R1488" s="18">
        <f>+R1486-R1487</f>
        <v>0</v>
      </c>
      <c r="S1488" s="18"/>
      <c r="T1488" s="18">
        <f>+T1486-T1487</f>
        <v>0</v>
      </c>
      <c r="V1488" s="27">
        <f>+V1486-V1487</f>
        <v>5000.020000000484</v>
      </c>
      <c r="W1488" s="27">
        <f>+W1486-W1487</f>
        <v>61964</v>
      </c>
      <c r="X1488" s="18">
        <f>+X1486-X1487</f>
        <v>-56963.979999999516</v>
      </c>
    </row>
    <row r="1489" spans="1:24" ht="28.5">
      <c r="A1489" s="4">
        <f>+A1488+1</f>
        <v>4</v>
      </c>
      <c r="B1489" s="88" t="s">
        <v>182</v>
      </c>
      <c r="C1489" s="11"/>
      <c r="D1489" s="18">
        <v>0</v>
      </c>
      <c r="E1489" s="18"/>
      <c r="F1489" s="18">
        <v>0</v>
      </c>
      <c r="G1489" s="18">
        <v>0</v>
      </c>
      <c r="I1489" s="18">
        <v>0</v>
      </c>
      <c r="J1489" s="27">
        <v>0</v>
      </c>
      <c r="K1489" s="18">
        <v>0</v>
      </c>
      <c r="L1489" s="18">
        <v>0</v>
      </c>
      <c r="M1489" s="18">
        <v>0</v>
      </c>
      <c r="N1489" s="18">
        <v>0</v>
      </c>
      <c r="O1489" s="18">
        <v>0</v>
      </c>
      <c r="Q1489" s="18">
        <v>0</v>
      </c>
      <c r="R1489" s="18">
        <v>0</v>
      </c>
      <c r="S1489" s="18"/>
      <c r="T1489" s="18">
        <v>0</v>
      </c>
      <c r="V1489" s="18">
        <f>+V1471+D1489+F1489+G1489+I1489+J1489+K1489+L1489+M1489+N1489+O1489+Q1489+R1489+T1489</f>
        <v>0</v>
      </c>
      <c r="W1489" s="18">
        <f>+W1471</f>
        <v>0</v>
      </c>
      <c r="X1489" s="18">
        <f>+V1489-W1489</f>
        <v>0</v>
      </c>
    </row>
    <row r="1490" spans="1:24" ht="24.75">
      <c r="A1490" s="4">
        <f>+A1489+1</f>
        <v>5</v>
      </c>
      <c r="B1490" s="89" t="s">
        <v>39</v>
      </c>
      <c r="C1490" s="40"/>
      <c r="D1490" s="27">
        <v>-1533</v>
      </c>
      <c r="E1490" s="18"/>
      <c r="F1490" s="27">
        <v>35057</v>
      </c>
      <c r="G1490" s="27">
        <v>1027</v>
      </c>
      <c r="I1490" s="27">
        <v>0</v>
      </c>
      <c r="J1490" s="27">
        <v>0</v>
      </c>
      <c r="K1490" s="27">
        <v>-3737</v>
      </c>
      <c r="L1490" s="27">
        <v>0</v>
      </c>
      <c r="M1490" s="27">
        <v>-8695</v>
      </c>
      <c r="N1490" s="27">
        <v>0</v>
      </c>
      <c r="O1490" s="27">
        <v>-14672</v>
      </c>
      <c r="Q1490" s="27">
        <v>0</v>
      </c>
      <c r="R1490" s="27">
        <v>-3352</v>
      </c>
      <c r="S1490" s="27"/>
      <c r="T1490" s="27">
        <v>-15004</v>
      </c>
      <c r="V1490" s="18">
        <f>+V1472+D1490+F1490+G1490+I1490+J1490+K1490+L1490+M1490+N1490+O1490+Q1490+R1490+T1490</f>
        <v>-159121.18</v>
      </c>
      <c r="W1490" s="18">
        <f>+W1472</f>
        <v>0</v>
      </c>
      <c r="X1490" s="18">
        <f>+V1490-W1490</f>
        <v>-159121.18</v>
      </c>
    </row>
    <row r="1491" spans="1:24" ht="15">
      <c r="A1491" s="6" t="s">
        <v>41</v>
      </c>
      <c r="B1491" s="41"/>
      <c r="C1491" s="40"/>
      <c r="D1491" s="18"/>
      <c r="E1491" s="18"/>
      <c r="F1491" s="18"/>
      <c r="G1491" s="18"/>
      <c r="I1491" s="18"/>
      <c r="J1491" s="18"/>
      <c r="K1491" s="27"/>
      <c r="L1491" s="18"/>
      <c r="M1491" s="18"/>
      <c r="N1491" s="18"/>
      <c r="O1491" s="18"/>
      <c r="Q1491" s="18"/>
      <c r="R1491" s="18"/>
      <c r="S1491" s="18"/>
      <c r="T1491" s="18"/>
      <c r="V1491" s="18"/>
      <c r="W1491" s="18"/>
      <c r="X1491" s="18"/>
    </row>
    <row r="1492" spans="1:24" ht="15">
      <c r="A1492" s="4">
        <f>+A1490+1</f>
        <v>6</v>
      </c>
      <c r="B1492" s="5" t="s">
        <v>42</v>
      </c>
      <c r="C1492" s="22" t="s">
        <v>38</v>
      </c>
      <c r="D1492" s="18">
        <v>0</v>
      </c>
      <c r="E1492" s="18"/>
      <c r="F1492" s="18">
        <v>0</v>
      </c>
      <c r="G1492" s="18">
        <v>0</v>
      </c>
      <c r="I1492" s="18">
        <v>0</v>
      </c>
      <c r="J1492" s="18">
        <v>0</v>
      </c>
      <c r="K1492" s="46">
        <f>-10280.27-211151.96</f>
        <v>-221432.22999999998</v>
      </c>
      <c r="L1492" s="27">
        <v>-7226</v>
      </c>
      <c r="M1492" s="18">
        <v>0</v>
      </c>
      <c r="N1492" s="18">
        <v>0</v>
      </c>
      <c r="O1492" s="18">
        <v>0</v>
      </c>
      <c r="P1492" s="18"/>
      <c r="Q1492" s="18">
        <v>0</v>
      </c>
      <c r="R1492" s="18">
        <v>0</v>
      </c>
      <c r="S1492" s="18"/>
      <c r="T1492" s="18">
        <v>0</v>
      </c>
      <c r="U1492" s="18"/>
      <c r="V1492" s="18">
        <f>+V1474+D1492+F1492+G1492+I1492+J1492+K1492+L1492+M1492+N1492+O1492+Q1492+R1492+T1492</f>
        <v>4039693.77</v>
      </c>
      <c r="W1492" s="18">
        <f>+W1474</f>
        <v>3879313</v>
      </c>
      <c r="X1492" s="18">
        <f>+V1492-W1492</f>
        <v>160380.77000000002</v>
      </c>
    </row>
    <row r="1493" spans="1:24" ht="15">
      <c r="A1493" s="4">
        <f>+A1492+1</f>
        <v>7</v>
      </c>
      <c r="B1493" s="5" t="s">
        <v>43</v>
      </c>
      <c r="C1493" s="11"/>
      <c r="D1493" s="18">
        <v>0</v>
      </c>
      <c r="E1493" s="18"/>
      <c r="F1493" s="18">
        <v>0</v>
      </c>
      <c r="G1493" s="18">
        <v>0</v>
      </c>
      <c r="I1493" s="18">
        <v>0</v>
      </c>
      <c r="J1493" s="18">
        <v>0</v>
      </c>
      <c r="K1493" s="18">
        <v>0</v>
      </c>
      <c r="L1493" s="18">
        <v>0</v>
      </c>
      <c r="M1493" s="18">
        <v>0</v>
      </c>
      <c r="N1493" s="18">
        <v>0</v>
      </c>
      <c r="O1493" s="18">
        <v>0</v>
      </c>
      <c r="P1493" s="18"/>
      <c r="Q1493" s="18">
        <v>0</v>
      </c>
      <c r="R1493" s="18">
        <v>0</v>
      </c>
      <c r="S1493" s="18"/>
      <c r="T1493" s="18">
        <v>0</v>
      </c>
      <c r="U1493" s="18"/>
      <c r="V1493" s="18">
        <f>+V1475+D1493+F1493+G1493+I1493+J1493+K1493+L1493+M1493+N1493+O1493+Q1493+R1493+T1493</f>
        <v>22399</v>
      </c>
      <c r="W1493" s="18">
        <f>+W1475</f>
        <v>20486</v>
      </c>
      <c r="X1493" s="18">
        <f>+V1493-W1493</f>
        <v>1913</v>
      </c>
    </row>
    <row r="1494" spans="1:24" ht="26.25">
      <c r="A1494" s="4">
        <f>+A1493+1</f>
        <v>8</v>
      </c>
      <c r="B1494" s="24" t="s">
        <v>79</v>
      </c>
      <c r="C1494" s="11"/>
      <c r="D1494" s="18">
        <f>+D1492-D1493</f>
        <v>0</v>
      </c>
      <c r="E1494" s="18"/>
      <c r="F1494" s="18">
        <f>+F1492-F1493</f>
        <v>0</v>
      </c>
      <c r="G1494" s="18">
        <f>+G1492-G1493</f>
        <v>0</v>
      </c>
      <c r="I1494" s="18">
        <f aca="true" t="shared" si="184" ref="I1494:O1494">+I1492-I1493</f>
        <v>0</v>
      </c>
      <c r="J1494" s="18">
        <f t="shared" si="184"/>
        <v>0</v>
      </c>
      <c r="K1494" s="18">
        <f t="shared" si="184"/>
        <v>-221432.22999999998</v>
      </c>
      <c r="L1494" s="18">
        <f t="shared" si="184"/>
        <v>-7226</v>
      </c>
      <c r="M1494" s="18">
        <f t="shared" si="184"/>
        <v>0</v>
      </c>
      <c r="N1494" s="18">
        <f t="shared" si="184"/>
        <v>0</v>
      </c>
      <c r="O1494" s="18">
        <f t="shared" si="184"/>
        <v>0</v>
      </c>
      <c r="P1494" s="18"/>
      <c r="Q1494" s="18">
        <f>+Q1492-Q1493</f>
        <v>0</v>
      </c>
      <c r="R1494" s="18">
        <f>+R1492-R1493</f>
        <v>0</v>
      </c>
      <c r="S1494" s="18"/>
      <c r="T1494" s="18">
        <f>+T1492-T1493</f>
        <v>0</v>
      </c>
      <c r="U1494" s="18"/>
      <c r="V1494" s="27">
        <f>+V1492-V1493</f>
        <v>4017294.77</v>
      </c>
      <c r="W1494" s="27">
        <f>+W1492-W1493</f>
        <v>3858827</v>
      </c>
      <c r="X1494" s="18">
        <f>+X1492-X1493</f>
        <v>158467.77000000002</v>
      </c>
    </row>
    <row r="1495" spans="1:24" ht="28.5">
      <c r="A1495" s="4">
        <f>+A1494+1</f>
        <v>9</v>
      </c>
      <c r="B1495" s="88" t="s">
        <v>181</v>
      </c>
      <c r="C1495" s="11"/>
      <c r="D1495" s="18">
        <v>0</v>
      </c>
      <c r="E1495" s="18"/>
      <c r="F1495" s="18">
        <v>0</v>
      </c>
      <c r="G1495" s="18">
        <v>0</v>
      </c>
      <c r="I1495" s="18">
        <v>0</v>
      </c>
      <c r="J1495" s="18">
        <v>0</v>
      </c>
      <c r="K1495" s="18">
        <v>0</v>
      </c>
      <c r="L1495" s="18">
        <v>0</v>
      </c>
      <c r="M1495" s="18">
        <v>0</v>
      </c>
      <c r="N1495" s="18">
        <v>0</v>
      </c>
      <c r="O1495" s="18">
        <v>0</v>
      </c>
      <c r="P1495" s="18"/>
      <c r="Q1495" s="18">
        <v>0</v>
      </c>
      <c r="R1495" s="18">
        <v>0</v>
      </c>
      <c r="S1495" s="18"/>
      <c r="T1495" s="18">
        <v>0</v>
      </c>
      <c r="U1495" s="18"/>
      <c r="V1495" s="18">
        <f>+V1477+D1495+F1495+G1495+I1495+J1495+K1495+L1495+M1495+N1495+O1495+Q1495+R1495+T1495</f>
        <v>0</v>
      </c>
      <c r="W1495" s="18">
        <f>+W1477</f>
        <v>0</v>
      </c>
      <c r="X1495" s="18">
        <f>+V1495-W1495</f>
        <v>0</v>
      </c>
    </row>
    <row r="1496" spans="1:24" ht="15">
      <c r="A1496" s="4">
        <f>+A1495+1</f>
        <v>10</v>
      </c>
      <c r="B1496" s="24" t="s">
        <v>46</v>
      </c>
      <c r="C1496" s="11" t="s">
        <v>47</v>
      </c>
      <c r="D1496" s="18">
        <f>+D1488+D1489+D1494+D1495+D1490</f>
        <v>-1533</v>
      </c>
      <c r="E1496" s="18"/>
      <c r="F1496" s="18">
        <f>+F1488+F1489+F1494+F1495+F1490</f>
        <v>35057</v>
      </c>
      <c r="G1496" s="18">
        <f>+G1488+G1489+G1494+G1495+G1490</f>
        <v>1027</v>
      </c>
      <c r="I1496" s="18">
        <f aca="true" t="shared" si="185" ref="I1496:O1496">+I1488+I1489+I1494+I1495+I1490</f>
        <v>0</v>
      </c>
      <c r="J1496" s="18">
        <f t="shared" si="185"/>
        <v>0</v>
      </c>
      <c r="K1496" s="18">
        <f t="shared" si="185"/>
        <v>-225169.20999999996</v>
      </c>
      <c r="L1496" s="18">
        <f t="shared" si="185"/>
        <v>-7226</v>
      </c>
      <c r="M1496" s="18">
        <f t="shared" si="185"/>
        <v>-8695</v>
      </c>
      <c r="N1496" s="18">
        <f t="shared" si="185"/>
        <v>0</v>
      </c>
      <c r="O1496" s="18">
        <f t="shared" si="185"/>
        <v>-14672</v>
      </c>
      <c r="P1496" s="42"/>
      <c r="Q1496" s="18">
        <f>+Q1488+Q1489+Q1494+Q1495+Q1490</f>
        <v>0</v>
      </c>
      <c r="R1496" s="18">
        <f>+R1488+R1489+R1494+R1495+R1490</f>
        <v>-3352</v>
      </c>
      <c r="S1496" s="18"/>
      <c r="T1496" s="18">
        <f>+T1488+T1489+T1494+T1495+T1490</f>
        <v>-15004</v>
      </c>
      <c r="U1496" s="42"/>
      <c r="V1496" s="18">
        <f>+V1488+V1489+V1494+V1495+V1490</f>
        <v>3863173.6100000003</v>
      </c>
      <c r="W1496" s="18">
        <f>+W1488+W1489+W1494+W1495+W1490</f>
        <v>3920791</v>
      </c>
      <c r="X1496" s="18">
        <f>+X1488+X1489+X1494+X1495+X1490</f>
        <v>-57617.38999999949</v>
      </c>
    </row>
    <row r="1497" spans="1:24" ht="15">
      <c r="A1497" s="4"/>
      <c r="B1497" s="24"/>
      <c r="C1497" s="11"/>
      <c r="D1497" s="18"/>
      <c r="E1497" s="18"/>
      <c r="F1497" s="18"/>
      <c r="G1497" s="18"/>
      <c r="I1497" s="18"/>
      <c r="J1497" s="18"/>
      <c r="K1497" s="27"/>
      <c r="L1497" s="18"/>
      <c r="M1497" s="18"/>
      <c r="N1497" s="18"/>
      <c r="O1497" s="18"/>
      <c r="P1497" s="42"/>
      <c r="Q1497" s="18"/>
      <c r="R1497" s="18"/>
      <c r="S1497" s="18"/>
      <c r="T1497" s="18"/>
      <c r="U1497" s="42"/>
      <c r="V1497" s="18"/>
      <c r="W1497" s="18"/>
      <c r="X1497" s="18"/>
    </row>
    <row r="1498" spans="1:24" ht="15">
      <c r="A1498" s="4"/>
      <c r="B1498" s="24"/>
      <c r="C1498" s="11"/>
      <c r="D1498" s="18"/>
      <c r="E1498" s="18"/>
      <c r="F1498" s="18"/>
      <c r="G1498" s="18"/>
      <c r="I1498" s="18"/>
      <c r="J1498" s="18"/>
      <c r="K1498" s="27"/>
      <c r="L1498" s="18"/>
      <c r="M1498" s="18"/>
      <c r="N1498" s="18"/>
      <c r="O1498" s="18"/>
      <c r="P1498" s="42"/>
      <c r="Q1498" s="18"/>
      <c r="R1498" s="18"/>
      <c r="S1498" s="18"/>
      <c r="T1498" s="18"/>
      <c r="U1498" s="42"/>
      <c r="V1498" s="18"/>
      <c r="W1498" s="18"/>
      <c r="X1498" s="18"/>
    </row>
    <row r="1499" spans="1:24" ht="15">
      <c r="A1499" s="4"/>
      <c r="B1499" s="24"/>
      <c r="C1499" s="11"/>
      <c r="D1499" s="18"/>
      <c r="E1499" s="18"/>
      <c r="F1499" s="18"/>
      <c r="G1499" s="18"/>
      <c r="I1499" s="18"/>
      <c r="J1499" s="18"/>
      <c r="K1499" s="18"/>
      <c r="L1499" s="18"/>
      <c r="M1499" s="18"/>
      <c r="N1499" s="18"/>
      <c r="O1499" s="18"/>
      <c r="P1499" s="42"/>
      <c r="Q1499" s="18"/>
      <c r="R1499" s="18"/>
      <c r="S1499" s="18"/>
      <c r="T1499" s="18"/>
      <c r="U1499" s="42"/>
      <c r="V1499" s="18"/>
      <c r="W1499" s="18"/>
      <c r="X1499" s="18"/>
    </row>
    <row r="1500" spans="1:24" ht="15">
      <c r="A1500" s="4"/>
      <c r="B1500" s="24"/>
      <c r="C1500" s="11"/>
      <c r="D1500" s="18"/>
      <c r="E1500" s="18"/>
      <c r="F1500" s="18"/>
      <c r="G1500" s="18"/>
      <c r="I1500" s="18"/>
      <c r="J1500" s="18"/>
      <c r="K1500" s="18"/>
      <c r="L1500" s="18"/>
      <c r="M1500" s="18"/>
      <c r="N1500" s="18"/>
      <c r="O1500" s="18"/>
      <c r="P1500" s="42"/>
      <c r="Q1500" s="18"/>
      <c r="R1500" s="18"/>
      <c r="S1500" s="18"/>
      <c r="T1500" s="18"/>
      <c r="U1500" s="42"/>
      <c r="V1500" s="18"/>
      <c r="W1500" s="18"/>
      <c r="X1500" s="18"/>
    </row>
    <row r="1501" spans="1:24" ht="15">
      <c r="A1501" s="4"/>
      <c r="B1501" s="24"/>
      <c r="C1501" s="11"/>
      <c r="D1501" s="18"/>
      <c r="E1501" s="18"/>
      <c r="F1501" s="18"/>
      <c r="G1501" s="18"/>
      <c r="I1501" s="18"/>
      <c r="J1501" s="18"/>
      <c r="K1501" s="18"/>
      <c r="L1501" s="18"/>
      <c r="M1501" s="18"/>
      <c r="N1501" s="18"/>
      <c r="O1501" s="18"/>
      <c r="P1501" s="42"/>
      <c r="Q1501" s="18"/>
      <c r="R1501" s="18"/>
      <c r="S1501" s="18"/>
      <c r="T1501" s="18"/>
      <c r="U1501" s="42"/>
      <c r="V1501" s="18"/>
      <c r="W1501" s="18"/>
      <c r="X1501" s="18"/>
    </row>
    <row r="1502" spans="1:24" ht="15">
      <c r="A1502" s="4"/>
      <c r="B1502" s="24"/>
      <c r="C1502" s="11"/>
      <c r="D1502" s="18"/>
      <c r="E1502" s="18"/>
      <c r="F1502" s="18"/>
      <c r="G1502" s="18"/>
      <c r="I1502" s="18"/>
      <c r="J1502" s="18"/>
      <c r="K1502" s="18"/>
      <c r="L1502" s="18"/>
      <c r="M1502" s="18"/>
      <c r="N1502" s="18"/>
      <c r="O1502" s="18"/>
      <c r="P1502" s="42"/>
      <c r="Q1502" s="18"/>
      <c r="R1502" s="18"/>
      <c r="S1502" s="18"/>
      <c r="T1502" s="18"/>
      <c r="U1502" s="42"/>
      <c r="V1502" s="18"/>
      <c r="W1502" s="18"/>
      <c r="X1502" s="18"/>
    </row>
    <row r="1503" spans="1:24" ht="15">
      <c r="A1503" s="4"/>
      <c r="B1503" s="24"/>
      <c r="C1503" s="11"/>
      <c r="D1503" s="18"/>
      <c r="E1503" s="18"/>
      <c r="F1503" s="18"/>
      <c r="G1503" s="18"/>
      <c r="I1503" s="18"/>
      <c r="J1503" s="18"/>
      <c r="K1503" s="18"/>
      <c r="L1503" s="18"/>
      <c r="M1503" s="18"/>
      <c r="N1503" s="18"/>
      <c r="O1503" s="18"/>
      <c r="P1503" s="42"/>
      <c r="Q1503" s="18"/>
      <c r="R1503" s="18"/>
      <c r="S1503" s="18"/>
      <c r="T1503" s="18"/>
      <c r="U1503" s="42"/>
      <c r="V1503" s="18"/>
      <c r="W1503" s="18"/>
      <c r="X1503" s="18"/>
    </row>
    <row r="1504" spans="1:24" ht="15">
      <c r="A1504" s="4"/>
      <c r="B1504" s="24"/>
      <c r="C1504" s="11"/>
      <c r="D1504" s="10" t="s">
        <v>4</v>
      </c>
      <c r="E1504" s="10"/>
      <c r="F1504" s="10" t="s">
        <v>5</v>
      </c>
      <c r="G1504" s="10" t="s">
        <v>6</v>
      </c>
      <c r="H1504" s="10"/>
      <c r="I1504" s="10" t="s">
        <v>7</v>
      </c>
      <c r="J1504" s="10" t="s">
        <v>8</v>
      </c>
      <c r="K1504" s="10" t="s">
        <v>9</v>
      </c>
      <c r="L1504" s="10" t="s">
        <v>10</v>
      </c>
      <c r="M1504" s="10" t="s">
        <v>11</v>
      </c>
      <c r="N1504" s="10" t="s">
        <v>12</v>
      </c>
      <c r="O1504" s="10" t="s">
        <v>13</v>
      </c>
      <c r="P1504" s="10"/>
      <c r="Q1504" s="10" t="s">
        <v>14</v>
      </c>
      <c r="R1504" s="10" t="s">
        <v>15</v>
      </c>
      <c r="S1504" s="10"/>
      <c r="T1504" s="10" t="s">
        <v>16</v>
      </c>
      <c r="U1504" s="10"/>
      <c r="V1504" s="10" t="s">
        <v>17</v>
      </c>
      <c r="W1504" s="10" t="s">
        <v>18</v>
      </c>
      <c r="X1504" s="10" t="s">
        <v>19</v>
      </c>
    </row>
    <row r="1505" spans="1:23" ht="15">
      <c r="A1505" s="4"/>
      <c r="B1505" s="24"/>
      <c r="C1505" s="11"/>
      <c r="D1505" s="10" t="s">
        <v>20</v>
      </c>
      <c r="E1505" s="10"/>
      <c r="F1505" s="14" t="s">
        <v>21</v>
      </c>
      <c r="G1505" s="10"/>
      <c r="I1505" s="39" t="s">
        <v>110</v>
      </c>
      <c r="J1505" s="47" t="s">
        <v>111</v>
      </c>
      <c r="K1505" s="39"/>
      <c r="L1505" s="10" t="s">
        <v>20</v>
      </c>
      <c r="M1505" s="10" t="s">
        <v>20</v>
      </c>
      <c r="N1505" s="10" t="s">
        <v>20</v>
      </c>
      <c r="O1505" s="10" t="s">
        <v>20</v>
      </c>
      <c r="P1505" s="42"/>
      <c r="Q1505" s="10" t="s">
        <v>20</v>
      </c>
      <c r="R1505" s="10" t="s">
        <v>20</v>
      </c>
      <c r="S1505" s="48"/>
      <c r="T1505" s="10" t="s">
        <v>20</v>
      </c>
      <c r="U1505" s="42"/>
      <c r="W1505" s="39" t="s">
        <v>112</v>
      </c>
    </row>
    <row r="1506" spans="1:24" ht="15">
      <c r="A1506" s="4"/>
      <c r="B1506" s="87" t="s">
        <v>183</v>
      </c>
      <c r="C1506" s="11"/>
      <c r="D1506" s="8" t="s">
        <v>113</v>
      </c>
      <c r="E1506" s="6"/>
      <c r="F1506" s="6" t="s">
        <v>114</v>
      </c>
      <c r="G1506" s="49" t="s">
        <v>22</v>
      </c>
      <c r="I1506" s="8" t="s">
        <v>113</v>
      </c>
      <c r="J1506" s="6" t="s">
        <v>114</v>
      </c>
      <c r="K1506" s="49" t="s">
        <v>24</v>
      </c>
      <c r="L1506" s="13" t="s">
        <v>115</v>
      </c>
      <c r="M1506" s="13" t="s">
        <v>116</v>
      </c>
      <c r="N1506" s="13" t="s">
        <v>117</v>
      </c>
      <c r="O1506" s="13" t="s">
        <v>118</v>
      </c>
      <c r="P1506" s="42"/>
      <c r="Q1506" s="13" t="s">
        <v>119</v>
      </c>
      <c r="R1506" s="13" t="s">
        <v>120</v>
      </c>
      <c r="T1506" s="13" t="s">
        <v>121</v>
      </c>
      <c r="U1506" s="42"/>
      <c r="V1506" s="10" t="s">
        <v>20</v>
      </c>
      <c r="W1506" s="10" t="s">
        <v>21</v>
      </c>
      <c r="X1506" s="10" t="s">
        <v>22</v>
      </c>
    </row>
    <row r="1507" spans="1:24" ht="15">
      <c r="A1507" s="4"/>
      <c r="B1507" s="24"/>
      <c r="C1507" s="11"/>
      <c r="D1507" s="18"/>
      <c r="E1507" s="18"/>
      <c r="F1507" s="18"/>
      <c r="G1507" s="18"/>
      <c r="I1507" s="72" t="s">
        <v>0</v>
      </c>
      <c r="K1507" s="42"/>
      <c r="L1507" s="42"/>
      <c r="N1507" s="42"/>
      <c r="O1507" s="18"/>
      <c r="P1507" s="42"/>
      <c r="U1507" s="42"/>
      <c r="V1507" s="18"/>
      <c r="W1507" s="39" t="s">
        <v>122</v>
      </c>
      <c r="X1507" s="18"/>
    </row>
    <row r="1508" spans="1:24" ht="15">
      <c r="A1508" s="4">
        <f>+A1476+1</f>
        <v>19</v>
      </c>
      <c r="B1508" s="5" t="s">
        <v>36</v>
      </c>
      <c r="C1508" s="17" t="s">
        <v>37</v>
      </c>
      <c r="D1508" s="27">
        <f>348523+745302</f>
        <v>1093825</v>
      </c>
      <c r="E1508" s="18" t="s">
        <v>0</v>
      </c>
      <c r="F1508" s="27">
        <f>362723+18</f>
        <v>362741</v>
      </c>
      <c r="G1508" s="18">
        <f>D1508-F1508</f>
        <v>731084</v>
      </c>
      <c r="I1508" s="27">
        <v>-696</v>
      </c>
      <c r="J1508" s="27">
        <f>138</f>
        <v>138</v>
      </c>
      <c r="K1508" s="36">
        <f>+I1508-J1508</f>
        <v>-834</v>
      </c>
      <c r="L1508" s="18">
        <v>0</v>
      </c>
      <c r="M1508" s="27">
        <v>-202359</v>
      </c>
      <c r="N1508" s="27">
        <f>191175-152940</f>
        <v>38235</v>
      </c>
      <c r="O1508" s="18">
        <v>0</v>
      </c>
      <c r="P1508" s="42"/>
      <c r="Q1508" s="31">
        <v>0</v>
      </c>
      <c r="R1508" s="18">
        <v>0</v>
      </c>
      <c r="S1508" s="18"/>
      <c r="T1508" s="18">
        <v>0</v>
      </c>
      <c r="U1508" s="42"/>
      <c r="V1508" s="31">
        <f>+D1508+I1508+L1508+M1508+N1508+O1508+Q1508+R1508+T1508</f>
        <v>929005</v>
      </c>
      <c r="W1508" s="18">
        <f>+F1508+J1508</f>
        <v>362879</v>
      </c>
      <c r="X1508" s="18">
        <f>+V1508-W1508</f>
        <v>566126</v>
      </c>
    </row>
    <row r="1509" spans="1:24" ht="15">
      <c r="A1509" s="4">
        <f>+A1508+1</f>
        <v>20</v>
      </c>
      <c r="B1509" s="5" t="s">
        <v>36</v>
      </c>
      <c r="C1509" s="22" t="s">
        <v>38</v>
      </c>
      <c r="D1509" s="27">
        <f>348523+744593</f>
        <v>1093116</v>
      </c>
      <c r="E1509" s="18" t="s">
        <v>0</v>
      </c>
      <c r="F1509" s="27">
        <f>358931+18</f>
        <v>358949</v>
      </c>
      <c r="G1509" s="18">
        <f>D1509-F1509</f>
        <v>734167</v>
      </c>
      <c r="I1509" s="27">
        <v>-693</v>
      </c>
      <c r="J1509" s="31">
        <v>155</v>
      </c>
      <c r="K1509" s="36">
        <f>+I1509-J1509</f>
        <v>-848</v>
      </c>
      <c r="L1509" s="18">
        <v>0</v>
      </c>
      <c r="M1509" s="27">
        <v>-202445</v>
      </c>
      <c r="N1509" s="27">
        <f>191175.45-152940.36</f>
        <v>38235.090000000026</v>
      </c>
      <c r="O1509" s="18">
        <v>0</v>
      </c>
      <c r="P1509" s="42"/>
      <c r="Q1509" s="31">
        <v>0</v>
      </c>
      <c r="R1509" s="18">
        <v>0</v>
      </c>
      <c r="S1509" s="18"/>
      <c r="T1509" s="18">
        <v>0</v>
      </c>
      <c r="U1509" s="42"/>
      <c r="V1509" s="31">
        <f>+D1509+I1509+L1509+M1509+N1509+O1509+Q1509+R1509+T1509</f>
        <v>928213.0900000001</v>
      </c>
      <c r="W1509" s="18">
        <f>+F1509+J1509</f>
        <v>359104</v>
      </c>
      <c r="X1509" s="18">
        <f>+V1509-W1509</f>
        <v>569109.0900000001</v>
      </c>
    </row>
    <row r="1510" spans="1:24" ht="15">
      <c r="A1510" s="4">
        <f>+A1509+1</f>
        <v>21</v>
      </c>
      <c r="B1510" s="24" t="s">
        <v>46</v>
      </c>
      <c r="C1510" s="40" t="s">
        <v>78</v>
      </c>
      <c r="D1510" s="18">
        <f>+D1508-D1509</f>
        <v>709</v>
      </c>
      <c r="E1510" s="18"/>
      <c r="F1510" s="18">
        <f>+F1508-F1509</f>
        <v>3792</v>
      </c>
      <c r="G1510" s="18">
        <f>+G1508-G1509</f>
        <v>-3083</v>
      </c>
      <c r="I1510" s="18">
        <f>+I1508-I1509</f>
        <v>-3</v>
      </c>
      <c r="J1510" s="18">
        <f>+J1508-J1509</f>
        <v>-17</v>
      </c>
      <c r="K1510" s="18">
        <f>K1508-K1509</f>
        <v>14</v>
      </c>
      <c r="L1510" s="18">
        <f>+L1508-L1509</f>
        <v>0</v>
      </c>
      <c r="M1510" s="18">
        <f>+M1508-M1509</f>
        <v>86</v>
      </c>
      <c r="N1510" s="18">
        <f>+N1508-N1509</f>
        <v>-0.09000000002561137</v>
      </c>
      <c r="O1510" s="18">
        <f>+O1508-O1509</f>
        <v>0</v>
      </c>
      <c r="P1510" s="42"/>
      <c r="Q1510" s="18">
        <f>+Q1508-Q1509</f>
        <v>0</v>
      </c>
      <c r="R1510" s="18">
        <f>+R1508-R1509</f>
        <v>0</v>
      </c>
      <c r="S1510" s="18"/>
      <c r="T1510" s="18">
        <f>+T1508-T1509</f>
        <v>0</v>
      </c>
      <c r="U1510" s="42"/>
      <c r="V1510" s="31">
        <f>+V1508-V1509</f>
        <v>791.9099999999162</v>
      </c>
      <c r="W1510" s="31">
        <f>+W1508-W1509</f>
        <v>3775</v>
      </c>
      <c r="X1510" s="18">
        <f>+X1508-X1509</f>
        <v>-2983.090000000084</v>
      </c>
    </row>
    <row r="1511" spans="1:24" ht="28.5">
      <c r="A1511" s="4">
        <f>+A1510+1</f>
        <v>22</v>
      </c>
      <c r="B1511" s="88" t="s">
        <v>182</v>
      </c>
      <c r="C1511" s="11"/>
      <c r="D1511" s="18">
        <v>0</v>
      </c>
      <c r="E1511" s="18"/>
      <c r="F1511" s="18">
        <v>0</v>
      </c>
      <c r="G1511" s="18">
        <f>+D1511-F1511</f>
        <v>0</v>
      </c>
      <c r="I1511" s="18">
        <v>0</v>
      </c>
      <c r="J1511" s="18">
        <v>0</v>
      </c>
      <c r="K1511" s="18">
        <f>+I1511-J1511</f>
        <v>0</v>
      </c>
      <c r="L1511" s="18">
        <v>0</v>
      </c>
      <c r="M1511" s="18">
        <v>0</v>
      </c>
      <c r="N1511" s="18">
        <f>+L1511-M1511</f>
        <v>0</v>
      </c>
      <c r="O1511" s="18">
        <v>0</v>
      </c>
      <c r="P1511" s="42"/>
      <c r="Q1511" s="18">
        <v>0</v>
      </c>
      <c r="R1511" s="18">
        <v>0</v>
      </c>
      <c r="S1511" s="18"/>
      <c r="T1511" s="18">
        <v>0</v>
      </c>
      <c r="U1511" s="42"/>
      <c r="V1511" s="31">
        <f>+D1511+I1511+L1511+M1511+N1511+O1511+Q1511+R1511+T1511</f>
        <v>0</v>
      </c>
      <c r="W1511" s="18">
        <f>+F1511+J1511</f>
        <v>0</v>
      </c>
      <c r="X1511" s="18">
        <f>+V1511-W1511</f>
        <v>0</v>
      </c>
    </row>
    <row r="1512" spans="1:24" ht="24.75">
      <c r="A1512" s="4">
        <f>+A1511+1</f>
        <v>23</v>
      </c>
      <c r="B1512" s="89" t="s">
        <v>39</v>
      </c>
      <c r="C1512" s="40"/>
      <c r="D1512" s="27">
        <f>-27186+651</f>
        <v>-26535</v>
      </c>
      <c r="E1512" s="18" t="s">
        <v>0</v>
      </c>
      <c r="F1512" s="27">
        <v>330130</v>
      </c>
      <c r="G1512" s="18">
        <f>D1512-F1512</f>
        <v>-356665</v>
      </c>
      <c r="I1512" s="27">
        <v>0</v>
      </c>
      <c r="J1512" s="27">
        <v>0</v>
      </c>
      <c r="K1512" s="18">
        <f>+I1512-J1512</f>
        <v>0</v>
      </c>
      <c r="L1512" s="18">
        <v>40083</v>
      </c>
      <c r="M1512" s="27">
        <v>-142396</v>
      </c>
      <c r="N1512" s="27">
        <v>0</v>
      </c>
      <c r="O1512" s="27">
        <v>6640</v>
      </c>
      <c r="P1512" s="42"/>
      <c r="Q1512" s="55">
        <v>0</v>
      </c>
      <c r="R1512" s="21">
        <v>0</v>
      </c>
      <c r="S1512" s="18"/>
      <c r="T1512" s="18">
        <v>0</v>
      </c>
      <c r="U1512" s="42"/>
      <c r="V1512" s="31">
        <f>+D1512+I1512+M1512+N1512+L1512+O1512+Q1512+R1512+T1512</f>
        <v>-122208</v>
      </c>
      <c r="W1512" s="18">
        <f>+F1512+J1512</f>
        <v>330130</v>
      </c>
      <c r="X1512" s="36">
        <f>+V1512-W1512</f>
        <v>-452338</v>
      </c>
    </row>
    <row r="1513" spans="1:24" ht="15">
      <c r="A1513" s="6" t="s">
        <v>41</v>
      </c>
      <c r="B1513" s="41"/>
      <c r="C1513" s="40"/>
      <c r="D1513" s="18"/>
      <c r="E1513" s="18"/>
      <c r="F1513" s="18" t="s">
        <v>0</v>
      </c>
      <c r="G1513" s="18"/>
      <c r="I1513" s="18"/>
      <c r="J1513" s="18"/>
      <c r="K1513" s="18"/>
      <c r="L1513" s="18"/>
      <c r="M1513" s="18"/>
      <c r="N1513" s="18"/>
      <c r="O1513" s="18"/>
      <c r="P1513" s="42"/>
      <c r="Q1513" s="18"/>
      <c r="R1513" s="18"/>
      <c r="S1513" s="18"/>
      <c r="T1513" s="18" t="s">
        <v>0</v>
      </c>
      <c r="U1513" s="42"/>
      <c r="V1513" s="30"/>
      <c r="W1513" s="30"/>
      <c r="X1513" s="36"/>
    </row>
    <row r="1514" spans="1:24" ht="15">
      <c r="A1514" s="4">
        <f>+A1512+1</f>
        <v>24</v>
      </c>
      <c r="B1514" s="5" t="s">
        <v>42</v>
      </c>
      <c r="C1514" s="22" t="s">
        <v>38</v>
      </c>
      <c r="D1514" s="27">
        <f>335014+748241</f>
        <v>1083255</v>
      </c>
      <c r="E1514" s="18" t="s">
        <v>0</v>
      </c>
      <c r="F1514" s="27">
        <f>340069+18</f>
        <v>340087</v>
      </c>
      <c r="G1514" s="18">
        <f>D1514-F1514</f>
        <v>743168</v>
      </c>
      <c r="I1514" s="18">
        <v>-648</v>
      </c>
      <c r="J1514" s="26">
        <v>127</v>
      </c>
      <c r="K1514" s="18">
        <f>+I1514-J1514</f>
        <v>-775</v>
      </c>
      <c r="L1514" s="27">
        <v>0</v>
      </c>
      <c r="M1514" s="27">
        <v>-224139</v>
      </c>
      <c r="N1514" s="27">
        <f>35768+1784+1</f>
        <v>37553</v>
      </c>
      <c r="O1514" s="18">
        <v>0</v>
      </c>
      <c r="P1514" s="42"/>
      <c r="Q1514" s="31">
        <v>0</v>
      </c>
      <c r="R1514" s="18">
        <v>0</v>
      </c>
      <c r="S1514" s="18" t="s">
        <v>0</v>
      </c>
      <c r="T1514" s="18">
        <v>0</v>
      </c>
      <c r="U1514" s="42"/>
      <c r="V1514" s="31">
        <f>+D1514+I1514+L1514+M1514+N1514+O1514+Q1514+R1514+T1514</f>
        <v>896021</v>
      </c>
      <c r="W1514" s="18">
        <f>+F1514+J1514</f>
        <v>340214</v>
      </c>
      <c r="X1514" s="18">
        <f>+V1514-W1514</f>
        <v>555807</v>
      </c>
    </row>
    <row r="1515" spans="1:24" ht="15">
      <c r="A1515" s="4">
        <f>+A1514+1</f>
        <v>25</v>
      </c>
      <c r="B1515" s="5" t="s">
        <v>43</v>
      </c>
      <c r="C1515" s="11"/>
      <c r="D1515" s="18"/>
      <c r="E1515" s="18"/>
      <c r="F1515" s="18">
        <v>0</v>
      </c>
      <c r="G1515" s="18">
        <f>+D1515-F1515</f>
        <v>0</v>
      </c>
      <c r="I1515" s="18">
        <v>0</v>
      </c>
      <c r="J1515" s="18">
        <v>0</v>
      </c>
      <c r="K1515" s="18">
        <f>+I1515-J1515</f>
        <v>0</v>
      </c>
      <c r="L1515" s="18">
        <v>0</v>
      </c>
      <c r="M1515" s="18">
        <v>0</v>
      </c>
      <c r="N1515" s="18">
        <f>+L1515-M1515</f>
        <v>0</v>
      </c>
      <c r="O1515" s="18">
        <v>0</v>
      </c>
      <c r="P1515" s="42"/>
      <c r="Q1515" s="18">
        <v>0</v>
      </c>
      <c r="R1515" s="18">
        <v>0</v>
      </c>
      <c r="S1515" s="18"/>
      <c r="T1515" s="18">
        <v>0</v>
      </c>
      <c r="U1515" s="42"/>
      <c r="V1515" s="31">
        <f>+D1515+I1515+L1515+O1515+Q1515+R1515+T1515</f>
        <v>0</v>
      </c>
      <c r="W1515" s="18">
        <f>+F1515+J1515+M1515</f>
        <v>0</v>
      </c>
      <c r="X1515" s="18">
        <f>+V1515-W1515</f>
        <v>0</v>
      </c>
    </row>
    <row r="1516" spans="1:24" ht="26.25">
      <c r="A1516" s="4">
        <f>+A1515+1</f>
        <v>26</v>
      </c>
      <c r="B1516" s="24" t="s">
        <v>79</v>
      </c>
      <c r="C1516" s="11"/>
      <c r="D1516" s="18">
        <f>+D1514-D1515</f>
        <v>1083255</v>
      </c>
      <c r="E1516" s="18"/>
      <c r="F1516" s="18">
        <f>+F1514-F1515</f>
        <v>340087</v>
      </c>
      <c r="G1516" s="18">
        <f>+G1514-G1515</f>
        <v>743168</v>
      </c>
      <c r="I1516" s="18">
        <f aca="true" t="shared" si="186" ref="I1516:N1516">+I1514-I1515</f>
        <v>-648</v>
      </c>
      <c r="J1516" s="18">
        <f t="shared" si="186"/>
        <v>127</v>
      </c>
      <c r="K1516" s="18">
        <f t="shared" si="186"/>
        <v>-775</v>
      </c>
      <c r="L1516" s="18">
        <f t="shared" si="186"/>
        <v>0</v>
      </c>
      <c r="M1516" s="18">
        <f t="shared" si="186"/>
        <v>-224139</v>
      </c>
      <c r="N1516" s="18">
        <f t="shared" si="186"/>
        <v>37553</v>
      </c>
      <c r="O1516" s="18">
        <v>0</v>
      </c>
      <c r="P1516" s="42"/>
      <c r="Q1516" s="18">
        <f>+Q1514-Q1515</f>
        <v>0</v>
      </c>
      <c r="R1516" s="18">
        <f>+R1514-R1515</f>
        <v>0</v>
      </c>
      <c r="S1516" s="18"/>
      <c r="T1516" s="18">
        <f>+T1514-T1515</f>
        <v>0</v>
      </c>
      <c r="U1516" s="42"/>
      <c r="V1516" s="27">
        <f>+V1514-V1515</f>
        <v>896021</v>
      </c>
      <c r="W1516" s="27">
        <f>+W1514-W1515</f>
        <v>340214</v>
      </c>
      <c r="X1516" s="31">
        <f>+X1514-X1515</f>
        <v>555807</v>
      </c>
    </row>
    <row r="1517" spans="1:24" ht="28.5">
      <c r="A1517" s="4">
        <f>+A1516+1</f>
        <v>27</v>
      </c>
      <c r="B1517" s="88" t="s">
        <v>181</v>
      </c>
      <c r="C1517" s="11"/>
      <c r="D1517" s="18">
        <v>0</v>
      </c>
      <c r="E1517" s="18"/>
      <c r="F1517" s="18">
        <v>0</v>
      </c>
      <c r="G1517" s="18">
        <f>+D1517-F1517</f>
        <v>0</v>
      </c>
      <c r="I1517" s="18">
        <v>0</v>
      </c>
      <c r="J1517" s="18">
        <v>0</v>
      </c>
      <c r="K1517" s="18">
        <f>+I1517-J1517</f>
        <v>0</v>
      </c>
      <c r="L1517" s="18">
        <v>0</v>
      </c>
      <c r="M1517" s="18">
        <v>0</v>
      </c>
      <c r="N1517" s="18">
        <f>+L1517-M1517</f>
        <v>0</v>
      </c>
      <c r="O1517" s="18">
        <v>0</v>
      </c>
      <c r="P1517" s="42"/>
      <c r="Q1517" s="18">
        <v>0</v>
      </c>
      <c r="R1517" s="18">
        <v>0</v>
      </c>
      <c r="S1517" s="18"/>
      <c r="T1517" s="18">
        <v>0</v>
      </c>
      <c r="U1517" s="42"/>
      <c r="V1517" s="31">
        <f>+D1517+I1517+L1517+O1517+Q1517+R1517+T1517</f>
        <v>0</v>
      </c>
      <c r="W1517" s="18">
        <f>+F1517+J1517+M1517</f>
        <v>0</v>
      </c>
      <c r="X1517" s="18">
        <f>+V1517-W1517</f>
        <v>0</v>
      </c>
    </row>
    <row r="1518" spans="1:24" ht="15">
      <c r="A1518" s="4">
        <f>+A1517+1</f>
        <v>28</v>
      </c>
      <c r="B1518" s="24" t="s">
        <v>46</v>
      </c>
      <c r="C1518" s="11" t="s">
        <v>47</v>
      </c>
      <c r="D1518" s="51">
        <f>+D1510+D1511+D1516+D1517+D1512</f>
        <v>1057429</v>
      </c>
      <c r="E1518" s="18"/>
      <c r="F1518" s="52">
        <f>+F1510+F1511+F1516+F1517+F1512</f>
        <v>674009</v>
      </c>
      <c r="G1518" s="18">
        <f>+G1510+G1511+G1516+G1517+G1512</f>
        <v>383420</v>
      </c>
      <c r="I1518" s="51">
        <f aca="true" t="shared" si="187" ref="I1518:O1518">+I1510+I1511+I1516+I1517+I1512</f>
        <v>-651</v>
      </c>
      <c r="J1518" s="52">
        <f t="shared" si="187"/>
        <v>110</v>
      </c>
      <c r="K1518" s="18">
        <f t="shared" si="187"/>
        <v>-761</v>
      </c>
      <c r="L1518" s="18">
        <f t="shared" si="187"/>
        <v>40083</v>
      </c>
      <c r="M1518" s="18">
        <f t="shared" si="187"/>
        <v>-366449</v>
      </c>
      <c r="N1518" s="18">
        <f t="shared" si="187"/>
        <v>37552.909999999974</v>
      </c>
      <c r="O1518" s="18">
        <f t="shared" si="187"/>
        <v>6640</v>
      </c>
      <c r="P1518" s="42"/>
      <c r="Q1518" s="18">
        <f>+Q1510+Q1511+Q1516+Q1517+Q1512</f>
        <v>0</v>
      </c>
      <c r="R1518" s="18">
        <f>+R1510+R1511+R1516+R1517+R1512</f>
        <v>0</v>
      </c>
      <c r="S1518" s="18"/>
      <c r="T1518" s="18">
        <f>+T1510+T1511+T1516+T1517+T1512</f>
        <v>0</v>
      </c>
      <c r="U1518" s="42"/>
      <c r="V1518" s="18">
        <f>+V1510+V1511+V1516+V1517+V1512</f>
        <v>774604.9099999999</v>
      </c>
      <c r="W1518" s="18">
        <f>+W1510+W1511+W1516+W1517+W1512</f>
        <v>674119</v>
      </c>
      <c r="X1518" s="18">
        <f>+X1510+X1511+X1516+X1517+X1512</f>
        <v>100485.90999999992</v>
      </c>
    </row>
    <row r="1519" spans="1:24" ht="15">
      <c r="A1519" s="4"/>
      <c r="B1519" s="24" t="s">
        <v>0</v>
      </c>
      <c r="C1519" s="11"/>
      <c r="D1519" s="27" t="s">
        <v>0</v>
      </c>
      <c r="E1519" s="18"/>
      <c r="F1519" s="27" t="s">
        <v>0</v>
      </c>
      <c r="G1519" s="18"/>
      <c r="I1519" s="18"/>
      <c r="J1519" s="18"/>
      <c r="K1519" s="18"/>
      <c r="L1519" s="18"/>
      <c r="M1519" s="42"/>
      <c r="N1519" s="73" t="s">
        <v>0</v>
      </c>
      <c r="O1519" s="42"/>
      <c r="P1519" s="42"/>
      <c r="Q1519" s="42"/>
      <c r="U1519" s="42"/>
      <c r="V1519" s="18"/>
      <c r="W1519" s="18"/>
      <c r="X1519" s="18"/>
    </row>
    <row r="1520" spans="1:24" ht="15">
      <c r="A1520" s="4"/>
      <c r="B1520" s="92"/>
      <c r="C1520" s="11"/>
      <c r="D1520" s="6" t="s">
        <v>48</v>
      </c>
      <c r="E1520" s="6"/>
      <c r="F1520" s="10" t="s">
        <v>49</v>
      </c>
      <c r="G1520" s="10" t="s">
        <v>50</v>
      </c>
      <c r="I1520" s="10" t="s">
        <v>51</v>
      </c>
      <c r="J1520" s="10" t="s">
        <v>52</v>
      </c>
      <c r="K1520" s="10" t="s">
        <v>53</v>
      </c>
      <c r="L1520" s="10" t="s">
        <v>54</v>
      </c>
      <c r="M1520" s="10" t="s">
        <v>55</v>
      </c>
      <c r="N1520" s="10" t="s">
        <v>56</v>
      </c>
      <c r="O1520" s="10" t="s">
        <v>57</v>
      </c>
      <c r="P1520" s="18"/>
      <c r="Q1520" s="10" t="s">
        <v>58</v>
      </c>
      <c r="R1520" s="10" t="s">
        <v>59</v>
      </c>
      <c r="S1520" s="10"/>
      <c r="T1520" s="10" t="s">
        <v>60</v>
      </c>
      <c r="U1520" s="18"/>
      <c r="V1520" s="10" t="s">
        <v>61</v>
      </c>
      <c r="W1520" s="10" t="s">
        <v>62</v>
      </c>
      <c r="X1520" s="10" t="s">
        <v>63</v>
      </c>
    </row>
    <row r="1521" spans="1:24" ht="15">
      <c r="A1521" s="4"/>
      <c r="B1521" s="24"/>
      <c r="C1521" s="11"/>
      <c r="D1521" s="14" t="s">
        <v>20</v>
      </c>
      <c r="E1521" s="18"/>
      <c r="F1521" s="14" t="s">
        <v>20</v>
      </c>
      <c r="G1521" s="14" t="s">
        <v>20</v>
      </c>
      <c r="I1521" s="14" t="s">
        <v>20</v>
      </c>
      <c r="J1521" s="14" t="s">
        <v>21</v>
      </c>
      <c r="K1521" s="14" t="s">
        <v>21</v>
      </c>
      <c r="L1521" s="14" t="s">
        <v>21</v>
      </c>
      <c r="M1521" s="14" t="s">
        <v>21</v>
      </c>
      <c r="N1521" s="14" t="s">
        <v>21</v>
      </c>
      <c r="O1521" s="14" t="s">
        <v>21</v>
      </c>
      <c r="P1521" s="14"/>
      <c r="Q1521" s="14" t="s">
        <v>21</v>
      </c>
      <c r="R1521" s="14" t="s">
        <v>21</v>
      </c>
      <c r="T1521" s="14" t="s">
        <v>21</v>
      </c>
      <c r="U1521" s="42"/>
      <c r="V1521" s="18"/>
      <c r="W1521" s="39" t="s">
        <v>123</v>
      </c>
      <c r="X1521" s="18"/>
    </row>
    <row r="1522" spans="1:24" ht="15">
      <c r="A1522" s="4"/>
      <c r="B1522" s="87" t="s">
        <v>183</v>
      </c>
      <c r="C1522" s="11"/>
      <c r="D1522" s="53" t="s">
        <v>124</v>
      </c>
      <c r="E1522" s="18"/>
      <c r="F1522" s="53" t="s">
        <v>125</v>
      </c>
      <c r="G1522" s="53" t="s">
        <v>126</v>
      </c>
      <c r="I1522" s="53" t="s">
        <v>127</v>
      </c>
      <c r="J1522" s="53" t="s">
        <v>128</v>
      </c>
      <c r="K1522" s="53" t="s">
        <v>129</v>
      </c>
      <c r="L1522" s="53" t="s">
        <v>130</v>
      </c>
      <c r="M1522" s="53" t="s">
        <v>131</v>
      </c>
      <c r="N1522" s="24" t="s">
        <v>132</v>
      </c>
      <c r="O1522" s="24" t="s">
        <v>98</v>
      </c>
      <c r="P1522" s="24"/>
      <c r="Q1522" s="24" t="s">
        <v>99</v>
      </c>
      <c r="R1522" s="24" t="s">
        <v>133</v>
      </c>
      <c r="S1522" s="42"/>
      <c r="T1522" s="24" t="s">
        <v>134</v>
      </c>
      <c r="U1522" s="42"/>
      <c r="V1522" s="10" t="s">
        <v>20</v>
      </c>
      <c r="W1522" s="10" t="s">
        <v>21</v>
      </c>
      <c r="X1522" s="10" t="s">
        <v>22</v>
      </c>
    </row>
    <row r="1523" spans="1:24" ht="15">
      <c r="A1523" s="4"/>
      <c r="B1523" s="24"/>
      <c r="C1523" s="11"/>
      <c r="D1523" s="18"/>
      <c r="E1523" s="18"/>
      <c r="F1523" s="18"/>
      <c r="I1523" s="18"/>
      <c r="J1523" s="18"/>
      <c r="O1523" s="42"/>
      <c r="P1523" s="42"/>
      <c r="Q1523" s="42"/>
      <c r="R1523" s="42"/>
      <c r="S1523" s="42"/>
      <c r="T1523" s="42"/>
      <c r="U1523" s="42"/>
      <c r="V1523" s="18"/>
      <c r="W1523" s="39"/>
      <c r="X1523" s="18"/>
    </row>
    <row r="1524" spans="1:24" ht="15">
      <c r="A1524" s="4">
        <f>+A1518+1</f>
        <v>29</v>
      </c>
      <c r="B1524" s="5" t="s">
        <v>36</v>
      </c>
      <c r="C1524" s="17" t="s">
        <v>37</v>
      </c>
      <c r="D1524" s="18">
        <v>0</v>
      </c>
      <c r="E1524" s="18"/>
      <c r="F1524" s="18">
        <v>0</v>
      </c>
      <c r="G1524" s="18">
        <v>0</v>
      </c>
      <c r="I1524" s="18">
        <v>0</v>
      </c>
      <c r="J1524" s="18">
        <v>0</v>
      </c>
      <c r="K1524" s="18">
        <v>0</v>
      </c>
      <c r="L1524" s="18">
        <v>0</v>
      </c>
      <c r="M1524" s="18">
        <v>0</v>
      </c>
      <c r="N1524" s="18">
        <v>0</v>
      </c>
      <c r="O1524" s="18">
        <v>0</v>
      </c>
      <c r="P1524" s="18"/>
      <c r="Q1524" s="18">
        <v>0</v>
      </c>
      <c r="R1524" s="18">
        <v>0</v>
      </c>
      <c r="S1524" s="42"/>
      <c r="T1524" s="18">
        <v>0</v>
      </c>
      <c r="U1524" s="42"/>
      <c r="V1524" s="18">
        <f>+V1508+D1524+F1524+G1524+I1524</f>
        <v>929005</v>
      </c>
      <c r="W1524" s="18">
        <f>+W1508+J1524+K1524+L1524+M1524+N1524+O1524+Q1524+R1524+T1524</f>
        <v>362879</v>
      </c>
      <c r="X1524" s="18">
        <f>+V1524-W1524</f>
        <v>566126</v>
      </c>
    </row>
    <row r="1525" spans="1:24" ht="15">
      <c r="A1525" s="4">
        <f>+A1524+1</f>
        <v>30</v>
      </c>
      <c r="B1525" s="5" t="s">
        <v>36</v>
      </c>
      <c r="C1525" s="22" t="s">
        <v>38</v>
      </c>
      <c r="D1525" s="18">
        <v>0</v>
      </c>
      <c r="E1525" s="18"/>
      <c r="F1525" s="18">
        <v>0</v>
      </c>
      <c r="G1525" s="18">
        <v>0</v>
      </c>
      <c r="I1525" s="18">
        <v>0</v>
      </c>
      <c r="J1525" s="18">
        <v>0</v>
      </c>
      <c r="K1525" s="18">
        <v>0</v>
      </c>
      <c r="L1525" s="18">
        <v>0</v>
      </c>
      <c r="M1525" s="18">
        <v>0</v>
      </c>
      <c r="N1525" s="18">
        <v>0</v>
      </c>
      <c r="O1525" s="18">
        <v>0</v>
      </c>
      <c r="P1525" s="18"/>
      <c r="Q1525" s="18">
        <v>0</v>
      </c>
      <c r="R1525" s="18">
        <v>0</v>
      </c>
      <c r="S1525" s="42"/>
      <c r="T1525" s="18">
        <v>0</v>
      </c>
      <c r="U1525" s="42"/>
      <c r="V1525" s="18">
        <f>+V1509+D1525+F1525+G1525+I1525</f>
        <v>928213.0900000001</v>
      </c>
      <c r="W1525" s="18">
        <f>+W1509+J1525+K1525+L1525+M1525+N1525+O1525+Q1525+R1525+T1525</f>
        <v>359104</v>
      </c>
      <c r="X1525" s="18">
        <f>+V1525-W1525</f>
        <v>569109.0900000001</v>
      </c>
    </row>
    <row r="1526" spans="1:24" ht="15">
      <c r="A1526" s="4">
        <f>+A1525+1</f>
        <v>31</v>
      </c>
      <c r="B1526" s="24" t="s">
        <v>46</v>
      </c>
      <c r="C1526" s="40" t="s">
        <v>78</v>
      </c>
      <c r="D1526" s="18">
        <f>+D1524-D1525</f>
        <v>0</v>
      </c>
      <c r="E1526" s="18"/>
      <c r="F1526" s="18">
        <f>+F1524-F1525</f>
        <v>0</v>
      </c>
      <c r="G1526" s="18">
        <f>+G1524-G1525</f>
        <v>0</v>
      </c>
      <c r="I1526" s="18">
        <f aca="true" t="shared" si="188" ref="I1526:O1526">+I1524-I1525</f>
        <v>0</v>
      </c>
      <c r="J1526" s="18">
        <f t="shared" si="188"/>
        <v>0</v>
      </c>
      <c r="K1526" s="18">
        <f t="shared" si="188"/>
        <v>0</v>
      </c>
      <c r="L1526" s="18">
        <f t="shared" si="188"/>
        <v>0</v>
      </c>
      <c r="M1526" s="18">
        <f t="shared" si="188"/>
        <v>0</v>
      </c>
      <c r="N1526" s="18">
        <f t="shared" si="188"/>
        <v>0</v>
      </c>
      <c r="O1526" s="18">
        <f t="shared" si="188"/>
        <v>0</v>
      </c>
      <c r="P1526" s="18"/>
      <c r="Q1526" s="18">
        <f>+Q1524-Q1525</f>
        <v>0</v>
      </c>
      <c r="R1526" s="18">
        <f>+R1524-R1525</f>
        <v>0</v>
      </c>
      <c r="S1526" s="42"/>
      <c r="T1526" s="18">
        <f>+T1524-T1525</f>
        <v>0</v>
      </c>
      <c r="U1526" s="42"/>
      <c r="V1526" s="27">
        <f>+V1524-V1525</f>
        <v>791.9099999999162</v>
      </c>
      <c r="W1526" s="27">
        <f>+W1524-W1525</f>
        <v>3775</v>
      </c>
      <c r="X1526" s="18">
        <f>+X1524-X1525</f>
        <v>-2983.090000000084</v>
      </c>
    </row>
    <row r="1527" spans="1:24" ht="28.5">
      <c r="A1527" s="4">
        <f>+A1526+1</f>
        <v>32</v>
      </c>
      <c r="B1527" s="88" t="s">
        <v>182</v>
      </c>
      <c r="C1527" s="11"/>
      <c r="D1527" s="18">
        <v>0</v>
      </c>
      <c r="E1527" s="18"/>
      <c r="F1527" s="18">
        <v>0</v>
      </c>
      <c r="G1527" s="18">
        <v>0</v>
      </c>
      <c r="I1527" s="18">
        <v>0</v>
      </c>
      <c r="J1527" s="18">
        <v>0</v>
      </c>
      <c r="K1527" s="18">
        <v>0</v>
      </c>
      <c r="L1527" s="18">
        <v>0</v>
      </c>
      <c r="M1527" s="18">
        <v>0</v>
      </c>
      <c r="N1527" s="18">
        <v>0</v>
      </c>
      <c r="O1527" s="18">
        <v>0</v>
      </c>
      <c r="P1527" s="18"/>
      <c r="Q1527" s="18">
        <v>0</v>
      </c>
      <c r="R1527" s="18">
        <v>0</v>
      </c>
      <c r="S1527" s="42"/>
      <c r="T1527" s="18">
        <v>0</v>
      </c>
      <c r="U1527" s="42"/>
      <c r="V1527" s="18">
        <f>+V1511+D1527+F1527+G1527+I1527</f>
        <v>0</v>
      </c>
      <c r="W1527" s="18">
        <f>+W1511+J1527+K1527+L1527+M1527+N1527+O1527+Q1527+R1527+T1527</f>
        <v>0</v>
      </c>
      <c r="X1527" s="18">
        <f>+V1527-W1527</f>
        <v>0</v>
      </c>
    </row>
    <row r="1528" spans="1:24" ht="24.75">
      <c r="A1528" s="4">
        <f>+A1527+1</f>
        <v>33</v>
      </c>
      <c r="B1528" s="89" t="s">
        <v>39</v>
      </c>
      <c r="C1528" s="40"/>
      <c r="D1528" s="27">
        <v>22007</v>
      </c>
      <c r="E1528" s="27" t="s">
        <v>0</v>
      </c>
      <c r="F1528" s="27">
        <v>96</v>
      </c>
      <c r="G1528" s="27">
        <v>-5089</v>
      </c>
      <c r="H1528" t="s">
        <v>0</v>
      </c>
      <c r="I1528" s="27">
        <v>0</v>
      </c>
      <c r="J1528" s="27">
        <v>115</v>
      </c>
      <c r="K1528" s="27">
        <v>0</v>
      </c>
      <c r="L1528" s="27">
        <v>0</v>
      </c>
      <c r="M1528" s="18">
        <v>0</v>
      </c>
      <c r="N1528" s="18">
        <v>0</v>
      </c>
      <c r="O1528" s="18">
        <v>0</v>
      </c>
      <c r="P1528" s="18"/>
      <c r="Q1528" s="18">
        <v>0</v>
      </c>
      <c r="R1528" s="18">
        <v>0</v>
      </c>
      <c r="S1528" s="42"/>
      <c r="T1528" s="18">
        <v>6176</v>
      </c>
      <c r="U1528" s="42"/>
      <c r="V1528" s="18">
        <f>+V1512+D1528+F1528+G1528+I1528</f>
        <v>-105194</v>
      </c>
      <c r="W1528" s="18">
        <f>+W1512+J1528+K1528+L1528+M1528+N1528+O1528+Q1528+R1528+T1528</f>
        <v>336421</v>
      </c>
      <c r="X1528" s="36">
        <f>+V1528-W1528</f>
        <v>-441615</v>
      </c>
    </row>
    <row r="1529" spans="1:24" ht="15">
      <c r="A1529" s="6" t="s">
        <v>41</v>
      </c>
      <c r="B1529" s="41"/>
      <c r="C1529" s="40"/>
      <c r="D1529" s="18"/>
      <c r="E1529" s="18"/>
      <c r="F1529" s="18"/>
      <c r="G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42"/>
      <c r="T1529" s="18"/>
      <c r="U1529" s="42"/>
      <c r="V1529" s="18"/>
      <c r="W1529" s="54"/>
      <c r="X1529" s="36"/>
    </row>
    <row r="1530" spans="1:24" ht="15">
      <c r="A1530" s="4">
        <f>+A1528+1</f>
        <v>34</v>
      </c>
      <c r="B1530" s="5" t="s">
        <v>42</v>
      </c>
      <c r="C1530" s="22" t="s">
        <v>38</v>
      </c>
      <c r="D1530" s="18">
        <v>0</v>
      </c>
      <c r="E1530" s="18"/>
      <c r="F1530" s="18">
        <v>0</v>
      </c>
      <c r="G1530" s="18">
        <v>0</v>
      </c>
      <c r="I1530" s="18">
        <v>0</v>
      </c>
      <c r="J1530" s="18">
        <v>0</v>
      </c>
      <c r="K1530" s="18">
        <v>0</v>
      </c>
      <c r="L1530" s="18"/>
      <c r="M1530" s="18">
        <v>0</v>
      </c>
      <c r="N1530" s="18">
        <v>0</v>
      </c>
      <c r="O1530" s="18">
        <v>0</v>
      </c>
      <c r="P1530" s="18"/>
      <c r="Q1530" s="18">
        <v>0</v>
      </c>
      <c r="R1530" s="18">
        <v>0</v>
      </c>
      <c r="S1530" s="42"/>
      <c r="T1530" s="18">
        <v>0</v>
      </c>
      <c r="U1530" s="42"/>
      <c r="V1530" s="18">
        <f>+V1514+D1530+F1530+G1530+I1530</f>
        <v>896021</v>
      </c>
      <c r="W1530" s="18">
        <f>+W1514+J1530+K1530+L1530+M1530+N1530+O1530+Q1530+R1530+T1530</f>
        <v>340214</v>
      </c>
      <c r="X1530" s="18">
        <f>+V1530-W1530</f>
        <v>555807</v>
      </c>
    </row>
    <row r="1531" spans="1:24" ht="15">
      <c r="A1531" s="4">
        <f>+A1530+1</f>
        <v>35</v>
      </c>
      <c r="B1531" s="5" t="s">
        <v>43</v>
      </c>
      <c r="C1531" s="11"/>
      <c r="D1531" s="18">
        <v>0</v>
      </c>
      <c r="E1531" s="18"/>
      <c r="F1531" s="18">
        <v>0</v>
      </c>
      <c r="G1531" s="18">
        <v>0</v>
      </c>
      <c r="I1531" s="18">
        <v>0</v>
      </c>
      <c r="J1531" s="18">
        <v>0</v>
      </c>
      <c r="K1531" s="18">
        <v>0</v>
      </c>
      <c r="L1531" s="18">
        <v>0</v>
      </c>
      <c r="M1531" s="18">
        <v>0</v>
      </c>
      <c r="N1531" s="18">
        <v>0</v>
      </c>
      <c r="O1531" s="18">
        <v>0</v>
      </c>
      <c r="P1531" s="18"/>
      <c r="Q1531" s="18">
        <v>0</v>
      </c>
      <c r="R1531" s="18">
        <v>0</v>
      </c>
      <c r="S1531" s="42"/>
      <c r="T1531" s="18">
        <v>0</v>
      </c>
      <c r="U1531" s="42"/>
      <c r="V1531" s="18">
        <f>+V1515+D1531+F1531+G1531+I1531</f>
        <v>0</v>
      </c>
      <c r="W1531" s="18">
        <f>+W1515+J1531+K1531+L1531+M1531+N1531+O1531+Q1531+R1531+T1531</f>
        <v>0</v>
      </c>
      <c r="X1531" s="18">
        <f>+V1531-W1531</f>
        <v>0</v>
      </c>
    </row>
    <row r="1532" spans="1:24" ht="26.25">
      <c r="A1532" s="4">
        <f>+A1531+1</f>
        <v>36</v>
      </c>
      <c r="B1532" s="24" t="s">
        <v>79</v>
      </c>
      <c r="C1532" s="11"/>
      <c r="D1532" s="18">
        <f>+D1530-D1531</f>
        <v>0</v>
      </c>
      <c r="E1532" s="18"/>
      <c r="F1532" s="18">
        <f>+F1530-F1531</f>
        <v>0</v>
      </c>
      <c r="G1532" s="18">
        <f>+G1530-G1531</f>
        <v>0</v>
      </c>
      <c r="I1532" s="18">
        <f aca="true" t="shared" si="189" ref="I1532:O1532">+I1530-I1531</f>
        <v>0</v>
      </c>
      <c r="J1532" s="18">
        <f t="shared" si="189"/>
        <v>0</v>
      </c>
      <c r="K1532" s="18">
        <f t="shared" si="189"/>
        <v>0</v>
      </c>
      <c r="L1532" s="18">
        <f t="shared" si="189"/>
        <v>0</v>
      </c>
      <c r="M1532" s="18">
        <f t="shared" si="189"/>
        <v>0</v>
      </c>
      <c r="N1532" s="18">
        <f t="shared" si="189"/>
        <v>0</v>
      </c>
      <c r="O1532" s="18">
        <f t="shared" si="189"/>
        <v>0</v>
      </c>
      <c r="P1532" s="18"/>
      <c r="Q1532" s="18">
        <f>+Q1530-Q1531</f>
        <v>0</v>
      </c>
      <c r="R1532" s="18">
        <f>+R1530-R1531</f>
        <v>0</v>
      </c>
      <c r="S1532" s="42"/>
      <c r="T1532" s="18">
        <f>+T1530-T1531</f>
        <v>0</v>
      </c>
      <c r="U1532" s="42"/>
      <c r="V1532" s="55">
        <f>+V1530-V1531</f>
        <v>896021</v>
      </c>
      <c r="W1532" s="55">
        <f>+W1530-W1531</f>
        <v>340214</v>
      </c>
      <c r="X1532" s="31">
        <f>+X1530-X1531</f>
        <v>555807</v>
      </c>
    </row>
    <row r="1533" spans="1:24" ht="28.5">
      <c r="A1533" s="4">
        <f>+A1532+1</f>
        <v>37</v>
      </c>
      <c r="B1533" s="88" t="s">
        <v>181</v>
      </c>
      <c r="C1533" s="11"/>
      <c r="D1533" s="18">
        <v>0</v>
      </c>
      <c r="E1533" s="18"/>
      <c r="F1533" s="18">
        <v>0</v>
      </c>
      <c r="G1533" s="18">
        <v>0</v>
      </c>
      <c r="I1533" s="18">
        <v>0</v>
      </c>
      <c r="J1533" s="18">
        <v>0</v>
      </c>
      <c r="K1533" s="18">
        <v>0</v>
      </c>
      <c r="L1533" s="18">
        <v>0</v>
      </c>
      <c r="M1533" s="18">
        <v>0</v>
      </c>
      <c r="N1533" s="18">
        <v>0</v>
      </c>
      <c r="O1533" s="18">
        <v>0</v>
      </c>
      <c r="P1533" s="18"/>
      <c r="Q1533" s="18">
        <v>0</v>
      </c>
      <c r="R1533" s="18">
        <v>0</v>
      </c>
      <c r="S1533" s="42"/>
      <c r="T1533" s="18">
        <v>0</v>
      </c>
      <c r="U1533" s="42"/>
      <c r="V1533" s="18">
        <f>+V1517+D1533+F1533+G1533+I1533</f>
        <v>0</v>
      </c>
      <c r="W1533" s="18">
        <f>+W1517+J1533+K1533+L1533+M1533+N1533+O1533+Q1533+R1533+T1533</f>
        <v>0</v>
      </c>
      <c r="X1533" s="18">
        <f>+V1533-W1533</f>
        <v>0</v>
      </c>
    </row>
    <row r="1534" spans="1:24" ht="15">
      <c r="A1534" s="4">
        <f>+A1533+1</f>
        <v>38</v>
      </c>
      <c r="B1534" s="24" t="s">
        <v>46</v>
      </c>
      <c r="C1534" s="11" t="s">
        <v>47</v>
      </c>
      <c r="D1534" s="18">
        <f>+D1526+D1527+D1532+D1533+D1528</f>
        <v>22007</v>
      </c>
      <c r="E1534" s="18"/>
      <c r="F1534" s="18">
        <f>+F1526+F1527+F1532+F1533+F1528</f>
        <v>96</v>
      </c>
      <c r="G1534" s="18">
        <f>+G1526+G1527+G1532+G1533+G1528</f>
        <v>-5089</v>
      </c>
      <c r="I1534" s="18">
        <f aca="true" t="shared" si="190" ref="I1534:O1534">+I1526+I1527+I1532+I1533+I1528</f>
        <v>0</v>
      </c>
      <c r="J1534" s="18">
        <f t="shared" si="190"/>
        <v>115</v>
      </c>
      <c r="K1534" s="18">
        <f t="shared" si="190"/>
        <v>0</v>
      </c>
      <c r="L1534" s="18">
        <f t="shared" si="190"/>
        <v>0</v>
      </c>
      <c r="M1534" s="18">
        <f t="shared" si="190"/>
        <v>0</v>
      </c>
      <c r="N1534" s="18">
        <f t="shared" si="190"/>
        <v>0</v>
      </c>
      <c r="O1534" s="18">
        <f t="shared" si="190"/>
        <v>0</v>
      </c>
      <c r="P1534" s="18"/>
      <c r="Q1534" s="18">
        <f>+Q1526+Q1527+Q1532+Q1533+Q1528</f>
        <v>0</v>
      </c>
      <c r="R1534" s="18">
        <f>+R1526+R1527+R1532+R1533+R1528</f>
        <v>0</v>
      </c>
      <c r="S1534" s="42"/>
      <c r="T1534" s="18">
        <f>+T1526+T1527+T1532+T1533+T1528</f>
        <v>6176</v>
      </c>
      <c r="U1534" s="42"/>
      <c r="V1534" s="18">
        <f>+V1526+V1527+V1532+V1533+V1528</f>
        <v>791618.9099999999</v>
      </c>
      <c r="W1534" s="18">
        <f>+W1526+W1527+W1532+W1533+W1528</f>
        <v>680410</v>
      </c>
      <c r="X1534" s="18">
        <f>+X1526+X1527+X1532+X1533+X1528</f>
        <v>111208.90999999992</v>
      </c>
    </row>
    <row r="1535" spans="1:24" ht="15">
      <c r="A1535" s="4"/>
      <c r="B1535" s="24"/>
      <c r="C1535" s="11"/>
      <c r="D1535" s="18"/>
      <c r="E1535" s="18"/>
      <c r="F1535" s="18"/>
      <c r="G1535" s="18"/>
      <c r="N1535" s="42"/>
      <c r="O1535" s="42"/>
      <c r="P1535" s="42"/>
      <c r="Q1535" s="42"/>
      <c r="R1535" s="42"/>
      <c r="S1535" s="42"/>
      <c r="T1535" s="42"/>
      <c r="U1535" s="42"/>
      <c r="V1535" s="18"/>
      <c r="W1535" s="18"/>
      <c r="X1535" s="18"/>
    </row>
    <row r="1536" spans="1:24" ht="15">
      <c r="A1536" s="4"/>
      <c r="B1536" s="24"/>
      <c r="C1536" s="11"/>
      <c r="D1536" s="18"/>
      <c r="E1536" s="18"/>
      <c r="F1536" s="18"/>
      <c r="G1536" s="18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  <c r="V1536" s="18"/>
      <c r="W1536" s="18"/>
      <c r="X1536" s="18"/>
    </row>
    <row r="1537" spans="1:24" ht="15">
      <c r="A1537" s="4"/>
      <c r="B1537" s="24"/>
      <c r="C1537" s="11"/>
      <c r="D1537" s="18"/>
      <c r="E1537" s="18"/>
      <c r="F1537" s="18"/>
      <c r="G1537" s="18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18"/>
      <c r="W1537" s="18"/>
      <c r="X1537" s="18"/>
    </row>
    <row r="1538" spans="1:24" ht="15">
      <c r="A1538" s="4"/>
      <c r="B1538" s="24"/>
      <c r="C1538" s="11"/>
      <c r="D1538" s="18"/>
      <c r="E1538" s="18"/>
      <c r="F1538" s="18"/>
      <c r="G1538" s="18"/>
      <c r="H1538" s="56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18"/>
      <c r="W1538" s="18"/>
      <c r="X1538" s="18"/>
    </row>
    <row r="1539" spans="1:24" ht="15">
      <c r="A1539" s="4"/>
      <c r="B1539" s="24"/>
      <c r="C1539" s="11"/>
      <c r="D1539" s="18"/>
      <c r="E1539" s="18"/>
      <c r="F1539" s="18"/>
      <c r="G1539" s="18"/>
      <c r="H1539" s="56"/>
      <c r="I1539" s="57" t="s">
        <v>135</v>
      </c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18"/>
      <c r="W1539" s="18"/>
      <c r="X1539" s="18"/>
    </row>
    <row r="1540" spans="1:24" ht="15">
      <c r="A1540" s="4"/>
      <c r="B1540" s="24"/>
      <c r="C1540" s="11"/>
      <c r="D1540" s="18"/>
      <c r="E1540" s="18"/>
      <c r="F1540" s="18"/>
      <c r="G1540" s="18"/>
      <c r="H1540" s="56"/>
      <c r="I1540" s="58"/>
      <c r="L1540" s="42"/>
      <c r="T1540" s="42"/>
      <c r="U1540" s="42"/>
      <c r="V1540" s="18"/>
      <c r="W1540" s="18"/>
      <c r="X1540" s="18"/>
    </row>
    <row r="1541" spans="1:24" ht="15">
      <c r="A1541" s="4"/>
      <c r="B1541" s="24"/>
      <c r="C1541" s="11"/>
      <c r="D1541" s="18"/>
      <c r="E1541" s="18"/>
      <c r="F1541" s="18"/>
      <c r="G1541" s="18"/>
      <c r="H1541" s="56"/>
      <c r="I1541" s="59" t="s">
        <v>136</v>
      </c>
      <c r="L1541" s="75">
        <v>4952371.33</v>
      </c>
      <c r="T1541" s="42"/>
      <c r="U1541" s="42"/>
      <c r="V1541" s="18"/>
      <c r="W1541" s="18"/>
      <c r="X1541" s="18"/>
    </row>
    <row r="1542" spans="1:24" ht="15">
      <c r="A1542" s="4"/>
      <c r="B1542" s="24"/>
      <c r="C1542" s="11"/>
      <c r="D1542" s="18"/>
      <c r="E1542" s="18"/>
      <c r="F1542" s="18"/>
      <c r="G1542" s="18"/>
      <c r="H1542" s="56"/>
      <c r="I1542" s="59"/>
      <c r="L1542" s="18"/>
      <c r="T1542" s="42"/>
      <c r="U1542" s="42"/>
      <c r="V1542" s="18"/>
      <c r="W1542" s="18"/>
      <c r="X1542" s="18"/>
    </row>
    <row r="1543" spans="1:24" ht="15">
      <c r="A1543" s="4"/>
      <c r="B1543" s="24"/>
      <c r="C1543" s="11"/>
      <c r="D1543" s="44" t="s">
        <v>137</v>
      </c>
      <c r="E1543" s="18"/>
      <c r="F1543" s="10" t="s">
        <v>138</v>
      </c>
      <c r="G1543" s="44" t="s">
        <v>24</v>
      </c>
      <c r="H1543" s="56"/>
      <c r="I1543" s="59" t="s">
        <v>139</v>
      </c>
      <c r="L1543" s="27">
        <v>977988</v>
      </c>
      <c r="N1543" s="6" t="s">
        <v>137</v>
      </c>
      <c r="O1543" s="6" t="s">
        <v>137</v>
      </c>
      <c r="P1543" s="42"/>
      <c r="Q1543" s="6" t="s">
        <v>138</v>
      </c>
      <c r="R1543" s="6" t="s">
        <v>138</v>
      </c>
      <c r="S1543" s="6"/>
      <c r="T1543" s="42"/>
      <c r="U1543" s="42"/>
      <c r="V1543" s="18"/>
      <c r="W1543" s="18"/>
      <c r="X1543" s="18"/>
    </row>
    <row r="1544" spans="1:24" ht="15">
      <c r="A1544" s="4"/>
      <c r="B1544" s="24"/>
      <c r="C1544" s="11"/>
      <c r="D1544" s="18"/>
      <c r="E1544" s="18"/>
      <c r="F1544" s="18"/>
      <c r="G1544" s="18"/>
      <c r="H1544" s="56"/>
      <c r="I1544" s="59"/>
      <c r="L1544" s="18"/>
      <c r="N1544" s="8" t="s">
        <v>140</v>
      </c>
      <c r="O1544" s="49" t="s">
        <v>141</v>
      </c>
      <c r="P1544" s="42"/>
      <c r="Q1544" s="8" t="s">
        <v>140</v>
      </c>
      <c r="R1544" s="49" t="s">
        <v>141</v>
      </c>
      <c r="S1544" s="49"/>
      <c r="T1544" s="42"/>
      <c r="U1544" s="42"/>
      <c r="V1544" s="18"/>
      <c r="W1544" s="18"/>
      <c r="X1544" s="18"/>
    </row>
    <row r="1545" spans="1:24" ht="15">
      <c r="A1545" s="4">
        <f>+A1533+1</f>
        <v>38</v>
      </c>
      <c r="B1545" s="5" t="s">
        <v>36</v>
      </c>
      <c r="C1545" s="17" t="s">
        <v>37</v>
      </c>
      <c r="D1545" s="31">
        <f>+V1486+V1524</f>
        <v>6284397.65</v>
      </c>
      <c r="E1545" s="18"/>
      <c r="F1545" s="31">
        <f>+W1486+W1524</f>
        <v>5285703</v>
      </c>
      <c r="G1545" s="18">
        <f>+D1545-F1545</f>
        <v>998694.6500000004</v>
      </c>
      <c r="H1545" s="56"/>
      <c r="I1545" s="59" t="s">
        <v>142</v>
      </c>
      <c r="J1545" s="18"/>
      <c r="K1545" s="18"/>
      <c r="L1545" s="36">
        <f>F1461</f>
        <v>3920791</v>
      </c>
      <c r="N1545" s="60"/>
      <c r="O1545" s="6"/>
      <c r="P1545" s="42"/>
      <c r="Q1545" s="61"/>
      <c r="R1545" s="61"/>
      <c r="S1545" s="61"/>
      <c r="T1545" s="42"/>
      <c r="U1545" s="42"/>
      <c r="V1545" s="18"/>
      <c r="W1545" s="18"/>
      <c r="X1545" s="18"/>
    </row>
    <row r="1546" spans="1:21" ht="15">
      <c r="A1546" s="4">
        <f>+A1545+1</f>
        <v>39</v>
      </c>
      <c r="B1546" s="5" t="s">
        <v>36</v>
      </c>
      <c r="C1546" s="22" t="s">
        <v>38</v>
      </c>
      <c r="D1546" s="31">
        <f>+V1487+V1525</f>
        <v>6278605.72</v>
      </c>
      <c r="E1546" s="18"/>
      <c r="F1546" s="31">
        <f>+W1487+W1525</f>
        <v>5219964</v>
      </c>
      <c r="G1546" s="18">
        <f>+D1546-F1546</f>
        <v>1058641.7199999997</v>
      </c>
      <c r="H1546" s="56"/>
      <c r="I1546" s="58"/>
      <c r="J1546" s="18"/>
      <c r="K1546" s="18"/>
      <c r="L1546" s="60"/>
      <c r="N1546" s="62">
        <f>+D1547</f>
        <v>5791.930000000633</v>
      </c>
      <c r="O1546" s="63">
        <f>+D1553</f>
        <v>4913315.77</v>
      </c>
      <c r="P1546" s="42"/>
      <c r="Q1546" s="31">
        <f>+F1453</f>
        <v>61964</v>
      </c>
      <c r="R1546" s="31">
        <f>+F1455</f>
        <v>0</v>
      </c>
      <c r="S1546" s="31"/>
      <c r="T1546" s="42"/>
      <c r="U1546" s="42"/>
    </row>
    <row r="1547" spans="1:25" ht="15">
      <c r="A1547" s="4">
        <f>+A1546+1</f>
        <v>40</v>
      </c>
      <c r="B1547" s="24" t="s">
        <v>46</v>
      </c>
      <c r="C1547" s="40" t="s">
        <v>78</v>
      </c>
      <c r="D1547" s="26">
        <f>+D1545-D1546</f>
        <v>5791.930000000633</v>
      </c>
      <c r="E1547" s="18"/>
      <c r="F1547" s="26">
        <f>+F1545-F1546</f>
        <v>65739</v>
      </c>
      <c r="G1547" s="18">
        <f>+G1545-G1546</f>
        <v>-59947.06999999937</v>
      </c>
      <c r="H1547" s="56"/>
      <c r="I1547" s="58" t="s">
        <v>143</v>
      </c>
      <c r="J1547" s="18"/>
      <c r="K1547" s="18"/>
      <c r="L1547">
        <v>0</v>
      </c>
      <c r="N1547" s="62">
        <f>+D1548</f>
        <v>0</v>
      </c>
      <c r="O1547" s="63">
        <f>+D1554</f>
        <v>0</v>
      </c>
      <c r="P1547" s="42"/>
      <c r="Q1547" s="31">
        <f>+F1454</f>
        <v>0</v>
      </c>
      <c r="R1547" s="31">
        <f>+F1459</f>
        <v>3858827</v>
      </c>
      <c r="S1547" s="31"/>
      <c r="U1547" s="18"/>
      <c r="V1547" s="10" t="s">
        <v>20</v>
      </c>
      <c r="W1547" s="10" t="s">
        <v>21</v>
      </c>
      <c r="X1547" s="10" t="s">
        <v>22</v>
      </c>
      <c r="Y1547" s="18"/>
    </row>
    <row r="1548" spans="1:25" ht="28.5">
      <c r="A1548" s="4">
        <f>+A1547+1</f>
        <v>41</v>
      </c>
      <c r="B1548" s="88" t="s">
        <v>182</v>
      </c>
      <c r="C1548" s="11"/>
      <c r="D1548" s="26">
        <f>+V1489+V1527</f>
        <v>0</v>
      </c>
      <c r="E1548" s="26"/>
      <c r="F1548" s="26">
        <f>+W1489+W1527</f>
        <v>0</v>
      </c>
      <c r="G1548" s="18">
        <f>+D1548-F1548</f>
        <v>0</v>
      </c>
      <c r="H1548" s="56"/>
      <c r="I1548" s="58"/>
      <c r="J1548" s="18"/>
      <c r="K1548" s="18"/>
      <c r="L1548" s="60" t="s">
        <v>144</v>
      </c>
      <c r="N1548" s="62">
        <f>+F1547</f>
        <v>65739</v>
      </c>
      <c r="O1548" s="63">
        <f>+F1553</f>
        <v>4199041</v>
      </c>
      <c r="P1548" s="42"/>
      <c r="R1548" s="31">
        <f>+F1460</f>
        <v>0</v>
      </c>
      <c r="S1548" s="31"/>
      <c r="U1548" s="18"/>
      <c r="Y1548" s="18"/>
    </row>
    <row r="1549" spans="1:25" ht="24.75">
      <c r="A1549" s="4">
        <f>+A1548+1</f>
        <v>42</v>
      </c>
      <c r="B1549" s="89" t="s">
        <v>39</v>
      </c>
      <c r="C1549" s="40"/>
      <c r="D1549" s="30">
        <f>+V1490+V1528</f>
        <v>-264315.18</v>
      </c>
      <c r="E1549" s="30"/>
      <c r="F1549" s="30">
        <f>+W1490+W1528</f>
        <v>336421</v>
      </c>
      <c r="G1549" s="18">
        <f>+D1549-F1549</f>
        <v>-600736.1799999999</v>
      </c>
      <c r="H1549" s="56"/>
      <c r="I1549" s="64" t="s">
        <v>145</v>
      </c>
      <c r="J1549" s="18"/>
      <c r="K1549" s="18"/>
      <c r="L1549" s="31">
        <f>+L1541-L1543-L1545-L1547</f>
        <v>53592.330000000075</v>
      </c>
      <c r="N1549" s="62">
        <f>+F1548</f>
        <v>0</v>
      </c>
      <c r="O1549" s="63">
        <f>+F1554</f>
        <v>0</v>
      </c>
      <c r="P1549" s="42"/>
      <c r="Q1549" s="31"/>
      <c r="R1549" s="31"/>
      <c r="S1549" s="31"/>
      <c r="U1549" s="65"/>
      <c r="V1549" s="66"/>
      <c r="W1549" s="66"/>
      <c r="X1549" s="65"/>
      <c r="Y1549" s="65"/>
    </row>
    <row r="1550" spans="1:25" ht="15">
      <c r="A1550" s="6" t="s">
        <v>41</v>
      </c>
      <c r="B1550" s="41"/>
      <c r="C1550" s="40"/>
      <c r="D1550" s="18"/>
      <c r="E1550" s="18"/>
      <c r="F1550" s="18"/>
      <c r="G1550" s="18"/>
      <c r="H1550" s="56"/>
      <c r="I1550" s="58"/>
      <c r="J1550" s="18"/>
      <c r="K1550" s="18"/>
      <c r="N1550" s="62">
        <f>+F1453</f>
        <v>61964</v>
      </c>
      <c r="O1550" s="63">
        <f>+F1459</f>
        <v>3858827</v>
      </c>
      <c r="P1550" s="42"/>
      <c r="Q1550" s="31"/>
      <c r="U1550" s="65"/>
      <c r="V1550" s="67"/>
      <c r="W1550" s="67"/>
      <c r="X1550" s="68"/>
      <c r="Y1550" s="65"/>
    </row>
    <row r="1551" spans="1:25" ht="15">
      <c r="A1551" s="4">
        <f>+A1549+1</f>
        <v>43</v>
      </c>
      <c r="B1551" s="5" t="s">
        <v>42</v>
      </c>
      <c r="C1551" s="22" t="s">
        <v>38</v>
      </c>
      <c r="D1551" s="31">
        <f>+V1492+V1530</f>
        <v>4935714.77</v>
      </c>
      <c r="E1551" s="18"/>
      <c r="F1551" s="31">
        <f>+W1492+W1530</f>
        <v>4219527</v>
      </c>
      <c r="G1551" s="18">
        <f>+D1551-F1551</f>
        <v>716187.7699999996</v>
      </c>
      <c r="H1551" s="56"/>
      <c r="I1551" s="59" t="s">
        <v>22</v>
      </c>
      <c r="J1551" s="18"/>
      <c r="K1551" s="18"/>
      <c r="L1551" s="30">
        <f>+X1556</f>
        <v>53591.520000000484</v>
      </c>
      <c r="N1551" s="62"/>
      <c r="O1551" s="63">
        <f>+D1549</f>
        <v>-264315.18</v>
      </c>
      <c r="P1551" s="42"/>
      <c r="Q1551" s="31"/>
      <c r="R1551" s="31"/>
      <c r="S1551" s="31"/>
      <c r="T1551" s="69" t="s">
        <v>78</v>
      </c>
      <c r="U1551" s="65"/>
      <c r="V1551" s="26">
        <f>+D1547+D1548-F1547-F1548+F1453</f>
        <v>2016.9300000006333</v>
      </c>
      <c r="W1551" s="26">
        <f>+F1453+F1454</f>
        <v>61964</v>
      </c>
      <c r="X1551" s="26">
        <f>+V1551-W1551</f>
        <v>-59947.06999999937</v>
      </c>
      <c r="Y1551" s="65"/>
    </row>
    <row r="1552" spans="1:25" ht="15">
      <c r="A1552" s="4">
        <f>+A1551+1</f>
        <v>44</v>
      </c>
      <c r="B1552" s="5" t="s">
        <v>43</v>
      </c>
      <c r="C1552" s="11"/>
      <c r="D1552" s="31">
        <f>+V1493+V1531</f>
        <v>22399</v>
      </c>
      <c r="E1552" s="18"/>
      <c r="F1552" s="31">
        <f>+W1493+W1531</f>
        <v>20486</v>
      </c>
      <c r="G1552" s="18">
        <f>+D1552-F1552</f>
        <v>1913</v>
      </c>
      <c r="H1552" s="56"/>
      <c r="I1552" s="59"/>
      <c r="J1552" s="18"/>
      <c r="K1552" s="18"/>
      <c r="L1552" s="60" t="s">
        <v>144</v>
      </c>
      <c r="O1552" s="63">
        <f>+F1549</f>
        <v>336421</v>
      </c>
      <c r="P1552" s="42"/>
      <c r="Q1552" s="31"/>
      <c r="R1552" s="31"/>
      <c r="S1552" s="31"/>
      <c r="T1552" s="11" t="s">
        <v>146</v>
      </c>
      <c r="U1552" s="65"/>
      <c r="V1552" s="30">
        <f>+D1553+D1554-F1553-F1554+F1459+D1549-F1549+F1455</f>
        <v>3972365.59</v>
      </c>
      <c r="W1552" s="30">
        <f>+F1455+F1459+F1460</f>
        <v>3858827</v>
      </c>
      <c r="X1552" s="30">
        <f>+V1552-W1552</f>
        <v>113538.58999999985</v>
      </c>
      <c r="Y1552" s="65"/>
    </row>
    <row r="1553" spans="1:25" ht="26.25">
      <c r="A1553" s="4">
        <f>+A1552+1</f>
        <v>45</v>
      </c>
      <c r="B1553" s="24" t="s">
        <v>79</v>
      </c>
      <c r="C1553" s="11"/>
      <c r="D1553" s="30">
        <f>+D1551-D1552</f>
        <v>4913315.77</v>
      </c>
      <c r="E1553" s="18"/>
      <c r="F1553" s="30">
        <f>+F1551-F1552</f>
        <v>4199041</v>
      </c>
      <c r="G1553" s="18">
        <f>+G1551-G1552</f>
        <v>714274.7699999996</v>
      </c>
      <c r="H1553" s="56"/>
      <c r="I1553" s="58"/>
      <c r="J1553" s="18"/>
      <c r="K1553" s="18"/>
      <c r="N1553" s="62"/>
      <c r="O1553" s="63">
        <f>+F1455</f>
        <v>0</v>
      </c>
      <c r="P1553" s="42"/>
      <c r="Q1553" s="31"/>
      <c r="R1553" s="31"/>
      <c r="S1553" s="31"/>
      <c r="T1553" s="11"/>
      <c r="U1553" s="65"/>
      <c r="V1553" s="30"/>
      <c r="W1553" s="30"/>
      <c r="X1553" s="30"/>
      <c r="Y1553" s="65"/>
    </row>
    <row r="1554" spans="1:25" ht="28.5">
      <c r="A1554" s="4">
        <f>+A1553+1</f>
        <v>46</v>
      </c>
      <c r="B1554" s="88" t="s">
        <v>181</v>
      </c>
      <c r="C1554" s="11"/>
      <c r="D1554" s="30">
        <f>+V1495+V1533</f>
        <v>0</v>
      </c>
      <c r="E1554" s="30"/>
      <c r="F1554" s="30">
        <f>+W1495+W1533</f>
        <v>0</v>
      </c>
      <c r="G1554" s="18">
        <f>+D1554-F1554</f>
        <v>0</v>
      </c>
      <c r="H1554" s="56"/>
      <c r="N1554" s="62"/>
      <c r="O1554" s="62"/>
      <c r="P1554" s="42"/>
      <c r="Q1554" s="31"/>
      <c r="R1554" s="31"/>
      <c r="S1554" s="31"/>
      <c r="T1554" s="11"/>
      <c r="U1554" s="65"/>
      <c r="V1554" s="30"/>
      <c r="W1554" s="30"/>
      <c r="X1554" s="30"/>
      <c r="Y1554" s="65"/>
    </row>
    <row r="1555" spans="1:25" ht="15">
      <c r="A1555" s="4">
        <f>+A1554+1</f>
        <v>47</v>
      </c>
      <c r="B1555" s="24" t="s">
        <v>46</v>
      </c>
      <c r="C1555" s="11" t="s">
        <v>47</v>
      </c>
      <c r="D1555" s="18">
        <f>+D1547+D1548+D1553+D1554+D1549</f>
        <v>4654792.5200000005</v>
      </c>
      <c r="E1555" s="18"/>
      <c r="F1555" s="18">
        <f>+F1547+F1548+F1553+F1554+F1549</f>
        <v>4601201</v>
      </c>
      <c r="G1555" s="18">
        <f>+G1547+G1548+G1553+G1554+G1549</f>
        <v>53591.52000000025</v>
      </c>
      <c r="H1555" s="56"/>
      <c r="I1555" s="59" t="s">
        <v>147</v>
      </c>
      <c r="J1555" s="18"/>
      <c r="K1555" s="18"/>
      <c r="L1555" s="36">
        <f>+L1549-L1551</f>
        <v>0.8099999995902181</v>
      </c>
      <c r="N1555" s="70">
        <f>+N1546+N1547-N1548-N1549+N1550</f>
        <v>2016.9300000006333</v>
      </c>
      <c r="O1555" s="71">
        <f>+O1546+O1547-O1548-O1549+O1550+O1551-O1552+O1553</f>
        <v>3972365.59</v>
      </c>
      <c r="P1555" s="42"/>
      <c r="Q1555" s="26">
        <f>SUM(Q1546:Q1547)</f>
        <v>61964</v>
      </c>
      <c r="R1555" s="30">
        <f>SUM(R1546:R1549)</f>
        <v>3858827</v>
      </c>
      <c r="S1555" s="30"/>
      <c r="T1555" s="11"/>
      <c r="U1555" s="65"/>
      <c r="V1555" s="30"/>
      <c r="W1555" s="30"/>
      <c r="X1555" s="30"/>
      <c r="Y1555" s="65"/>
    </row>
    <row r="1556" spans="1:25" ht="15">
      <c r="A1556" s="4"/>
      <c r="B1556" s="24"/>
      <c r="C1556" s="11"/>
      <c r="D1556" s="18"/>
      <c r="E1556" s="18"/>
      <c r="F1556" s="18"/>
      <c r="G1556" s="18"/>
      <c r="H1556" s="56"/>
      <c r="L1556" s="60" t="s">
        <v>148</v>
      </c>
      <c r="M1556" s="42"/>
      <c r="N1556" s="42"/>
      <c r="O1556" s="42"/>
      <c r="P1556" s="42"/>
      <c r="Q1556" s="42"/>
      <c r="R1556" s="42"/>
      <c r="S1556" s="42"/>
      <c r="T1556" s="10" t="s">
        <v>22</v>
      </c>
      <c r="U1556" s="65"/>
      <c r="V1556" s="36"/>
      <c r="W1556" s="36"/>
      <c r="X1556" s="36">
        <f>+X1551+X1552</f>
        <v>53591.520000000484</v>
      </c>
      <c r="Y1556" s="65"/>
    </row>
    <row r="1557" spans="1:25" ht="15">
      <c r="A1557" s="1"/>
      <c r="B1557" s="2"/>
      <c r="C1557" s="2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</row>
    <row r="1558" spans="1:6" ht="15">
      <c r="A1558" s="4"/>
      <c r="B1558"/>
      <c r="F1558"/>
    </row>
    <row r="1559" spans="1:6" ht="15">
      <c r="A1559" s="4"/>
      <c r="B1559"/>
      <c r="F1559"/>
    </row>
    <row r="1560" spans="1:6" ht="15">
      <c r="A1560" s="4"/>
      <c r="B1560"/>
      <c r="F1560"/>
    </row>
    <row r="1561" spans="1:25" ht="15">
      <c r="A1561" s="1"/>
      <c r="B1561" s="2"/>
      <c r="C1561" s="2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</row>
    <row r="1562" spans="1:6" ht="15">
      <c r="A1562" s="4" t="s">
        <v>0</v>
      </c>
      <c r="B1562" s="5"/>
      <c r="C1562" s="6" t="s">
        <v>1</v>
      </c>
      <c r="F1562"/>
    </row>
    <row r="1563" spans="1:6" ht="15">
      <c r="A1563" s="4"/>
      <c r="B1563" s="5"/>
      <c r="C1563" s="6" t="s">
        <v>2</v>
      </c>
      <c r="F1563"/>
    </row>
    <row r="1564" spans="1:6" ht="15">
      <c r="A1564" s="4"/>
      <c r="B1564" s="5"/>
      <c r="C1564" s="7" t="s">
        <v>164</v>
      </c>
      <c r="F1564"/>
    </row>
    <row r="1565" spans="1:6" ht="15">
      <c r="A1565" s="4"/>
      <c r="B1565" s="5"/>
      <c r="C1565" s="8"/>
      <c r="F1565"/>
    </row>
    <row r="1566" spans="1:25" ht="15">
      <c r="A1566" s="4"/>
      <c r="B1566" s="5"/>
      <c r="C1566" s="9"/>
      <c r="D1566" s="10" t="s">
        <v>4</v>
      </c>
      <c r="E1566" s="10"/>
      <c r="F1566" s="10" t="s">
        <v>5</v>
      </c>
      <c r="G1566" s="10" t="s">
        <v>6</v>
      </c>
      <c r="H1566" s="10"/>
      <c r="I1566" s="10" t="s">
        <v>7</v>
      </c>
      <c r="J1566" s="10" t="s">
        <v>8</v>
      </c>
      <c r="K1566" s="10" t="s">
        <v>9</v>
      </c>
      <c r="L1566" s="10" t="s">
        <v>10</v>
      </c>
      <c r="M1566" s="10" t="s">
        <v>11</v>
      </c>
      <c r="N1566" s="10" t="s">
        <v>12</v>
      </c>
      <c r="O1566" s="10" t="s">
        <v>13</v>
      </c>
      <c r="P1566" s="10"/>
      <c r="Q1566" s="10" t="s">
        <v>14</v>
      </c>
      <c r="R1566" s="10" t="s">
        <v>15</v>
      </c>
      <c r="S1566" s="10"/>
      <c r="T1566" s="10" t="s">
        <v>16</v>
      </c>
      <c r="U1566" s="10"/>
      <c r="V1566" s="10" t="s">
        <v>17</v>
      </c>
      <c r="W1566" s="10" t="s">
        <v>18</v>
      </c>
      <c r="X1566" s="10" t="s">
        <v>19</v>
      </c>
      <c r="Y1566" s="10"/>
    </row>
    <row r="1567" spans="1:24" ht="15">
      <c r="A1567" s="4"/>
      <c r="B1567" s="87" t="s">
        <v>174</v>
      </c>
      <c r="C1567" s="5"/>
      <c r="D1567" s="10" t="s">
        <v>20</v>
      </c>
      <c r="E1567" s="10"/>
      <c r="F1567" s="10" t="s">
        <v>21</v>
      </c>
      <c r="G1567" s="10" t="s">
        <v>22</v>
      </c>
      <c r="I1567" s="10" t="s">
        <v>20</v>
      </c>
      <c r="J1567" s="10" t="s">
        <v>20</v>
      </c>
      <c r="K1567" s="10" t="s">
        <v>20</v>
      </c>
      <c r="L1567" s="10" t="s">
        <v>20</v>
      </c>
      <c r="M1567" s="10" t="s">
        <v>20</v>
      </c>
      <c r="N1567" s="10" t="s">
        <v>20</v>
      </c>
      <c r="O1567" s="10" t="s">
        <v>20</v>
      </c>
      <c r="Q1567" s="10" t="s">
        <v>20</v>
      </c>
      <c r="R1567" s="10" t="s">
        <v>20</v>
      </c>
      <c r="S1567" s="10"/>
      <c r="T1567" s="10" t="s">
        <v>20</v>
      </c>
      <c r="V1567" s="10" t="s">
        <v>20</v>
      </c>
      <c r="W1567" s="10" t="s">
        <v>20</v>
      </c>
      <c r="X1567" s="10" t="s">
        <v>20</v>
      </c>
    </row>
    <row r="1568" spans="1:24" ht="42.75">
      <c r="A1568" s="4"/>
      <c r="B1568" s="5"/>
      <c r="C1568" s="11"/>
      <c r="D1568" s="12" t="s">
        <v>23</v>
      </c>
      <c r="E1568" s="13"/>
      <c r="F1568" s="12" t="s">
        <v>175</v>
      </c>
      <c r="G1568" s="13" t="s">
        <v>24</v>
      </c>
      <c r="I1568" s="13" t="s">
        <v>25</v>
      </c>
      <c r="J1568" s="8" t="s">
        <v>26</v>
      </c>
      <c r="K1568" s="13" t="s">
        <v>27</v>
      </c>
      <c r="L1568" s="13" t="s">
        <v>28</v>
      </c>
      <c r="M1568" s="13" t="s">
        <v>29</v>
      </c>
      <c r="N1568" s="13" t="s">
        <v>30</v>
      </c>
      <c r="O1568" s="13" t="s">
        <v>31</v>
      </c>
      <c r="Q1568" s="14">
        <v>4470115</v>
      </c>
      <c r="R1568" s="13" t="s">
        <v>32</v>
      </c>
      <c r="S1568" s="13"/>
      <c r="T1568" s="14">
        <v>4470119</v>
      </c>
      <c r="V1568" s="8" t="s">
        <v>33</v>
      </c>
      <c r="W1568" s="8" t="s">
        <v>34</v>
      </c>
      <c r="X1568" s="8" t="s">
        <v>35</v>
      </c>
    </row>
    <row r="1569" spans="1:23" ht="15">
      <c r="A1569" s="4"/>
      <c r="B1569" s="5"/>
      <c r="C1569" s="11"/>
      <c r="D1569" s="13"/>
      <c r="E1569" s="13"/>
      <c r="F1569" s="13"/>
      <c r="G1569" s="15"/>
      <c r="I1569" s="13"/>
      <c r="J1569" s="13"/>
      <c r="K1569" s="13"/>
      <c r="L1569" s="13"/>
      <c r="M1569" s="13"/>
      <c r="N1569" s="13"/>
      <c r="O1569" s="13"/>
      <c r="Q1569" s="14"/>
      <c r="R1569" s="13"/>
      <c r="S1569" s="14"/>
      <c r="T1569" s="16"/>
      <c r="V1569" s="14"/>
      <c r="W1569" s="13"/>
    </row>
    <row r="1570" spans="1:25" ht="15">
      <c r="A1570" s="4">
        <v>1</v>
      </c>
      <c r="B1570" s="5" t="s">
        <v>36</v>
      </c>
      <c r="C1570" s="17" t="s">
        <v>37</v>
      </c>
      <c r="D1570" s="76">
        <v>3981124</v>
      </c>
      <c r="E1570" s="77"/>
      <c r="F1570" s="93">
        <v>3891429</v>
      </c>
      <c r="G1570" s="21">
        <f>+D1570-F1570</f>
        <v>89695</v>
      </c>
      <c r="H1570" s="18"/>
      <c r="I1570" s="18">
        <v>0</v>
      </c>
      <c r="J1570" s="18">
        <v>0</v>
      </c>
      <c r="K1570" s="18">
        <v>0</v>
      </c>
      <c r="L1570" s="18">
        <v>0</v>
      </c>
      <c r="M1570" s="18">
        <v>0</v>
      </c>
      <c r="N1570" s="18">
        <v>0</v>
      </c>
      <c r="O1570" s="18">
        <v>0</v>
      </c>
      <c r="P1570" s="18"/>
      <c r="Q1570" s="18">
        <v>0</v>
      </c>
      <c r="R1570" s="18">
        <v>0</v>
      </c>
      <c r="S1570" s="18"/>
      <c r="T1570" s="18">
        <v>0</v>
      </c>
      <c r="U1570" s="18"/>
      <c r="V1570" s="18">
        <v>0</v>
      </c>
      <c r="W1570" s="18">
        <v>0</v>
      </c>
      <c r="X1570" s="18">
        <v>0</v>
      </c>
      <c r="Y1570" s="18"/>
    </row>
    <row r="1571" spans="1:25" ht="15">
      <c r="A1571" s="4">
        <f>+A1570+1</f>
        <v>2</v>
      </c>
      <c r="B1571" s="5" t="s">
        <v>36</v>
      </c>
      <c r="C1571" s="22" t="s">
        <v>38</v>
      </c>
      <c r="D1571" s="27">
        <v>3966604</v>
      </c>
      <c r="E1571" s="19"/>
      <c r="F1571" s="23">
        <v>3858827</v>
      </c>
      <c r="G1571" s="21">
        <f>+D1571-F1571</f>
        <v>107777</v>
      </c>
      <c r="H1571" s="18"/>
      <c r="I1571" s="18">
        <v>0</v>
      </c>
      <c r="J1571" s="18">
        <v>0</v>
      </c>
      <c r="K1571" s="18">
        <v>0</v>
      </c>
      <c r="L1571" s="18">
        <v>0</v>
      </c>
      <c r="M1571" s="18">
        <v>0</v>
      </c>
      <c r="N1571" s="18">
        <v>0</v>
      </c>
      <c r="O1571" s="18">
        <v>0</v>
      </c>
      <c r="P1571" s="18"/>
      <c r="Q1571" s="18">
        <v>0</v>
      </c>
      <c r="R1571" s="18">
        <v>0</v>
      </c>
      <c r="S1571" s="18"/>
      <c r="T1571" s="18">
        <v>0</v>
      </c>
      <c r="U1571" s="18"/>
      <c r="V1571" s="18">
        <v>0</v>
      </c>
      <c r="W1571" s="18">
        <v>0</v>
      </c>
      <c r="X1571" s="18">
        <v>0</v>
      </c>
      <c r="Y1571" s="18"/>
    </row>
    <row r="1572" spans="1:25" ht="22.5">
      <c r="A1572" s="4">
        <f>+A1571+1</f>
        <v>3</v>
      </c>
      <c r="B1572" s="24" t="s">
        <v>176</v>
      </c>
      <c r="C1572" s="25" t="s">
        <v>177</v>
      </c>
      <c r="D1572" s="18">
        <f>+D1570-D1571</f>
        <v>14520</v>
      </c>
      <c r="E1572" s="19"/>
      <c r="F1572" s="26">
        <f>+F1570-F1571</f>
        <v>32602</v>
      </c>
      <c r="G1572" s="18">
        <f>+G1570-G1571</f>
        <v>-18082</v>
      </c>
      <c r="H1572" s="18"/>
      <c r="I1572" s="18">
        <f aca="true" t="shared" si="191" ref="I1572:O1572">+I1570-I1571</f>
        <v>0</v>
      </c>
      <c r="J1572" s="18">
        <f t="shared" si="191"/>
        <v>0</v>
      </c>
      <c r="K1572" s="18">
        <f t="shared" si="191"/>
        <v>0</v>
      </c>
      <c r="L1572" s="18">
        <f t="shared" si="191"/>
        <v>0</v>
      </c>
      <c r="M1572" s="18">
        <f t="shared" si="191"/>
        <v>0</v>
      </c>
      <c r="N1572" s="18">
        <f t="shared" si="191"/>
        <v>0</v>
      </c>
      <c r="O1572" s="18">
        <f t="shared" si="191"/>
        <v>0</v>
      </c>
      <c r="P1572" s="18"/>
      <c r="Q1572" s="18">
        <f>+Q1570-Q1571</f>
        <v>0</v>
      </c>
      <c r="R1572" s="18">
        <f>+R1570-R1571</f>
        <v>0</v>
      </c>
      <c r="S1572" s="18"/>
      <c r="T1572" s="18">
        <f>+T1570-T1571</f>
        <v>0</v>
      </c>
      <c r="U1572" s="18"/>
      <c r="V1572" s="18">
        <f>+V1570-V1571</f>
        <v>0</v>
      </c>
      <c r="W1572" s="18">
        <f>+W1570-W1571</f>
        <v>0</v>
      </c>
      <c r="X1572" s="18">
        <f>+X1570-X1571</f>
        <v>0</v>
      </c>
      <c r="Y1572" s="18"/>
    </row>
    <row r="1573" spans="1:25" ht="28.5">
      <c r="A1573" s="4">
        <f>+A1572+1</f>
        <v>4</v>
      </c>
      <c r="B1573" s="88" t="s">
        <v>178</v>
      </c>
      <c r="C1573" s="25" t="s">
        <v>179</v>
      </c>
      <c r="D1573" s="18">
        <v>0</v>
      </c>
      <c r="E1573" s="19"/>
      <c r="F1573" s="26">
        <v>0</v>
      </c>
      <c r="G1573" s="18">
        <f>+D1573-F1573</f>
        <v>0</v>
      </c>
      <c r="H1573" s="18"/>
      <c r="I1573" s="27">
        <v>0</v>
      </c>
      <c r="J1573" s="18">
        <v>0</v>
      </c>
      <c r="K1573" s="18">
        <v>0</v>
      </c>
      <c r="L1573" s="18">
        <v>0</v>
      </c>
      <c r="M1573" s="18">
        <v>0</v>
      </c>
      <c r="N1573" s="18">
        <v>0</v>
      </c>
      <c r="O1573" s="18">
        <v>0</v>
      </c>
      <c r="P1573" s="18"/>
      <c r="Q1573" s="18">
        <v>0</v>
      </c>
      <c r="R1573" s="18">
        <v>0</v>
      </c>
      <c r="S1573" s="18"/>
      <c r="T1573" s="18">
        <v>0</v>
      </c>
      <c r="U1573" s="18"/>
      <c r="V1573" s="18">
        <v>0</v>
      </c>
      <c r="W1573" s="18">
        <v>0</v>
      </c>
      <c r="X1573" s="18">
        <v>0</v>
      </c>
      <c r="Y1573" s="18"/>
    </row>
    <row r="1574" spans="1:25" ht="24.75">
      <c r="A1574" s="4">
        <f>+A1573+1</f>
        <v>5</v>
      </c>
      <c r="B1574" s="89" t="s">
        <v>39</v>
      </c>
      <c r="C1574" s="28" t="s">
        <v>40</v>
      </c>
      <c r="D1574" s="27">
        <v>-74525</v>
      </c>
      <c r="E1574" s="29"/>
      <c r="F1574" s="30">
        <v>0</v>
      </c>
      <c r="G1574" s="31">
        <f>+D1574-F1574</f>
        <v>-74525</v>
      </c>
      <c r="H1574" s="18"/>
      <c r="I1574" s="27">
        <v>0</v>
      </c>
      <c r="J1574" s="27">
        <v>-406</v>
      </c>
      <c r="K1574" s="27">
        <v>0</v>
      </c>
      <c r="L1574" s="27">
        <v>-33269</v>
      </c>
      <c r="M1574" s="27">
        <v>10352</v>
      </c>
      <c r="N1574" s="27">
        <v>-300</v>
      </c>
      <c r="O1574" s="27">
        <v>-1448</v>
      </c>
      <c r="P1574" s="18"/>
      <c r="Q1574" s="27">
        <v>30077</v>
      </c>
      <c r="R1574" s="27">
        <v>0</v>
      </c>
      <c r="S1574" s="27"/>
      <c r="T1574" s="27">
        <v>0</v>
      </c>
      <c r="U1574" s="27"/>
      <c r="V1574" s="27">
        <v>0</v>
      </c>
      <c r="W1574" s="27">
        <v>0</v>
      </c>
      <c r="X1574" s="27">
        <v>-467736</v>
      </c>
      <c r="Y1574" s="18"/>
    </row>
    <row r="1575" spans="1:25" ht="15">
      <c r="A1575" s="6" t="s">
        <v>41</v>
      </c>
      <c r="B1575" s="90"/>
      <c r="C1575" s="11"/>
      <c r="D1575" s="18"/>
      <c r="E1575" s="19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 t="s">
        <v>0</v>
      </c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</row>
    <row r="1576" spans="1:25" ht="15">
      <c r="A1576" s="4">
        <f>+A1574+1</f>
        <v>6</v>
      </c>
      <c r="B1576" s="5" t="s">
        <v>42</v>
      </c>
      <c r="C1576" s="22" t="s">
        <v>38</v>
      </c>
      <c r="D1576" s="27">
        <v>9527953</v>
      </c>
      <c r="E1576" s="19"/>
      <c r="F1576" s="23">
        <v>7604375</v>
      </c>
      <c r="G1576" s="18">
        <f>+D1576-F1576</f>
        <v>1923578</v>
      </c>
      <c r="H1576" s="18"/>
      <c r="I1576" s="18">
        <v>0</v>
      </c>
      <c r="J1576" s="18">
        <v>0</v>
      </c>
      <c r="K1576" s="18">
        <v>0</v>
      </c>
      <c r="L1576" s="18">
        <v>0</v>
      </c>
      <c r="M1576" s="18">
        <v>0</v>
      </c>
      <c r="N1576" s="18">
        <v>0</v>
      </c>
      <c r="O1576" s="18">
        <v>0</v>
      </c>
      <c r="P1576" s="18"/>
      <c r="Q1576" s="18">
        <v>0</v>
      </c>
      <c r="R1576" s="18">
        <v>0</v>
      </c>
      <c r="S1576" s="18"/>
      <c r="T1576" s="18">
        <v>0</v>
      </c>
      <c r="U1576" s="18"/>
      <c r="V1576" s="18">
        <v>0</v>
      </c>
      <c r="W1576" s="18">
        <v>0</v>
      </c>
      <c r="X1576" s="18">
        <v>0</v>
      </c>
      <c r="Y1576" s="18"/>
    </row>
    <row r="1577" spans="1:25" ht="15">
      <c r="A1577" s="4">
        <f>+A1576+1</f>
        <v>7</v>
      </c>
      <c r="B1577" s="5" t="s">
        <v>43</v>
      </c>
      <c r="C1577" s="11"/>
      <c r="D1577" s="27">
        <v>7612</v>
      </c>
      <c r="E1577" s="19"/>
      <c r="F1577" s="23">
        <v>6323</v>
      </c>
      <c r="G1577" s="18">
        <f>+D1577-F1577</f>
        <v>1289</v>
      </c>
      <c r="H1577" s="18"/>
      <c r="I1577" s="18">
        <v>0</v>
      </c>
      <c r="J1577" s="18">
        <v>0</v>
      </c>
      <c r="K1577" s="18">
        <v>0</v>
      </c>
      <c r="L1577" s="18">
        <v>0</v>
      </c>
      <c r="M1577" s="18">
        <v>0</v>
      </c>
      <c r="N1577" s="18">
        <v>0</v>
      </c>
      <c r="O1577" s="31">
        <v>0</v>
      </c>
      <c r="P1577" s="18"/>
      <c r="Q1577" s="18">
        <v>0</v>
      </c>
      <c r="R1577" s="18">
        <v>0</v>
      </c>
      <c r="S1577" s="18"/>
      <c r="T1577" s="18">
        <v>0</v>
      </c>
      <c r="U1577" s="18"/>
      <c r="V1577" s="18">
        <v>0</v>
      </c>
      <c r="W1577" s="18">
        <v>0</v>
      </c>
      <c r="X1577" s="18">
        <v>0</v>
      </c>
      <c r="Y1577" s="18"/>
    </row>
    <row r="1578" spans="1:25" ht="35.25">
      <c r="A1578" s="4">
        <f>+A1577+1</f>
        <v>8</v>
      </c>
      <c r="B1578" s="24" t="s">
        <v>180</v>
      </c>
      <c r="C1578" s="32" t="s">
        <v>44</v>
      </c>
      <c r="D1578" s="33">
        <f>D1576-D1577</f>
        <v>9520341</v>
      </c>
      <c r="E1578" s="34"/>
      <c r="F1578" s="91">
        <f>+F1576-F1577</f>
        <v>7598052</v>
      </c>
      <c r="G1578" s="18">
        <f>+G1576-G1577</f>
        <v>1922289</v>
      </c>
      <c r="H1578" s="18"/>
      <c r="I1578" s="18">
        <f aca="true" t="shared" si="192" ref="I1578:O1578">+I1576-I1577</f>
        <v>0</v>
      </c>
      <c r="J1578" s="18">
        <f t="shared" si="192"/>
        <v>0</v>
      </c>
      <c r="K1578" s="18">
        <f t="shared" si="192"/>
        <v>0</v>
      </c>
      <c r="L1578" s="18">
        <f t="shared" si="192"/>
        <v>0</v>
      </c>
      <c r="M1578" s="18">
        <f t="shared" si="192"/>
        <v>0</v>
      </c>
      <c r="N1578" s="18">
        <f t="shared" si="192"/>
        <v>0</v>
      </c>
      <c r="O1578" s="18">
        <f t="shared" si="192"/>
        <v>0</v>
      </c>
      <c r="P1578" s="18"/>
      <c r="Q1578" s="18">
        <f>+Q1576-Q1577</f>
        <v>0</v>
      </c>
      <c r="R1578" s="18">
        <f>+R1576-R1577</f>
        <v>0</v>
      </c>
      <c r="S1578" s="18"/>
      <c r="T1578" s="18">
        <f>+T1576-T1577</f>
        <v>0</v>
      </c>
      <c r="U1578" s="18"/>
      <c r="V1578" s="18">
        <f>+V1576-V1577</f>
        <v>0</v>
      </c>
      <c r="W1578" s="18">
        <f>+W1576-W1577</f>
        <v>0</v>
      </c>
      <c r="X1578" s="18">
        <f>+X1576-X1577</f>
        <v>0</v>
      </c>
      <c r="Y1578" s="18"/>
    </row>
    <row r="1579" spans="1:25" ht="28.5">
      <c r="A1579" s="4">
        <f>+A1578+1</f>
        <v>9</v>
      </c>
      <c r="B1579" s="88" t="s">
        <v>181</v>
      </c>
      <c r="C1579" s="35" t="s">
        <v>45</v>
      </c>
      <c r="D1579" s="18">
        <v>0</v>
      </c>
      <c r="E1579" s="19"/>
      <c r="F1579" s="31">
        <v>0</v>
      </c>
      <c r="G1579" s="31">
        <f>+D1579-F1579</f>
        <v>0</v>
      </c>
      <c r="H1579" s="18"/>
      <c r="I1579" s="18">
        <v>0</v>
      </c>
      <c r="J1579" s="18">
        <v>0</v>
      </c>
      <c r="K1579" s="18">
        <v>0</v>
      </c>
      <c r="L1579" s="18">
        <v>0</v>
      </c>
      <c r="M1579" s="18">
        <v>0</v>
      </c>
      <c r="N1579" s="18">
        <v>0</v>
      </c>
      <c r="O1579" s="31">
        <v>0</v>
      </c>
      <c r="P1579" s="18"/>
      <c r="Q1579" s="18">
        <v>0</v>
      </c>
      <c r="R1579" s="18">
        <v>0</v>
      </c>
      <c r="S1579" s="18"/>
      <c r="T1579" s="18">
        <v>0</v>
      </c>
      <c r="U1579" s="18"/>
      <c r="V1579" s="18">
        <v>0</v>
      </c>
      <c r="W1579" s="18">
        <v>0</v>
      </c>
      <c r="X1579" s="18">
        <v>0</v>
      </c>
      <c r="Y1579" s="18"/>
    </row>
    <row r="1580" spans="1:25" ht="15">
      <c r="A1580" s="4">
        <f>+A1579+1</f>
        <v>10</v>
      </c>
      <c r="B1580" s="24" t="s">
        <v>46</v>
      </c>
      <c r="C1580" s="11" t="s">
        <v>47</v>
      </c>
      <c r="D1580" s="36">
        <f>+D1572+D1573+D1574+D1578+D1579</f>
        <v>9460336</v>
      </c>
      <c r="E1580" s="19"/>
      <c r="F1580" s="36">
        <f>+F1572+F1573+F1574+F1578+F1579</f>
        <v>7630654</v>
      </c>
      <c r="G1580" s="18">
        <f>+G1572+G1573+G1578+G1579+G1574</f>
        <v>1829682</v>
      </c>
      <c r="H1580" s="18"/>
      <c r="I1580" s="18">
        <f aca="true" t="shared" si="193" ref="I1580:O1580">+I1572+I1573+I1578+I1579+I1574</f>
        <v>0</v>
      </c>
      <c r="J1580" s="21">
        <f t="shared" si="193"/>
        <v>-406</v>
      </c>
      <c r="K1580" s="18">
        <f t="shared" si="193"/>
        <v>0</v>
      </c>
      <c r="L1580" s="18">
        <f t="shared" si="193"/>
        <v>-33269</v>
      </c>
      <c r="M1580" s="18">
        <f t="shared" si="193"/>
        <v>10352</v>
      </c>
      <c r="N1580" s="18">
        <f t="shared" si="193"/>
        <v>-300</v>
      </c>
      <c r="O1580" s="18">
        <f t="shared" si="193"/>
        <v>-1448</v>
      </c>
      <c r="P1580" s="18"/>
      <c r="Q1580" s="18">
        <f>+Q1572+Q1573+Q1578+Q1579+Q1574</f>
        <v>30077</v>
      </c>
      <c r="R1580" s="18">
        <f>+R1572+R1573+R1578+R1579+R1574</f>
        <v>0</v>
      </c>
      <c r="S1580" s="18"/>
      <c r="T1580" s="18">
        <f>+T1572+T1573+T1578+T1579+T1574</f>
        <v>0</v>
      </c>
      <c r="U1580" s="18"/>
      <c r="V1580" s="18">
        <f>+V1572+V1573+V1578+V1579+V1574</f>
        <v>0</v>
      </c>
      <c r="W1580" s="18">
        <f>+W1572+W1573+W1578+W1579+W1574</f>
        <v>0</v>
      </c>
      <c r="X1580" s="18">
        <f>+X1572+X1573+X1578+X1579+X1574</f>
        <v>-467736</v>
      </c>
      <c r="Y1580" s="18"/>
    </row>
    <row r="1581" spans="1:25" ht="15">
      <c r="A1581" s="4"/>
      <c r="B1581" s="24"/>
      <c r="C1581" s="11" t="s">
        <v>0</v>
      </c>
      <c r="D1581" s="27" t="s">
        <v>0</v>
      </c>
      <c r="E1581" s="18"/>
      <c r="F1581" s="36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</row>
    <row r="1582" spans="1:25" ht="15">
      <c r="A1582" s="4"/>
      <c r="B1582" s="94" t="s">
        <v>0</v>
      </c>
      <c r="C1582" s="37" t="s">
        <v>0</v>
      </c>
      <c r="D1582" s="27">
        <f>669223.72+210109.32+1696540.82+6884461.99</f>
        <v>9460335.850000001</v>
      </c>
      <c r="E1582" s="18"/>
      <c r="F1582" s="92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</row>
    <row r="1583" spans="1:25" ht="15">
      <c r="A1583" s="4"/>
      <c r="B1583" s="24"/>
      <c r="C1583" s="11"/>
      <c r="D1583" s="6" t="s">
        <v>48</v>
      </c>
      <c r="E1583" s="6"/>
      <c r="F1583" s="10" t="s">
        <v>49</v>
      </c>
      <c r="G1583" s="10" t="s">
        <v>50</v>
      </c>
      <c r="I1583" s="10" t="s">
        <v>51</v>
      </c>
      <c r="J1583" s="10" t="s">
        <v>52</v>
      </c>
      <c r="K1583" s="10" t="s">
        <v>53</v>
      </c>
      <c r="L1583" s="10" t="s">
        <v>54</v>
      </c>
      <c r="M1583" s="10" t="s">
        <v>55</v>
      </c>
      <c r="N1583" s="10" t="s">
        <v>56</v>
      </c>
      <c r="O1583" s="10" t="s">
        <v>57</v>
      </c>
      <c r="P1583" s="18"/>
      <c r="Q1583" s="10" t="s">
        <v>58</v>
      </c>
      <c r="R1583" s="10" t="s">
        <v>59</v>
      </c>
      <c r="S1583" s="10"/>
      <c r="T1583" s="10" t="s">
        <v>60</v>
      </c>
      <c r="U1583" s="18"/>
      <c r="V1583" s="10" t="s">
        <v>61</v>
      </c>
      <c r="W1583" s="10" t="s">
        <v>62</v>
      </c>
      <c r="X1583" s="10" t="s">
        <v>63</v>
      </c>
      <c r="Y1583" s="18"/>
    </row>
    <row r="1584" spans="1:25" ht="15">
      <c r="A1584" s="4"/>
      <c r="B1584"/>
      <c r="C1584" s="11"/>
      <c r="D1584" s="10" t="s">
        <v>20</v>
      </c>
      <c r="E1584" s="38"/>
      <c r="F1584" s="10" t="s">
        <v>20</v>
      </c>
      <c r="G1584" s="10" t="s">
        <v>20</v>
      </c>
      <c r="I1584" s="10" t="s">
        <v>20</v>
      </c>
      <c r="J1584" s="10" t="s">
        <v>20</v>
      </c>
      <c r="K1584" s="10" t="s">
        <v>20</v>
      </c>
      <c r="L1584" s="10" t="s">
        <v>20</v>
      </c>
      <c r="M1584" s="10" t="s">
        <v>20</v>
      </c>
      <c r="N1584" s="10" t="s">
        <v>20</v>
      </c>
      <c r="O1584" s="10" t="s">
        <v>20</v>
      </c>
      <c r="P1584" s="18"/>
      <c r="Q1584" s="10" t="s">
        <v>20</v>
      </c>
      <c r="R1584" s="10" t="s">
        <v>20</v>
      </c>
      <c r="S1584" s="14"/>
      <c r="T1584" s="10" t="s">
        <v>20</v>
      </c>
      <c r="U1584" s="18"/>
      <c r="W1584" s="39" t="s">
        <v>64</v>
      </c>
      <c r="Y1584" s="18"/>
    </row>
    <row r="1585" spans="1:25" ht="15">
      <c r="A1585" s="4"/>
      <c r="B1585" s="87" t="s">
        <v>174</v>
      </c>
      <c r="C1585" s="11"/>
      <c r="D1585" s="8" t="s">
        <v>155</v>
      </c>
      <c r="E1585" s="6"/>
      <c r="F1585" s="8" t="s">
        <v>66</v>
      </c>
      <c r="G1585" s="8" t="s">
        <v>67</v>
      </c>
      <c r="H1585" s="19"/>
      <c r="I1585" s="8" t="s">
        <v>68</v>
      </c>
      <c r="J1585" s="8" t="s">
        <v>69</v>
      </c>
      <c r="K1585" s="8" t="s">
        <v>70</v>
      </c>
      <c r="L1585" s="8" t="s">
        <v>71</v>
      </c>
      <c r="M1585" s="8" t="s">
        <v>72</v>
      </c>
      <c r="N1585" s="8" t="s">
        <v>73</v>
      </c>
      <c r="O1585" s="8" t="s">
        <v>74</v>
      </c>
      <c r="P1585" s="6"/>
      <c r="Q1585" s="8" t="s">
        <v>75</v>
      </c>
      <c r="R1585" s="8" t="s">
        <v>76</v>
      </c>
      <c r="S1585" s="8"/>
      <c r="T1585" s="8" t="s">
        <v>77</v>
      </c>
      <c r="U1585" s="18"/>
      <c r="V1585" s="10" t="s">
        <v>20</v>
      </c>
      <c r="W1585" s="14" t="s">
        <v>21</v>
      </c>
      <c r="X1585" s="10" t="s">
        <v>22</v>
      </c>
      <c r="Y1585" s="18"/>
    </row>
    <row r="1586" spans="1:8" ht="15">
      <c r="A1586" s="4"/>
      <c r="B1586" s="24"/>
      <c r="C1586" s="11"/>
      <c r="E1586" s="14"/>
      <c r="F1586"/>
      <c r="H1586" s="18"/>
    </row>
    <row r="1587" spans="1:24" ht="15">
      <c r="A1587" s="4">
        <f>+A1580+1</f>
        <v>11</v>
      </c>
      <c r="B1587" s="5" t="s">
        <v>36</v>
      </c>
      <c r="C1587" s="17" t="s">
        <v>37</v>
      </c>
      <c r="D1587" s="18">
        <v>0</v>
      </c>
      <c r="E1587" s="18"/>
      <c r="F1587" s="18">
        <v>0</v>
      </c>
      <c r="G1587" s="18">
        <v>0</v>
      </c>
      <c r="I1587" s="27">
        <v>277378</v>
      </c>
      <c r="J1587" s="18">
        <v>0</v>
      </c>
      <c r="K1587" s="18">
        <v>0</v>
      </c>
      <c r="L1587" s="18">
        <v>0</v>
      </c>
      <c r="M1587" s="18">
        <v>0</v>
      </c>
      <c r="N1587" s="18">
        <v>0</v>
      </c>
      <c r="O1587" s="18">
        <v>0</v>
      </c>
      <c r="Q1587" s="18">
        <v>0</v>
      </c>
      <c r="R1587" s="18">
        <v>0</v>
      </c>
      <c r="S1587" s="18"/>
      <c r="T1587" s="18">
        <v>0</v>
      </c>
      <c r="V1587" s="18">
        <f>+D1570+I1570+J1570+K1570+L1570+M1570+N1570+O1570+Q1570+R1570+T1570+V1570+W1570+X1570+D1587+F1587+G1587+I1587+J1587+K1587+L1587+M1587+N1587+O1587+Q1587+R1587+T1587</f>
        <v>4258502</v>
      </c>
      <c r="W1587" s="18">
        <f>+F1570</f>
        <v>3891429</v>
      </c>
      <c r="X1587" s="18">
        <f>+V1587-W1587</f>
        <v>367073</v>
      </c>
    </row>
    <row r="1588" spans="1:24" ht="15">
      <c r="A1588" s="4">
        <f>+A1587+1</f>
        <v>12</v>
      </c>
      <c r="B1588" s="5" t="s">
        <v>36</v>
      </c>
      <c r="C1588" s="22" t="s">
        <v>38</v>
      </c>
      <c r="D1588" s="18">
        <v>0</v>
      </c>
      <c r="E1588" s="18"/>
      <c r="F1588" s="18">
        <v>0</v>
      </c>
      <c r="G1588" s="18">
        <v>0</v>
      </c>
      <c r="I1588" s="27">
        <v>279349</v>
      </c>
      <c r="J1588" s="18">
        <v>0</v>
      </c>
      <c r="K1588" s="18">
        <v>0</v>
      </c>
      <c r="L1588" s="18">
        <v>0</v>
      </c>
      <c r="M1588" s="18">
        <v>0</v>
      </c>
      <c r="N1588" s="18">
        <v>0</v>
      </c>
      <c r="O1588" s="18">
        <v>0</v>
      </c>
      <c r="Q1588" s="18">
        <v>0</v>
      </c>
      <c r="R1588" s="18">
        <v>0</v>
      </c>
      <c r="S1588" s="18"/>
      <c r="T1588" s="18">
        <v>0</v>
      </c>
      <c r="V1588" s="18">
        <f>+D1571+I1571+J1571+K1571+L1571+M1571+N1571+O1571+Q1571+R1571+T1571+V1571+W1571+X1571+D1588+F1588+G1588+I1588+J1588+K1588+L1588+M1588+N1588+O1588+Q1588+R1588+T1588</f>
        <v>4245953</v>
      </c>
      <c r="W1588" s="18">
        <f>+F1571</f>
        <v>3858827</v>
      </c>
      <c r="X1588" s="18">
        <f>+V1588-W1588</f>
        <v>387126</v>
      </c>
    </row>
    <row r="1589" spans="1:24" ht="15">
      <c r="A1589" s="4">
        <f>+A1588+1</f>
        <v>13</v>
      </c>
      <c r="B1589" s="24" t="s">
        <v>46</v>
      </c>
      <c r="C1589" s="40" t="s">
        <v>78</v>
      </c>
      <c r="D1589" s="18">
        <f>+D1587-D1588</f>
        <v>0</v>
      </c>
      <c r="E1589" s="18"/>
      <c r="F1589" s="18">
        <f>+F1587-F1588</f>
        <v>0</v>
      </c>
      <c r="G1589" s="18">
        <f>+G1587-G1588</f>
        <v>0</v>
      </c>
      <c r="I1589" s="18">
        <f aca="true" t="shared" si="194" ref="I1589:O1589">+I1587-I1588</f>
        <v>-1971</v>
      </c>
      <c r="J1589" s="18">
        <f t="shared" si="194"/>
        <v>0</v>
      </c>
      <c r="K1589" s="18">
        <f t="shared" si="194"/>
        <v>0</v>
      </c>
      <c r="L1589" s="18">
        <f t="shared" si="194"/>
        <v>0</v>
      </c>
      <c r="M1589" s="18">
        <f t="shared" si="194"/>
        <v>0</v>
      </c>
      <c r="N1589" s="18">
        <f t="shared" si="194"/>
        <v>0</v>
      </c>
      <c r="O1589" s="18">
        <f t="shared" si="194"/>
        <v>0</v>
      </c>
      <c r="Q1589" s="18">
        <f>+Q1587-Q1588</f>
        <v>0</v>
      </c>
      <c r="R1589" s="18">
        <f>+R1587-R1588</f>
        <v>0</v>
      </c>
      <c r="S1589" s="18"/>
      <c r="T1589" s="18">
        <f>+T1587-T1588</f>
        <v>0</v>
      </c>
      <c r="V1589" s="27">
        <f>+V1587-V1588</f>
        <v>12549</v>
      </c>
      <c r="W1589" s="27">
        <f>+W1587-W1588</f>
        <v>32602</v>
      </c>
      <c r="X1589" s="18">
        <f>+X1587-X1588</f>
        <v>-20053</v>
      </c>
    </row>
    <row r="1590" spans="1:24" ht="28.5">
      <c r="A1590" s="4">
        <f>+A1589+1</f>
        <v>14</v>
      </c>
      <c r="B1590" s="88" t="s">
        <v>182</v>
      </c>
      <c r="C1590" s="11"/>
      <c r="D1590" s="18">
        <v>0</v>
      </c>
      <c r="E1590" s="18"/>
      <c r="F1590" s="18">
        <v>0</v>
      </c>
      <c r="G1590" s="18">
        <v>0</v>
      </c>
      <c r="I1590" s="18">
        <v>0</v>
      </c>
      <c r="J1590" s="18">
        <v>0</v>
      </c>
      <c r="K1590" s="18">
        <v>0</v>
      </c>
      <c r="L1590" s="18">
        <v>0</v>
      </c>
      <c r="M1590" s="18">
        <v>0</v>
      </c>
      <c r="N1590" s="18">
        <v>0</v>
      </c>
      <c r="O1590" s="18">
        <v>0</v>
      </c>
      <c r="Q1590" s="18">
        <v>0</v>
      </c>
      <c r="R1590" s="18">
        <v>0</v>
      </c>
      <c r="S1590" s="18"/>
      <c r="T1590" s="18">
        <v>0</v>
      </c>
      <c r="V1590" s="18">
        <f>+D1573+I1573+J1573+K1573+L1573+M1573+N1573+O1573+Q1573+R1573+T1573+V1573+W1573+X1573+D1590+F1590+G1590+I1590+J1590+K1590+L1590+M1590+N1590+O1590+Q1590+R1590+T1590</f>
        <v>0</v>
      </c>
      <c r="W1590" s="18">
        <f>+F1573</f>
        <v>0</v>
      </c>
      <c r="X1590" s="18">
        <f>+V1590-W1590</f>
        <v>0</v>
      </c>
    </row>
    <row r="1591" spans="1:24" ht="24.75">
      <c r="A1591" s="4">
        <f>+A1590+1</f>
        <v>15</v>
      </c>
      <c r="B1591" s="89" t="s">
        <v>39</v>
      </c>
      <c r="C1591" s="40"/>
      <c r="D1591" s="27">
        <v>2821</v>
      </c>
      <c r="E1591" s="18" t="s">
        <v>0</v>
      </c>
      <c r="F1591" s="27">
        <v>0</v>
      </c>
      <c r="G1591" s="27">
        <v>0</v>
      </c>
      <c r="H1591" t="s">
        <v>0</v>
      </c>
      <c r="I1591" s="27">
        <v>25484</v>
      </c>
      <c r="J1591" s="27">
        <v>-3646</v>
      </c>
      <c r="K1591" s="27">
        <v>0</v>
      </c>
      <c r="L1591" s="27">
        <v>0</v>
      </c>
      <c r="M1591" s="27">
        <v>104655</v>
      </c>
      <c r="N1591" s="27">
        <v>-532717</v>
      </c>
      <c r="O1591" s="27">
        <v>324</v>
      </c>
      <c r="Q1591" s="27">
        <v>0</v>
      </c>
      <c r="R1591" s="27">
        <v>0</v>
      </c>
      <c r="S1591" s="27"/>
      <c r="T1591" s="27">
        <v>0</v>
      </c>
      <c r="V1591" s="18">
        <f>+D1574+I1574+J1574+K1574+L1574+M1574+N1574+O1574+Q1574+R1574+T1574+V1574+W1574+X1574+D1591+F1591+G1591+I1591+J1591+K1591+L1591+M1591+N1591+O1591+Q1591+R1591+T1591</f>
        <v>-940334</v>
      </c>
      <c r="W1591" s="18">
        <f>+F1574</f>
        <v>0</v>
      </c>
      <c r="X1591" s="18">
        <f>+V1591-W1591</f>
        <v>-940334</v>
      </c>
    </row>
    <row r="1592" spans="1:24" ht="15">
      <c r="A1592" s="6" t="s">
        <v>41</v>
      </c>
      <c r="B1592" s="41"/>
      <c r="C1592" s="40"/>
      <c r="D1592" s="18"/>
      <c r="E1592" s="18"/>
      <c r="F1592" s="18"/>
      <c r="G1592" s="18"/>
      <c r="I1592" s="18"/>
      <c r="J1592" s="18"/>
      <c r="K1592" s="18"/>
      <c r="L1592" s="18"/>
      <c r="M1592" s="18"/>
      <c r="N1592" s="18"/>
      <c r="O1592" s="18"/>
      <c r="Q1592" s="18"/>
      <c r="R1592" s="18"/>
      <c r="S1592" s="18"/>
      <c r="T1592" s="18"/>
      <c r="V1592" s="18"/>
      <c r="W1592" s="18"/>
      <c r="X1592" s="18"/>
    </row>
    <row r="1593" spans="1:24" ht="15">
      <c r="A1593" s="4">
        <f>+A1591+1</f>
        <v>16</v>
      </c>
      <c r="B1593" s="5" t="s">
        <v>42</v>
      </c>
      <c r="C1593" s="22" t="s">
        <v>38</v>
      </c>
      <c r="D1593" s="18">
        <v>0</v>
      </c>
      <c r="E1593" s="18"/>
      <c r="F1593" s="18">
        <v>0</v>
      </c>
      <c r="G1593" s="18">
        <v>0</v>
      </c>
      <c r="I1593" s="27">
        <v>318588</v>
      </c>
      <c r="J1593" s="18">
        <v>0</v>
      </c>
      <c r="K1593" s="18">
        <v>0</v>
      </c>
      <c r="L1593" s="18">
        <v>0</v>
      </c>
      <c r="M1593" s="18">
        <v>0</v>
      </c>
      <c r="N1593" s="18">
        <v>0</v>
      </c>
      <c r="O1593" s="18">
        <v>0</v>
      </c>
      <c r="P1593" s="18"/>
      <c r="Q1593" s="18">
        <v>0</v>
      </c>
      <c r="R1593" s="18">
        <v>0</v>
      </c>
      <c r="S1593" s="18"/>
      <c r="T1593" s="18">
        <v>0</v>
      </c>
      <c r="U1593" s="18"/>
      <c r="V1593" s="18">
        <f>+D1576+I1576+J1576+K1576+L1576+M1576+N1576+O1576+Q1576+R1576+T1576+V1576+W1576+X1576+D1593+F1593+G1593+I1593+J1593+K1593+L1593+M1593+N1593+O1593+Q1593+R1593+T1593</f>
        <v>9846541</v>
      </c>
      <c r="W1593" s="18">
        <f>+F1576</f>
        <v>7604375</v>
      </c>
      <c r="X1593" s="18">
        <f>+V1593-W1593</f>
        <v>2242166</v>
      </c>
    </row>
    <row r="1594" spans="1:24" ht="15">
      <c r="A1594" s="4">
        <f>+A1593+1</f>
        <v>17</v>
      </c>
      <c r="B1594" s="5" t="s">
        <v>43</v>
      </c>
      <c r="C1594" s="11"/>
      <c r="D1594" s="18">
        <v>0</v>
      </c>
      <c r="E1594" s="18"/>
      <c r="F1594" s="18">
        <v>0</v>
      </c>
      <c r="G1594" s="18">
        <v>0</v>
      </c>
      <c r="I1594" s="27">
        <v>0</v>
      </c>
      <c r="J1594" s="18">
        <v>0</v>
      </c>
      <c r="K1594" s="18">
        <v>0</v>
      </c>
      <c r="L1594" s="18">
        <v>0</v>
      </c>
      <c r="M1594" s="18">
        <v>0</v>
      </c>
      <c r="N1594" s="18">
        <v>0</v>
      </c>
      <c r="O1594" s="18">
        <v>0</v>
      </c>
      <c r="P1594" s="18"/>
      <c r="Q1594" s="18">
        <v>0</v>
      </c>
      <c r="R1594" s="18">
        <v>0</v>
      </c>
      <c r="S1594" s="18"/>
      <c r="T1594" s="18">
        <v>0</v>
      </c>
      <c r="U1594" s="18"/>
      <c r="V1594" s="18">
        <f>+D1577+I1577+J1577+K1577+L1577+M1577+N1577+O1577+Q1577+R1577+T1577+V1577+W1577+X1577+D1594+F1594+G1594+I1594+J1594+K1594+L1594+M1594+N1594+O1594+Q1594+R1594+T1594</f>
        <v>7612</v>
      </c>
      <c r="W1594" s="18">
        <f>+F1577</f>
        <v>6323</v>
      </c>
      <c r="X1594" s="18">
        <f>+V1594-W1594</f>
        <v>1289</v>
      </c>
    </row>
    <row r="1595" spans="1:24" ht="26.25">
      <c r="A1595" s="4">
        <f>+A1594+1</f>
        <v>18</v>
      </c>
      <c r="B1595" s="24" t="s">
        <v>79</v>
      </c>
      <c r="C1595" s="11"/>
      <c r="D1595" s="18">
        <f>+D1593-D1594</f>
        <v>0</v>
      </c>
      <c r="E1595" s="18"/>
      <c r="F1595" s="18">
        <f>+F1593-F1594</f>
        <v>0</v>
      </c>
      <c r="G1595" s="18">
        <f>+G1593-G1594</f>
        <v>0</v>
      </c>
      <c r="I1595" s="18">
        <f aca="true" t="shared" si="195" ref="I1595:O1595">+I1593-I1594</f>
        <v>318588</v>
      </c>
      <c r="J1595" s="18">
        <f t="shared" si="195"/>
        <v>0</v>
      </c>
      <c r="K1595" s="18">
        <f t="shared" si="195"/>
        <v>0</v>
      </c>
      <c r="L1595" s="18">
        <f t="shared" si="195"/>
        <v>0</v>
      </c>
      <c r="M1595" s="18">
        <f t="shared" si="195"/>
        <v>0</v>
      </c>
      <c r="N1595" s="18">
        <f t="shared" si="195"/>
        <v>0</v>
      </c>
      <c r="O1595" s="18">
        <f t="shared" si="195"/>
        <v>0</v>
      </c>
      <c r="P1595" s="18"/>
      <c r="Q1595" s="18">
        <f>+Q1593-Q1594</f>
        <v>0</v>
      </c>
      <c r="R1595" s="18">
        <f>+R1593-R1594</f>
        <v>0</v>
      </c>
      <c r="S1595" s="18"/>
      <c r="T1595" s="18">
        <f>+T1593-T1594</f>
        <v>0</v>
      </c>
      <c r="U1595" s="18"/>
      <c r="V1595" s="27">
        <f>+V1593-V1594</f>
        <v>9838929</v>
      </c>
      <c r="W1595" s="27">
        <f>+W1593-W1594</f>
        <v>7598052</v>
      </c>
      <c r="X1595" s="18">
        <f>+X1593-X1594</f>
        <v>2240877</v>
      </c>
    </row>
    <row r="1596" spans="1:24" ht="28.5">
      <c r="A1596" s="4">
        <f>+A1595+1</f>
        <v>19</v>
      </c>
      <c r="B1596" s="88" t="s">
        <v>181</v>
      </c>
      <c r="C1596" s="11"/>
      <c r="D1596" s="18">
        <v>0</v>
      </c>
      <c r="E1596" s="18"/>
      <c r="F1596" s="18">
        <v>0</v>
      </c>
      <c r="G1596" s="18">
        <v>0</v>
      </c>
      <c r="I1596" s="18">
        <v>0</v>
      </c>
      <c r="J1596" s="18">
        <v>0</v>
      </c>
      <c r="K1596" s="18">
        <v>0</v>
      </c>
      <c r="L1596" s="18">
        <v>0</v>
      </c>
      <c r="M1596" s="18">
        <v>0</v>
      </c>
      <c r="N1596" s="18">
        <v>0</v>
      </c>
      <c r="O1596" s="18">
        <v>0</v>
      </c>
      <c r="P1596" s="18"/>
      <c r="Q1596" s="18">
        <v>0</v>
      </c>
      <c r="R1596" s="18">
        <v>0</v>
      </c>
      <c r="S1596" s="18"/>
      <c r="T1596" s="18">
        <v>0</v>
      </c>
      <c r="U1596" s="18"/>
      <c r="V1596" s="18">
        <f>+D1579+I1579+J1579+K1579+L1579+M1579+N1579+O1579+Q1579+R1579+T1579+V1579+W1579+X1579+D1596+F1596+G1596+I1596+J1596+K1596+L1596+M1596+N1596+O1596+Q1596+R1596+T1596</f>
        <v>0</v>
      </c>
      <c r="W1596" s="18">
        <f>+F1579+K1596+L1596+M1596+N1596+O1596+Q1596+R1596+T1596</f>
        <v>0</v>
      </c>
      <c r="X1596" s="18">
        <f>+V1596-W1596</f>
        <v>0</v>
      </c>
    </row>
    <row r="1597" spans="1:24" ht="15">
      <c r="A1597" s="4">
        <f>+A1596+1</f>
        <v>20</v>
      </c>
      <c r="B1597" s="24" t="s">
        <v>46</v>
      </c>
      <c r="C1597" s="11" t="s">
        <v>47</v>
      </c>
      <c r="D1597" s="18">
        <f>+D1589+D1590+D1595+D1596+D1591</f>
        <v>2821</v>
      </c>
      <c r="E1597" s="18"/>
      <c r="F1597" s="18">
        <f>+F1589+F1590+F1595+F1596+F1591</f>
        <v>0</v>
      </c>
      <c r="G1597" s="18">
        <f>+G1589+G1590+G1595+G1596+G1591</f>
        <v>0</v>
      </c>
      <c r="I1597" s="18">
        <f aca="true" t="shared" si="196" ref="I1597:O1597">+I1589+I1590+I1595+I1596+I1591</f>
        <v>342101</v>
      </c>
      <c r="J1597" s="18">
        <f t="shared" si="196"/>
        <v>-3646</v>
      </c>
      <c r="K1597" s="18">
        <f t="shared" si="196"/>
        <v>0</v>
      </c>
      <c r="L1597" s="18">
        <f t="shared" si="196"/>
        <v>0</v>
      </c>
      <c r="M1597" s="18">
        <f t="shared" si="196"/>
        <v>104655</v>
      </c>
      <c r="N1597" s="18">
        <f t="shared" si="196"/>
        <v>-532717</v>
      </c>
      <c r="O1597" s="18">
        <f t="shared" si="196"/>
        <v>324</v>
      </c>
      <c r="P1597" s="42"/>
      <c r="Q1597" s="18">
        <f>+Q1589+Q1590+Q1595+Q1596+Q1591</f>
        <v>0</v>
      </c>
      <c r="R1597" s="18">
        <f>+R1589+R1590+R1595+R1596+R1591</f>
        <v>0</v>
      </c>
      <c r="S1597" s="18"/>
      <c r="T1597" s="18">
        <f>+T1589+T1590+T1595+T1596+T1591</f>
        <v>0</v>
      </c>
      <c r="U1597" s="42"/>
      <c r="V1597" s="18">
        <f>SUM(V1589,V1591,V1595,V1596)</f>
        <v>8911144</v>
      </c>
      <c r="W1597" s="18">
        <f>+W1589+W1590+W1595+W1596+W1591</f>
        <v>7630654</v>
      </c>
      <c r="X1597" s="18">
        <f>+X1589+X1590+X1595+X1596+X1591</f>
        <v>1280490</v>
      </c>
    </row>
    <row r="1598" spans="1:24" ht="15">
      <c r="A1598" s="4"/>
      <c r="B1598" s="24"/>
      <c r="C1598" s="11"/>
      <c r="D1598" s="18"/>
      <c r="E1598" s="18"/>
      <c r="F1598" s="18"/>
      <c r="G1598" s="18"/>
      <c r="I1598" s="18"/>
      <c r="J1598" s="18"/>
      <c r="K1598" s="18"/>
      <c r="L1598" s="18"/>
      <c r="M1598" s="18"/>
      <c r="N1598" s="18"/>
      <c r="O1598" s="18"/>
      <c r="P1598" s="42"/>
      <c r="Q1598" s="18"/>
      <c r="R1598" s="18"/>
      <c r="S1598" s="18"/>
      <c r="T1598" s="18"/>
      <c r="U1598" s="42"/>
      <c r="V1598" s="18"/>
      <c r="W1598" s="18"/>
      <c r="X1598" s="18"/>
    </row>
    <row r="1599" spans="1:24" ht="15">
      <c r="A1599" s="4"/>
      <c r="B1599" s="24"/>
      <c r="C1599" s="11"/>
      <c r="D1599" s="18"/>
      <c r="E1599" s="18"/>
      <c r="F1599" s="18"/>
      <c r="G1599" s="18"/>
      <c r="I1599" s="18"/>
      <c r="J1599" s="18"/>
      <c r="K1599" s="18"/>
      <c r="L1599" s="18"/>
      <c r="M1599" s="18"/>
      <c r="N1599" s="18"/>
      <c r="O1599" s="18"/>
      <c r="P1599" s="42"/>
      <c r="Q1599" s="18"/>
      <c r="R1599" s="18"/>
      <c r="S1599" s="18"/>
      <c r="T1599" s="18"/>
      <c r="U1599" s="42"/>
      <c r="V1599" s="18"/>
      <c r="W1599" s="18"/>
      <c r="X1599" s="18"/>
    </row>
    <row r="1600" spans="1:24" ht="15">
      <c r="A1600" s="4"/>
      <c r="B1600" s="24"/>
      <c r="C1600" s="11"/>
      <c r="D1600" s="18"/>
      <c r="E1600" s="18"/>
      <c r="F1600" s="18"/>
      <c r="G1600" s="18"/>
      <c r="I1600" s="18"/>
      <c r="J1600" s="18"/>
      <c r="K1600" s="18"/>
      <c r="L1600" s="18"/>
      <c r="M1600" s="18"/>
      <c r="N1600" s="18"/>
      <c r="O1600" s="18"/>
      <c r="P1600" s="42"/>
      <c r="Q1600" s="18"/>
      <c r="R1600" s="18"/>
      <c r="S1600" s="18"/>
      <c r="T1600" s="18"/>
      <c r="U1600" s="42"/>
      <c r="V1600" s="18"/>
      <c r="W1600" s="18"/>
      <c r="X1600" s="18"/>
    </row>
    <row r="1601" spans="1:25" ht="15">
      <c r="A1601" s="4"/>
      <c r="B1601" s="24"/>
      <c r="C1601" s="11"/>
      <c r="D1601" s="10" t="s">
        <v>80</v>
      </c>
      <c r="E1601" s="10"/>
      <c r="F1601" s="10" t="s">
        <v>81</v>
      </c>
      <c r="G1601" s="10" t="s">
        <v>82</v>
      </c>
      <c r="I1601" s="10" t="s">
        <v>83</v>
      </c>
      <c r="J1601" s="10" t="s">
        <v>84</v>
      </c>
      <c r="K1601" s="10" t="s">
        <v>85</v>
      </c>
      <c r="L1601" s="10" t="s">
        <v>86</v>
      </c>
      <c r="M1601" s="43" t="s">
        <v>87</v>
      </c>
      <c r="N1601" s="43" t="s">
        <v>88</v>
      </c>
      <c r="O1601" s="44" t="s">
        <v>89</v>
      </c>
      <c r="P1601" s="42"/>
      <c r="Q1601" s="43" t="s">
        <v>90</v>
      </c>
      <c r="R1601" s="43" t="s">
        <v>91</v>
      </c>
      <c r="S1601" s="43"/>
      <c r="T1601" s="43" t="s">
        <v>92</v>
      </c>
      <c r="U1601" s="42"/>
      <c r="V1601" s="43" t="s">
        <v>93</v>
      </c>
      <c r="W1601" s="43" t="s">
        <v>94</v>
      </c>
      <c r="X1601" s="43" t="s">
        <v>95</v>
      </c>
      <c r="Y1601" s="18"/>
    </row>
    <row r="1602" spans="1:25" ht="15">
      <c r="A1602" s="4"/>
      <c r="B1602"/>
      <c r="C1602" s="11"/>
      <c r="D1602" s="10" t="s">
        <v>20</v>
      </c>
      <c r="E1602" s="38"/>
      <c r="F1602" s="10" t="s">
        <v>20</v>
      </c>
      <c r="G1602" s="10" t="s">
        <v>20</v>
      </c>
      <c r="I1602" s="10" t="s">
        <v>20</v>
      </c>
      <c r="J1602" s="10" t="s">
        <v>20</v>
      </c>
      <c r="K1602" s="10" t="s">
        <v>20</v>
      </c>
      <c r="L1602" s="10" t="s">
        <v>20</v>
      </c>
      <c r="M1602" s="10" t="s">
        <v>20</v>
      </c>
      <c r="N1602" s="10" t="s">
        <v>20</v>
      </c>
      <c r="O1602" s="10" t="s">
        <v>20</v>
      </c>
      <c r="P1602" s="18"/>
      <c r="Q1602" s="10" t="s">
        <v>20</v>
      </c>
      <c r="R1602" s="10" t="s">
        <v>20</v>
      </c>
      <c r="S1602" s="14"/>
      <c r="T1602" s="10" t="s">
        <v>20</v>
      </c>
      <c r="U1602" s="18"/>
      <c r="W1602" s="39" t="s">
        <v>96</v>
      </c>
      <c r="Y1602" s="18"/>
    </row>
    <row r="1603" spans="1:25" ht="15">
      <c r="A1603" s="4"/>
      <c r="B1603" s="87" t="s">
        <v>174</v>
      </c>
      <c r="C1603" s="11"/>
      <c r="D1603" s="8" t="s">
        <v>156</v>
      </c>
      <c r="E1603" s="6"/>
      <c r="F1603" s="8" t="s">
        <v>157</v>
      </c>
      <c r="G1603" s="45" t="s">
        <v>99</v>
      </c>
      <c r="H1603" s="19"/>
      <c r="I1603" s="45" t="s">
        <v>100</v>
      </c>
      <c r="J1603" s="45" t="s">
        <v>101</v>
      </c>
      <c r="K1603" s="45" t="s">
        <v>102</v>
      </c>
      <c r="L1603" s="45" t="s">
        <v>103</v>
      </c>
      <c r="M1603" s="45" t="s">
        <v>104</v>
      </c>
      <c r="N1603" s="45" t="s">
        <v>105</v>
      </c>
      <c r="O1603" s="45" t="s">
        <v>106</v>
      </c>
      <c r="P1603" s="6"/>
      <c r="Q1603" s="45" t="s">
        <v>107</v>
      </c>
      <c r="R1603" s="45" t="s">
        <v>108</v>
      </c>
      <c r="S1603" s="45"/>
      <c r="T1603" s="45" t="s">
        <v>109</v>
      </c>
      <c r="U1603" s="18"/>
      <c r="V1603" s="10" t="s">
        <v>20</v>
      </c>
      <c r="W1603" s="10" t="s">
        <v>21</v>
      </c>
      <c r="X1603" s="10" t="s">
        <v>22</v>
      </c>
      <c r="Y1603" s="18"/>
    </row>
    <row r="1604" spans="1:9" ht="15">
      <c r="A1604" s="4"/>
      <c r="B1604" s="24"/>
      <c r="C1604" s="11"/>
      <c r="E1604" s="14"/>
      <c r="F1604"/>
      <c r="H1604" s="18"/>
      <c r="I1604" s="16"/>
    </row>
    <row r="1605" spans="1:24" ht="15">
      <c r="A1605" s="4">
        <f>+A1598+1</f>
        <v>1</v>
      </c>
      <c r="B1605" s="5" t="s">
        <v>36</v>
      </c>
      <c r="C1605" s="17" t="s">
        <v>37</v>
      </c>
      <c r="D1605" s="18">
        <v>0</v>
      </c>
      <c r="E1605" s="18"/>
      <c r="F1605" s="18">
        <v>35434</v>
      </c>
      <c r="G1605" s="18">
        <v>0</v>
      </c>
      <c r="I1605" s="18">
        <v>0</v>
      </c>
      <c r="J1605" s="18">
        <v>0</v>
      </c>
      <c r="K1605" s="46">
        <f>-10286-202539-8612</f>
        <v>-221437</v>
      </c>
      <c r="L1605" s="27">
        <v>-7226</v>
      </c>
      <c r="M1605" s="18">
        <v>0</v>
      </c>
      <c r="N1605" s="18">
        <v>0</v>
      </c>
      <c r="O1605" s="18">
        <v>0</v>
      </c>
      <c r="Q1605" s="18">
        <v>0</v>
      </c>
      <c r="R1605" s="18">
        <v>0</v>
      </c>
      <c r="S1605" s="18"/>
      <c r="T1605" s="18">
        <v>0</v>
      </c>
      <c r="V1605" s="18">
        <f>+V1587+D1605+F1605+G1605+I1605+J1605+K1605+L1605+M1605+N1605+O1605+Q1605+R1605+T1605</f>
        <v>4065273</v>
      </c>
      <c r="W1605" s="18">
        <f>+W1587</f>
        <v>3891429</v>
      </c>
      <c r="X1605" s="18">
        <f>+V1605-W1605</f>
        <v>173844</v>
      </c>
    </row>
    <row r="1606" spans="1:24" ht="15">
      <c r="A1606" s="4">
        <f>+A1605+1</f>
        <v>2</v>
      </c>
      <c r="B1606" s="5" t="s">
        <v>36</v>
      </c>
      <c r="C1606" s="22" t="s">
        <v>38</v>
      </c>
      <c r="D1606" s="18">
        <v>0</v>
      </c>
      <c r="E1606" s="18"/>
      <c r="F1606" s="18">
        <v>34745</v>
      </c>
      <c r="G1606" s="18">
        <v>0</v>
      </c>
      <c r="I1606" s="18">
        <v>0</v>
      </c>
      <c r="J1606" s="18">
        <v>0</v>
      </c>
      <c r="K1606" s="46">
        <f>-10280.27-202540-8611.97</f>
        <v>-221432.24</v>
      </c>
      <c r="L1606" s="27">
        <v>-7226</v>
      </c>
      <c r="M1606" s="18">
        <v>0</v>
      </c>
      <c r="N1606" s="18">
        <v>0</v>
      </c>
      <c r="O1606" s="18">
        <v>0</v>
      </c>
      <c r="Q1606" s="18">
        <v>0</v>
      </c>
      <c r="R1606" s="18">
        <v>0</v>
      </c>
      <c r="S1606" s="18"/>
      <c r="T1606" s="18">
        <v>0</v>
      </c>
      <c r="V1606" s="18">
        <f>+V1588+D1606+F1606+G1606+I1606+J1606+K1606+L1606+M1606+N1606+O1606+Q1606+R1606+T1606</f>
        <v>4052039.76</v>
      </c>
      <c r="W1606" s="18">
        <f>+W1588</f>
        <v>3858827</v>
      </c>
      <c r="X1606" s="18">
        <f>+V1606-W1606</f>
        <v>193212.75999999978</v>
      </c>
    </row>
    <row r="1607" spans="1:24" ht="15">
      <c r="A1607" s="4">
        <f>+A1606+1</f>
        <v>3</v>
      </c>
      <c r="B1607" s="24" t="s">
        <v>46</v>
      </c>
      <c r="C1607" s="40" t="s">
        <v>78</v>
      </c>
      <c r="D1607" s="18">
        <f>+D1605-D1606</f>
        <v>0</v>
      </c>
      <c r="E1607" s="18"/>
      <c r="F1607" s="18">
        <f>+F1605-F1606</f>
        <v>689</v>
      </c>
      <c r="G1607" s="18">
        <f>+G1605-G1606</f>
        <v>0</v>
      </c>
      <c r="I1607" s="18">
        <f aca="true" t="shared" si="197" ref="I1607:O1607">+I1605-I1606</f>
        <v>0</v>
      </c>
      <c r="J1607" s="18">
        <f t="shared" si="197"/>
        <v>0</v>
      </c>
      <c r="K1607" s="18">
        <f t="shared" si="197"/>
        <v>-4.760000000009313</v>
      </c>
      <c r="L1607" s="18">
        <f t="shared" si="197"/>
        <v>0</v>
      </c>
      <c r="M1607" s="18">
        <f t="shared" si="197"/>
        <v>0</v>
      </c>
      <c r="N1607" s="18">
        <f t="shared" si="197"/>
        <v>0</v>
      </c>
      <c r="O1607" s="18">
        <f t="shared" si="197"/>
        <v>0</v>
      </c>
      <c r="Q1607" s="18">
        <f>+Q1605-Q1606</f>
        <v>0</v>
      </c>
      <c r="R1607" s="18">
        <f>+R1605-R1606</f>
        <v>0</v>
      </c>
      <c r="S1607" s="18"/>
      <c r="T1607" s="18">
        <f>+T1605-T1606</f>
        <v>0</v>
      </c>
      <c r="V1607" s="27">
        <f>+V1605-V1606</f>
        <v>13233.240000000224</v>
      </c>
      <c r="W1607" s="27">
        <f>+W1605-W1606</f>
        <v>32602</v>
      </c>
      <c r="X1607" s="18">
        <f>+X1605-X1606</f>
        <v>-19368.759999999776</v>
      </c>
    </row>
    <row r="1608" spans="1:24" ht="28.5">
      <c r="A1608" s="4">
        <f>+A1607+1</f>
        <v>4</v>
      </c>
      <c r="B1608" s="88" t="s">
        <v>182</v>
      </c>
      <c r="C1608" s="11"/>
      <c r="D1608" s="18">
        <v>0</v>
      </c>
      <c r="E1608" s="18"/>
      <c r="F1608" s="18">
        <v>0</v>
      </c>
      <c r="G1608" s="18">
        <v>0</v>
      </c>
      <c r="I1608" s="18">
        <v>0</v>
      </c>
      <c r="J1608" s="27">
        <v>0</v>
      </c>
      <c r="K1608" s="18">
        <v>0</v>
      </c>
      <c r="L1608" s="18">
        <v>0</v>
      </c>
      <c r="M1608" s="18">
        <v>0</v>
      </c>
      <c r="N1608" s="18">
        <v>0</v>
      </c>
      <c r="O1608" s="18">
        <v>0</v>
      </c>
      <c r="Q1608" s="18">
        <v>0</v>
      </c>
      <c r="R1608" s="18">
        <v>0</v>
      </c>
      <c r="S1608" s="18"/>
      <c r="T1608" s="18">
        <v>0</v>
      </c>
      <c r="V1608" s="18">
        <f>+V1590+D1608+F1608+G1608+I1608+J1608+K1608+L1608+M1608+N1608+O1608+Q1608+R1608+T1608</f>
        <v>0</v>
      </c>
      <c r="W1608" s="18">
        <f>+W1590</f>
        <v>0</v>
      </c>
      <c r="X1608" s="18">
        <f>+V1608-W1608</f>
        <v>0</v>
      </c>
    </row>
    <row r="1609" spans="1:24" ht="24.75">
      <c r="A1609" s="4">
        <f>+A1608+1</f>
        <v>5</v>
      </c>
      <c r="B1609" s="89" t="s">
        <v>39</v>
      </c>
      <c r="C1609" s="40"/>
      <c r="D1609" s="27">
        <v>27904</v>
      </c>
      <c r="E1609" s="18"/>
      <c r="F1609" s="27"/>
      <c r="G1609" s="27">
        <v>4972</v>
      </c>
      <c r="I1609" s="27">
        <v>0</v>
      </c>
      <c r="J1609" s="27">
        <v>0</v>
      </c>
      <c r="K1609" s="27">
        <v>4771</v>
      </c>
      <c r="L1609" s="27">
        <v>-35265</v>
      </c>
      <c r="M1609" s="27">
        <v>-10504</v>
      </c>
      <c r="N1609" s="27">
        <v>0</v>
      </c>
      <c r="O1609" s="27">
        <v>-29313</v>
      </c>
      <c r="Q1609" s="27">
        <v>0</v>
      </c>
      <c r="R1609" s="27">
        <v>-7807</v>
      </c>
      <c r="S1609" s="27"/>
      <c r="T1609" s="27">
        <v>-34435</v>
      </c>
      <c r="V1609" s="18">
        <f>+V1591+D1609+F1609+G1609+I1609+J1609+K1609+L1609+M1609+N1609+O1609+Q1609+R1609+T1609</f>
        <v>-1020011</v>
      </c>
      <c r="W1609" s="18">
        <f>+W1591</f>
        <v>0</v>
      </c>
      <c r="X1609" s="18">
        <f>+V1609-W1609</f>
        <v>-1020011</v>
      </c>
    </row>
    <row r="1610" spans="1:24" ht="15">
      <c r="A1610" s="6" t="s">
        <v>41</v>
      </c>
      <c r="B1610" s="41"/>
      <c r="C1610" s="40"/>
      <c r="D1610" s="18"/>
      <c r="E1610" s="18"/>
      <c r="F1610" s="18"/>
      <c r="G1610" s="18"/>
      <c r="I1610" s="18"/>
      <c r="J1610" s="18"/>
      <c r="K1610" s="27"/>
      <c r="L1610" s="18"/>
      <c r="M1610" s="18"/>
      <c r="N1610" s="18"/>
      <c r="O1610" s="18"/>
      <c r="Q1610" s="18"/>
      <c r="R1610" s="18"/>
      <c r="S1610" s="18"/>
      <c r="T1610" s="18"/>
      <c r="V1610" s="18"/>
      <c r="W1610" s="18"/>
      <c r="X1610" s="18"/>
    </row>
    <row r="1611" spans="1:24" ht="15">
      <c r="A1611" s="4">
        <f>+A1609+1</f>
        <v>6</v>
      </c>
      <c r="B1611" s="5" t="s">
        <v>42</v>
      </c>
      <c r="C1611" s="22" t="s">
        <v>38</v>
      </c>
      <c r="D1611" s="18">
        <v>0</v>
      </c>
      <c r="E1611" s="18"/>
      <c r="F1611" s="18">
        <v>35941</v>
      </c>
      <c r="G1611" s="18">
        <v>0</v>
      </c>
      <c r="I1611" s="18">
        <v>0</v>
      </c>
      <c r="J1611" s="18">
        <v>0</v>
      </c>
      <c r="K1611" s="46">
        <f>-3124-255090</f>
        <v>-258214</v>
      </c>
      <c r="L1611" s="27">
        <v>-7226</v>
      </c>
      <c r="M1611" s="18">
        <v>0</v>
      </c>
      <c r="N1611" s="18">
        <v>0</v>
      </c>
      <c r="O1611" s="18">
        <v>0</v>
      </c>
      <c r="P1611" s="18"/>
      <c r="Q1611" s="18">
        <v>0</v>
      </c>
      <c r="R1611" s="18">
        <v>0</v>
      </c>
      <c r="S1611" s="18"/>
      <c r="T1611" s="18">
        <v>0</v>
      </c>
      <c r="U1611" s="18"/>
      <c r="V1611" s="18">
        <f>+V1593+D1611+F1611+G1611+I1611+J1611+K1611+L1611+M1611+N1611+O1611+Q1611+R1611+T1611</f>
        <v>9617042</v>
      </c>
      <c r="W1611" s="18">
        <f>+W1593</f>
        <v>7604375</v>
      </c>
      <c r="X1611" s="18">
        <f>+V1611-W1611</f>
        <v>2012667</v>
      </c>
    </row>
    <row r="1612" spans="1:24" ht="15">
      <c r="A1612" s="4">
        <f>+A1611+1</f>
        <v>7</v>
      </c>
      <c r="B1612" s="5" t="s">
        <v>43</v>
      </c>
      <c r="C1612" s="11"/>
      <c r="D1612" s="18">
        <v>0</v>
      </c>
      <c r="E1612" s="18"/>
      <c r="F1612" s="18">
        <v>0</v>
      </c>
      <c r="G1612" s="18">
        <v>0</v>
      </c>
      <c r="I1612" s="18">
        <v>0</v>
      </c>
      <c r="J1612" s="18">
        <v>0</v>
      </c>
      <c r="K1612" s="18">
        <v>0</v>
      </c>
      <c r="L1612" s="18">
        <v>0</v>
      </c>
      <c r="M1612" s="18">
        <v>0</v>
      </c>
      <c r="N1612" s="18">
        <v>0</v>
      </c>
      <c r="O1612" s="18">
        <v>0</v>
      </c>
      <c r="P1612" s="18"/>
      <c r="Q1612" s="18">
        <v>0</v>
      </c>
      <c r="R1612" s="18">
        <v>0</v>
      </c>
      <c r="S1612" s="18"/>
      <c r="T1612" s="18">
        <v>0</v>
      </c>
      <c r="U1612" s="18"/>
      <c r="V1612" s="18">
        <f>+V1594+D1612+F1612+G1612+I1612+J1612+K1612+L1612+M1612+N1612+O1612+Q1612+R1612+T1612</f>
        <v>7612</v>
      </c>
      <c r="W1612" s="18">
        <f>+W1594</f>
        <v>6323</v>
      </c>
      <c r="X1612" s="18">
        <f>+V1612-W1612</f>
        <v>1289</v>
      </c>
    </row>
    <row r="1613" spans="1:24" ht="26.25">
      <c r="A1613" s="4">
        <f>+A1612+1</f>
        <v>8</v>
      </c>
      <c r="B1613" s="24" t="s">
        <v>79</v>
      </c>
      <c r="C1613" s="11"/>
      <c r="D1613" s="18">
        <f>+D1611-D1612</f>
        <v>0</v>
      </c>
      <c r="E1613" s="18"/>
      <c r="F1613" s="18">
        <f>+F1611-F1612</f>
        <v>35941</v>
      </c>
      <c r="G1613" s="18">
        <f>+G1611-G1612</f>
        <v>0</v>
      </c>
      <c r="I1613" s="18">
        <f aca="true" t="shared" si="198" ref="I1613:O1613">+I1611-I1612</f>
        <v>0</v>
      </c>
      <c r="J1613" s="18">
        <f t="shared" si="198"/>
        <v>0</v>
      </c>
      <c r="K1613" s="18">
        <f t="shared" si="198"/>
        <v>-258214</v>
      </c>
      <c r="L1613" s="18">
        <f t="shared" si="198"/>
        <v>-7226</v>
      </c>
      <c r="M1613" s="18">
        <f t="shared" si="198"/>
        <v>0</v>
      </c>
      <c r="N1613" s="18">
        <f t="shared" si="198"/>
        <v>0</v>
      </c>
      <c r="O1613" s="18">
        <f t="shared" si="198"/>
        <v>0</v>
      </c>
      <c r="P1613" s="18"/>
      <c r="Q1613" s="18">
        <f>+Q1611-Q1612</f>
        <v>0</v>
      </c>
      <c r="R1613" s="18">
        <f>+R1611-R1612</f>
        <v>0</v>
      </c>
      <c r="S1613" s="18"/>
      <c r="T1613" s="18">
        <f>+T1611-T1612</f>
        <v>0</v>
      </c>
      <c r="U1613" s="18"/>
      <c r="V1613" s="27">
        <f>+V1611-V1612</f>
        <v>9609430</v>
      </c>
      <c r="W1613" s="27">
        <f>+W1611-W1612</f>
        <v>7598052</v>
      </c>
      <c r="X1613" s="18">
        <f>+X1611-X1612</f>
        <v>2011378</v>
      </c>
    </row>
    <row r="1614" spans="1:24" ht="28.5">
      <c r="A1614" s="4">
        <f>+A1613+1</f>
        <v>9</v>
      </c>
      <c r="B1614" s="88" t="s">
        <v>181</v>
      </c>
      <c r="C1614" s="11"/>
      <c r="D1614" s="18">
        <v>0</v>
      </c>
      <c r="E1614" s="18"/>
      <c r="F1614" s="18">
        <v>0</v>
      </c>
      <c r="G1614" s="18">
        <v>0</v>
      </c>
      <c r="I1614" s="18">
        <v>0</v>
      </c>
      <c r="J1614" s="18">
        <v>0</v>
      </c>
      <c r="K1614" s="18">
        <v>0</v>
      </c>
      <c r="L1614" s="18">
        <v>0</v>
      </c>
      <c r="M1614" s="18">
        <v>0</v>
      </c>
      <c r="N1614" s="18">
        <v>0</v>
      </c>
      <c r="O1614" s="18">
        <v>0</v>
      </c>
      <c r="P1614" s="18"/>
      <c r="Q1614" s="18">
        <v>0</v>
      </c>
      <c r="R1614" s="18">
        <v>0</v>
      </c>
      <c r="S1614" s="18"/>
      <c r="T1614" s="18">
        <v>0</v>
      </c>
      <c r="U1614" s="18"/>
      <c r="V1614" s="18">
        <f>+V1596+D1614+F1614+G1614+I1614+J1614+K1614+L1614+M1614+N1614+O1614+Q1614+R1614+T1614</f>
        <v>0</v>
      </c>
      <c r="W1614" s="18">
        <f>+W1596</f>
        <v>0</v>
      </c>
      <c r="X1614" s="18">
        <f>+V1614-W1614</f>
        <v>0</v>
      </c>
    </row>
    <row r="1615" spans="1:24" ht="15">
      <c r="A1615" s="4">
        <f>+A1614+1</f>
        <v>10</v>
      </c>
      <c r="B1615" s="24" t="s">
        <v>46</v>
      </c>
      <c r="C1615" s="11" t="s">
        <v>47</v>
      </c>
      <c r="D1615" s="18">
        <f>+D1607+D1608+D1613+D1614+D1609</f>
        <v>27904</v>
      </c>
      <c r="E1615" s="18"/>
      <c r="F1615" s="18">
        <f>+F1607+F1608+F1613+F1614+F1609</f>
        <v>36630</v>
      </c>
      <c r="G1615" s="18">
        <f>+G1607+G1608+G1613+G1614+G1609</f>
        <v>4972</v>
      </c>
      <c r="I1615" s="18">
        <f aca="true" t="shared" si="199" ref="I1615:O1615">+I1607+I1608+I1613+I1614+I1609</f>
        <v>0</v>
      </c>
      <c r="J1615" s="18">
        <f t="shared" si="199"/>
        <v>0</v>
      </c>
      <c r="K1615" s="18">
        <f t="shared" si="199"/>
        <v>-253447.76</v>
      </c>
      <c r="L1615" s="18">
        <f t="shared" si="199"/>
        <v>-42491</v>
      </c>
      <c r="M1615" s="18">
        <f t="shared" si="199"/>
        <v>-10504</v>
      </c>
      <c r="N1615" s="18">
        <f t="shared" si="199"/>
        <v>0</v>
      </c>
      <c r="O1615" s="18">
        <f t="shared" si="199"/>
        <v>-29313</v>
      </c>
      <c r="P1615" s="42"/>
      <c r="Q1615" s="18">
        <f>+Q1607+Q1608+Q1613+Q1614+Q1609</f>
        <v>0</v>
      </c>
      <c r="R1615" s="18">
        <f>+R1607+R1608+R1613+R1614+R1609</f>
        <v>-7807</v>
      </c>
      <c r="S1615" s="18"/>
      <c r="T1615" s="18">
        <f>+T1607+T1608+T1613+T1614+T1609</f>
        <v>-34435</v>
      </c>
      <c r="U1615" s="42"/>
      <c r="V1615" s="18">
        <f>+V1607+V1608+V1613+V1614+V1609</f>
        <v>8602652.24</v>
      </c>
      <c r="W1615" s="18">
        <f>+W1607+W1608+W1613+W1614+W1609</f>
        <v>7630654</v>
      </c>
      <c r="X1615" s="18">
        <f>+X1607+X1608+X1613+X1614+X1609</f>
        <v>971998.2400000002</v>
      </c>
    </row>
    <row r="1616" spans="1:24" ht="15">
      <c r="A1616" s="4"/>
      <c r="B1616" s="24"/>
      <c r="C1616" s="11"/>
      <c r="D1616" s="18"/>
      <c r="E1616" s="18"/>
      <c r="F1616" s="18"/>
      <c r="G1616" s="18"/>
      <c r="I1616" s="18"/>
      <c r="J1616" s="18"/>
      <c r="K1616" s="27"/>
      <c r="L1616" s="18"/>
      <c r="M1616" s="18"/>
      <c r="N1616" s="18"/>
      <c r="O1616" s="18"/>
      <c r="P1616" s="42"/>
      <c r="Q1616" s="18"/>
      <c r="R1616" s="18"/>
      <c r="S1616" s="18"/>
      <c r="T1616" s="18"/>
      <c r="U1616" s="42"/>
      <c r="V1616" s="18"/>
      <c r="W1616" s="18"/>
      <c r="X1616" s="18"/>
    </row>
    <row r="1617" spans="1:24" ht="15">
      <c r="A1617" s="4"/>
      <c r="B1617" s="24"/>
      <c r="C1617" s="11"/>
      <c r="D1617" s="18"/>
      <c r="E1617" s="18"/>
      <c r="F1617" s="18"/>
      <c r="G1617" s="18"/>
      <c r="I1617" s="18"/>
      <c r="J1617" s="18"/>
      <c r="K1617" s="27" t="s">
        <v>0</v>
      </c>
      <c r="L1617" s="18"/>
      <c r="M1617" s="18"/>
      <c r="N1617" s="18"/>
      <c r="O1617" s="18"/>
      <c r="P1617" s="42"/>
      <c r="Q1617" s="18"/>
      <c r="R1617" s="18"/>
      <c r="S1617" s="18"/>
      <c r="T1617" s="18"/>
      <c r="U1617" s="42"/>
      <c r="V1617" s="18"/>
      <c r="W1617" s="18"/>
      <c r="X1617" s="18"/>
    </row>
    <row r="1618" spans="1:24" ht="15">
      <c r="A1618" s="4"/>
      <c r="B1618" s="24"/>
      <c r="C1618" s="11"/>
      <c r="D1618" s="18"/>
      <c r="E1618" s="18"/>
      <c r="F1618" s="18"/>
      <c r="G1618" s="18"/>
      <c r="I1618" s="18"/>
      <c r="J1618" s="18"/>
      <c r="K1618" s="18"/>
      <c r="L1618" s="18"/>
      <c r="M1618" s="18"/>
      <c r="N1618" s="18"/>
      <c r="O1618" s="18"/>
      <c r="P1618" s="42"/>
      <c r="Q1618" s="18"/>
      <c r="R1618" s="18"/>
      <c r="S1618" s="18"/>
      <c r="T1618" s="18"/>
      <c r="U1618" s="42"/>
      <c r="V1618" s="18"/>
      <c r="W1618" s="18"/>
      <c r="X1618" s="18"/>
    </row>
    <row r="1619" spans="1:24" ht="15">
      <c r="A1619" s="4"/>
      <c r="B1619" s="24"/>
      <c r="C1619" s="11"/>
      <c r="D1619" s="18"/>
      <c r="E1619" s="18"/>
      <c r="F1619" s="18"/>
      <c r="G1619" s="18"/>
      <c r="I1619" s="18"/>
      <c r="J1619" s="18"/>
      <c r="K1619" s="18"/>
      <c r="L1619" s="18"/>
      <c r="M1619" s="18"/>
      <c r="N1619" s="18"/>
      <c r="O1619" s="18"/>
      <c r="P1619" s="42"/>
      <c r="Q1619" s="18"/>
      <c r="R1619" s="18"/>
      <c r="S1619" s="18"/>
      <c r="T1619" s="18"/>
      <c r="U1619" s="42"/>
      <c r="V1619" s="18"/>
      <c r="W1619" s="18"/>
      <c r="X1619" s="18"/>
    </row>
    <row r="1620" spans="1:24" ht="15">
      <c r="A1620" s="4"/>
      <c r="B1620" s="24"/>
      <c r="C1620" s="11"/>
      <c r="D1620" s="18"/>
      <c r="E1620" s="18"/>
      <c r="F1620" s="18"/>
      <c r="G1620" s="18"/>
      <c r="I1620" s="18"/>
      <c r="J1620" s="18"/>
      <c r="K1620" s="18"/>
      <c r="L1620" s="18"/>
      <c r="M1620" s="18"/>
      <c r="N1620" s="18"/>
      <c r="O1620" s="18"/>
      <c r="P1620" s="42"/>
      <c r="Q1620" s="18"/>
      <c r="R1620" s="18"/>
      <c r="S1620" s="18"/>
      <c r="T1620" s="18"/>
      <c r="U1620" s="42"/>
      <c r="V1620" s="18"/>
      <c r="W1620" s="18"/>
      <c r="X1620" s="18"/>
    </row>
    <row r="1621" spans="1:24" ht="15">
      <c r="A1621" s="4"/>
      <c r="B1621" s="24"/>
      <c r="C1621" s="11"/>
      <c r="D1621" s="18"/>
      <c r="E1621" s="18"/>
      <c r="F1621" s="18"/>
      <c r="G1621" s="18"/>
      <c r="I1621" s="18"/>
      <c r="J1621" s="18"/>
      <c r="K1621" s="18"/>
      <c r="L1621" s="18"/>
      <c r="M1621" s="18"/>
      <c r="N1621" s="18"/>
      <c r="O1621" s="18"/>
      <c r="P1621" s="42"/>
      <c r="Q1621" s="18"/>
      <c r="R1621" s="18"/>
      <c r="S1621" s="18"/>
      <c r="T1621" s="18"/>
      <c r="U1621" s="42"/>
      <c r="V1621" s="18"/>
      <c r="W1621" s="18"/>
      <c r="X1621" s="18"/>
    </row>
    <row r="1622" spans="1:24" ht="15">
      <c r="A1622" s="4"/>
      <c r="B1622" s="24"/>
      <c r="C1622" s="11"/>
      <c r="D1622" s="18"/>
      <c r="E1622" s="18"/>
      <c r="F1622" s="18"/>
      <c r="G1622" s="18"/>
      <c r="I1622" s="18"/>
      <c r="J1622" s="18"/>
      <c r="K1622" s="18"/>
      <c r="L1622" s="18"/>
      <c r="M1622" s="18"/>
      <c r="N1622" s="18"/>
      <c r="O1622" s="18"/>
      <c r="P1622" s="42"/>
      <c r="Q1622" s="18"/>
      <c r="R1622" s="18"/>
      <c r="S1622" s="18"/>
      <c r="T1622" s="18"/>
      <c r="U1622" s="42"/>
      <c r="V1622" s="18"/>
      <c r="W1622" s="18"/>
      <c r="X1622" s="18"/>
    </row>
    <row r="1623" spans="1:24" ht="15">
      <c r="A1623" s="4"/>
      <c r="B1623" s="24"/>
      <c r="C1623" s="11"/>
      <c r="D1623" s="10" t="s">
        <v>4</v>
      </c>
      <c r="E1623" s="10"/>
      <c r="F1623" s="10" t="s">
        <v>5</v>
      </c>
      <c r="G1623" s="10" t="s">
        <v>6</v>
      </c>
      <c r="H1623" s="10"/>
      <c r="I1623" s="10" t="s">
        <v>7</v>
      </c>
      <c r="J1623" s="10" t="s">
        <v>8</v>
      </c>
      <c r="K1623" s="10" t="s">
        <v>9</v>
      </c>
      <c r="L1623" s="10" t="s">
        <v>10</v>
      </c>
      <c r="M1623" s="10" t="s">
        <v>11</v>
      </c>
      <c r="N1623" s="10" t="s">
        <v>12</v>
      </c>
      <c r="O1623" s="10" t="s">
        <v>13</v>
      </c>
      <c r="P1623" s="10"/>
      <c r="Q1623" s="10" t="s">
        <v>14</v>
      </c>
      <c r="R1623" s="10" t="s">
        <v>15</v>
      </c>
      <c r="S1623" s="10"/>
      <c r="T1623" s="10" t="s">
        <v>16</v>
      </c>
      <c r="U1623" s="10"/>
      <c r="V1623" s="10" t="s">
        <v>17</v>
      </c>
      <c r="W1623" s="10" t="s">
        <v>18</v>
      </c>
      <c r="X1623" s="10" t="s">
        <v>19</v>
      </c>
    </row>
    <row r="1624" spans="1:23" ht="15">
      <c r="A1624" s="4"/>
      <c r="B1624" s="24"/>
      <c r="C1624" s="11"/>
      <c r="D1624" s="10" t="s">
        <v>20</v>
      </c>
      <c r="E1624" s="10"/>
      <c r="F1624" s="14" t="s">
        <v>21</v>
      </c>
      <c r="G1624" s="10"/>
      <c r="I1624" s="39" t="s">
        <v>110</v>
      </c>
      <c r="J1624" s="47" t="s">
        <v>111</v>
      </c>
      <c r="K1624" s="39"/>
      <c r="L1624" s="10" t="s">
        <v>20</v>
      </c>
      <c r="M1624" s="10" t="s">
        <v>20</v>
      </c>
      <c r="N1624" s="10" t="s">
        <v>20</v>
      </c>
      <c r="O1624" s="10" t="s">
        <v>20</v>
      </c>
      <c r="P1624" s="42"/>
      <c r="Q1624" s="10" t="s">
        <v>20</v>
      </c>
      <c r="R1624" s="10" t="s">
        <v>20</v>
      </c>
      <c r="S1624" s="48"/>
      <c r="T1624" s="10" t="s">
        <v>20</v>
      </c>
      <c r="U1624" s="42"/>
      <c r="W1624" s="39" t="s">
        <v>112</v>
      </c>
    </row>
    <row r="1625" spans="1:24" ht="15">
      <c r="A1625" s="4"/>
      <c r="B1625" s="87" t="s">
        <v>183</v>
      </c>
      <c r="C1625" s="11"/>
      <c r="D1625" s="8" t="s">
        <v>113</v>
      </c>
      <c r="E1625" s="6"/>
      <c r="F1625" s="6" t="s">
        <v>114</v>
      </c>
      <c r="G1625" s="49" t="s">
        <v>22</v>
      </c>
      <c r="I1625" s="8" t="s">
        <v>113</v>
      </c>
      <c r="J1625" s="6" t="s">
        <v>114</v>
      </c>
      <c r="K1625" s="49" t="s">
        <v>24</v>
      </c>
      <c r="L1625" s="13" t="s">
        <v>115</v>
      </c>
      <c r="M1625" s="13" t="s">
        <v>116</v>
      </c>
      <c r="N1625" s="13" t="s">
        <v>117</v>
      </c>
      <c r="O1625" s="13" t="s">
        <v>118</v>
      </c>
      <c r="P1625" s="42"/>
      <c r="Q1625" s="13" t="s">
        <v>119</v>
      </c>
      <c r="R1625" s="13" t="s">
        <v>120</v>
      </c>
      <c r="T1625" s="13" t="s">
        <v>121</v>
      </c>
      <c r="U1625" s="42"/>
      <c r="V1625" s="10" t="s">
        <v>20</v>
      </c>
      <c r="W1625" s="10" t="s">
        <v>21</v>
      </c>
      <c r="X1625" s="10" t="s">
        <v>22</v>
      </c>
    </row>
    <row r="1626" spans="1:24" ht="15">
      <c r="A1626" s="4"/>
      <c r="B1626" s="24"/>
      <c r="C1626" s="11"/>
      <c r="D1626" s="18"/>
      <c r="E1626" s="18"/>
      <c r="F1626" s="18"/>
      <c r="G1626" s="18"/>
      <c r="I1626" s="72" t="s">
        <v>0</v>
      </c>
      <c r="K1626" s="42"/>
      <c r="L1626" s="42"/>
      <c r="N1626" s="42"/>
      <c r="O1626" s="18"/>
      <c r="P1626" s="42"/>
      <c r="U1626" s="42"/>
      <c r="V1626" s="18"/>
      <c r="W1626" s="39" t="s">
        <v>122</v>
      </c>
      <c r="X1626" s="18"/>
    </row>
    <row r="1627" spans="1:24" ht="15">
      <c r="A1627" s="4">
        <f>+A1595+1</f>
        <v>19</v>
      </c>
      <c r="B1627" s="5" t="s">
        <v>36</v>
      </c>
      <c r="C1627" s="17" t="s">
        <v>37</v>
      </c>
      <c r="D1627" s="27">
        <f>335014+746166</f>
        <v>1081180</v>
      </c>
      <c r="E1627" s="18" t="s">
        <v>0</v>
      </c>
      <c r="F1627" s="27">
        <f>351194+18</f>
        <v>351212</v>
      </c>
      <c r="G1627" s="18">
        <f>D1627-F1627</f>
        <v>729968</v>
      </c>
      <c r="I1627" s="27">
        <v>-648</v>
      </c>
      <c r="J1627" s="27">
        <f>138</f>
        <v>138</v>
      </c>
      <c r="K1627" s="36">
        <f>+I1627-J1627</f>
        <v>-786</v>
      </c>
      <c r="L1627" s="18">
        <v>0</v>
      </c>
      <c r="M1627" s="27">
        <v>-224145</v>
      </c>
      <c r="N1627" s="27">
        <f>1784+37002</f>
        <v>38786</v>
      </c>
      <c r="O1627" s="18">
        <v>0</v>
      </c>
      <c r="P1627" s="42"/>
      <c r="Q1627" s="31">
        <v>0</v>
      </c>
      <c r="R1627" s="18">
        <v>0</v>
      </c>
      <c r="S1627" s="18"/>
      <c r="T1627" s="18">
        <v>0</v>
      </c>
      <c r="U1627" s="42"/>
      <c r="V1627" s="31">
        <f>+D1627+I1627+L1627+M1627+N1627+O1627+Q1627+R1627+T1627</f>
        <v>895173</v>
      </c>
      <c r="W1627" s="18">
        <f>+F1627+J1627</f>
        <v>351350</v>
      </c>
      <c r="X1627" s="18">
        <f>+V1627-W1627</f>
        <v>543823</v>
      </c>
    </row>
    <row r="1628" spans="1:24" ht="15">
      <c r="A1628" s="4">
        <f>+A1627+1</f>
        <v>20</v>
      </c>
      <c r="B1628" s="5" t="s">
        <v>36</v>
      </c>
      <c r="C1628" s="22" t="s">
        <v>38</v>
      </c>
      <c r="D1628" s="27">
        <f>335014+748241</f>
        <v>1083255</v>
      </c>
      <c r="E1628" s="18" t="s">
        <v>0</v>
      </c>
      <c r="F1628" s="27">
        <f>340069+18</f>
        <v>340087</v>
      </c>
      <c r="G1628" s="18">
        <f>D1628-F1628</f>
        <v>743168</v>
      </c>
      <c r="I1628" s="27">
        <v>-648</v>
      </c>
      <c r="J1628" s="31">
        <v>155</v>
      </c>
      <c r="K1628" s="36">
        <f>+I1628-J1628</f>
        <v>-803</v>
      </c>
      <c r="L1628" s="18">
        <v>0</v>
      </c>
      <c r="M1628" s="27">
        <v>-224139</v>
      </c>
      <c r="N1628" s="27">
        <f>1784+35768</f>
        <v>37552</v>
      </c>
      <c r="O1628" s="18">
        <v>0</v>
      </c>
      <c r="P1628" s="42"/>
      <c r="Q1628" s="31">
        <v>0</v>
      </c>
      <c r="R1628" s="18">
        <v>0</v>
      </c>
      <c r="S1628" s="18"/>
      <c r="T1628" s="18">
        <v>0</v>
      </c>
      <c r="U1628" s="42"/>
      <c r="V1628" s="31">
        <f>+D1628+I1628+L1628+M1628+N1628+O1628+Q1628+R1628+T1628</f>
        <v>896020</v>
      </c>
      <c r="W1628" s="18">
        <f>+F1628+J1628</f>
        <v>340242</v>
      </c>
      <c r="X1628" s="18">
        <f>+V1628-W1628</f>
        <v>555778</v>
      </c>
    </row>
    <row r="1629" spans="1:24" ht="15">
      <c r="A1629" s="4">
        <f>+A1628+1</f>
        <v>21</v>
      </c>
      <c r="B1629" s="24" t="s">
        <v>46</v>
      </c>
      <c r="C1629" s="40" t="s">
        <v>78</v>
      </c>
      <c r="D1629" s="18">
        <f>+D1627-D1628</f>
        <v>-2075</v>
      </c>
      <c r="E1629" s="18"/>
      <c r="F1629" s="18">
        <f>+F1627-F1628</f>
        <v>11125</v>
      </c>
      <c r="G1629" s="18">
        <f>+G1627-G1628</f>
        <v>-13200</v>
      </c>
      <c r="I1629" s="18">
        <f>+I1627-I1628</f>
        <v>0</v>
      </c>
      <c r="J1629" s="18">
        <f>+J1627-J1628</f>
        <v>-17</v>
      </c>
      <c r="K1629" s="18">
        <f>K1627-K1628</f>
        <v>17</v>
      </c>
      <c r="L1629" s="18">
        <f>+L1627-L1628</f>
        <v>0</v>
      </c>
      <c r="M1629" s="18">
        <f>+M1627-M1628</f>
        <v>-6</v>
      </c>
      <c r="N1629" s="18">
        <f>+N1627-N1628</f>
        <v>1234</v>
      </c>
      <c r="O1629" s="18">
        <f>+O1627-O1628</f>
        <v>0</v>
      </c>
      <c r="P1629" s="42"/>
      <c r="Q1629" s="18">
        <f>+Q1627-Q1628</f>
        <v>0</v>
      </c>
      <c r="R1629" s="18">
        <f>+R1627-R1628</f>
        <v>0</v>
      </c>
      <c r="S1629" s="18"/>
      <c r="T1629" s="18">
        <f>+T1627-T1628</f>
        <v>0</v>
      </c>
      <c r="U1629" s="42"/>
      <c r="V1629" s="31">
        <f>+V1627-V1628</f>
        <v>-847</v>
      </c>
      <c r="W1629" s="31">
        <f>+W1627-W1628</f>
        <v>11108</v>
      </c>
      <c r="X1629" s="18">
        <f>+X1627-X1628</f>
        <v>-11955</v>
      </c>
    </row>
    <row r="1630" spans="1:24" ht="28.5">
      <c r="A1630" s="4">
        <f>+A1629+1</f>
        <v>22</v>
      </c>
      <c r="B1630" s="88" t="s">
        <v>182</v>
      </c>
      <c r="C1630" s="11"/>
      <c r="D1630" s="18">
        <v>0</v>
      </c>
      <c r="E1630" s="18"/>
      <c r="F1630" s="18">
        <v>0</v>
      </c>
      <c r="G1630" s="18">
        <f>+D1630-F1630</f>
        <v>0</v>
      </c>
      <c r="I1630" s="18">
        <v>0</v>
      </c>
      <c r="J1630" s="18">
        <v>0</v>
      </c>
      <c r="K1630" s="18">
        <f>+I1630-J1630</f>
        <v>0</v>
      </c>
      <c r="L1630" s="18">
        <v>0</v>
      </c>
      <c r="M1630" s="18">
        <v>0</v>
      </c>
      <c r="N1630" s="18">
        <f>+L1630-M1630</f>
        <v>0</v>
      </c>
      <c r="O1630" s="18">
        <v>0</v>
      </c>
      <c r="P1630" s="42"/>
      <c r="Q1630" s="18">
        <v>0</v>
      </c>
      <c r="R1630" s="18">
        <v>0</v>
      </c>
      <c r="S1630" s="18"/>
      <c r="T1630" s="18">
        <v>0</v>
      </c>
      <c r="U1630" s="42"/>
      <c r="V1630" s="31">
        <f>+D1630+I1630+L1630+M1630+N1630+O1630+Q1630+R1630+T1630</f>
        <v>0</v>
      </c>
      <c r="W1630" s="18">
        <f>+F1630+J1630</f>
        <v>0</v>
      </c>
      <c r="X1630" s="18">
        <f>+V1630-W1630</f>
        <v>0</v>
      </c>
    </row>
    <row r="1631" spans="1:24" ht="24.75">
      <c r="A1631" s="4">
        <f>+A1630+1</f>
        <v>23</v>
      </c>
      <c r="B1631" s="89" t="s">
        <v>39</v>
      </c>
      <c r="C1631" s="40"/>
      <c r="D1631" s="27">
        <v>-35279</v>
      </c>
      <c r="E1631" s="18" t="s">
        <v>0</v>
      </c>
      <c r="F1631" s="27">
        <v>423810</v>
      </c>
      <c r="G1631" s="18">
        <f>D1631-F1631</f>
        <v>-459089</v>
      </c>
      <c r="I1631" s="27">
        <v>0</v>
      </c>
      <c r="J1631" s="27">
        <v>0</v>
      </c>
      <c r="K1631" s="18">
        <f>+I1631-J1631</f>
        <v>0</v>
      </c>
      <c r="L1631" s="18">
        <v>2885</v>
      </c>
      <c r="M1631" s="27">
        <v>-48281</v>
      </c>
      <c r="N1631" s="27">
        <v>0</v>
      </c>
      <c r="O1631" s="27">
        <v>1344</v>
      </c>
      <c r="P1631" s="42"/>
      <c r="Q1631" s="55">
        <v>0</v>
      </c>
      <c r="R1631" s="21">
        <v>0</v>
      </c>
      <c r="S1631" s="18"/>
      <c r="T1631" s="18">
        <v>0</v>
      </c>
      <c r="U1631" s="42"/>
      <c r="V1631" s="31">
        <f>+D1631+I1631+M1631+N1631+L1631+O1631+Q1631+R1631+T1631</f>
        <v>-79331</v>
      </c>
      <c r="W1631" s="18">
        <f>+F1631+J1631</f>
        <v>423810</v>
      </c>
      <c r="X1631" s="36">
        <f>+V1631-W1631</f>
        <v>-503141</v>
      </c>
    </row>
    <row r="1632" spans="1:24" ht="15">
      <c r="A1632" s="6" t="s">
        <v>41</v>
      </c>
      <c r="B1632" s="41"/>
      <c r="C1632" s="40"/>
      <c r="D1632" s="18"/>
      <c r="E1632" s="18"/>
      <c r="F1632" s="18" t="s">
        <v>0</v>
      </c>
      <c r="G1632" s="18"/>
      <c r="I1632" s="18"/>
      <c r="J1632" s="18"/>
      <c r="K1632" s="18"/>
      <c r="L1632" s="18"/>
      <c r="M1632" s="18"/>
      <c r="N1632" s="18"/>
      <c r="O1632" s="18"/>
      <c r="P1632" s="42"/>
      <c r="Q1632" s="18"/>
      <c r="R1632" s="18"/>
      <c r="S1632" s="18"/>
      <c r="T1632" s="18" t="s">
        <v>0</v>
      </c>
      <c r="U1632" s="42"/>
      <c r="V1632" s="30"/>
      <c r="W1632" s="30"/>
      <c r="X1632" s="36"/>
    </row>
    <row r="1633" spans="1:24" ht="15">
      <c r="A1633" s="4">
        <f>+A1631+1</f>
        <v>24</v>
      </c>
      <c r="B1633" s="5" t="s">
        <v>42</v>
      </c>
      <c r="C1633" s="22" t="s">
        <v>38</v>
      </c>
      <c r="D1633" s="27">
        <f>351136+832561</f>
        <v>1183697</v>
      </c>
      <c r="E1633" s="18" t="s">
        <v>0</v>
      </c>
      <c r="F1633" s="27">
        <f>420007+18</f>
        <v>420025</v>
      </c>
      <c r="G1633" s="18">
        <f>D1633-F1633</f>
        <v>763672</v>
      </c>
      <c r="I1633" s="18">
        <v>-482</v>
      </c>
      <c r="J1633" s="26">
        <v>127</v>
      </c>
      <c r="K1633" s="18">
        <f>+I1633-J1633</f>
        <v>-609</v>
      </c>
      <c r="L1633" s="27">
        <v>0</v>
      </c>
      <c r="M1633" s="27">
        <v>-197678</v>
      </c>
      <c r="N1633" s="27">
        <f>1844+38235-1</f>
        <v>40078</v>
      </c>
      <c r="O1633" s="18">
        <v>0</v>
      </c>
      <c r="P1633" s="42"/>
      <c r="Q1633" s="31">
        <v>0</v>
      </c>
      <c r="R1633" s="18">
        <v>0</v>
      </c>
      <c r="S1633" s="18" t="s">
        <v>0</v>
      </c>
      <c r="T1633" s="18">
        <v>0</v>
      </c>
      <c r="U1633" s="42"/>
      <c r="V1633" s="31">
        <f>+D1633+I1633+L1633+M1633+N1633+O1633+Q1633+R1633+T1633</f>
        <v>1025615</v>
      </c>
      <c r="W1633" s="18">
        <f>+F1633+J1633</f>
        <v>420152</v>
      </c>
      <c r="X1633" s="18">
        <f>+V1633-W1633</f>
        <v>605463</v>
      </c>
    </row>
    <row r="1634" spans="1:24" ht="15">
      <c r="A1634" s="4">
        <f>+A1633+1</f>
        <v>25</v>
      </c>
      <c r="B1634" s="5" t="s">
        <v>43</v>
      </c>
      <c r="C1634" s="11"/>
      <c r="D1634" s="18"/>
      <c r="E1634" s="18"/>
      <c r="F1634" s="18">
        <v>0</v>
      </c>
      <c r="G1634" s="18">
        <f>+D1634-F1634</f>
        <v>0</v>
      </c>
      <c r="I1634" s="18">
        <v>0</v>
      </c>
      <c r="J1634" s="18">
        <v>0</v>
      </c>
      <c r="K1634" s="18">
        <f>+I1634-J1634</f>
        <v>0</v>
      </c>
      <c r="L1634" s="18">
        <v>0</v>
      </c>
      <c r="M1634" s="18">
        <v>0</v>
      </c>
      <c r="N1634" s="18">
        <f>+L1634-M1634</f>
        <v>0</v>
      </c>
      <c r="O1634" s="18">
        <v>0</v>
      </c>
      <c r="P1634" s="42"/>
      <c r="Q1634" s="18">
        <v>0</v>
      </c>
      <c r="R1634" s="18">
        <v>0</v>
      </c>
      <c r="S1634" s="18"/>
      <c r="T1634" s="18">
        <v>0</v>
      </c>
      <c r="U1634" s="42"/>
      <c r="V1634" s="31">
        <f>+D1634+I1634+L1634+O1634+Q1634+R1634+T1634</f>
        <v>0</v>
      </c>
      <c r="W1634" s="18">
        <f>+F1634+J1634+M1634</f>
        <v>0</v>
      </c>
      <c r="X1634" s="18">
        <f>+V1634-W1634</f>
        <v>0</v>
      </c>
    </row>
    <row r="1635" spans="1:24" ht="26.25">
      <c r="A1635" s="4">
        <f>+A1634+1</f>
        <v>26</v>
      </c>
      <c r="B1635" s="24" t="s">
        <v>79</v>
      </c>
      <c r="C1635" s="11"/>
      <c r="D1635" s="18">
        <f>+D1633-D1634</f>
        <v>1183697</v>
      </c>
      <c r="E1635" s="18"/>
      <c r="F1635" s="18">
        <f>+F1633-F1634</f>
        <v>420025</v>
      </c>
      <c r="G1635" s="18">
        <f>+G1633-G1634</f>
        <v>763672</v>
      </c>
      <c r="I1635" s="18">
        <f aca="true" t="shared" si="200" ref="I1635:N1635">+I1633-I1634</f>
        <v>-482</v>
      </c>
      <c r="J1635" s="18">
        <f t="shared" si="200"/>
        <v>127</v>
      </c>
      <c r="K1635" s="18">
        <f t="shared" si="200"/>
        <v>-609</v>
      </c>
      <c r="L1635" s="18">
        <f t="shared" si="200"/>
        <v>0</v>
      </c>
      <c r="M1635" s="18">
        <f t="shared" si="200"/>
        <v>-197678</v>
      </c>
      <c r="N1635" s="18">
        <f t="shared" si="200"/>
        <v>40078</v>
      </c>
      <c r="O1635" s="18">
        <v>0</v>
      </c>
      <c r="P1635" s="42"/>
      <c r="Q1635" s="18">
        <f>+Q1633-Q1634</f>
        <v>0</v>
      </c>
      <c r="R1635" s="18">
        <f>+R1633-R1634</f>
        <v>0</v>
      </c>
      <c r="S1635" s="18"/>
      <c r="T1635" s="18">
        <f>+T1633-T1634</f>
        <v>0</v>
      </c>
      <c r="U1635" s="42"/>
      <c r="V1635" s="27">
        <f>+V1633-V1634</f>
        <v>1025615</v>
      </c>
      <c r="W1635" s="27">
        <f>+W1633-W1634</f>
        <v>420152</v>
      </c>
      <c r="X1635" s="31">
        <f>+X1633-X1634</f>
        <v>605463</v>
      </c>
    </row>
    <row r="1636" spans="1:24" ht="28.5">
      <c r="A1636" s="4">
        <f>+A1635+1</f>
        <v>27</v>
      </c>
      <c r="B1636" s="88" t="s">
        <v>181</v>
      </c>
      <c r="C1636" s="11"/>
      <c r="D1636" s="18">
        <v>0</v>
      </c>
      <c r="E1636" s="18"/>
      <c r="F1636" s="18">
        <v>0</v>
      </c>
      <c r="G1636" s="18">
        <f>+D1636-F1636</f>
        <v>0</v>
      </c>
      <c r="I1636" s="18">
        <v>0</v>
      </c>
      <c r="J1636" s="18">
        <v>0</v>
      </c>
      <c r="K1636" s="18">
        <f>+I1636-J1636</f>
        <v>0</v>
      </c>
      <c r="L1636" s="18">
        <v>0</v>
      </c>
      <c r="M1636" s="18">
        <v>0</v>
      </c>
      <c r="N1636" s="18">
        <f>+L1636-M1636</f>
        <v>0</v>
      </c>
      <c r="O1636" s="18">
        <v>0</v>
      </c>
      <c r="P1636" s="42"/>
      <c r="Q1636" s="18">
        <v>0</v>
      </c>
      <c r="R1636" s="18">
        <v>0</v>
      </c>
      <c r="S1636" s="18"/>
      <c r="T1636" s="18">
        <v>0</v>
      </c>
      <c r="U1636" s="42"/>
      <c r="V1636" s="31">
        <f>+D1636+I1636+L1636+O1636+Q1636+R1636+T1636</f>
        <v>0</v>
      </c>
      <c r="W1636" s="18">
        <f>+F1636+J1636+M1636</f>
        <v>0</v>
      </c>
      <c r="X1636" s="18">
        <f>+V1636-W1636</f>
        <v>0</v>
      </c>
    </row>
    <row r="1637" spans="1:24" ht="15">
      <c r="A1637" s="4">
        <f>+A1636+1</f>
        <v>28</v>
      </c>
      <c r="B1637" s="24" t="s">
        <v>46</v>
      </c>
      <c r="C1637" s="11" t="s">
        <v>47</v>
      </c>
      <c r="D1637" s="51">
        <f>+D1629+D1630+D1635+D1636+D1631</f>
        <v>1146343</v>
      </c>
      <c r="E1637" s="18"/>
      <c r="F1637" s="52">
        <f>+F1629+F1630+F1635+F1636+F1631</f>
        <v>854960</v>
      </c>
      <c r="G1637" s="18">
        <f>+G1629+G1630+G1635+G1636+G1631</f>
        <v>291383</v>
      </c>
      <c r="I1637" s="51">
        <f aca="true" t="shared" si="201" ref="I1637:O1637">+I1629+I1630+I1635+I1636+I1631</f>
        <v>-482</v>
      </c>
      <c r="J1637" s="52">
        <f t="shared" si="201"/>
        <v>110</v>
      </c>
      <c r="K1637" s="18">
        <f t="shared" si="201"/>
        <v>-592</v>
      </c>
      <c r="L1637" s="18">
        <f t="shared" si="201"/>
        <v>2885</v>
      </c>
      <c r="M1637" s="18">
        <f t="shared" si="201"/>
        <v>-245965</v>
      </c>
      <c r="N1637" s="18">
        <f t="shared" si="201"/>
        <v>41312</v>
      </c>
      <c r="O1637" s="18">
        <f t="shared" si="201"/>
        <v>1344</v>
      </c>
      <c r="P1637" s="42"/>
      <c r="Q1637" s="18">
        <f>+Q1629+Q1630+Q1635+Q1636+Q1631</f>
        <v>0</v>
      </c>
      <c r="R1637" s="18">
        <f>+R1629+R1630+R1635+R1636+R1631</f>
        <v>0</v>
      </c>
      <c r="S1637" s="18"/>
      <c r="T1637" s="18">
        <f>+T1629+T1630+T1635+T1636+T1631</f>
        <v>0</v>
      </c>
      <c r="U1637" s="42"/>
      <c r="V1637" s="18">
        <f>+V1629+V1630+V1635+V1636+V1631</f>
        <v>945437</v>
      </c>
      <c r="W1637" s="18">
        <f>+W1629+W1630+W1635+W1636+W1631</f>
        <v>855070</v>
      </c>
      <c r="X1637" s="18">
        <f>+X1629+X1630+X1635+X1636+X1631</f>
        <v>90367</v>
      </c>
    </row>
    <row r="1638" spans="1:24" ht="15">
      <c r="A1638" s="4"/>
      <c r="B1638" s="24" t="s">
        <v>0</v>
      </c>
      <c r="C1638" s="11"/>
      <c r="D1638" s="27" t="s">
        <v>0</v>
      </c>
      <c r="E1638" s="18"/>
      <c r="F1638" s="27" t="s">
        <v>0</v>
      </c>
      <c r="G1638" s="18"/>
      <c r="I1638" s="18"/>
      <c r="J1638" s="18"/>
      <c r="K1638" s="18"/>
      <c r="L1638" s="18"/>
      <c r="M1638" s="42"/>
      <c r="N1638" s="73" t="s">
        <v>0</v>
      </c>
      <c r="O1638" s="42"/>
      <c r="P1638" s="42"/>
      <c r="Q1638" s="42"/>
      <c r="U1638" s="42"/>
      <c r="V1638" s="18"/>
      <c r="W1638" s="18"/>
      <c r="X1638" s="18"/>
    </row>
    <row r="1639" spans="1:24" ht="15">
      <c r="A1639" s="4"/>
      <c r="B1639" s="92"/>
      <c r="C1639" s="11"/>
      <c r="D1639" s="6" t="s">
        <v>48</v>
      </c>
      <c r="E1639" s="6"/>
      <c r="F1639" s="10" t="s">
        <v>49</v>
      </c>
      <c r="G1639" s="10" t="s">
        <v>50</v>
      </c>
      <c r="I1639" s="10" t="s">
        <v>51</v>
      </c>
      <c r="J1639" s="10" t="s">
        <v>52</v>
      </c>
      <c r="K1639" s="10" t="s">
        <v>53</v>
      </c>
      <c r="L1639" s="10" t="s">
        <v>54</v>
      </c>
      <c r="M1639" s="10" t="s">
        <v>55</v>
      </c>
      <c r="N1639" s="10" t="s">
        <v>56</v>
      </c>
      <c r="O1639" s="10" t="s">
        <v>57</v>
      </c>
      <c r="P1639" s="18"/>
      <c r="Q1639" s="10" t="s">
        <v>58</v>
      </c>
      <c r="R1639" s="10" t="s">
        <v>59</v>
      </c>
      <c r="S1639" s="10"/>
      <c r="T1639" s="10" t="s">
        <v>60</v>
      </c>
      <c r="U1639" s="18"/>
      <c r="V1639" s="10" t="s">
        <v>61</v>
      </c>
      <c r="W1639" s="10" t="s">
        <v>62</v>
      </c>
      <c r="X1639" s="10" t="s">
        <v>63</v>
      </c>
    </row>
    <row r="1640" spans="1:24" ht="15">
      <c r="A1640" s="4"/>
      <c r="B1640" s="24"/>
      <c r="C1640" s="11"/>
      <c r="D1640" s="14" t="s">
        <v>20</v>
      </c>
      <c r="E1640" s="18"/>
      <c r="F1640" s="14" t="s">
        <v>20</v>
      </c>
      <c r="G1640" s="14" t="s">
        <v>20</v>
      </c>
      <c r="I1640" s="14" t="s">
        <v>20</v>
      </c>
      <c r="J1640" s="14" t="s">
        <v>21</v>
      </c>
      <c r="K1640" s="14" t="s">
        <v>21</v>
      </c>
      <c r="L1640" s="14" t="s">
        <v>21</v>
      </c>
      <c r="M1640" s="14" t="s">
        <v>21</v>
      </c>
      <c r="N1640" s="14" t="s">
        <v>21</v>
      </c>
      <c r="O1640" s="14" t="s">
        <v>21</v>
      </c>
      <c r="P1640" s="14"/>
      <c r="Q1640" s="14" t="s">
        <v>21</v>
      </c>
      <c r="R1640" s="14" t="s">
        <v>21</v>
      </c>
      <c r="T1640" s="14" t="s">
        <v>21</v>
      </c>
      <c r="U1640" s="42"/>
      <c r="V1640" s="18"/>
      <c r="W1640" s="39" t="s">
        <v>123</v>
      </c>
      <c r="X1640" s="18"/>
    </row>
    <row r="1641" spans="1:24" ht="15">
      <c r="A1641" s="4"/>
      <c r="B1641" s="87" t="s">
        <v>183</v>
      </c>
      <c r="C1641" s="11"/>
      <c r="D1641" s="53" t="s">
        <v>124</v>
      </c>
      <c r="E1641" s="18"/>
      <c r="F1641" s="53" t="s">
        <v>125</v>
      </c>
      <c r="G1641" s="53" t="s">
        <v>126</v>
      </c>
      <c r="I1641" s="53" t="s">
        <v>127</v>
      </c>
      <c r="J1641" s="53" t="s">
        <v>128</v>
      </c>
      <c r="K1641" s="53" t="s">
        <v>129</v>
      </c>
      <c r="L1641" s="53" t="s">
        <v>130</v>
      </c>
      <c r="M1641" s="53" t="s">
        <v>131</v>
      </c>
      <c r="N1641" s="24" t="s">
        <v>132</v>
      </c>
      <c r="O1641" s="24" t="s">
        <v>98</v>
      </c>
      <c r="P1641" s="24"/>
      <c r="Q1641" s="24" t="s">
        <v>99</v>
      </c>
      <c r="R1641" s="24" t="s">
        <v>133</v>
      </c>
      <c r="S1641" s="42"/>
      <c r="T1641" s="24" t="s">
        <v>134</v>
      </c>
      <c r="U1641" s="42"/>
      <c r="V1641" s="10" t="s">
        <v>20</v>
      </c>
      <c r="W1641" s="10" t="s">
        <v>21</v>
      </c>
      <c r="X1641" s="10" t="s">
        <v>22</v>
      </c>
    </row>
    <row r="1642" spans="1:24" ht="15">
      <c r="A1642" s="4"/>
      <c r="B1642" s="24"/>
      <c r="C1642" s="11"/>
      <c r="D1642" s="18"/>
      <c r="E1642" s="18"/>
      <c r="F1642" s="18"/>
      <c r="I1642" s="18"/>
      <c r="J1642" s="18"/>
      <c r="O1642" s="42"/>
      <c r="P1642" s="42"/>
      <c r="Q1642" s="42"/>
      <c r="R1642" s="42"/>
      <c r="S1642" s="42"/>
      <c r="T1642" s="42"/>
      <c r="U1642" s="42"/>
      <c r="V1642" s="18"/>
      <c r="W1642" s="39"/>
      <c r="X1642" s="18"/>
    </row>
    <row r="1643" spans="1:24" ht="15">
      <c r="A1643" s="4">
        <f>+A1637+1</f>
        <v>29</v>
      </c>
      <c r="B1643" s="5" t="s">
        <v>36</v>
      </c>
      <c r="C1643" s="17" t="s">
        <v>37</v>
      </c>
      <c r="D1643" s="18">
        <v>0</v>
      </c>
      <c r="E1643" s="18"/>
      <c r="F1643" s="18">
        <v>0</v>
      </c>
      <c r="G1643" s="18">
        <v>0</v>
      </c>
      <c r="I1643" s="18">
        <v>0</v>
      </c>
      <c r="J1643" s="18">
        <v>0</v>
      </c>
      <c r="K1643" s="18">
        <v>0</v>
      </c>
      <c r="L1643" s="18">
        <v>0</v>
      </c>
      <c r="M1643" s="18">
        <v>0</v>
      </c>
      <c r="N1643" s="18">
        <v>0</v>
      </c>
      <c r="O1643" s="18">
        <v>0</v>
      </c>
      <c r="P1643" s="18"/>
      <c r="Q1643" s="18">
        <v>0</v>
      </c>
      <c r="R1643" s="18">
        <v>0</v>
      </c>
      <c r="S1643" s="42"/>
      <c r="T1643" s="18">
        <v>0</v>
      </c>
      <c r="U1643" s="42"/>
      <c r="V1643" s="18">
        <f>+V1627+D1643+F1643+G1643+I1643</f>
        <v>895173</v>
      </c>
      <c r="W1643" s="18">
        <f>+W1627+J1643+K1643+L1643+M1643+N1643+O1643+Q1643+R1643+T1643</f>
        <v>351350</v>
      </c>
      <c r="X1643" s="18">
        <f>+V1643-W1643</f>
        <v>543823</v>
      </c>
    </row>
    <row r="1644" spans="1:24" ht="15">
      <c r="A1644" s="4">
        <f>+A1643+1</f>
        <v>30</v>
      </c>
      <c r="B1644" s="5" t="s">
        <v>36</v>
      </c>
      <c r="C1644" s="22" t="s">
        <v>38</v>
      </c>
      <c r="D1644" s="18">
        <v>0</v>
      </c>
      <c r="E1644" s="18"/>
      <c r="F1644" s="18">
        <v>0</v>
      </c>
      <c r="G1644" s="18">
        <v>0</v>
      </c>
      <c r="I1644" s="18">
        <v>0</v>
      </c>
      <c r="J1644" s="18">
        <v>0</v>
      </c>
      <c r="K1644" s="18">
        <v>0</v>
      </c>
      <c r="L1644" s="18">
        <v>0</v>
      </c>
      <c r="M1644" s="18">
        <v>0</v>
      </c>
      <c r="N1644" s="18">
        <v>0</v>
      </c>
      <c r="O1644" s="18">
        <v>0</v>
      </c>
      <c r="P1644" s="18"/>
      <c r="Q1644" s="18">
        <v>0</v>
      </c>
      <c r="R1644" s="18">
        <v>0</v>
      </c>
      <c r="S1644" s="42"/>
      <c r="T1644" s="18">
        <v>0</v>
      </c>
      <c r="U1644" s="42"/>
      <c r="V1644" s="18">
        <f>+V1628+D1644+F1644+G1644+I1644</f>
        <v>896020</v>
      </c>
      <c r="W1644" s="18">
        <f>+W1628+J1644+K1644+L1644+M1644+N1644+O1644+Q1644+R1644+T1644</f>
        <v>340242</v>
      </c>
      <c r="X1644" s="18">
        <f>+V1644-W1644</f>
        <v>555778</v>
      </c>
    </row>
    <row r="1645" spans="1:24" ht="15">
      <c r="A1645" s="4">
        <f>+A1644+1</f>
        <v>31</v>
      </c>
      <c r="B1645" s="24" t="s">
        <v>46</v>
      </c>
      <c r="C1645" s="40" t="s">
        <v>78</v>
      </c>
      <c r="D1645" s="18">
        <f>+D1643-D1644</f>
        <v>0</v>
      </c>
      <c r="E1645" s="18"/>
      <c r="F1645" s="18">
        <f>+F1643-F1644</f>
        <v>0</v>
      </c>
      <c r="G1645" s="18">
        <f>+G1643-G1644</f>
        <v>0</v>
      </c>
      <c r="I1645" s="18">
        <f aca="true" t="shared" si="202" ref="I1645:O1645">+I1643-I1644</f>
        <v>0</v>
      </c>
      <c r="J1645" s="18">
        <f t="shared" si="202"/>
        <v>0</v>
      </c>
      <c r="K1645" s="18">
        <f t="shared" si="202"/>
        <v>0</v>
      </c>
      <c r="L1645" s="18">
        <f t="shared" si="202"/>
        <v>0</v>
      </c>
      <c r="M1645" s="18">
        <f t="shared" si="202"/>
        <v>0</v>
      </c>
      <c r="N1645" s="18">
        <f t="shared" si="202"/>
        <v>0</v>
      </c>
      <c r="O1645" s="18">
        <f t="shared" si="202"/>
        <v>0</v>
      </c>
      <c r="P1645" s="18"/>
      <c r="Q1645" s="18">
        <f>+Q1643-Q1644</f>
        <v>0</v>
      </c>
      <c r="R1645" s="18">
        <f>+R1643-R1644</f>
        <v>0</v>
      </c>
      <c r="S1645" s="42"/>
      <c r="T1645" s="18">
        <f>+T1643-T1644</f>
        <v>0</v>
      </c>
      <c r="U1645" s="42"/>
      <c r="V1645" s="27">
        <f>+V1643-V1644</f>
        <v>-847</v>
      </c>
      <c r="W1645" s="27">
        <f>+W1643-W1644</f>
        <v>11108</v>
      </c>
      <c r="X1645" s="18">
        <f>+X1643-X1644</f>
        <v>-11955</v>
      </c>
    </row>
    <row r="1646" spans="1:24" ht="28.5">
      <c r="A1646" s="4">
        <f>+A1645+1</f>
        <v>32</v>
      </c>
      <c r="B1646" s="88" t="s">
        <v>182</v>
      </c>
      <c r="C1646" s="11"/>
      <c r="D1646" s="18">
        <v>0</v>
      </c>
      <c r="E1646" s="18"/>
      <c r="F1646" s="18">
        <v>0</v>
      </c>
      <c r="G1646" s="18">
        <v>0</v>
      </c>
      <c r="I1646" s="18">
        <v>0</v>
      </c>
      <c r="J1646" s="18">
        <v>0</v>
      </c>
      <c r="K1646" s="18">
        <v>0</v>
      </c>
      <c r="L1646" s="18">
        <v>0</v>
      </c>
      <c r="M1646" s="18">
        <v>0</v>
      </c>
      <c r="N1646" s="18">
        <v>0</v>
      </c>
      <c r="O1646" s="18">
        <v>0</v>
      </c>
      <c r="P1646" s="18"/>
      <c r="Q1646" s="18">
        <v>0</v>
      </c>
      <c r="R1646" s="18">
        <v>0</v>
      </c>
      <c r="S1646" s="42"/>
      <c r="T1646" s="18">
        <v>0</v>
      </c>
      <c r="U1646" s="42"/>
      <c r="V1646" s="18">
        <f>+V1630+D1646+F1646+G1646+I1646</f>
        <v>0</v>
      </c>
      <c r="W1646" s="18">
        <f>+W1630+J1646+K1646+L1646+M1646+N1646+O1646+Q1646+R1646+T1646</f>
        <v>0</v>
      </c>
      <c r="X1646" s="18">
        <f>+V1646-W1646</f>
        <v>0</v>
      </c>
    </row>
    <row r="1647" spans="1:24" ht="24.75">
      <c r="A1647" s="4">
        <f>+A1646+1</f>
        <v>33</v>
      </c>
      <c r="B1647" s="89" t="s">
        <v>39</v>
      </c>
      <c r="C1647" s="40"/>
      <c r="D1647" s="27">
        <v>9129</v>
      </c>
      <c r="E1647" s="27" t="s">
        <v>0</v>
      </c>
      <c r="F1647" s="27">
        <v>92</v>
      </c>
      <c r="G1647" s="27">
        <v>0</v>
      </c>
      <c r="H1647" t="s">
        <v>0</v>
      </c>
      <c r="I1647" s="27">
        <v>0</v>
      </c>
      <c r="J1647" s="27">
        <v>395</v>
      </c>
      <c r="K1647" s="27">
        <v>0</v>
      </c>
      <c r="L1647" s="27">
        <v>0</v>
      </c>
      <c r="M1647" s="18">
        <v>0</v>
      </c>
      <c r="N1647" s="18">
        <v>0</v>
      </c>
      <c r="O1647" s="18">
        <v>0</v>
      </c>
      <c r="P1647" s="18"/>
      <c r="Q1647" s="18">
        <v>0</v>
      </c>
      <c r="R1647" s="18">
        <v>0</v>
      </c>
      <c r="S1647" s="42"/>
      <c r="T1647" s="18">
        <v>845</v>
      </c>
      <c r="U1647" s="42"/>
      <c r="V1647" s="18">
        <f>+V1631+D1647+F1647+G1647+I1647</f>
        <v>-70110</v>
      </c>
      <c r="W1647" s="18">
        <f>+W1631+J1647+K1647+L1647+M1647+N1647+O1647+Q1647+R1647+T1647</f>
        <v>425050</v>
      </c>
      <c r="X1647" s="36">
        <f>+V1647-W1647</f>
        <v>-495160</v>
      </c>
    </row>
    <row r="1648" spans="1:24" ht="15">
      <c r="A1648" s="6" t="s">
        <v>41</v>
      </c>
      <c r="B1648" s="41"/>
      <c r="C1648" s="40"/>
      <c r="D1648" s="18"/>
      <c r="E1648" s="18"/>
      <c r="F1648" s="18"/>
      <c r="G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42"/>
      <c r="T1648" s="18"/>
      <c r="U1648" s="42"/>
      <c r="V1648" s="18"/>
      <c r="W1648" s="54"/>
      <c r="X1648" s="36"/>
    </row>
    <row r="1649" spans="1:24" ht="15">
      <c r="A1649" s="4">
        <f>+A1647+1</f>
        <v>34</v>
      </c>
      <c r="B1649" s="5" t="s">
        <v>42</v>
      </c>
      <c r="C1649" s="22" t="s">
        <v>38</v>
      </c>
      <c r="D1649" s="18">
        <v>0</v>
      </c>
      <c r="E1649" s="18"/>
      <c r="F1649" s="18">
        <v>0</v>
      </c>
      <c r="G1649" s="18">
        <v>0</v>
      </c>
      <c r="I1649" s="18">
        <v>0</v>
      </c>
      <c r="J1649" s="18">
        <v>0</v>
      </c>
      <c r="K1649" s="18">
        <v>0</v>
      </c>
      <c r="L1649" s="18"/>
      <c r="M1649" s="18">
        <v>0</v>
      </c>
      <c r="N1649" s="18">
        <v>0</v>
      </c>
      <c r="O1649" s="18">
        <v>0</v>
      </c>
      <c r="P1649" s="18"/>
      <c r="Q1649" s="18">
        <v>0</v>
      </c>
      <c r="R1649" s="18">
        <v>0</v>
      </c>
      <c r="S1649" s="42"/>
      <c r="T1649" s="18">
        <v>0</v>
      </c>
      <c r="U1649" s="42"/>
      <c r="V1649" s="18">
        <f>+V1633+D1649+F1649+G1649+I1649</f>
        <v>1025615</v>
      </c>
      <c r="W1649" s="18">
        <f>+W1633+J1649+K1649+L1649+M1649+N1649+O1649+Q1649+R1649+T1649</f>
        <v>420152</v>
      </c>
      <c r="X1649" s="18">
        <f>+V1649-W1649</f>
        <v>605463</v>
      </c>
    </row>
    <row r="1650" spans="1:24" ht="15">
      <c r="A1650" s="4">
        <f>+A1649+1</f>
        <v>35</v>
      </c>
      <c r="B1650" s="5" t="s">
        <v>43</v>
      </c>
      <c r="C1650" s="11"/>
      <c r="D1650" s="18">
        <v>0</v>
      </c>
      <c r="E1650" s="18"/>
      <c r="F1650" s="18">
        <v>0</v>
      </c>
      <c r="G1650" s="18">
        <v>0</v>
      </c>
      <c r="I1650" s="18">
        <v>0</v>
      </c>
      <c r="J1650" s="18">
        <v>0</v>
      </c>
      <c r="K1650" s="18">
        <v>0</v>
      </c>
      <c r="L1650" s="18">
        <v>0</v>
      </c>
      <c r="M1650" s="18">
        <v>0</v>
      </c>
      <c r="N1650" s="18">
        <v>0</v>
      </c>
      <c r="O1650" s="18">
        <v>0</v>
      </c>
      <c r="P1650" s="18"/>
      <c r="Q1650" s="18">
        <v>0</v>
      </c>
      <c r="R1650" s="18">
        <v>0</v>
      </c>
      <c r="S1650" s="42"/>
      <c r="T1650" s="18">
        <v>0</v>
      </c>
      <c r="U1650" s="42"/>
      <c r="V1650" s="18">
        <f>+V1634+D1650+F1650+G1650+I1650</f>
        <v>0</v>
      </c>
      <c r="W1650" s="18">
        <f>+W1634+J1650+K1650+L1650+M1650+N1650+O1650+Q1650+R1650+T1650</f>
        <v>0</v>
      </c>
      <c r="X1650" s="18">
        <f>+V1650-W1650</f>
        <v>0</v>
      </c>
    </row>
    <row r="1651" spans="1:24" ht="26.25">
      <c r="A1651" s="4">
        <f>+A1650+1</f>
        <v>36</v>
      </c>
      <c r="B1651" s="24" t="s">
        <v>79</v>
      </c>
      <c r="C1651" s="11"/>
      <c r="D1651" s="18">
        <f>+D1649-D1650</f>
        <v>0</v>
      </c>
      <c r="E1651" s="18"/>
      <c r="F1651" s="18">
        <f>+F1649-F1650</f>
        <v>0</v>
      </c>
      <c r="G1651" s="18">
        <f>+G1649-G1650</f>
        <v>0</v>
      </c>
      <c r="I1651" s="18">
        <f aca="true" t="shared" si="203" ref="I1651:O1651">+I1649-I1650</f>
        <v>0</v>
      </c>
      <c r="J1651" s="18">
        <f t="shared" si="203"/>
        <v>0</v>
      </c>
      <c r="K1651" s="18">
        <f t="shared" si="203"/>
        <v>0</v>
      </c>
      <c r="L1651" s="18">
        <f t="shared" si="203"/>
        <v>0</v>
      </c>
      <c r="M1651" s="18">
        <f t="shared" si="203"/>
        <v>0</v>
      </c>
      <c r="N1651" s="18">
        <f t="shared" si="203"/>
        <v>0</v>
      </c>
      <c r="O1651" s="18">
        <f t="shared" si="203"/>
        <v>0</v>
      </c>
      <c r="P1651" s="18"/>
      <c r="Q1651" s="18">
        <f>+Q1649-Q1650</f>
        <v>0</v>
      </c>
      <c r="R1651" s="18">
        <f>+R1649-R1650</f>
        <v>0</v>
      </c>
      <c r="S1651" s="42"/>
      <c r="T1651" s="18">
        <f>+T1649-T1650</f>
        <v>0</v>
      </c>
      <c r="U1651" s="42"/>
      <c r="V1651" s="55">
        <f>+V1649-V1650</f>
        <v>1025615</v>
      </c>
      <c r="W1651" s="55">
        <f>+W1649-W1650</f>
        <v>420152</v>
      </c>
      <c r="X1651" s="31">
        <f>+X1649-X1650</f>
        <v>605463</v>
      </c>
    </row>
    <row r="1652" spans="1:24" ht="28.5">
      <c r="A1652" s="4">
        <f>+A1651+1</f>
        <v>37</v>
      </c>
      <c r="B1652" s="88" t="s">
        <v>181</v>
      </c>
      <c r="C1652" s="11"/>
      <c r="D1652" s="18">
        <v>0</v>
      </c>
      <c r="E1652" s="18"/>
      <c r="F1652" s="18">
        <v>0</v>
      </c>
      <c r="G1652" s="18">
        <v>0</v>
      </c>
      <c r="I1652" s="18">
        <v>0</v>
      </c>
      <c r="J1652" s="18">
        <v>0</v>
      </c>
      <c r="K1652" s="18">
        <v>0</v>
      </c>
      <c r="L1652" s="18">
        <v>0</v>
      </c>
      <c r="M1652" s="18">
        <v>0</v>
      </c>
      <c r="N1652" s="18">
        <v>0</v>
      </c>
      <c r="O1652" s="18">
        <v>0</v>
      </c>
      <c r="P1652" s="18"/>
      <c r="Q1652" s="18">
        <v>0</v>
      </c>
      <c r="R1652" s="18">
        <v>0</v>
      </c>
      <c r="S1652" s="42"/>
      <c r="T1652" s="18">
        <v>0</v>
      </c>
      <c r="U1652" s="42"/>
      <c r="V1652" s="18">
        <f>+V1636+D1652+F1652+G1652+I1652</f>
        <v>0</v>
      </c>
      <c r="W1652" s="18">
        <f>+W1636+J1652+K1652+L1652+M1652+N1652+O1652+Q1652+R1652+T1652</f>
        <v>0</v>
      </c>
      <c r="X1652" s="18">
        <f>+V1652-W1652</f>
        <v>0</v>
      </c>
    </row>
    <row r="1653" spans="1:24" ht="15">
      <c r="A1653" s="4">
        <f>+A1652+1</f>
        <v>38</v>
      </c>
      <c r="B1653" s="24" t="s">
        <v>46</v>
      </c>
      <c r="C1653" s="11" t="s">
        <v>47</v>
      </c>
      <c r="D1653" s="18">
        <f>+D1645+D1646+D1651+D1652+D1647</f>
        <v>9129</v>
      </c>
      <c r="E1653" s="18"/>
      <c r="F1653" s="18">
        <f>+F1645+F1646+F1651+F1652+F1647</f>
        <v>92</v>
      </c>
      <c r="G1653" s="18">
        <f>+G1645+G1646+G1651+G1652+G1647</f>
        <v>0</v>
      </c>
      <c r="I1653" s="18">
        <f aca="true" t="shared" si="204" ref="I1653:O1653">+I1645+I1646+I1651+I1652+I1647</f>
        <v>0</v>
      </c>
      <c r="J1653" s="18">
        <f t="shared" si="204"/>
        <v>395</v>
      </c>
      <c r="K1653" s="18">
        <f t="shared" si="204"/>
        <v>0</v>
      </c>
      <c r="L1653" s="18">
        <f t="shared" si="204"/>
        <v>0</v>
      </c>
      <c r="M1653" s="18">
        <f t="shared" si="204"/>
        <v>0</v>
      </c>
      <c r="N1653" s="18">
        <f t="shared" si="204"/>
        <v>0</v>
      </c>
      <c r="O1653" s="18">
        <f t="shared" si="204"/>
        <v>0</v>
      </c>
      <c r="P1653" s="18"/>
      <c r="Q1653" s="18">
        <f>+Q1645+Q1646+Q1651+Q1652+Q1647</f>
        <v>0</v>
      </c>
      <c r="R1653" s="18">
        <f>+R1645+R1646+R1651+R1652+R1647</f>
        <v>0</v>
      </c>
      <c r="S1653" s="42"/>
      <c r="T1653" s="18">
        <f>+T1645+T1646+T1651+T1652+T1647</f>
        <v>845</v>
      </c>
      <c r="U1653" s="42"/>
      <c r="V1653" s="18">
        <f>+V1645+V1646+V1651+V1652+V1647</f>
        <v>954658</v>
      </c>
      <c r="W1653" s="18">
        <f>+W1645+W1646+W1651+W1652+W1647</f>
        <v>856310</v>
      </c>
      <c r="X1653" s="18">
        <f>+X1645+X1646+X1651+X1652+X1647</f>
        <v>98348</v>
      </c>
    </row>
    <row r="1654" spans="1:24" ht="15">
      <c r="A1654" s="4"/>
      <c r="B1654" s="24"/>
      <c r="C1654" s="11"/>
      <c r="D1654" s="18"/>
      <c r="E1654" s="18"/>
      <c r="F1654" s="18"/>
      <c r="G1654" s="18"/>
      <c r="N1654" s="42"/>
      <c r="O1654" s="42"/>
      <c r="P1654" s="42"/>
      <c r="Q1654" s="42"/>
      <c r="R1654" s="42"/>
      <c r="S1654" s="42"/>
      <c r="T1654" s="42"/>
      <c r="U1654" s="42"/>
      <c r="V1654" s="18"/>
      <c r="W1654" s="18"/>
      <c r="X1654" s="18"/>
    </row>
    <row r="1655" spans="1:24" ht="15">
      <c r="A1655" s="4"/>
      <c r="B1655" s="24"/>
      <c r="C1655" s="11"/>
      <c r="D1655" s="18"/>
      <c r="E1655" s="18"/>
      <c r="F1655" s="18"/>
      <c r="G1655" s="18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  <c r="V1655" s="18"/>
      <c r="W1655" s="18"/>
      <c r="X1655" s="18"/>
    </row>
    <row r="1656" spans="1:24" ht="15">
      <c r="A1656" s="4"/>
      <c r="B1656" s="24"/>
      <c r="C1656" s="11"/>
      <c r="D1656" s="18"/>
      <c r="E1656" s="18"/>
      <c r="F1656" s="18"/>
      <c r="G1656" s="18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  <c r="V1656" s="18"/>
      <c r="W1656" s="18"/>
      <c r="X1656" s="18"/>
    </row>
    <row r="1657" spans="1:24" ht="15">
      <c r="A1657" s="4"/>
      <c r="B1657" s="24"/>
      <c r="C1657" s="11"/>
      <c r="D1657" s="18"/>
      <c r="E1657" s="18"/>
      <c r="F1657" s="18"/>
      <c r="G1657" s="18"/>
      <c r="H1657" s="56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  <c r="V1657" s="18"/>
      <c r="W1657" s="18"/>
      <c r="X1657" s="18"/>
    </row>
    <row r="1658" spans="1:24" ht="15">
      <c r="A1658" s="4"/>
      <c r="B1658" s="24"/>
      <c r="C1658" s="11"/>
      <c r="D1658" s="18"/>
      <c r="E1658" s="18"/>
      <c r="F1658" s="18"/>
      <c r="G1658" s="18"/>
      <c r="H1658" s="56"/>
      <c r="I1658" s="57" t="s">
        <v>135</v>
      </c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  <c r="V1658" s="18"/>
      <c r="W1658" s="18"/>
      <c r="X1658" s="18"/>
    </row>
    <row r="1659" spans="1:24" ht="15">
      <c r="A1659" s="4"/>
      <c r="B1659" s="24"/>
      <c r="C1659" s="11"/>
      <c r="D1659" s="18"/>
      <c r="E1659" s="18"/>
      <c r="F1659" s="18"/>
      <c r="G1659" s="18"/>
      <c r="H1659" s="56"/>
      <c r="I1659" s="58"/>
      <c r="L1659" s="42"/>
      <c r="T1659" s="42"/>
      <c r="U1659" s="42"/>
      <c r="V1659" s="18"/>
      <c r="W1659" s="18"/>
      <c r="X1659" s="18"/>
    </row>
    <row r="1660" spans="1:24" ht="15">
      <c r="A1660" s="4"/>
      <c r="B1660" s="24"/>
      <c r="C1660" s="11"/>
      <c r="D1660" s="18"/>
      <c r="E1660" s="18"/>
      <c r="F1660" s="18"/>
      <c r="G1660" s="18"/>
      <c r="H1660" s="56"/>
      <c r="I1660" s="59" t="s">
        <v>136</v>
      </c>
      <c r="L1660" s="75">
        <v>15587558</v>
      </c>
      <c r="T1660" s="42"/>
      <c r="U1660" s="42"/>
      <c r="V1660" s="18"/>
      <c r="W1660" s="18"/>
      <c r="X1660" s="18"/>
    </row>
    <row r="1661" spans="1:24" ht="15">
      <c r="A1661" s="4"/>
      <c r="B1661" s="24"/>
      <c r="C1661" s="11"/>
      <c r="D1661" s="18"/>
      <c r="E1661" s="18"/>
      <c r="F1661" s="18"/>
      <c r="G1661" s="18"/>
      <c r="H1661" s="56"/>
      <c r="I1661" s="59"/>
      <c r="L1661" s="18"/>
      <c r="T1661" s="42"/>
      <c r="U1661" s="42"/>
      <c r="V1661" s="18"/>
      <c r="W1661" s="18"/>
      <c r="X1661" s="18"/>
    </row>
    <row r="1662" spans="1:24" ht="15">
      <c r="A1662" s="4"/>
      <c r="B1662" s="24"/>
      <c r="C1662" s="11"/>
      <c r="D1662" s="44" t="s">
        <v>137</v>
      </c>
      <c r="E1662" s="18"/>
      <c r="F1662" s="10" t="s">
        <v>138</v>
      </c>
      <c r="G1662" s="44" t="s">
        <v>24</v>
      </c>
      <c r="H1662" s="56"/>
      <c r="I1662" s="59" t="s">
        <v>139</v>
      </c>
      <c r="L1662" s="27">
        <v>6886556</v>
      </c>
      <c r="N1662" s="6" t="s">
        <v>137</v>
      </c>
      <c r="O1662" s="6" t="s">
        <v>137</v>
      </c>
      <c r="P1662" s="42"/>
      <c r="Q1662" s="6" t="s">
        <v>138</v>
      </c>
      <c r="R1662" s="6" t="s">
        <v>138</v>
      </c>
      <c r="S1662" s="6"/>
      <c r="T1662" s="42"/>
      <c r="U1662" s="42"/>
      <c r="V1662" s="18"/>
      <c r="W1662" s="18"/>
      <c r="X1662" s="18"/>
    </row>
    <row r="1663" spans="1:24" ht="15">
      <c r="A1663" s="4"/>
      <c r="B1663" s="24"/>
      <c r="C1663" s="11"/>
      <c r="D1663" s="18"/>
      <c r="E1663" s="18"/>
      <c r="F1663" s="18"/>
      <c r="G1663" s="18"/>
      <c r="H1663" s="56"/>
      <c r="I1663" s="59"/>
      <c r="L1663" s="18"/>
      <c r="N1663" s="8" t="s">
        <v>140</v>
      </c>
      <c r="O1663" s="49" t="s">
        <v>141</v>
      </c>
      <c r="P1663" s="42"/>
      <c r="Q1663" s="8" t="s">
        <v>140</v>
      </c>
      <c r="R1663" s="49" t="s">
        <v>141</v>
      </c>
      <c r="S1663" s="49"/>
      <c r="T1663" s="42"/>
      <c r="U1663" s="42"/>
      <c r="V1663" s="18"/>
      <c r="W1663" s="18"/>
      <c r="X1663" s="18"/>
    </row>
    <row r="1664" spans="1:24" ht="15">
      <c r="A1664" s="4">
        <f>+A1652+1</f>
        <v>38</v>
      </c>
      <c r="B1664" s="5" t="s">
        <v>36</v>
      </c>
      <c r="C1664" s="17" t="s">
        <v>37</v>
      </c>
      <c r="D1664" s="31">
        <f>+V1605+V1643</f>
        <v>4960446</v>
      </c>
      <c r="E1664" s="18"/>
      <c r="F1664" s="31">
        <f>+W1605+W1643</f>
        <v>4242779</v>
      </c>
      <c r="G1664" s="18">
        <f>+D1664-F1664</f>
        <v>717667</v>
      </c>
      <c r="H1664" s="56"/>
      <c r="I1664" s="59" t="s">
        <v>142</v>
      </c>
      <c r="J1664" s="18"/>
      <c r="K1664" s="18"/>
      <c r="L1664" s="36">
        <f>F1580</f>
        <v>7630654</v>
      </c>
      <c r="N1664" s="60"/>
      <c r="O1664" s="6"/>
      <c r="P1664" s="42"/>
      <c r="Q1664" s="61"/>
      <c r="R1664" s="61"/>
      <c r="S1664" s="61"/>
      <c r="T1664" s="42"/>
      <c r="U1664" s="42"/>
      <c r="V1664" s="18"/>
      <c r="W1664" s="18"/>
      <c r="X1664" s="18"/>
    </row>
    <row r="1665" spans="1:21" ht="15">
      <c r="A1665" s="4">
        <f>+A1664+1</f>
        <v>39</v>
      </c>
      <c r="B1665" s="5" t="s">
        <v>36</v>
      </c>
      <c r="C1665" s="22" t="s">
        <v>38</v>
      </c>
      <c r="D1665" s="31">
        <f>+V1606+V1644</f>
        <v>4948059.76</v>
      </c>
      <c r="E1665" s="18"/>
      <c r="F1665" s="31">
        <f>+W1606+W1644</f>
        <v>4199069</v>
      </c>
      <c r="G1665" s="18">
        <f>+D1665-F1665</f>
        <v>748990.7599999998</v>
      </c>
      <c r="H1665" s="56"/>
      <c r="I1665" s="58"/>
      <c r="J1665" s="18"/>
      <c r="K1665" s="18"/>
      <c r="L1665" s="60"/>
      <c r="N1665" s="62">
        <f>+D1666</f>
        <v>12386.240000000224</v>
      </c>
      <c r="O1665" s="63">
        <f>+D1672</f>
        <v>10635045</v>
      </c>
      <c r="P1665" s="42"/>
      <c r="Q1665" s="31">
        <f>+F1572</f>
        <v>32602</v>
      </c>
      <c r="R1665" s="31">
        <f>+F1574</f>
        <v>0</v>
      </c>
      <c r="S1665" s="31"/>
      <c r="T1665" s="42"/>
      <c r="U1665" s="42"/>
    </row>
    <row r="1666" spans="1:25" ht="15">
      <c r="A1666" s="4">
        <f>+A1665+1</f>
        <v>40</v>
      </c>
      <c r="B1666" s="24" t="s">
        <v>46</v>
      </c>
      <c r="C1666" s="40" t="s">
        <v>78</v>
      </c>
      <c r="D1666" s="26">
        <f>+D1664-D1665</f>
        <v>12386.240000000224</v>
      </c>
      <c r="E1666" s="18"/>
      <c r="F1666" s="26">
        <f>+F1664-F1665</f>
        <v>43710</v>
      </c>
      <c r="G1666" s="18">
        <f>+G1664-G1665</f>
        <v>-31323.759999999776</v>
      </c>
      <c r="H1666" s="56"/>
      <c r="I1666" s="58" t="s">
        <v>143</v>
      </c>
      <c r="J1666" s="18"/>
      <c r="K1666" s="18"/>
      <c r="L1666">
        <v>0</v>
      </c>
      <c r="N1666" s="62">
        <f>+D1667</f>
        <v>0</v>
      </c>
      <c r="O1666" s="63">
        <f>+D1673</f>
        <v>0</v>
      </c>
      <c r="P1666" s="42"/>
      <c r="Q1666" s="31">
        <f>+F1573</f>
        <v>0</v>
      </c>
      <c r="R1666" s="31">
        <f>+F1578</f>
        <v>7598052</v>
      </c>
      <c r="S1666" s="31"/>
      <c r="U1666" s="18"/>
      <c r="V1666" s="10" t="s">
        <v>20</v>
      </c>
      <c r="W1666" s="10" t="s">
        <v>21</v>
      </c>
      <c r="X1666" s="10" t="s">
        <v>22</v>
      </c>
      <c r="Y1666" s="18"/>
    </row>
    <row r="1667" spans="1:25" ht="28.5">
      <c r="A1667" s="4">
        <f>+A1666+1</f>
        <v>41</v>
      </c>
      <c r="B1667" s="88" t="s">
        <v>182</v>
      </c>
      <c r="C1667" s="11"/>
      <c r="D1667" s="26">
        <f>+V1608+V1646</f>
        <v>0</v>
      </c>
      <c r="E1667" s="26"/>
      <c r="F1667" s="26">
        <f>+W1608+W1646</f>
        <v>0</v>
      </c>
      <c r="G1667" s="18">
        <f>+D1667-F1667</f>
        <v>0</v>
      </c>
      <c r="H1667" s="56"/>
      <c r="I1667" s="58"/>
      <c r="J1667" s="18"/>
      <c r="K1667" s="18"/>
      <c r="L1667" s="60" t="s">
        <v>144</v>
      </c>
      <c r="N1667" s="62">
        <f>+F1666</f>
        <v>43710</v>
      </c>
      <c r="O1667" s="63">
        <f>+F1672</f>
        <v>8018204</v>
      </c>
      <c r="P1667" s="42"/>
      <c r="R1667" s="31">
        <f>+F1579</f>
        <v>0</v>
      </c>
      <c r="S1667" s="31"/>
      <c r="U1667" s="18"/>
      <c r="Y1667" s="18"/>
    </row>
    <row r="1668" spans="1:25" ht="24.75">
      <c r="A1668" s="4">
        <f>+A1667+1</f>
        <v>42</v>
      </c>
      <c r="B1668" s="89" t="s">
        <v>39</v>
      </c>
      <c r="C1668" s="40"/>
      <c r="D1668" s="30">
        <f>+V1609+V1647</f>
        <v>-1090121</v>
      </c>
      <c r="E1668" s="30"/>
      <c r="F1668" s="30">
        <f>+W1609+W1647</f>
        <v>425050</v>
      </c>
      <c r="G1668" s="18">
        <f>+D1668-F1668</f>
        <v>-1515171</v>
      </c>
      <c r="H1668" s="56"/>
      <c r="I1668" s="64" t="s">
        <v>145</v>
      </c>
      <c r="J1668" s="18"/>
      <c r="K1668" s="18"/>
      <c r="L1668" s="31">
        <f>+L1660-L1662-L1664-L1666</f>
        <v>1070348</v>
      </c>
      <c r="N1668" s="62">
        <f>+F1667</f>
        <v>0</v>
      </c>
      <c r="O1668" s="63">
        <f>+F1673</f>
        <v>0</v>
      </c>
      <c r="P1668" s="42"/>
      <c r="Q1668" s="31"/>
      <c r="R1668" s="31"/>
      <c r="S1668" s="31"/>
      <c r="U1668" s="65"/>
      <c r="V1668" s="66"/>
      <c r="W1668" s="66"/>
      <c r="X1668" s="65"/>
      <c r="Y1668" s="65"/>
    </row>
    <row r="1669" spans="1:25" ht="15">
      <c r="A1669" s="6" t="s">
        <v>41</v>
      </c>
      <c r="B1669" s="41"/>
      <c r="C1669" s="40"/>
      <c r="D1669" s="18"/>
      <c r="E1669" s="18"/>
      <c r="F1669" s="18"/>
      <c r="G1669" s="18"/>
      <c r="H1669" s="56"/>
      <c r="I1669" s="58"/>
      <c r="J1669" s="18"/>
      <c r="K1669" s="18"/>
      <c r="N1669" s="62">
        <f>+F1572</f>
        <v>32602</v>
      </c>
      <c r="O1669" s="63">
        <f>+F1578</f>
        <v>7598052</v>
      </c>
      <c r="P1669" s="42"/>
      <c r="Q1669" s="31"/>
      <c r="U1669" s="65"/>
      <c r="V1669" s="67"/>
      <c r="W1669" s="67"/>
      <c r="X1669" s="68"/>
      <c r="Y1669" s="65"/>
    </row>
    <row r="1670" spans="1:25" ht="15">
      <c r="A1670" s="4">
        <f>+A1668+1</f>
        <v>43</v>
      </c>
      <c r="B1670" s="5" t="s">
        <v>42</v>
      </c>
      <c r="C1670" s="22" t="s">
        <v>38</v>
      </c>
      <c r="D1670" s="31">
        <f>+V1611+V1649</f>
        <v>10642657</v>
      </c>
      <c r="E1670" s="18"/>
      <c r="F1670" s="31">
        <f>+W1611+W1649</f>
        <v>8024527</v>
      </c>
      <c r="G1670" s="18">
        <f>+D1670-F1670</f>
        <v>2618130</v>
      </c>
      <c r="H1670" s="56"/>
      <c r="I1670" s="59" t="s">
        <v>22</v>
      </c>
      <c r="J1670" s="18"/>
      <c r="K1670" s="18"/>
      <c r="L1670" s="30">
        <f>+X1675</f>
        <v>1070346.2400000002</v>
      </c>
      <c r="N1670" s="62"/>
      <c r="O1670" s="63">
        <f>+D1668</f>
        <v>-1090121</v>
      </c>
      <c r="P1670" s="42"/>
      <c r="Q1670" s="31"/>
      <c r="R1670" s="31"/>
      <c r="S1670" s="31"/>
      <c r="T1670" s="69" t="s">
        <v>78</v>
      </c>
      <c r="U1670" s="65"/>
      <c r="V1670" s="26">
        <f>+D1666+D1667-F1666-F1667+F1572</f>
        <v>1278.2400000002235</v>
      </c>
      <c r="W1670" s="26">
        <f>+F1572+F1573</f>
        <v>32602</v>
      </c>
      <c r="X1670" s="26">
        <f>+V1670-W1670</f>
        <v>-31323.759999999776</v>
      </c>
      <c r="Y1670" s="65"/>
    </row>
    <row r="1671" spans="1:25" ht="15">
      <c r="A1671" s="4">
        <f>+A1670+1</f>
        <v>44</v>
      </c>
      <c r="B1671" s="5" t="s">
        <v>43</v>
      </c>
      <c r="C1671" s="11"/>
      <c r="D1671" s="31">
        <f>+V1612+V1650</f>
        <v>7612</v>
      </c>
      <c r="E1671" s="18"/>
      <c r="F1671" s="31">
        <f>+W1612+W1650</f>
        <v>6323</v>
      </c>
      <c r="G1671" s="18">
        <f>+D1671-F1671</f>
        <v>1289</v>
      </c>
      <c r="H1671" s="56"/>
      <c r="I1671" s="59"/>
      <c r="J1671" s="18"/>
      <c r="K1671" s="18"/>
      <c r="L1671" s="60" t="s">
        <v>144</v>
      </c>
      <c r="O1671" s="63">
        <f>+F1668</f>
        <v>425050</v>
      </c>
      <c r="P1671" s="42"/>
      <c r="Q1671" s="31"/>
      <c r="R1671" s="31"/>
      <c r="S1671" s="31"/>
      <c r="T1671" s="11" t="s">
        <v>146</v>
      </c>
      <c r="U1671" s="65"/>
      <c r="V1671" s="30">
        <f>+D1672+D1673-F1672-F1673+F1578+D1668-F1668+F1574</f>
        <v>8699722</v>
      </c>
      <c r="W1671" s="30">
        <f>+F1574+F1578+F1579</f>
        <v>7598052</v>
      </c>
      <c r="X1671" s="30">
        <f>+V1671-W1671</f>
        <v>1101670</v>
      </c>
      <c r="Y1671" s="65"/>
    </row>
    <row r="1672" spans="1:25" ht="26.25">
      <c r="A1672" s="4">
        <f>+A1671+1</f>
        <v>45</v>
      </c>
      <c r="B1672" s="24" t="s">
        <v>79</v>
      </c>
      <c r="C1672" s="11"/>
      <c r="D1672" s="30">
        <f>+D1670-D1671</f>
        <v>10635045</v>
      </c>
      <c r="E1672" s="18"/>
      <c r="F1672" s="30">
        <f>+F1670-F1671</f>
        <v>8018204</v>
      </c>
      <c r="G1672" s="18">
        <f>+G1670-G1671</f>
        <v>2616841</v>
      </c>
      <c r="H1672" s="56"/>
      <c r="I1672" s="58"/>
      <c r="J1672" s="18"/>
      <c r="K1672" s="18"/>
      <c r="N1672" s="62"/>
      <c r="O1672" s="63">
        <f>+F1574</f>
        <v>0</v>
      </c>
      <c r="P1672" s="42"/>
      <c r="Q1672" s="31"/>
      <c r="R1672" s="31"/>
      <c r="S1672" s="31"/>
      <c r="T1672" s="11"/>
      <c r="U1672" s="65"/>
      <c r="V1672" s="30"/>
      <c r="W1672" s="30"/>
      <c r="X1672" s="30"/>
      <c r="Y1672" s="65"/>
    </row>
    <row r="1673" spans="1:25" ht="28.5">
      <c r="A1673" s="4">
        <f>+A1672+1</f>
        <v>46</v>
      </c>
      <c r="B1673" s="88" t="s">
        <v>181</v>
      </c>
      <c r="C1673" s="11"/>
      <c r="D1673" s="30">
        <f>+V1614+V1652</f>
        <v>0</v>
      </c>
      <c r="E1673" s="30"/>
      <c r="F1673" s="30">
        <f>+W1614+W1652</f>
        <v>0</v>
      </c>
      <c r="G1673" s="18">
        <f>+D1673-F1673</f>
        <v>0</v>
      </c>
      <c r="H1673" s="56"/>
      <c r="N1673" s="62"/>
      <c r="O1673" s="62"/>
      <c r="P1673" s="42"/>
      <c r="Q1673" s="31"/>
      <c r="R1673" s="31"/>
      <c r="S1673" s="31"/>
      <c r="T1673" s="11"/>
      <c r="U1673" s="65"/>
      <c r="V1673" s="30"/>
      <c r="W1673" s="30"/>
      <c r="X1673" s="30"/>
      <c r="Y1673" s="65"/>
    </row>
    <row r="1674" spans="1:25" ht="15">
      <c r="A1674" s="4">
        <f>+A1673+1</f>
        <v>47</v>
      </c>
      <c r="B1674" s="24" t="s">
        <v>46</v>
      </c>
      <c r="C1674" s="11" t="s">
        <v>47</v>
      </c>
      <c r="D1674" s="18">
        <f>+D1666+D1667+D1672+D1673+D1668</f>
        <v>9557310.24</v>
      </c>
      <c r="E1674" s="18"/>
      <c r="F1674" s="18">
        <f>+F1666+F1667+F1672+F1673+F1668</f>
        <v>8486964</v>
      </c>
      <c r="G1674" s="18">
        <f>+G1666+G1667+G1672+G1673+G1668</f>
        <v>1070346.2400000002</v>
      </c>
      <c r="H1674" s="56"/>
      <c r="I1674" s="59" t="s">
        <v>147</v>
      </c>
      <c r="J1674" s="18"/>
      <c r="K1674" s="18"/>
      <c r="L1674" s="36">
        <f>+L1668-L1670</f>
        <v>1.7599999997764826</v>
      </c>
      <c r="N1674" s="70">
        <f>+N1665+N1666-N1667-N1668+N1669</f>
        <v>1278.2400000002235</v>
      </c>
      <c r="O1674" s="71">
        <f>+O1665+O1666-O1667-O1668+O1669+O1670-O1671+O1672</f>
        <v>8699722</v>
      </c>
      <c r="P1674" s="42"/>
      <c r="Q1674" s="26">
        <f>SUM(Q1665:Q1666)</f>
        <v>32602</v>
      </c>
      <c r="R1674" s="30">
        <f>SUM(R1665:R1668)</f>
        <v>7598052</v>
      </c>
      <c r="S1674" s="30"/>
      <c r="T1674" s="11"/>
      <c r="U1674" s="65"/>
      <c r="V1674" s="30"/>
      <c r="W1674" s="30"/>
      <c r="X1674" s="30"/>
      <c r="Y1674" s="65"/>
    </row>
    <row r="1675" spans="1:25" ht="15">
      <c r="A1675" s="4"/>
      <c r="B1675" s="24"/>
      <c r="C1675" s="11"/>
      <c r="D1675" s="18"/>
      <c r="E1675" s="18"/>
      <c r="F1675" s="18"/>
      <c r="G1675" s="18"/>
      <c r="H1675" s="56"/>
      <c r="L1675" s="60" t="s">
        <v>148</v>
      </c>
      <c r="M1675" s="42"/>
      <c r="N1675" s="42"/>
      <c r="O1675" s="42"/>
      <c r="P1675" s="42"/>
      <c r="Q1675" s="42"/>
      <c r="R1675" s="42"/>
      <c r="S1675" s="42"/>
      <c r="T1675" s="10" t="s">
        <v>22</v>
      </c>
      <c r="U1675" s="65"/>
      <c r="V1675" s="36"/>
      <c r="W1675" s="36"/>
      <c r="X1675" s="36">
        <f>+X1670+X1671</f>
        <v>1070346.2400000002</v>
      </c>
      <c r="Y1675" s="65"/>
    </row>
    <row r="1676" spans="1:25" ht="15">
      <c r="A1676" s="1"/>
      <c r="B1676" s="2"/>
      <c r="C1676" s="2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</row>
    <row r="1677" spans="1:6" ht="15">
      <c r="A1677" s="4"/>
      <c r="B1677"/>
      <c r="F1677"/>
    </row>
    <row r="1678" spans="1:6" ht="15">
      <c r="A1678" s="4"/>
      <c r="B1678"/>
      <c r="F1678"/>
    </row>
    <row r="1679" spans="1:6" ht="15">
      <c r="A1679" s="4"/>
      <c r="B1679"/>
      <c r="F1679"/>
    </row>
    <row r="1680" spans="1:6" ht="15">
      <c r="A1680" s="4"/>
      <c r="B1680"/>
      <c r="F1680"/>
    </row>
    <row r="1681" spans="1:25" ht="15">
      <c r="A1681" s="1"/>
      <c r="B1681" s="2"/>
      <c r="C1681" s="2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</row>
    <row r="1682" spans="1:6" ht="15">
      <c r="A1682" s="4" t="s">
        <v>0</v>
      </c>
      <c r="B1682" s="5"/>
      <c r="C1682" s="6" t="s">
        <v>1</v>
      </c>
      <c r="F1682"/>
    </row>
    <row r="1683" spans="1:6" ht="15">
      <c r="A1683" s="4"/>
      <c r="B1683" s="5"/>
      <c r="C1683" s="6" t="s">
        <v>2</v>
      </c>
      <c r="F1683"/>
    </row>
    <row r="1684" spans="1:6" ht="15">
      <c r="A1684" s="4"/>
      <c r="B1684" s="5"/>
      <c r="C1684" s="7" t="s">
        <v>165</v>
      </c>
      <c r="F1684"/>
    </row>
    <row r="1685" spans="1:6" ht="15">
      <c r="A1685" s="4"/>
      <c r="B1685" s="5"/>
      <c r="C1685" s="8"/>
      <c r="F1685"/>
    </row>
    <row r="1686" spans="1:25" ht="15">
      <c r="A1686" s="4"/>
      <c r="B1686" s="5"/>
      <c r="C1686" s="9"/>
      <c r="D1686" s="10" t="s">
        <v>4</v>
      </c>
      <c r="E1686" s="10"/>
      <c r="F1686" s="10" t="s">
        <v>5</v>
      </c>
      <c r="G1686" s="10" t="s">
        <v>6</v>
      </c>
      <c r="H1686" s="10"/>
      <c r="I1686" s="10" t="s">
        <v>7</v>
      </c>
      <c r="J1686" s="10" t="s">
        <v>8</v>
      </c>
      <c r="K1686" s="10" t="s">
        <v>9</v>
      </c>
      <c r="L1686" s="10" t="s">
        <v>10</v>
      </c>
      <c r="M1686" s="10" t="s">
        <v>11</v>
      </c>
      <c r="N1686" s="10" t="s">
        <v>12</v>
      </c>
      <c r="O1686" s="10" t="s">
        <v>13</v>
      </c>
      <c r="P1686" s="10"/>
      <c r="Q1686" s="10" t="s">
        <v>14</v>
      </c>
      <c r="R1686" s="10" t="s">
        <v>15</v>
      </c>
      <c r="S1686" s="10"/>
      <c r="T1686" s="10" t="s">
        <v>16</v>
      </c>
      <c r="U1686" s="10"/>
      <c r="V1686" s="10" t="s">
        <v>17</v>
      </c>
      <c r="W1686" s="10" t="s">
        <v>18</v>
      </c>
      <c r="X1686" s="10" t="s">
        <v>19</v>
      </c>
      <c r="Y1686" s="10"/>
    </row>
    <row r="1687" spans="1:24" ht="15">
      <c r="A1687" s="4"/>
      <c r="B1687" s="87" t="s">
        <v>174</v>
      </c>
      <c r="C1687" s="5"/>
      <c r="D1687" s="10" t="s">
        <v>20</v>
      </c>
      <c r="E1687" s="10"/>
      <c r="F1687" s="10" t="s">
        <v>21</v>
      </c>
      <c r="G1687" s="10" t="s">
        <v>22</v>
      </c>
      <c r="I1687" s="10" t="s">
        <v>20</v>
      </c>
      <c r="J1687" s="10" t="s">
        <v>20</v>
      </c>
      <c r="K1687" s="10" t="s">
        <v>20</v>
      </c>
      <c r="L1687" s="10" t="s">
        <v>20</v>
      </c>
      <c r="M1687" s="10" t="s">
        <v>20</v>
      </c>
      <c r="N1687" s="10" t="s">
        <v>20</v>
      </c>
      <c r="O1687" s="10" t="s">
        <v>20</v>
      </c>
      <c r="Q1687" s="10" t="s">
        <v>20</v>
      </c>
      <c r="R1687" s="10" t="s">
        <v>20</v>
      </c>
      <c r="S1687" s="10"/>
      <c r="T1687" s="10" t="s">
        <v>20</v>
      </c>
      <c r="V1687" s="10" t="s">
        <v>20</v>
      </c>
      <c r="W1687" s="10" t="s">
        <v>20</v>
      </c>
      <c r="X1687" s="10" t="s">
        <v>20</v>
      </c>
    </row>
    <row r="1688" spans="1:24" ht="42.75">
      <c r="A1688" s="4"/>
      <c r="B1688" s="5"/>
      <c r="C1688" s="11"/>
      <c r="D1688" s="12" t="s">
        <v>23</v>
      </c>
      <c r="E1688" s="13"/>
      <c r="F1688" s="12" t="s">
        <v>175</v>
      </c>
      <c r="G1688" s="13" t="s">
        <v>24</v>
      </c>
      <c r="I1688" s="13" t="s">
        <v>25</v>
      </c>
      <c r="J1688" s="8" t="s">
        <v>26</v>
      </c>
      <c r="K1688" s="13" t="s">
        <v>27</v>
      </c>
      <c r="L1688" s="13" t="s">
        <v>28</v>
      </c>
      <c r="M1688" s="13" t="s">
        <v>29</v>
      </c>
      <c r="N1688" s="13" t="s">
        <v>30</v>
      </c>
      <c r="O1688" s="13" t="s">
        <v>31</v>
      </c>
      <c r="Q1688" s="14">
        <v>4470115</v>
      </c>
      <c r="R1688" s="13" t="s">
        <v>32</v>
      </c>
      <c r="S1688" s="13"/>
      <c r="T1688" s="14">
        <v>4470119</v>
      </c>
      <c r="V1688" s="8" t="s">
        <v>33</v>
      </c>
      <c r="W1688" s="8" t="s">
        <v>34</v>
      </c>
      <c r="X1688" s="8" t="s">
        <v>35</v>
      </c>
    </row>
    <row r="1689" spans="1:23" ht="15">
      <c r="A1689" s="4"/>
      <c r="B1689" s="5"/>
      <c r="C1689" s="11"/>
      <c r="D1689" s="13"/>
      <c r="E1689" s="13"/>
      <c r="F1689" s="13"/>
      <c r="G1689" s="15"/>
      <c r="I1689" s="13"/>
      <c r="J1689" s="13"/>
      <c r="K1689" s="13"/>
      <c r="L1689" s="13"/>
      <c r="M1689" s="13"/>
      <c r="N1689" s="13"/>
      <c r="O1689" s="13"/>
      <c r="Q1689" s="14"/>
      <c r="R1689" s="13"/>
      <c r="S1689" s="14"/>
      <c r="T1689" s="16"/>
      <c r="V1689" s="14"/>
      <c r="W1689" s="13"/>
    </row>
    <row r="1690" spans="1:25" ht="15">
      <c r="A1690" s="4">
        <v>1</v>
      </c>
      <c r="B1690" s="5" t="s">
        <v>36</v>
      </c>
      <c r="C1690" s="17" t="s">
        <v>37</v>
      </c>
      <c r="D1690" s="76">
        <f>238430.34+636074.02+204+1317899.5+7322981.39</f>
        <v>9515589.25</v>
      </c>
      <c r="E1690" s="77"/>
      <c r="F1690" s="93">
        <v>3891429</v>
      </c>
      <c r="G1690" s="21">
        <f>+D1690-F1690</f>
        <v>5624160.25</v>
      </c>
      <c r="H1690" s="18"/>
      <c r="I1690" s="18">
        <v>0</v>
      </c>
      <c r="J1690" s="18">
        <v>0</v>
      </c>
      <c r="K1690" s="18">
        <v>0</v>
      </c>
      <c r="L1690" s="18">
        <v>0</v>
      </c>
      <c r="M1690" s="18">
        <v>0</v>
      </c>
      <c r="N1690" s="18">
        <v>0</v>
      </c>
      <c r="O1690" s="18">
        <v>0</v>
      </c>
      <c r="P1690" s="18"/>
      <c r="Q1690" s="18">
        <v>0</v>
      </c>
      <c r="R1690" s="18">
        <v>0</v>
      </c>
      <c r="S1690" s="18"/>
      <c r="T1690" s="18">
        <v>0</v>
      </c>
      <c r="U1690" s="18"/>
      <c r="V1690" s="18">
        <v>0</v>
      </c>
      <c r="W1690" s="18">
        <v>0</v>
      </c>
      <c r="X1690" s="18">
        <v>0</v>
      </c>
      <c r="Y1690" s="18"/>
    </row>
    <row r="1691" spans="1:25" ht="15">
      <c r="A1691" s="4">
        <f>+A1690+1</f>
        <v>2</v>
      </c>
      <c r="B1691" s="5" t="s">
        <v>36</v>
      </c>
      <c r="C1691" s="22" t="s">
        <v>38</v>
      </c>
      <c r="D1691" s="27">
        <f>266403.51+613056.96+1726285.41+6914595.49</f>
        <v>9520341.370000001</v>
      </c>
      <c r="E1691" s="19"/>
      <c r="F1691" s="23">
        <v>3858827</v>
      </c>
      <c r="G1691" s="21">
        <f>+D1691-F1691</f>
        <v>5661514.370000001</v>
      </c>
      <c r="H1691" s="18"/>
      <c r="I1691" s="18">
        <v>0</v>
      </c>
      <c r="J1691" s="18">
        <v>0</v>
      </c>
      <c r="K1691" s="18">
        <v>0</v>
      </c>
      <c r="L1691" s="18">
        <v>0</v>
      </c>
      <c r="M1691" s="18">
        <v>0</v>
      </c>
      <c r="N1691" s="18">
        <v>0</v>
      </c>
      <c r="O1691" s="18">
        <v>0</v>
      </c>
      <c r="P1691" s="18"/>
      <c r="Q1691" s="18">
        <v>0</v>
      </c>
      <c r="R1691" s="18">
        <v>0</v>
      </c>
      <c r="S1691" s="18"/>
      <c r="T1691" s="18">
        <v>0</v>
      </c>
      <c r="U1691" s="18"/>
      <c r="V1691" s="18">
        <v>0</v>
      </c>
      <c r="W1691" s="18">
        <v>0</v>
      </c>
      <c r="X1691" s="18">
        <v>0</v>
      </c>
      <c r="Y1691" s="18"/>
    </row>
    <row r="1692" spans="1:25" ht="22.5">
      <c r="A1692" s="4">
        <f>+A1691+1</f>
        <v>3</v>
      </c>
      <c r="B1692" s="24" t="s">
        <v>176</v>
      </c>
      <c r="C1692" s="25" t="s">
        <v>177</v>
      </c>
      <c r="D1692" s="18">
        <f>+D1690-D1691</f>
        <v>-4752.120000001043</v>
      </c>
      <c r="E1692" s="19"/>
      <c r="F1692" s="26">
        <f>+F1690-F1691</f>
        <v>32602</v>
      </c>
      <c r="G1692" s="18">
        <f>+G1690-G1691</f>
        <v>-37354.12000000104</v>
      </c>
      <c r="H1692" s="18"/>
      <c r="I1692" s="18">
        <f aca="true" t="shared" si="205" ref="I1692:O1692">+I1690-I1691</f>
        <v>0</v>
      </c>
      <c r="J1692" s="18">
        <f t="shared" si="205"/>
        <v>0</v>
      </c>
      <c r="K1692" s="18">
        <f t="shared" si="205"/>
        <v>0</v>
      </c>
      <c r="L1692" s="18">
        <f t="shared" si="205"/>
        <v>0</v>
      </c>
      <c r="M1692" s="18">
        <f t="shared" si="205"/>
        <v>0</v>
      </c>
      <c r="N1692" s="18">
        <f t="shared" si="205"/>
        <v>0</v>
      </c>
      <c r="O1692" s="18">
        <f t="shared" si="205"/>
        <v>0</v>
      </c>
      <c r="P1692" s="18"/>
      <c r="Q1692" s="18">
        <f>+Q1690-Q1691</f>
        <v>0</v>
      </c>
      <c r="R1692" s="18">
        <f>+R1690-R1691</f>
        <v>0</v>
      </c>
      <c r="S1692" s="18"/>
      <c r="T1692" s="18">
        <f>+T1690-T1691</f>
        <v>0</v>
      </c>
      <c r="U1692" s="18"/>
      <c r="V1692" s="18">
        <f>+V1690-V1691</f>
        <v>0</v>
      </c>
      <c r="W1692" s="18">
        <f>+W1690-W1691</f>
        <v>0</v>
      </c>
      <c r="X1692" s="18">
        <f>+X1690-X1691</f>
        <v>0</v>
      </c>
      <c r="Y1692" s="18"/>
    </row>
    <row r="1693" spans="1:25" ht="28.5">
      <c r="A1693" s="4">
        <f>+A1692+1</f>
        <v>4</v>
      </c>
      <c r="B1693" s="88" t="s">
        <v>178</v>
      </c>
      <c r="C1693" s="25" t="s">
        <v>179</v>
      </c>
      <c r="D1693" s="18">
        <v>0</v>
      </c>
      <c r="E1693" s="19"/>
      <c r="F1693" s="26">
        <v>0</v>
      </c>
      <c r="G1693" s="18">
        <f>+D1693-F1693</f>
        <v>0</v>
      </c>
      <c r="H1693" s="18"/>
      <c r="I1693" s="27">
        <v>0</v>
      </c>
      <c r="J1693" s="18">
        <v>0</v>
      </c>
      <c r="K1693" s="18">
        <v>0</v>
      </c>
      <c r="L1693" s="18">
        <v>0</v>
      </c>
      <c r="M1693" s="18">
        <v>0</v>
      </c>
      <c r="N1693" s="18">
        <v>0</v>
      </c>
      <c r="O1693" s="18">
        <v>0</v>
      </c>
      <c r="P1693" s="18"/>
      <c r="Q1693" s="18">
        <v>0</v>
      </c>
      <c r="R1693" s="18">
        <v>0</v>
      </c>
      <c r="S1693" s="18"/>
      <c r="T1693" s="18">
        <v>0</v>
      </c>
      <c r="U1693" s="18"/>
      <c r="V1693" s="18">
        <v>0</v>
      </c>
      <c r="W1693" s="18">
        <v>0</v>
      </c>
      <c r="X1693" s="18">
        <v>0</v>
      </c>
      <c r="Y1693" s="18"/>
    </row>
    <row r="1694" spans="1:25" ht="24.75">
      <c r="A1694" s="4">
        <f>+A1693+1</f>
        <v>5</v>
      </c>
      <c r="B1694" s="89" t="s">
        <v>39</v>
      </c>
      <c r="C1694" s="28" t="s">
        <v>40</v>
      </c>
      <c r="D1694" s="27">
        <v>-28258</v>
      </c>
      <c r="E1694" s="29"/>
      <c r="F1694" s="30">
        <v>0</v>
      </c>
      <c r="G1694" s="31">
        <f>+D1694-F1694</f>
        <v>-28258</v>
      </c>
      <c r="H1694" s="18"/>
      <c r="I1694" s="27">
        <v>0</v>
      </c>
      <c r="J1694" s="27">
        <v>-113</v>
      </c>
      <c r="K1694" s="27">
        <v>0</v>
      </c>
      <c r="L1694" s="27">
        <v>-1460918.7</v>
      </c>
      <c r="M1694" s="27">
        <v>968.72</v>
      </c>
      <c r="N1694" s="27">
        <v>-15.33</v>
      </c>
      <c r="O1694" s="27">
        <v>928.85</v>
      </c>
      <c r="P1694" s="18"/>
      <c r="Q1694" s="27">
        <v>-10204.81</v>
      </c>
      <c r="R1694" s="27">
        <v>0</v>
      </c>
      <c r="S1694" s="27"/>
      <c r="T1694" s="27">
        <v>0</v>
      </c>
      <c r="U1694" s="27"/>
      <c r="V1694" s="27">
        <v>0</v>
      </c>
      <c r="W1694" s="27">
        <v>0</v>
      </c>
      <c r="X1694" s="27">
        <v>-12969558.7</v>
      </c>
      <c r="Y1694" s="18"/>
    </row>
    <row r="1695" spans="1:25" ht="15">
      <c r="A1695" s="6" t="s">
        <v>41</v>
      </c>
      <c r="B1695" s="90"/>
      <c r="C1695" s="11"/>
      <c r="D1695" s="18"/>
      <c r="E1695" s="19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 t="s">
        <v>0</v>
      </c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</row>
    <row r="1696" spans="1:25" ht="15">
      <c r="A1696" s="4">
        <f>+A1694+1</f>
        <v>6</v>
      </c>
      <c r="B1696" s="5" t="s">
        <v>42</v>
      </c>
      <c r="C1696" s="22" t="s">
        <v>38</v>
      </c>
      <c r="D1696" s="27">
        <f>35875355.05+19422522.96</f>
        <v>55297878.01</v>
      </c>
      <c r="E1696" s="19"/>
      <c r="F1696" s="23">
        <f>17147835.09+2274687.87</f>
        <v>19422522.96</v>
      </c>
      <c r="G1696" s="18">
        <f>+D1696-F1696</f>
        <v>35875355.05</v>
      </c>
      <c r="H1696" s="18"/>
      <c r="I1696" s="18">
        <v>0</v>
      </c>
      <c r="J1696" s="18">
        <v>0</v>
      </c>
      <c r="K1696" s="18">
        <v>0</v>
      </c>
      <c r="L1696" s="18">
        <v>0</v>
      </c>
      <c r="M1696" s="18">
        <v>0</v>
      </c>
      <c r="N1696" s="18">
        <v>0</v>
      </c>
      <c r="O1696" s="18">
        <v>0</v>
      </c>
      <c r="P1696" s="18"/>
      <c r="Q1696" s="18">
        <v>0</v>
      </c>
      <c r="R1696" s="18">
        <v>0</v>
      </c>
      <c r="S1696" s="18"/>
      <c r="T1696" s="18">
        <v>0</v>
      </c>
      <c r="U1696" s="18"/>
      <c r="V1696" s="18">
        <v>0</v>
      </c>
      <c r="W1696" s="18">
        <v>0</v>
      </c>
      <c r="X1696" s="18">
        <v>0</v>
      </c>
      <c r="Y1696" s="18"/>
    </row>
    <row r="1697" spans="1:25" ht="15">
      <c r="A1697" s="4">
        <f>+A1696+1</f>
        <v>7</v>
      </c>
      <c r="B1697" s="5" t="s">
        <v>43</v>
      </c>
      <c r="C1697" s="11"/>
      <c r="D1697" s="27">
        <v>0</v>
      </c>
      <c r="E1697" s="19"/>
      <c r="F1697" s="23">
        <v>0</v>
      </c>
      <c r="G1697" s="18">
        <f>+D1697-F1697</f>
        <v>0</v>
      </c>
      <c r="H1697" s="18"/>
      <c r="I1697" s="18">
        <v>0</v>
      </c>
      <c r="J1697" s="18">
        <v>0</v>
      </c>
      <c r="K1697" s="18">
        <v>0</v>
      </c>
      <c r="L1697" s="18">
        <v>0</v>
      </c>
      <c r="M1697" s="18">
        <v>0</v>
      </c>
      <c r="N1697" s="18">
        <v>0</v>
      </c>
      <c r="O1697" s="31">
        <v>0</v>
      </c>
      <c r="P1697" s="18"/>
      <c r="Q1697" s="18">
        <v>0</v>
      </c>
      <c r="R1697" s="18">
        <v>0</v>
      </c>
      <c r="S1697" s="18"/>
      <c r="T1697" s="18">
        <v>0</v>
      </c>
      <c r="U1697" s="18"/>
      <c r="V1697" s="18">
        <v>0</v>
      </c>
      <c r="W1697" s="18">
        <v>0</v>
      </c>
      <c r="X1697" s="18">
        <v>0</v>
      </c>
      <c r="Y1697" s="18"/>
    </row>
    <row r="1698" spans="1:25" ht="35.25">
      <c r="A1698" s="4">
        <f>+A1697+1</f>
        <v>8</v>
      </c>
      <c r="B1698" s="24" t="s">
        <v>180</v>
      </c>
      <c r="C1698" s="32" t="s">
        <v>44</v>
      </c>
      <c r="D1698" s="33">
        <f>D1696-D1697</f>
        <v>55297878.01</v>
      </c>
      <c r="E1698" s="34"/>
      <c r="F1698" s="91">
        <f>+F1696-F1697</f>
        <v>19422522.96</v>
      </c>
      <c r="G1698" s="18">
        <f>+G1696-G1697</f>
        <v>35875355.05</v>
      </c>
      <c r="H1698" s="18"/>
      <c r="I1698" s="18">
        <f aca="true" t="shared" si="206" ref="I1698:O1698">+I1696-I1697</f>
        <v>0</v>
      </c>
      <c r="J1698" s="18">
        <f t="shared" si="206"/>
        <v>0</v>
      </c>
      <c r="K1698" s="18">
        <f t="shared" si="206"/>
        <v>0</v>
      </c>
      <c r="L1698" s="18">
        <f t="shared" si="206"/>
        <v>0</v>
      </c>
      <c r="M1698" s="18">
        <f t="shared" si="206"/>
        <v>0</v>
      </c>
      <c r="N1698" s="18">
        <f t="shared" si="206"/>
        <v>0</v>
      </c>
      <c r="O1698" s="18">
        <f t="shared" si="206"/>
        <v>0</v>
      </c>
      <c r="P1698" s="18"/>
      <c r="Q1698" s="18">
        <f>+Q1696-Q1697</f>
        <v>0</v>
      </c>
      <c r="R1698" s="18">
        <f>+R1696-R1697</f>
        <v>0</v>
      </c>
      <c r="S1698" s="18"/>
      <c r="T1698" s="18">
        <f>+T1696-T1697</f>
        <v>0</v>
      </c>
      <c r="U1698" s="18"/>
      <c r="V1698" s="18">
        <f>+V1696-V1697</f>
        <v>0</v>
      </c>
      <c r="W1698" s="18">
        <f>+W1696-W1697</f>
        <v>0</v>
      </c>
      <c r="X1698" s="18">
        <f>+X1696-X1697</f>
        <v>0</v>
      </c>
      <c r="Y1698" s="18"/>
    </row>
    <row r="1699" spans="1:25" ht="28.5">
      <c r="A1699" s="4">
        <f>+A1698+1</f>
        <v>9</v>
      </c>
      <c r="B1699" s="88" t="s">
        <v>181</v>
      </c>
      <c r="C1699" s="35" t="s">
        <v>45</v>
      </c>
      <c r="D1699" s="18">
        <v>0</v>
      </c>
      <c r="E1699" s="19"/>
      <c r="F1699" s="31">
        <v>0</v>
      </c>
      <c r="G1699" s="31">
        <f>+D1699-F1699</f>
        <v>0</v>
      </c>
      <c r="H1699" s="18"/>
      <c r="I1699" s="18">
        <v>0</v>
      </c>
      <c r="J1699" s="18">
        <v>0</v>
      </c>
      <c r="K1699" s="18">
        <v>0</v>
      </c>
      <c r="L1699" s="18">
        <v>0</v>
      </c>
      <c r="M1699" s="18">
        <v>0</v>
      </c>
      <c r="N1699" s="18">
        <v>0</v>
      </c>
      <c r="O1699" s="31">
        <v>0</v>
      </c>
      <c r="P1699" s="18"/>
      <c r="Q1699" s="18">
        <v>0</v>
      </c>
      <c r="R1699" s="18">
        <v>0</v>
      </c>
      <c r="S1699" s="18"/>
      <c r="T1699" s="18">
        <v>0</v>
      </c>
      <c r="U1699" s="18"/>
      <c r="V1699" s="18">
        <v>0</v>
      </c>
      <c r="W1699" s="18">
        <v>0</v>
      </c>
      <c r="X1699" s="18">
        <v>0</v>
      </c>
      <c r="Y1699" s="18"/>
    </row>
    <row r="1700" spans="1:25" ht="15">
      <c r="A1700" s="4">
        <f>+A1699+1</f>
        <v>10</v>
      </c>
      <c r="B1700" s="24" t="s">
        <v>46</v>
      </c>
      <c r="C1700" s="11" t="s">
        <v>47</v>
      </c>
      <c r="D1700" s="36">
        <f>+D1692+D1693+D1694+D1698+D1699</f>
        <v>55264867.89</v>
      </c>
      <c r="E1700" s="19"/>
      <c r="F1700" s="36">
        <f>+F1692+F1693+F1694+F1698+F1699</f>
        <v>19455124.96</v>
      </c>
      <c r="G1700" s="18">
        <f>+G1692+G1693+G1698+G1699+G1694</f>
        <v>35809742.92999999</v>
      </c>
      <c r="H1700" s="18"/>
      <c r="I1700" s="18">
        <f aca="true" t="shared" si="207" ref="I1700:O1700">+I1692+I1693+I1698+I1699+I1694</f>
        <v>0</v>
      </c>
      <c r="J1700" s="21">
        <f t="shared" si="207"/>
        <v>-113</v>
      </c>
      <c r="K1700" s="18">
        <f t="shared" si="207"/>
        <v>0</v>
      </c>
      <c r="L1700" s="18">
        <f t="shared" si="207"/>
        <v>-1460918.7</v>
      </c>
      <c r="M1700" s="18">
        <f t="shared" si="207"/>
        <v>968.72</v>
      </c>
      <c r="N1700" s="18">
        <f t="shared" si="207"/>
        <v>-15.33</v>
      </c>
      <c r="O1700" s="18">
        <f t="shared" si="207"/>
        <v>928.85</v>
      </c>
      <c r="P1700" s="18"/>
      <c r="Q1700" s="18">
        <f>+Q1692+Q1693+Q1698+Q1699+Q1694</f>
        <v>-10204.81</v>
      </c>
      <c r="R1700" s="18">
        <f>+R1692+R1693+R1698+R1699+R1694</f>
        <v>0</v>
      </c>
      <c r="S1700" s="18"/>
      <c r="T1700" s="18">
        <f>+T1692+T1693+T1698+T1699+T1694</f>
        <v>0</v>
      </c>
      <c r="U1700" s="18"/>
      <c r="V1700" s="18">
        <f>+V1692+V1693+V1698+V1699+V1694</f>
        <v>0</v>
      </c>
      <c r="W1700" s="18">
        <f>+W1692+W1693+W1698+W1699+W1694</f>
        <v>0</v>
      </c>
      <c r="X1700" s="18">
        <f>+X1692+X1693+X1698+X1699+X1694</f>
        <v>-12969558.7</v>
      </c>
      <c r="Y1700" s="18"/>
    </row>
    <row r="1701" spans="1:25" ht="15">
      <c r="A1701" s="4"/>
      <c r="B1701" s="24"/>
      <c r="C1701" s="11" t="s">
        <v>0</v>
      </c>
      <c r="D1701" s="27" t="s">
        <v>0</v>
      </c>
      <c r="E1701" s="18"/>
      <c r="F1701" s="36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</row>
    <row r="1702" spans="1:25" ht="15">
      <c r="A1702" s="4"/>
      <c r="B1702" s="94" t="s">
        <v>0</v>
      </c>
      <c r="C1702" s="37" t="s">
        <v>0</v>
      </c>
      <c r="D1702" s="27">
        <f>-(206248.61-211165.49+35447972.55+19821812.21)</f>
        <v>-55264867.879999995</v>
      </c>
      <c r="E1702" s="18"/>
      <c r="F1702" s="92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</row>
    <row r="1703" spans="1:25" ht="15">
      <c r="A1703" s="4"/>
      <c r="B1703" s="24"/>
      <c r="C1703" s="11"/>
      <c r="D1703" s="6" t="s">
        <v>48</v>
      </c>
      <c r="E1703" s="6"/>
      <c r="F1703" s="10" t="s">
        <v>49</v>
      </c>
      <c r="G1703" s="10" t="s">
        <v>50</v>
      </c>
      <c r="I1703" s="10" t="s">
        <v>51</v>
      </c>
      <c r="J1703" s="10" t="s">
        <v>52</v>
      </c>
      <c r="K1703" s="10" t="s">
        <v>53</v>
      </c>
      <c r="L1703" s="10" t="s">
        <v>54</v>
      </c>
      <c r="M1703" s="10" t="s">
        <v>55</v>
      </c>
      <c r="N1703" s="10" t="s">
        <v>56</v>
      </c>
      <c r="O1703" s="10" t="s">
        <v>57</v>
      </c>
      <c r="P1703" s="18"/>
      <c r="Q1703" s="10" t="s">
        <v>58</v>
      </c>
      <c r="R1703" s="10" t="s">
        <v>59</v>
      </c>
      <c r="S1703" s="10"/>
      <c r="T1703" s="10" t="s">
        <v>60</v>
      </c>
      <c r="U1703" s="18"/>
      <c r="V1703" s="10" t="s">
        <v>61</v>
      </c>
      <c r="W1703" s="10" t="s">
        <v>62</v>
      </c>
      <c r="X1703" s="10" t="s">
        <v>63</v>
      </c>
      <c r="Y1703" s="18"/>
    </row>
    <row r="1704" spans="1:25" ht="15">
      <c r="A1704" s="4"/>
      <c r="B1704"/>
      <c r="C1704" s="11"/>
      <c r="D1704" s="10" t="s">
        <v>20</v>
      </c>
      <c r="E1704" s="38"/>
      <c r="F1704" s="10" t="s">
        <v>20</v>
      </c>
      <c r="G1704" s="10" t="s">
        <v>20</v>
      </c>
      <c r="I1704" s="10" t="s">
        <v>20</v>
      </c>
      <c r="J1704" s="10" t="s">
        <v>20</v>
      </c>
      <c r="K1704" s="10" t="s">
        <v>20</v>
      </c>
      <c r="L1704" s="10" t="s">
        <v>20</v>
      </c>
      <c r="M1704" s="10" t="s">
        <v>20</v>
      </c>
      <c r="N1704" s="10" t="s">
        <v>20</v>
      </c>
      <c r="O1704" s="10" t="s">
        <v>20</v>
      </c>
      <c r="P1704" s="18"/>
      <c r="Q1704" s="10" t="s">
        <v>20</v>
      </c>
      <c r="R1704" s="10" t="s">
        <v>20</v>
      </c>
      <c r="S1704" s="14"/>
      <c r="T1704" s="10" t="s">
        <v>20</v>
      </c>
      <c r="U1704" s="18"/>
      <c r="W1704" s="39" t="s">
        <v>64</v>
      </c>
      <c r="Y1704" s="18"/>
    </row>
    <row r="1705" spans="1:25" ht="15">
      <c r="A1705" s="4"/>
      <c r="B1705" s="87" t="s">
        <v>174</v>
      </c>
      <c r="C1705" s="11"/>
      <c r="D1705" s="8" t="s">
        <v>155</v>
      </c>
      <c r="E1705" s="6"/>
      <c r="F1705" s="8" t="s">
        <v>66</v>
      </c>
      <c r="G1705" s="8" t="s">
        <v>67</v>
      </c>
      <c r="H1705" s="19"/>
      <c r="I1705" s="8" t="s">
        <v>68</v>
      </c>
      <c r="J1705" s="8" t="s">
        <v>69</v>
      </c>
      <c r="K1705" s="8" t="s">
        <v>70</v>
      </c>
      <c r="L1705" s="8" t="s">
        <v>71</v>
      </c>
      <c r="M1705" s="8" t="s">
        <v>72</v>
      </c>
      <c r="N1705" s="8" t="s">
        <v>73</v>
      </c>
      <c r="O1705" s="8" t="s">
        <v>74</v>
      </c>
      <c r="P1705" s="6"/>
      <c r="Q1705" s="8" t="s">
        <v>75</v>
      </c>
      <c r="R1705" s="8" t="s">
        <v>76</v>
      </c>
      <c r="S1705" s="8"/>
      <c r="T1705" s="8" t="s">
        <v>77</v>
      </c>
      <c r="U1705" s="18"/>
      <c r="V1705" s="10" t="s">
        <v>20</v>
      </c>
      <c r="W1705" s="14" t="s">
        <v>21</v>
      </c>
      <c r="X1705" s="10" t="s">
        <v>22</v>
      </c>
      <c r="Y1705" s="18"/>
    </row>
    <row r="1706" spans="1:8" ht="15">
      <c r="A1706" s="4"/>
      <c r="B1706" s="24"/>
      <c r="C1706" s="11"/>
      <c r="E1706" s="14"/>
      <c r="F1706"/>
      <c r="H1706" s="18"/>
    </row>
    <row r="1707" spans="1:24" ht="15">
      <c r="A1707" s="4">
        <f>+A1700+1</f>
        <v>11</v>
      </c>
      <c r="B1707" s="5" t="s">
        <v>36</v>
      </c>
      <c r="C1707" s="17" t="s">
        <v>37</v>
      </c>
      <c r="D1707" s="18">
        <v>0</v>
      </c>
      <c r="E1707" s="18"/>
      <c r="F1707" s="18">
        <v>0</v>
      </c>
      <c r="G1707" s="18">
        <v>0</v>
      </c>
      <c r="I1707" s="27">
        <v>319165.64</v>
      </c>
      <c r="J1707" s="18">
        <v>0</v>
      </c>
      <c r="K1707" s="18">
        <v>0</v>
      </c>
      <c r="L1707" s="18">
        <v>0</v>
      </c>
      <c r="M1707" s="18">
        <v>0</v>
      </c>
      <c r="N1707" s="18">
        <v>0</v>
      </c>
      <c r="O1707" s="18">
        <v>0</v>
      </c>
      <c r="Q1707" s="18">
        <v>0</v>
      </c>
      <c r="R1707" s="18">
        <v>0</v>
      </c>
      <c r="S1707" s="18"/>
      <c r="T1707" s="18">
        <v>0</v>
      </c>
      <c r="V1707" s="18">
        <f>+D1690+I1690+J1690+K1690+L1690+M1690+N1690+O1690+Q1690+R1690+T1690+V1690+W1690+X1690+D1707+F1707+G1707+I1707+J1707+K1707+L1707+M1707+N1707+O1707+Q1707+R1707+T1707</f>
        <v>9834754.89</v>
      </c>
      <c r="W1707" s="18">
        <f>+F1690</f>
        <v>3891429</v>
      </c>
      <c r="X1707" s="18">
        <f>+V1707-W1707</f>
        <v>5943325.890000001</v>
      </c>
    </row>
    <row r="1708" spans="1:24" ht="15">
      <c r="A1708" s="4">
        <f>+A1707+1</f>
        <v>12</v>
      </c>
      <c r="B1708" s="5" t="s">
        <v>36</v>
      </c>
      <c r="C1708" s="22" t="s">
        <v>38</v>
      </c>
      <c r="D1708" s="18">
        <v>0</v>
      </c>
      <c r="E1708" s="18"/>
      <c r="F1708" s="18">
        <v>0</v>
      </c>
      <c r="G1708" s="18">
        <v>0</v>
      </c>
      <c r="I1708" s="27">
        <v>318588.05</v>
      </c>
      <c r="J1708" s="18">
        <v>0</v>
      </c>
      <c r="K1708" s="18">
        <v>0</v>
      </c>
      <c r="L1708" s="18">
        <v>0</v>
      </c>
      <c r="M1708" s="18">
        <v>0</v>
      </c>
      <c r="N1708" s="18">
        <v>0</v>
      </c>
      <c r="O1708" s="18">
        <v>0</v>
      </c>
      <c r="Q1708" s="18">
        <v>0</v>
      </c>
      <c r="R1708" s="18">
        <v>0</v>
      </c>
      <c r="S1708" s="18"/>
      <c r="T1708" s="18">
        <v>0</v>
      </c>
      <c r="V1708" s="18">
        <f>+D1691+I1691+J1691+K1691+L1691+M1691+N1691+O1691+Q1691+R1691+T1691+V1691+W1691+X1691+D1708+F1708+G1708+I1708+J1708+K1708+L1708+M1708+N1708+O1708+Q1708+R1708+T1708</f>
        <v>9838929.420000002</v>
      </c>
      <c r="W1708" s="18">
        <f>+F1691</f>
        <v>3858827</v>
      </c>
      <c r="X1708" s="18">
        <f>+V1708-W1708</f>
        <v>5980102.420000002</v>
      </c>
    </row>
    <row r="1709" spans="1:24" ht="15">
      <c r="A1709" s="4">
        <f>+A1708+1</f>
        <v>13</v>
      </c>
      <c r="B1709" s="24" t="s">
        <v>46</v>
      </c>
      <c r="C1709" s="40" t="s">
        <v>78</v>
      </c>
      <c r="D1709" s="18">
        <f>+D1707-D1708</f>
        <v>0</v>
      </c>
      <c r="E1709" s="18"/>
      <c r="F1709" s="18">
        <f>+F1707-F1708</f>
        <v>0</v>
      </c>
      <c r="G1709" s="18">
        <f>+G1707-G1708</f>
        <v>0</v>
      </c>
      <c r="I1709" s="18">
        <f aca="true" t="shared" si="208" ref="I1709:O1709">+I1707-I1708</f>
        <v>577.5900000000256</v>
      </c>
      <c r="J1709" s="18">
        <f t="shared" si="208"/>
        <v>0</v>
      </c>
      <c r="K1709" s="18">
        <f t="shared" si="208"/>
        <v>0</v>
      </c>
      <c r="L1709" s="18">
        <f t="shared" si="208"/>
        <v>0</v>
      </c>
      <c r="M1709" s="18">
        <f t="shared" si="208"/>
        <v>0</v>
      </c>
      <c r="N1709" s="18">
        <f t="shared" si="208"/>
        <v>0</v>
      </c>
      <c r="O1709" s="18">
        <f t="shared" si="208"/>
        <v>0</v>
      </c>
      <c r="Q1709" s="18">
        <f>+Q1707-Q1708</f>
        <v>0</v>
      </c>
      <c r="R1709" s="18">
        <f>+R1707-R1708</f>
        <v>0</v>
      </c>
      <c r="S1709" s="18"/>
      <c r="T1709" s="18">
        <f>+T1707-T1708</f>
        <v>0</v>
      </c>
      <c r="V1709" s="27">
        <f>+V1707-V1708</f>
        <v>-4174.530000001192</v>
      </c>
      <c r="W1709" s="27">
        <f>+W1707-W1708</f>
        <v>32602</v>
      </c>
      <c r="X1709" s="18">
        <f>+X1707-X1708</f>
        <v>-36776.53000000119</v>
      </c>
    </row>
    <row r="1710" spans="1:24" ht="28.5">
      <c r="A1710" s="4">
        <f>+A1709+1</f>
        <v>14</v>
      </c>
      <c r="B1710" s="88" t="s">
        <v>182</v>
      </c>
      <c r="C1710" s="11"/>
      <c r="D1710" s="18">
        <v>0</v>
      </c>
      <c r="E1710" s="18"/>
      <c r="F1710" s="18">
        <v>0</v>
      </c>
      <c r="G1710" s="18">
        <v>0</v>
      </c>
      <c r="I1710" s="18">
        <v>0</v>
      </c>
      <c r="J1710" s="18">
        <v>0</v>
      </c>
      <c r="K1710" s="18">
        <v>0</v>
      </c>
      <c r="L1710" s="18">
        <v>0</v>
      </c>
      <c r="M1710" s="18">
        <v>0</v>
      </c>
      <c r="N1710" s="18">
        <v>0</v>
      </c>
      <c r="O1710" s="18">
        <v>0</v>
      </c>
      <c r="Q1710" s="18">
        <v>0</v>
      </c>
      <c r="R1710" s="18">
        <v>0</v>
      </c>
      <c r="S1710" s="18"/>
      <c r="T1710" s="18">
        <v>0</v>
      </c>
      <c r="V1710" s="18">
        <f>+D1693+I1693+J1693+K1693+L1693+M1693+N1693+O1693+Q1693+R1693+T1693+V1693+W1693+X1693+D1710+F1710+G1710+I1710+J1710+K1710+L1710+M1710+N1710+O1710+Q1710+R1710+T1710</f>
        <v>0</v>
      </c>
      <c r="W1710" s="18">
        <f>+F1693</f>
        <v>0</v>
      </c>
      <c r="X1710" s="18">
        <f>+V1710-W1710</f>
        <v>0</v>
      </c>
    </row>
    <row r="1711" spans="1:24" ht="24.75">
      <c r="A1711" s="4">
        <f>+A1710+1</f>
        <v>15</v>
      </c>
      <c r="B1711" s="89" t="s">
        <v>39</v>
      </c>
      <c r="C1711" s="40"/>
      <c r="D1711" s="27">
        <v>93524.28</v>
      </c>
      <c r="E1711" s="18" t="s">
        <v>0</v>
      </c>
      <c r="F1711" s="27">
        <v>0</v>
      </c>
      <c r="G1711" s="27">
        <v>0</v>
      </c>
      <c r="H1711" t="s">
        <v>0</v>
      </c>
      <c r="I1711" s="27">
        <v>0</v>
      </c>
      <c r="J1711" s="27">
        <v>81</v>
      </c>
      <c r="K1711" s="27">
        <v>0</v>
      </c>
      <c r="L1711" s="27">
        <v>0</v>
      </c>
      <c r="M1711" s="27">
        <v>537368.25</v>
      </c>
      <c r="N1711" s="27">
        <v>-3684421.97</v>
      </c>
      <c r="O1711" s="27">
        <v>28172.89</v>
      </c>
      <c r="Q1711" s="27">
        <v>0</v>
      </c>
      <c r="R1711" s="27">
        <v>0</v>
      </c>
      <c r="S1711" s="27"/>
      <c r="T1711" s="27">
        <v>0</v>
      </c>
      <c r="V1711" s="18">
        <f>+D1694+I1694+J1694+K1694+L1694+M1694+N1694+O1694+Q1694+R1694+T1694+V1694+W1694+X1694+D1711+F1711+G1711+I1711+J1711+K1711+L1711+M1711+N1711+O1711+Q1711+R1711+T1711</f>
        <v>-17492446.52</v>
      </c>
      <c r="W1711" s="18">
        <f>+F1694</f>
        <v>0</v>
      </c>
      <c r="X1711" s="18">
        <f>+V1711-W1711</f>
        <v>-17492446.52</v>
      </c>
    </row>
    <row r="1712" spans="1:24" ht="15">
      <c r="A1712" s="6" t="s">
        <v>41</v>
      </c>
      <c r="B1712" s="41"/>
      <c r="C1712" s="40"/>
      <c r="D1712" s="18"/>
      <c r="E1712" s="18"/>
      <c r="F1712" s="18"/>
      <c r="G1712" s="18"/>
      <c r="I1712" s="18"/>
      <c r="J1712" s="18"/>
      <c r="K1712" s="18"/>
      <c r="L1712" s="18"/>
      <c r="M1712" s="18"/>
      <c r="N1712" s="18"/>
      <c r="O1712" s="18"/>
      <c r="Q1712" s="18"/>
      <c r="R1712" s="18"/>
      <c r="S1712" s="18"/>
      <c r="T1712" s="18"/>
      <c r="V1712" s="18"/>
      <c r="W1712" s="18"/>
      <c r="X1712" s="18"/>
    </row>
    <row r="1713" spans="1:24" ht="15">
      <c r="A1713" s="4">
        <f>+A1711+1</f>
        <v>16</v>
      </c>
      <c r="B1713" s="5" t="s">
        <v>42</v>
      </c>
      <c r="C1713" s="22" t="s">
        <v>38</v>
      </c>
      <c r="D1713" s="18">
        <v>0</v>
      </c>
      <c r="E1713" s="18"/>
      <c r="F1713" s="18">
        <v>0</v>
      </c>
      <c r="G1713" s="18">
        <v>0</v>
      </c>
      <c r="I1713" s="27">
        <v>333225.41</v>
      </c>
      <c r="J1713" s="18">
        <v>0</v>
      </c>
      <c r="K1713" s="18">
        <v>0</v>
      </c>
      <c r="L1713" s="18">
        <v>0</v>
      </c>
      <c r="M1713" s="18">
        <v>0</v>
      </c>
      <c r="N1713" s="18">
        <v>0</v>
      </c>
      <c r="O1713" s="18">
        <v>0</v>
      </c>
      <c r="P1713" s="18"/>
      <c r="Q1713" s="18">
        <v>0</v>
      </c>
      <c r="R1713" s="18">
        <v>0</v>
      </c>
      <c r="S1713" s="18"/>
      <c r="T1713" s="18">
        <v>0</v>
      </c>
      <c r="U1713" s="18"/>
      <c r="V1713" s="18">
        <f>+D1696+I1696+J1696+K1696+L1696+M1696+N1696+O1696+Q1696+R1696+T1696+V1696+W1696+X1696+D1713+F1713+G1713+I1713+J1713+K1713+L1713+M1713+N1713+O1713+Q1713+R1713+T1713</f>
        <v>55631103.419999994</v>
      </c>
      <c r="W1713" s="18">
        <f>+F1696</f>
        <v>19422522.96</v>
      </c>
      <c r="X1713" s="18">
        <f>+V1713-W1713</f>
        <v>36208580.45999999</v>
      </c>
    </row>
    <row r="1714" spans="1:24" ht="15">
      <c r="A1714" s="4">
        <f>+A1713+1</f>
        <v>17</v>
      </c>
      <c r="B1714" s="5" t="s">
        <v>43</v>
      </c>
      <c r="C1714" s="11"/>
      <c r="D1714" s="18">
        <v>0</v>
      </c>
      <c r="E1714" s="18"/>
      <c r="F1714" s="18">
        <v>0</v>
      </c>
      <c r="G1714" s="18">
        <v>0</v>
      </c>
      <c r="I1714" s="27">
        <v>0</v>
      </c>
      <c r="J1714" s="18">
        <v>0</v>
      </c>
      <c r="K1714" s="18">
        <v>0</v>
      </c>
      <c r="L1714" s="18">
        <v>0</v>
      </c>
      <c r="M1714" s="18">
        <v>0</v>
      </c>
      <c r="N1714" s="18">
        <v>0</v>
      </c>
      <c r="O1714" s="18">
        <v>0</v>
      </c>
      <c r="P1714" s="18"/>
      <c r="Q1714" s="18">
        <v>0</v>
      </c>
      <c r="R1714" s="18">
        <v>0</v>
      </c>
      <c r="S1714" s="18"/>
      <c r="T1714" s="18">
        <v>0</v>
      </c>
      <c r="U1714" s="18"/>
      <c r="V1714" s="18">
        <f>+D1697+I1697+J1697+K1697+L1697+M1697+N1697+O1697+Q1697+R1697+T1697+V1697+W1697+X1697+D1714+F1714+G1714+I1714+J1714+K1714+L1714+M1714+N1714+O1714+Q1714+R1714+T1714</f>
        <v>0</v>
      </c>
      <c r="W1714" s="18">
        <f>+F1697</f>
        <v>0</v>
      </c>
      <c r="X1714" s="18">
        <f>+V1714-W1714</f>
        <v>0</v>
      </c>
    </row>
    <row r="1715" spans="1:24" ht="26.25">
      <c r="A1715" s="4">
        <f>+A1714+1</f>
        <v>18</v>
      </c>
      <c r="B1715" s="24" t="s">
        <v>79</v>
      </c>
      <c r="C1715" s="11"/>
      <c r="D1715" s="18">
        <f>+D1713-D1714</f>
        <v>0</v>
      </c>
      <c r="E1715" s="18"/>
      <c r="F1715" s="18">
        <f>+F1713-F1714</f>
        <v>0</v>
      </c>
      <c r="G1715" s="18">
        <f>+G1713-G1714</f>
        <v>0</v>
      </c>
      <c r="I1715" s="18">
        <f aca="true" t="shared" si="209" ref="I1715:O1715">+I1713-I1714</f>
        <v>333225.41</v>
      </c>
      <c r="J1715" s="18">
        <f t="shared" si="209"/>
        <v>0</v>
      </c>
      <c r="K1715" s="18">
        <f t="shared" si="209"/>
        <v>0</v>
      </c>
      <c r="L1715" s="18">
        <f t="shared" si="209"/>
        <v>0</v>
      </c>
      <c r="M1715" s="18">
        <f t="shared" si="209"/>
        <v>0</v>
      </c>
      <c r="N1715" s="18">
        <f t="shared" si="209"/>
        <v>0</v>
      </c>
      <c r="O1715" s="18">
        <f t="shared" si="209"/>
        <v>0</v>
      </c>
      <c r="P1715" s="18"/>
      <c r="Q1715" s="18">
        <f>+Q1713-Q1714</f>
        <v>0</v>
      </c>
      <c r="R1715" s="18">
        <f>+R1713-R1714</f>
        <v>0</v>
      </c>
      <c r="S1715" s="18"/>
      <c r="T1715" s="18">
        <f>+T1713-T1714</f>
        <v>0</v>
      </c>
      <c r="U1715" s="18"/>
      <c r="V1715" s="27">
        <f>+V1713-V1714</f>
        <v>55631103.419999994</v>
      </c>
      <c r="W1715" s="27">
        <f>+W1713-W1714</f>
        <v>19422522.96</v>
      </c>
      <c r="X1715" s="18">
        <f>+X1713-X1714</f>
        <v>36208580.45999999</v>
      </c>
    </row>
    <row r="1716" spans="1:24" ht="28.5">
      <c r="A1716" s="4">
        <f>+A1715+1</f>
        <v>19</v>
      </c>
      <c r="B1716" s="88" t="s">
        <v>181</v>
      </c>
      <c r="C1716" s="11"/>
      <c r="D1716" s="18">
        <v>0</v>
      </c>
      <c r="E1716" s="18"/>
      <c r="F1716" s="18">
        <v>0</v>
      </c>
      <c r="G1716" s="18">
        <v>0</v>
      </c>
      <c r="I1716" s="18">
        <v>0</v>
      </c>
      <c r="J1716" s="18">
        <v>0</v>
      </c>
      <c r="K1716" s="18">
        <v>0</v>
      </c>
      <c r="L1716" s="18">
        <v>0</v>
      </c>
      <c r="M1716" s="18">
        <v>0</v>
      </c>
      <c r="N1716" s="18">
        <v>0</v>
      </c>
      <c r="O1716" s="18">
        <v>0</v>
      </c>
      <c r="P1716" s="18"/>
      <c r="Q1716" s="18">
        <v>0</v>
      </c>
      <c r="R1716" s="18">
        <v>0</v>
      </c>
      <c r="S1716" s="18"/>
      <c r="T1716" s="18">
        <v>0</v>
      </c>
      <c r="U1716" s="18"/>
      <c r="V1716" s="18">
        <f>+D1699+I1699+J1699+K1699+L1699+M1699+N1699+O1699+Q1699+R1699+T1699+V1699+W1699+X1699+D1716+F1716+G1716+I1716+J1716+K1716+L1716+M1716+N1716+O1716+Q1716+R1716+T1716</f>
        <v>0</v>
      </c>
      <c r="W1716" s="18">
        <f>+F1699+K1716+L1716+M1716+N1716+O1716+Q1716+R1716+T1716</f>
        <v>0</v>
      </c>
      <c r="X1716" s="18">
        <f>+V1716-W1716</f>
        <v>0</v>
      </c>
    </row>
    <row r="1717" spans="1:24" ht="15">
      <c r="A1717" s="4">
        <f>+A1716+1</f>
        <v>20</v>
      </c>
      <c r="B1717" s="24" t="s">
        <v>46</v>
      </c>
      <c r="C1717" s="11" t="s">
        <v>47</v>
      </c>
      <c r="D1717" s="18">
        <f>+D1709+D1710+D1715+D1716+D1711</f>
        <v>93524.28</v>
      </c>
      <c r="E1717" s="18"/>
      <c r="F1717" s="18">
        <f>+F1709+F1710+F1715+F1716+F1711</f>
        <v>0</v>
      </c>
      <c r="G1717" s="18">
        <f>+G1709+G1710+G1715+G1716+G1711</f>
        <v>0</v>
      </c>
      <c r="I1717" s="18">
        <f aca="true" t="shared" si="210" ref="I1717:O1717">+I1709+I1710+I1715+I1716+I1711</f>
        <v>333803</v>
      </c>
      <c r="J1717" s="18">
        <f t="shared" si="210"/>
        <v>81</v>
      </c>
      <c r="K1717" s="18">
        <f t="shared" si="210"/>
        <v>0</v>
      </c>
      <c r="L1717" s="18">
        <f t="shared" si="210"/>
        <v>0</v>
      </c>
      <c r="M1717" s="18">
        <f t="shared" si="210"/>
        <v>537368.25</v>
      </c>
      <c r="N1717" s="18">
        <f t="shared" si="210"/>
        <v>-3684421.97</v>
      </c>
      <c r="O1717" s="18">
        <f t="shared" si="210"/>
        <v>28172.89</v>
      </c>
      <c r="P1717" s="42"/>
      <c r="Q1717" s="18">
        <f>+Q1709+Q1710+Q1715+Q1716+Q1711</f>
        <v>0</v>
      </c>
      <c r="R1717" s="18">
        <f>+R1709+R1710+R1715+R1716+R1711</f>
        <v>0</v>
      </c>
      <c r="S1717" s="18"/>
      <c r="T1717" s="18">
        <f>+T1709+T1710+T1715+T1716+T1711</f>
        <v>0</v>
      </c>
      <c r="U1717" s="42"/>
      <c r="V1717" s="18">
        <f>SUM(V1709,V1711,V1715,V1716)</f>
        <v>38134482.36999999</v>
      </c>
      <c r="W1717" s="18">
        <f>+W1709+W1710+W1715+W1716+W1711</f>
        <v>19455124.96</v>
      </c>
      <c r="X1717" s="18">
        <f>+X1709+X1710+X1715+X1716+X1711</f>
        <v>18679357.409999993</v>
      </c>
    </row>
    <row r="1718" spans="1:24" ht="15">
      <c r="A1718" s="4"/>
      <c r="B1718" s="24"/>
      <c r="C1718" s="11"/>
      <c r="D1718" s="18"/>
      <c r="E1718" s="18"/>
      <c r="F1718" s="18"/>
      <c r="G1718" s="18"/>
      <c r="I1718" s="18"/>
      <c r="J1718" s="18"/>
      <c r="K1718" s="18"/>
      <c r="L1718" s="18"/>
      <c r="M1718" s="18"/>
      <c r="N1718" s="18"/>
      <c r="O1718" s="18"/>
      <c r="P1718" s="42"/>
      <c r="Q1718" s="18"/>
      <c r="R1718" s="18"/>
      <c r="S1718" s="18"/>
      <c r="T1718" s="18"/>
      <c r="U1718" s="42"/>
      <c r="V1718" s="18"/>
      <c r="W1718" s="18"/>
      <c r="X1718" s="18"/>
    </row>
    <row r="1719" spans="1:24" ht="15">
      <c r="A1719" s="4"/>
      <c r="B1719" s="24"/>
      <c r="C1719" s="11"/>
      <c r="D1719" s="18"/>
      <c r="E1719" s="18"/>
      <c r="F1719" s="18"/>
      <c r="G1719" s="18"/>
      <c r="I1719" s="18"/>
      <c r="J1719" s="18"/>
      <c r="K1719" s="18"/>
      <c r="L1719" s="18"/>
      <c r="M1719" s="18"/>
      <c r="N1719" s="18"/>
      <c r="O1719" s="18"/>
      <c r="P1719" s="42"/>
      <c r="Q1719" s="18"/>
      <c r="R1719" s="18"/>
      <c r="S1719" s="18"/>
      <c r="T1719" s="18"/>
      <c r="U1719" s="42"/>
      <c r="V1719" s="18"/>
      <c r="W1719" s="18"/>
      <c r="X1719" s="18"/>
    </row>
    <row r="1720" spans="1:24" ht="15">
      <c r="A1720" s="4"/>
      <c r="B1720" s="24"/>
      <c r="C1720" s="11"/>
      <c r="D1720" s="18"/>
      <c r="E1720" s="18"/>
      <c r="F1720" s="18"/>
      <c r="G1720" s="18"/>
      <c r="I1720" s="18"/>
      <c r="J1720" s="18"/>
      <c r="K1720" s="18"/>
      <c r="L1720" s="18"/>
      <c r="M1720" s="18"/>
      <c r="N1720" s="18"/>
      <c r="O1720" s="18"/>
      <c r="P1720" s="42"/>
      <c r="Q1720" s="18"/>
      <c r="R1720" s="18"/>
      <c r="S1720" s="18"/>
      <c r="T1720" s="18"/>
      <c r="U1720" s="42"/>
      <c r="V1720" s="18"/>
      <c r="W1720" s="18"/>
      <c r="X1720" s="18"/>
    </row>
    <row r="1721" spans="1:25" ht="15">
      <c r="A1721" s="4"/>
      <c r="B1721" s="24"/>
      <c r="C1721" s="11"/>
      <c r="D1721" s="10" t="s">
        <v>80</v>
      </c>
      <c r="E1721" s="10"/>
      <c r="F1721" s="10" t="s">
        <v>81</v>
      </c>
      <c r="G1721" s="10" t="s">
        <v>82</v>
      </c>
      <c r="I1721" s="10" t="s">
        <v>83</v>
      </c>
      <c r="J1721" s="10" t="s">
        <v>84</v>
      </c>
      <c r="K1721" s="10" t="s">
        <v>85</v>
      </c>
      <c r="L1721" s="10" t="s">
        <v>86</v>
      </c>
      <c r="M1721" s="43" t="s">
        <v>87</v>
      </c>
      <c r="N1721" s="43" t="s">
        <v>88</v>
      </c>
      <c r="O1721" s="44" t="s">
        <v>89</v>
      </c>
      <c r="P1721" s="42"/>
      <c r="Q1721" s="43" t="s">
        <v>90</v>
      </c>
      <c r="R1721" s="43" t="s">
        <v>91</v>
      </c>
      <c r="S1721" s="43"/>
      <c r="T1721" s="43" t="s">
        <v>92</v>
      </c>
      <c r="U1721" s="42"/>
      <c r="V1721" s="43" t="s">
        <v>93</v>
      </c>
      <c r="W1721" s="43" t="s">
        <v>94</v>
      </c>
      <c r="X1721" s="43" t="s">
        <v>95</v>
      </c>
      <c r="Y1721" s="18"/>
    </row>
    <row r="1722" spans="1:25" ht="15">
      <c r="A1722" s="4"/>
      <c r="B1722"/>
      <c r="C1722" s="11"/>
      <c r="D1722" s="10" t="s">
        <v>20</v>
      </c>
      <c r="E1722" s="38"/>
      <c r="F1722" s="10" t="s">
        <v>20</v>
      </c>
      <c r="G1722" s="10" t="s">
        <v>20</v>
      </c>
      <c r="I1722" s="10" t="s">
        <v>20</v>
      </c>
      <c r="J1722" s="10" t="s">
        <v>20</v>
      </c>
      <c r="K1722" s="10" t="s">
        <v>20</v>
      </c>
      <c r="L1722" s="10" t="s">
        <v>20</v>
      </c>
      <c r="M1722" s="10" t="s">
        <v>20</v>
      </c>
      <c r="N1722" s="10" t="s">
        <v>20</v>
      </c>
      <c r="O1722" s="10" t="s">
        <v>20</v>
      </c>
      <c r="P1722" s="18"/>
      <c r="Q1722" s="10" t="s">
        <v>20</v>
      </c>
      <c r="R1722" s="10" t="s">
        <v>20</v>
      </c>
      <c r="S1722" s="14"/>
      <c r="T1722" s="10" t="s">
        <v>20</v>
      </c>
      <c r="U1722" s="18"/>
      <c r="W1722" s="39" t="s">
        <v>96</v>
      </c>
      <c r="Y1722" s="18"/>
    </row>
    <row r="1723" spans="1:25" ht="15">
      <c r="A1723" s="4"/>
      <c r="B1723" s="87" t="s">
        <v>174</v>
      </c>
      <c r="C1723" s="11"/>
      <c r="D1723" s="8" t="s">
        <v>156</v>
      </c>
      <c r="E1723" s="6"/>
      <c r="F1723" s="8" t="s">
        <v>157</v>
      </c>
      <c r="G1723" s="45" t="s">
        <v>99</v>
      </c>
      <c r="H1723" s="19"/>
      <c r="I1723" s="45" t="s">
        <v>100</v>
      </c>
      <c r="J1723" s="45" t="s">
        <v>101</v>
      </c>
      <c r="K1723" s="45" t="s">
        <v>102</v>
      </c>
      <c r="L1723" s="45" t="s">
        <v>103</v>
      </c>
      <c r="M1723" s="45" t="s">
        <v>104</v>
      </c>
      <c r="N1723" s="45" t="s">
        <v>105</v>
      </c>
      <c r="O1723" s="45" t="s">
        <v>106</v>
      </c>
      <c r="P1723" s="6"/>
      <c r="Q1723" s="45" t="s">
        <v>107</v>
      </c>
      <c r="R1723" s="45" t="s">
        <v>108</v>
      </c>
      <c r="S1723" s="45"/>
      <c r="T1723" s="45" t="s">
        <v>109</v>
      </c>
      <c r="U1723" s="18"/>
      <c r="V1723" s="10" t="s">
        <v>20</v>
      </c>
      <c r="W1723" s="10" t="s">
        <v>21</v>
      </c>
      <c r="X1723" s="10" t="s">
        <v>22</v>
      </c>
      <c r="Y1723" s="18"/>
    </row>
    <row r="1724" spans="1:9" ht="15">
      <c r="A1724" s="4"/>
      <c r="B1724" s="24"/>
      <c r="C1724" s="11"/>
      <c r="E1724" s="14"/>
      <c r="F1724"/>
      <c r="H1724" s="18"/>
      <c r="I1724" s="16"/>
    </row>
    <row r="1725" spans="1:24" ht="15">
      <c r="A1725" s="4">
        <f>+A1718+1</f>
        <v>1</v>
      </c>
      <c r="B1725" s="5" t="s">
        <v>36</v>
      </c>
      <c r="C1725" s="17" t="s">
        <v>37</v>
      </c>
      <c r="D1725" s="18">
        <v>0</v>
      </c>
      <c r="E1725" s="18"/>
      <c r="F1725" s="18">
        <v>36279.89</v>
      </c>
      <c r="G1725" s="18">
        <v>0</v>
      </c>
      <c r="I1725" s="18">
        <v>0</v>
      </c>
      <c r="J1725" s="18">
        <v>0</v>
      </c>
      <c r="K1725" s="46">
        <f>-3126.08-248937.93-8111.9</f>
        <v>-260175.90999999997</v>
      </c>
      <c r="L1725" s="27">
        <v>-7129</v>
      </c>
      <c r="M1725" s="18">
        <v>0</v>
      </c>
      <c r="N1725" s="18">
        <v>0</v>
      </c>
      <c r="O1725" s="18">
        <v>0</v>
      </c>
      <c r="Q1725" s="18">
        <v>0</v>
      </c>
      <c r="R1725" s="18">
        <v>0</v>
      </c>
      <c r="S1725" s="18"/>
      <c r="T1725" s="18">
        <v>0</v>
      </c>
      <c r="V1725" s="18">
        <f>+V1707+D1725+F1725+G1725+I1725+J1725+K1725+L1725+M1725+N1725+O1725+Q1725+R1725+T1725</f>
        <v>9603729.870000001</v>
      </c>
      <c r="W1725" s="18">
        <f>+W1707</f>
        <v>3891429</v>
      </c>
      <c r="X1725" s="18">
        <f>+V1725-W1725</f>
        <v>5712300.870000001</v>
      </c>
    </row>
    <row r="1726" spans="1:24" ht="15">
      <c r="A1726" s="4">
        <f>+A1725+1</f>
        <v>2</v>
      </c>
      <c r="B1726" s="5" t="s">
        <v>36</v>
      </c>
      <c r="C1726" s="22" t="s">
        <v>38</v>
      </c>
      <c r="D1726" s="18">
        <v>0</v>
      </c>
      <c r="E1726" s="18"/>
      <c r="F1726" s="18">
        <v>35941.09</v>
      </c>
      <c r="G1726" s="18">
        <v>0</v>
      </c>
      <c r="I1726" s="18">
        <v>0</v>
      </c>
      <c r="J1726" s="18">
        <v>0</v>
      </c>
      <c r="K1726" s="46">
        <f>-255090.96-3123.91</f>
        <v>-258214.87</v>
      </c>
      <c r="L1726" s="27">
        <v>-7226</v>
      </c>
      <c r="M1726" s="18">
        <v>0</v>
      </c>
      <c r="N1726" s="18">
        <v>0</v>
      </c>
      <c r="O1726" s="18">
        <v>0</v>
      </c>
      <c r="Q1726" s="18">
        <v>0</v>
      </c>
      <c r="R1726" s="18">
        <v>0</v>
      </c>
      <c r="S1726" s="18"/>
      <c r="T1726" s="18">
        <v>0</v>
      </c>
      <c r="V1726" s="18">
        <f>+V1708+D1726+F1726+G1726+I1726+J1726+K1726+L1726+M1726+N1726+O1726+Q1726+R1726+T1726</f>
        <v>9609429.640000002</v>
      </c>
      <c r="W1726" s="18">
        <f>+W1708</f>
        <v>3858827</v>
      </c>
      <c r="X1726" s="18">
        <f>+V1726-W1726</f>
        <v>5750602.640000002</v>
      </c>
    </row>
    <row r="1727" spans="1:24" ht="15">
      <c r="A1727" s="4">
        <f>+A1726+1</f>
        <v>3</v>
      </c>
      <c r="B1727" s="24" t="s">
        <v>46</v>
      </c>
      <c r="C1727" s="40" t="s">
        <v>78</v>
      </c>
      <c r="D1727" s="18">
        <f>+D1725-D1726</f>
        <v>0</v>
      </c>
      <c r="E1727" s="18"/>
      <c r="F1727" s="18">
        <f>+F1725-F1726</f>
        <v>338.8000000000029</v>
      </c>
      <c r="G1727" s="18">
        <f>+G1725-G1726</f>
        <v>0</v>
      </c>
      <c r="I1727" s="18">
        <f aca="true" t="shared" si="211" ref="I1727:O1727">+I1725-I1726</f>
        <v>0</v>
      </c>
      <c r="J1727" s="18">
        <f t="shared" si="211"/>
        <v>0</v>
      </c>
      <c r="K1727" s="18">
        <f t="shared" si="211"/>
        <v>-1961.039999999979</v>
      </c>
      <c r="L1727" s="18">
        <f t="shared" si="211"/>
        <v>97</v>
      </c>
      <c r="M1727" s="18">
        <f t="shared" si="211"/>
        <v>0</v>
      </c>
      <c r="N1727" s="18">
        <f t="shared" si="211"/>
        <v>0</v>
      </c>
      <c r="O1727" s="18">
        <f t="shared" si="211"/>
        <v>0</v>
      </c>
      <c r="Q1727" s="18">
        <f>+Q1725-Q1726</f>
        <v>0</v>
      </c>
      <c r="R1727" s="18">
        <f>+R1725-R1726</f>
        <v>0</v>
      </c>
      <c r="S1727" s="18"/>
      <c r="T1727" s="18">
        <f>+T1725-T1726</f>
        <v>0</v>
      </c>
      <c r="V1727" s="27">
        <f>+V1725-V1726</f>
        <v>-5699.770000001416</v>
      </c>
      <c r="W1727" s="27">
        <f>+W1725-W1726</f>
        <v>32602</v>
      </c>
      <c r="X1727" s="18">
        <f>+X1725-X1726</f>
        <v>-38301.770000001416</v>
      </c>
    </row>
    <row r="1728" spans="1:24" ht="28.5">
      <c r="A1728" s="4">
        <f>+A1727+1</f>
        <v>4</v>
      </c>
      <c r="B1728" s="88" t="s">
        <v>182</v>
      </c>
      <c r="C1728" s="11"/>
      <c r="D1728" s="18">
        <v>0</v>
      </c>
      <c r="E1728" s="18"/>
      <c r="F1728" s="18">
        <v>0</v>
      </c>
      <c r="G1728" s="18">
        <v>0</v>
      </c>
      <c r="I1728" s="18">
        <v>0</v>
      </c>
      <c r="J1728" s="27">
        <v>0</v>
      </c>
      <c r="K1728" s="18">
        <v>0</v>
      </c>
      <c r="L1728" s="18">
        <v>0</v>
      </c>
      <c r="M1728" s="18">
        <v>0</v>
      </c>
      <c r="N1728" s="18">
        <v>0</v>
      </c>
      <c r="O1728" s="18">
        <v>0</v>
      </c>
      <c r="Q1728" s="18">
        <v>0</v>
      </c>
      <c r="R1728" s="18">
        <v>0</v>
      </c>
      <c r="S1728" s="18"/>
      <c r="T1728" s="18">
        <v>0</v>
      </c>
      <c r="V1728" s="18">
        <f>+V1710+D1728+F1728+G1728+I1728+J1728+K1728+L1728+M1728+N1728+O1728+Q1728+R1728+T1728</f>
        <v>0</v>
      </c>
      <c r="W1728" s="18">
        <f>+W1710</f>
        <v>0</v>
      </c>
      <c r="X1728" s="18">
        <f>+V1728-W1728</f>
        <v>0</v>
      </c>
    </row>
    <row r="1729" spans="1:24" ht="24.75">
      <c r="A1729" s="4">
        <f>+A1728+1</f>
        <v>5</v>
      </c>
      <c r="B1729" s="89" t="s">
        <v>39</v>
      </c>
      <c r="C1729" s="40"/>
      <c r="D1729" s="27">
        <v>7</v>
      </c>
      <c r="E1729" s="18"/>
      <c r="F1729" s="27"/>
      <c r="G1729" s="27">
        <v>-2783</v>
      </c>
      <c r="I1729" s="27">
        <v>0</v>
      </c>
      <c r="J1729" s="27">
        <v>0</v>
      </c>
      <c r="K1729" s="27">
        <v>31415</v>
      </c>
      <c r="L1729" s="27">
        <v>0</v>
      </c>
      <c r="M1729" s="27">
        <v>-9206</v>
      </c>
      <c r="N1729" s="27">
        <v>0</v>
      </c>
      <c r="O1729" s="27">
        <v>-50600</v>
      </c>
      <c r="Q1729" s="27">
        <v>0</v>
      </c>
      <c r="R1729" s="27">
        <v>-19093</v>
      </c>
      <c r="S1729" s="27"/>
      <c r="T1729" s="27">
        <v>-51361</v>
      </c>
      <c r="V1729" s="18">
        <f>+V1711+D1729+F1729+G1729+I1729+J1729+K1729+L1729+M1729+N1729+O1729+Q1729+R1729+T1729</f>
        <v>-17594067.52</v>
      </c>
      <c r="W1729" s="18">
        <f>+W1711</f>
        <v>0</v>
      </c>
      <c r="X1729" s="18">
        <f>+V1729-W1729</f>
        <v>-17594067.52</v>
      </c>
    </row>
    <row r="1730" spans="1:24" ht="15">
      <c r="A1730" s="6" t="s">
        <v>41</v>
      </c>
      <c r="B1730" s="41"/>
      <c r="C1730" s="40"/>
      <c r="D1730" s="18"/>
      <c r="E1730" s="18"/>
      <c r="F1730" s="18"/>
      <c r="G1730" s="18"/>
      <c r="I1730" s="18"/>
      <c r="J1730" s="18"/>
      <c r="K1730" s="27"/>
      <c r="L1730" s="18"/>
      <c r="M1730" s="18"/>
      <c r="N1730" s="18"/>
      <c r="O1730" s="18"/>
      <c r="Q1730" s="18"/>
      <c r="R1730" s="18"/>
      <c r="S1730" s="18"/>
      <c r="T1730" s="18"/>
      <c r="V1730" s="18"/>
      <c r="W1730" s="18"/>
      <c r="X1730" s="18"/>
    </row>
    <row r="1731" spans="1:24" ht="15">
      <c r="A1731" s="4">
        <f>+A1729+1</f>
        <v>6</v>
      </c>
      <c r="B1731" s="5" t="s">
        <v>42</v>
      </c>
      <c r="C1731" s="22" t="s">
        <v>38</v>
      </c>
      <c r="D1731" s="18">
        <v>0</v>
      </c>
      <c r="E1731" s="18"/>
      <c r="F1731" s="18">
        <v>0</v>
      </c>
      <c r="G1731" s="18">
        <v>0</v>
      </c>
      <c r="I1731" s="18">
        <v>0</v>
      </c>
      <c r="J1731" s="18">
        <v>0</v>
      </c>
      <c r="K1731" s="46">
        <f>209440.85-904569.46+162125.76</f>
        <v>-533002.85</v>
      </c>
      <c r="L1731" s="27">
        <v>-7226</v>
      </c>
      <c r="M1731" s="18">
        <v>0</v>
      </c>
      <c r="N1731" s="18">
        <v>0</v>
      </c>
      <c r="O1731" s="18">
        <v>0</v>
      </c>
      <c r="P1731" s="18"/>
      <c r="Q1731" s="18">
        <v>0</v>
      </c>
      <c r="R1731" s="18">
        <v>0</v>
      </c>
      <c r="S1731" s="18"/>
      <c r="T1731" s="18">
        <v>0</v>
      </c>
      <c r="U1731" s="18"/>
      <c r="V1731" s="18">
        <f>+V1713+D1731+F1731+G1731+I1731+J1731+K1731+L1731+M1731+N1731+O1731+Q1731+R1731+T1731</f>
        <v>55090874.56999999</v>
      </c>
      <c r="W1731" s="18">
        <f>+W1713</f>
        <v>19422522.96</v>
      </c>
      <c r="X1731" s="18">
        <f>+V1731-W1731</f>
        <v>35668351.60999999</v>
      </c>
    </row>
    <row r="1732" spans="1:24" ht="15">
      <c r="A1732" s="4">
        <f>+A1731+1</f>
        <v>7</v>
      </c>
      <c r="B1732" s="5" t="s">
        <v>43</v>
      </c>
      <c r="C1732" s="11"/>
      <c r="D1732" s="18">
        <v>0</v>
      </c>
      <c r="E1732" s="18"/>
      <c r="F1732" s="18">
        <v>0</v>
      </c>
      <c r="G1732" s="18">
        <v>0</v>
      </c>
      <c r="I1732" s="18">
        <v>0</v>
      </c>
      <c r="J1732" s="18">
        <v>0</v>
      </c>
      <c r="K1732" s="18">
        <v>0</v>
      </c>
      <c r="L1732" s="18">
        <v>0</v>
      </c>
      <c r="M1732" s="18">
        <v>0</v>
      </c>
      <c r="N1732" s="18">
        <v>0</v>
      </c>
      <c r="O1732" s="18">
        <v>0</v>
      </c>
      <c r="P1732" s="18"/>
      <c r="Q1732" s="18">
        <v>0</v>
      </c>
      <c r="R1732" s="18">
        <v>0</v>
      </c>
      <c r="S1732" s="18"/>
      <c r="T1732" s="18">
        <v>0</v>
      </c>
      <c r="U1732" s="18"/>
      <c r="V1732" s="18">
        <f>+V1714+D1732+F1732+G1732+I1732+J1732+K1732+L1732+M1732+N1732+O1732+Q1732+R1732+T1732</f>
        <v>0</v>
      </c>
      <c r="W1732" s="18">
        <f>+W1714</f>
        <v>0</v>
      </c>
      <c r="X1732" s="18">
        <f>+V1732-W1732</f>
        <v>0</v>
      </c>
    </row>
    <row r="1733" spans="1:24" ht="26.25">
      <c r="A1733" s="4">
        <f>+A1732+1</f>
        <v>8</v>
      </c>
      <c r="B1733" s="24" t="s">
        <v>79</v>
      </c>
      <c r="C1733" s="11"/>
      <c r="D1733" s="18">
        <f>+D1731-D1732</f>
        <v>0</v>
      </c>
      <c r="E1733" s="18"/>
      <c r="F1733" s="18">
        <f>+F1731-F1732</f>
        <v>0</v>
      </c>
      <c r="G1733" s="18">
        <f>+G1731-G1732</f>
        <v>0</v>
      </c>
      <c r="I1733" s="18">
        <f aca="true" t="shared" si="212" ref="I1733:O1733">+I1731-I1732</f>
        <v>0</v>
      </c>
      <c r="J1733" s="18">
        <f t="shared" si="212"/>
        <v>0</v>
      </c>
      <c r="K1733" s="18">
        <f t="shared" si="212"/>
        <v>-533002.85</v>
      </c>
      <c r="L1733" s="18">
        <f t="shared" si="212"/>
        <v>-7226</v>
      </c>
      <c r="M1733" s="18">
        <f t="shared" si="212"/>
        <v>0</v>
      </c>
      <c r="N1733" s="18">
        <f t="shared" si="212"/>
        <v>0</v>
      </c>
      <c r="O1733" s="18">
        <f t="shared" si="212"/>
        <v>0</v>
      </c>
      <c r="P1733" s="18"/>
      <c r="Q1733" s="18">
        <f>+Q1731-Q1732</f>
        <v>0</v>
      </c>
      <c r="R1733" s="18">
        <f>+R1731-R1732</f>
        <v>0</v>
      </c>
      <c r="S1733" s="18"/>
      <c r="T1733" s="18">
        <f>+T1731-T1732</f>
        <v>0</v>
      </c>
      <c r="U1733" s="18"/>
      <c r="V1733" s="27">
        <f>+V1731-V1732</f>
        <v>55090874.56999999</v>
      </c>
      <c r="W1733" s="27">
        <f>+W1731-W1732</f>
        <v>19422522.96</v>
      </c>
      <c r="X1733" s="18">
        <f>+X1731-X1732</f>
        <v>35668351.60999999</v>
      </c>
    </row>
    <row r="1734" spans="1:24" ht="28.5">
      <c r="A1734" s="4">
        <f>+A1733+1</f>
        <v>9</v>
      </c>
      <c r="B1734" s="88" t="s">
        <v>181</v>
      </c>
      <c r="C1734" s="11"/>
      <c r="D1734" s="18">
        <v>0</v>
      </c>
      <c r="E1734" s="18"/>
      <c r="F1734" s="18">
        <v>0</v>
      </c>
      <c r="G1734" s="18">
        <v>0</v>
      </c>
      <c r="I1734" s="18">
        <v>0</v>
      </c>
      <c r="J1734" s="18">
        <v>0</v>
      </c>
      <c r="K1734" s="18">
        <v>0</v>
      </c>
      <c r="L1734" s="18">
        <v>0</v>
      </c>
      <c r="M1734" s="18">
        <v>0</v>
      </c>
      <c r="N1734" s="18">
        <v>0</v>
      </c>
      <c r="O1734" s="18">
        <v>0</v>
      </c>
      <c r="P1734" s="18"/>
      <c r="Q1734" s="18">
        <v>0</v>
      </c>
      <c r="R1734" s="18">
        <v>0</v>
      </c>
      <c r="S1734" s="18"/>
      <c r="T1734" s="18">
        <v>0</v>
      </c>
      <c r="U1734" s="18"/>
      <c r="V1734" s="18">
        <f>+V1716+D1734+F1734+G1734+I1734+J1734+K1734+L1734+M1734+N1734+O1734+Q1734+R1734+T1734</f>
        <v>0</v>
      </c>
      <c r="W1734" s="18">
        <f>+W1716</f>
        <v>0</v>
      </c>
      <c r="X1734" s="18">
        <f>+V1734-W1734</f>
        <v>0</v>
      </c>
    </row>
    <row r="1735" spans="1:24" ht="15">
      <c r="A1735" s="4">
        <f>+A1734+1</f>
        <v>10</v>
      </c>
      <c r="B1735" s="24" t="s">
        <v>46</v>
      </c>
      <c r="C1735" s="11" t="s">
        <v>47</v>
      </c>
      <c r="D1735" s="18">
        <f>+D1727+D1728+D1733+D1734+D1729</f>
        <v>7</v>
      </c>
      <c r="E1735" s="18"/>
      <c r="F1735" s="18">
        <f>+F1727+F1728+F1733+F1734+F1729</f>
        <v>338.8000000000029</v>
      </c>
      <c r="G1735" s="18">
        <f>+G1727+G1728+G1733+G1734+G1729</f>
        <v>-2783</v>
      </c>
      <c r="I1735" s="18">
        <f aca="true" t="shared" si="213" ref="I1735:O1735">+I1727+I1728+I1733+I1734+I1729</f>
        <v>0</v>
      </c>
      <c r="J1735" s="18">
        <f t="shared" si="213"/>
        <v>0</v>
      </c>
      <c r="K1735" s="18">
        <f t="shared" si="213"/>
        <v>-503548.8899999999</v>
      </c>
      <c r="L1735" s="18">
        <f t="shared" si="213"/>
        <v>-7129</v>
      </c>
      <c r="M1735" s="18">
        <f t="shared" si="213"/>
        <v>-9206</v>
      </c>
      <c r="N1735" s="18">
        <f t="shared" si="213"/>
        <v>0</v>
      </c>
      <c r="O1735" s="18">
        <f t="shared" si="213"/>
        <v>-50600</v>
      </c>
      <c r="P1735" s="42"/>
      <c r="Q1735" s="18">
        <f>+Q1727+Q1728+Q1733+Q1734+Q1729</f>
        <v>0</v>
      </c>
      <c r="R1735" s="18">
        <f>+R1727+R1728+R1733+R1734+R1729</f>
        <v>-19093</v>
      </c>
      <c r="S1735" s="18"/>
      <c r="T1735" s="18">
        <f>+T1727+T1728+T1733+T1734+T1729</f>
        <v>-51361</v>
      </c>
      <c r="U1735" s="42"/>
      <c r="V1735" s="18">
        <f>+V1727+V1728+V1733+V1734+V1729</f>
        <v>37491107.27999999</v>
      </c>
      <c r="W1735" s="18">
        <f>+W1727+W1728+W1733+W1734+W1729</f>
        <v>19455124.96</v>
      </c>
      <c r="X1735" s="18">
        <f>+X1727+X1728+X1733+X1734+X1729</f>
        <v>18035982.31999999</v>
      </c>
    </row>
    <row r="1736" spans="1:24" ht="15">
      <c r="A1736" s="4"/>
      <c r="B1736" s="24"/>
      <c r="C1736" s="11"/>
      <c r="D1736" s="18"/>
      <c r="E1736" s="18"/>
      <c r="F1736" s="18"/>
      <c r="G1736" s="18"/>
      <c r="I1736" s="18"/>
      <c r="J1736" s="18"/>
      <c r="K1736" s="27" t="s">
        <v>0</v>
      </c>
      <c r="L1736" s="18"/>
      <c r="M1736" s="18"/>
      <c r="N1736" s="18"/>
      <c r="O1736" s="18"/>
      <c r="P1736" s="42"/>
      <c r="Q1736" s="18"/>
      <c r="R1736" s="18"/>
      <c r="S1736" s="18"/>
      <c r="T1736" s="18"/>
      <c r="U1736" s="42"/>
      <c r="V1736" s="18"/>
      <c r="W1736" s="18"/>
      <c r="X1736" s="18"/>
    </row>
    <row r="1737" spans="1:24" ht="15">
      <c r="A1737" s="4"/>
      <c r="B1737" s="24"/>
      <c r="C1737" s="11"/>
      <c r="D1737" s="18"/>
      <c r="E1737" s="18"/>
      <c r="F1737" s="18"/>
      <c r="G1737" s="18"/>
      <c r="I1737" s="18"/>
      <c r="J1737" s="18"/>
      <c r="K1737" s="27" t="s">
        <v>0</v>
      </c>
      <c r="L1737" s="18"/>
      <c r="M1737" s="18"/>
      <c r="N1737" s="18"/>
      <c r="O1737" s="18"/>
      <c r="P1737" s="42"/>
      <c r="Q1737" s="18"/>
      <c r="R1737" s="18"/>
      <c r="S1737" s="18"/>
      <c r="T1737" s="18"/>
      <c r="U1737" s="42"/>
      <c r="V1737" s="18"/>
      <c r="W1737" s="18"/>
      <c r="X1737" s="18"/>
    </row>
    <row r="1738" spans="1:24" ht="15">
      <c r="A1738" s="4"/>
      <c r="B1738" s="24"/>
      <c r="C1738" s="11"/>
      <c r="D1738" s="18"/>
      <c r="E1738" s="18"/>
      <c r="F1738" s="18"/>
      <c r="G1738" s="18"/>
      <c r="I1738" s="18"/>
      <c r="J1738" s="18"/>
      <c r="K1738" s="18"/>
      <c r="L1738" s="18"/>
      <c r="M1738" s="18"/>
      <c r="N1738" s="18"/>
      <c r="O1738" s="18"/>
      <c r="P1738" s="42"/>
      <c r="Q1738" s="18"/>
      <c r="R1738" s="18"/>
      <c r="S1738" s="18"/>
      <c r="T1738" s="18"/>
      <c r="U1738" s="42"/>
      <c r="V1738" s="18"/>
      <c r="W1738" s="18"/>
      <c r="X1738" s="18"/>
    </row>
    <row r="1739" spans="1:24" ht="15">
      <c r="A1739" s="4"/>
      <c r="B1739" s="24"/>
      <c r="C1739" s="11"/>
      <c r="D1739" s="18"/>
      <c r="E1739" s="18"/>
      <c r="F1739" s="18"/>
      <c r="G1739" s="18"/>
      <c r="I1739" s="18"/>
      <c r="J1739" s="18"/>
      <c r="K1739" s="18"/>
      <c r="L1739" s="18"/>
      <c r="M1739" s="18"/>
      <c r="N1739" s="18"/>
      <c r="O1739" s="18"/>
      <c r="P1739" s="42"/>
      <c r="Q1739" s="18"/>
      <c r="R1739" s="18"/>
      <c r="S1739" s="18"/>
      <c r="T1739" s="18"/>
      <c r="U1739" s="42"/>
      <c r="V1739" s="18"/>
      <c r="W1739" s="18"/>
      <c r="X1739" s="18"/>
    </row>
    <row r="1740" spans="1:24" ht="15">
      <c r="A1740" s="4"/>
      <c r="B1740" s="24"/>
      <c r="C1740" s="11"/>
      <c r="D1740" s="18"/>
      <c r="E1740" s="18"/>
      <c r="F1740" s="18"/>
      <c r="G1740" s="18"/>
      <c r="I1740" s="18"/>
      <c r="J1740" s="18"/>
      <c r="K1740" s="18"/>
      <c r="L1740" s="18"/>
      <c r="M1740" s="18"/>
      <c r="N1740" s="18"/>
      <c r="O1740" s="18"/>
      <c r="P1740" s="42"/>
      <c r="Q1740" s="18"/>
      <c r="R1740" s="18"/>
      <c r="S1740" s="18"/>
      <c r="T1740" s="18"/>
      <c r="U1740" s="42"/>
      <c r="V1740" s="18"/>
      <c r="W1740" s="18"/>
      <c r="X1740" s="18"/>
    </row>
    <row r="1741" spans="1:24" ht="15">
      <c r="A1741" s="4"/>
      <c r="B1741" s="24"/>
      <c r="C1741" s="11"/>
      <c r="D1741" s="18"/>
      <c r="E1741" s="18"/>
      <c r="F1741" s="18"/>
      <c r="G1741" s="18"/>
      <c r="I1741" s="18"/>
      <c r="J1741" s="18"/>
      <c r="K1741" s="18"/>
      <c r="L1741" s="18"/>
      <c r="M1741" s="18"/>
      <c r="N1741" s="18"/>
      <c r="O1741" s="18"/>
      <c r="P1741" s="42"/>
      <c r="Q1741" s="18"/>
      <c r="R1741" s="18"/>
      <c r="S1741" s="18"/>
      <c r="T1741" s="18"/>
      <c r="U1741" s="42"/>
      <c r="V1741" s="18"/>
      <c r="W1741" s="18"/>
      <c r="X1741" s="18"/>
    </row>
    <row r="1742" spans="1:24" ht="15">
      <c r="A1742" s="4"/>
      <c r="B1742" s="24"/>
      <c r="C1742" s="11"/>
      <c r="D1742" s="18"/>
      <c r="E1742" s="18"/>
      <c r="F1742" s="18"/>
      <c r="G1742" s="18"/>
      <c r="I1742" s="18"/>
      <c r="J1742" s="18"/>
      <c r="K1742" s="18"/>
      <c r="L1742" s="18"/>
      <c r="M1742" s="18"/>
      <c r="N1742" s="18"/>
      <c r="O1742" s="18"/>
      <c r="P1742" s="42"/>
      <c r="Q1742" s="18"/>
      <c r="R1742" s="18"/>
      <c r="S1742" s="18"/>
      <c r="T1742" s="18"/>
      <c r="U1742" s="42"/>
      <c r="V1742" s="18"/>
      <c r="W1742" s="18"/>
      <c r="X1742" s="18"/>
    </row>
    <row r="1743" spans="1:24" ht="15">
      <c r="A1743" s="4"/>
      <c r="B1743" s="24"/>
      <c r="C1743" s="11"/>
      <c r="D1743" s="10" t="s">
        <v>4</v>
      </c>
      <c r="E1743" s="10"/>
      <c r="F1743" s="10" t="s">
        <v>5</v>
      </c>
      <c r="G1743" s="10" t="s">
        <v>6</v>
      </c>
      <c r="H1743" s="10"/>
      <c r="I1743" s="10" t="s">
        <v>7</v>
      </c>
      <c r="J1743" s="10" t="s">
        <v>8</v>
      </c>
      <c r="K1743" s="10" t="s">
        <v>9</v>
      </c>
      <c r="L1743" s="10" t="s">
        <v>10</v>
      </c>
      <c r="M1743" s="10" t="s">
        <v>11</v>
      </c>
      <c r="N1743" s="10" t="s">
        <v>12</v>
      </c>
      <c r="O1743" s="10" t="s">
        <v>13</v>
      </c>
      <c r="P1743" s="10"/>
      <c r="Q1743" s="10" t="s">
        <v>14</v>
      </c>
      <c r="R1743" s="10" t="s">
        <v>15</v>
      </c>
      <c r="S1743" s="10"/>
      <c r="T1743" s="10" t="s">
        <v>16</v>
      </c>
      <c r="U1743" s="10"/>
      <c r="V1743" s="10" t="s">
        <v>17</v>
      </c>
      <c r="W1743" s="10" t="s">
        <v>18</v>
      </c>
      <c r="X1743" s="10" t="s">
        <v>19</v>
      </c>
    </row>
    <row r="1744" spans="1:23" ht="15">
      <c r="A1744" s="4"/>
      <c r="B1744" s="24"/>
      <c r="C1744" s="11"/>
      <c r="D1744" s="10" t="s">
        <v>20</v>
      </c>
      <c r="E1744" s="10"/>
      <c r="F1744" s="14" t="s">
        <v>21</v>
      </c>
      <c r="G1744" s="10"/>
      <c r="I1744" s="39" t="s">
        <v>110</v>
      </c>
      <c r="J1744" s="47" t="s">
        <v>111</v>
      </c>
      <c r="K1744" s="39"/>
      <c r="L1744" s="10" t="s">
        <v>20</v>
      </c>
      <c r="M1744" s="10" t="s">
        <v>20</v>
      </c>
      <c r="N1744" s="10" t="s">
        <v>20</v>
      </c>
      <c r="O1744" s="10" t="s">
        <v>20</v>
      </c>
      <c r="P1744" s="42"/>
      <c r="Q1744" s="10" t="s">
        <v>20</v>
      </c>
      <c r="R1744" s="10" t="s">
        <v>20</v>
      </c>
      <c r="S1744" s="48"/>
      <c r="T1744" s="10" t="s">
        <v>20</v>
      </c>
      <c r="U1744" s="42"/>
      <c r="W1744" s="39" t="s">
        <v>112</v>
      </c>
    </row>
    <row r="1745" spans="1:24" ht="15">
      <c r="A1745" s="4"/>
      <c r="B1745" s="87" t="s">
        <v>183</v>
      </c>
      <c r="C1745" s="11"/>
      <c r="D1745" s="8" t="s">
        <v>113</v>
      </c>
      <c r="E1745" s="6"/>
      <c r="F1745" s="6" t="s">
        <v>114</v>
      </c>
      <c r="G1745" s="49" t="s">
        <v>22</v>
      </c>
      <c r="I1745" s="8" t="s">
        <v>113</v>
      </c>
      <c r="J1745" s="6" t="s">
        <v>114</v>
      </c>
      <c r="K1745" s="49" t="s">
        <v>24</v>
      </c>
      <c r="L1745" s="13" t="s">
        <v>115</v>
      </c>
      <c r="M1745" s="13" t="s">
        <v>116</v>
      </c>
      <c r="N1745" s="13" t="s">
        <v>117</v>
      </c>
      <c r="O1745" s="13" t="s">
        <v>118</v>
      </c>
      <c r="P1745" s="42"/>
      <c r="Q1745" s="13" t="s">
        <v>119</v>
      </c>
      <c r="R1745" s="13" t="s">
        <v>120</v>
      </c>
      <c r="T1745" s="13" t="s">
        <v>121</v>
      </c>
      <c r="U1745" s="42"/>
      <c r="V1745" s="10" t="s">
        <v>20</v>
      </c>
      <c r="W1745" s="10" t="s">
        <v>21</v>
      </c>
      <c r="X1745" s="10" t="s">
        <v>22</v>
      </c>
    </row>
    <row r="1746" spans="1:24" ht="15">
      <c r="A1746" s="4"/>
      <c r="B1746" s="24"/>
      <c r="C1746" s="11"/>
      <c r="D1746" s="18"/>
      <c r="E1746" s="18"/>
      <c r="F1746" s="18"/>
      <c r="G1746" s="18"/>
      <c r="I1746" s="72" t="s">
        <v>0</v>
      </c>
      <c r="K1746" s="42"/>
      <c r="L1746" s="42"/>
      <c r="N1746" s="42"/>
      <c r="O1746" s="18"/>
      <c r="P1746" s="42"/>
      <c r="U1746" s="42"/>
      <c r="V1746" s="18"/>
      <c r="W1746" s="39" t="s">
        <v>122</v>
      </c>
      <c r="X1746" s="18"/>
    </row>
    <row r="1747" spans="1:24" ht="15">
      <c r="A1747" s="4">
        <f>+A1715+1</f>
        <v>19</v>
      </c>
      <c r="B1747" s="5" t="s">
        <v>36</v>
      </c>
      <c r="C1747" s="17" t="s">
        <v>37</v>
      </c>
      <c r="D1747" s="27">
        <f>351135.74+827055</f>
        <v>1178190.74</v>
      </c>
      <c r="E1747" s="18" t="s">
        <v>0</v>
      </c>
      <c r="F1747" s="27">
        <f>428803.13+18</f>
        <v>428821.13</v>
      </c>
      <c r="G1747" s="18">
        <f>D1747-F1747</f>
        <v>749369.61</v>
      </c>
      <c r="I1747" s="27">
        <v>-482</v>
      </c>
      <c r="J1747" s="27">
        <v>155</v>
      </c>
      <c r="K1747" s="36">
        <f>+I1747-J1747</f>
        <v>-637</v>
      </c>
      <c r="L1747" s="18">
        <v>0</v>
      </c>
      <c r="M1747" s="27">
        <v>-194685</v>
      </c>
      <c r="N1747" s="27">
        <f>1843+40331</f>
        <v>42174</v>
      </c>
      <c r="O1747" s="18">
        <v>0</v>
      </c>
      <c r="P1747" s="42"/>
      <c r="Q1747" s="31">
        <v>0</v>
      </c>
      <c r="R1747" s="18">
        <v>0</v>
      </c>
      <c r="S1747" s="18"/>
      <c r="T1747" s="18">
        <v>0</v>
      </c>
      <c r="U1747" s="42"/>
      <c r="V1747" s="31">
        <f>+D1747+I1747+L1747+M1747+N1747+O1747+Q1747+R1747+T1747</f>
        <v>1025197.74</v>
      </c>
      <c r="W1747" s="18">
        <f>+F1747+J1747</f>
        <v>428976.13</v>
      </c>
      <c r="X1747" s="18">
        <f>+V1747-W1747</f>
        <v>596221.61</v>
      </c>
    </row>
    <row r="1748" spans="1:24" ht="15">
      <c r="A1748" s="4">
        <f>+A1747+1</f>
        <v>20</v>
      </c>
      <c r="B1748" s="5" t="s">
        <v>36</v>
      </c>
      <c r="C1748" s="22" t="s">
        <v>38</v>
      </c>
      <c r="D1748" s="27">
        <v>1183697</v>
      </c>
      <c r="E1748" s="18" t="s">
        <v>0</v>
      </c>
      <c r="F1748" s="27">
        <v>420025</v>
      </c>
      <c r="G1748" s="18">
        <f>D1748-F1748</f>
        <v>763672</v>
      </c>
      <c r="I1748" s="27">
        <v>-482</v>
      </c>
      <c r="J1748" s="31">
        <v>155</v>
      </c>
      <c r="K1748" s="36">
        <f>+I1748-J1748</f>
        <v>-637</v>
      </c>
      <c r="L1748" s="18">
        <v>0</v>
      </c>
      <c r="M1748" s="27">
        <v>-224139</v>
      </c>
      <c r="N1748" s="27">
        <f>1843.97+38235.09</f>
        <v>40079.06</v>
      </c>
      <c r="O1748" s="18">
        <v>0</v>
      </c>
      <c r="P1748" s="42"/>
      <c r="Q1748" s="31">
        <v>0</v>
      </c>
      <c r="R1748" s="18">
        <v>0</v>
      </c>
      <c r="S1748" s="18"/>
      <c r="T1748" s="18">
        <v>0</v>
      </c>
      <c r="U1748" s="42"/>
      <c r="V1748" s="31">
        <f>+D1748+I1748+L1748+M1748+N1748+O1748+Q1748+R1748+T1748</f>
        <v>999155.06</v>
      </c>
      <c r="W1748" s="18">
        <f>+F1748+J1748</f>
        <v>420180</v>
      </c>
      <c r="X1748" s="18">
        <f>+V1748-W1748</f>
        <v>578975.06</v>
      </c>
    </row>
    <row r="1749" spans="1:24" ht="15">
      <c r="A1749" s="4">
        <f>+A1748+1</f>
        <v>21</v>
      </c>
      <c r="B1749" s="24" t="s">
        <v>46</v>
      </c>
      <c r="C1749" s="40" t="s">
        <v>78</v>
      </c>
      <c r="D1749" s="18">
        <f>+D1747-D1748</f>
        <v>-5506.260000000009</v>
      </c>
      <c r="E1749" s="18"/>
      <c r="F1749" s="18">
        <f>+F1747-F1748</f>
        <v>8796.130000000005</v>
      </c>
      <c r="G1749" s="18">
        <f>+G1747-G1748</f>
        <v>-14302.390000000014</v>
      </c>
      <c r="I1749" s="18">
        <f>+I1747-I1748</f>
        <v>0</v>
      </c>
      <c r="J1749" s="18">
        <f>+J1747-J1748</f>
        <v>0</v>
      </c>
      <c r="K1749" s="18">
        <f>K1747-K1748</f>
        <v>0</v>
      </c>
      <c r="L1749" s="18">
        <f>+L1747-L1748</f>
        <v>0</v>
      </c>
      <c r="M1749" s="18">
        <f>+M1747-M1748</f>
        <v>29454</v>
      </c>
      <c r="N1749" s="18">
        <f>+N1747-N1748</f>
        <v>2094.9400000000023</v>
      </c>
      <c r="O1749" s="18">
        <f>+O1747-O1748</f>
        <v>0</v>
      </c>
      <c r="P1749" s="42"/>
      <c r="Q1749" s="18">
        <f>+Q1747-Q1748</f>
        <v>0</v>
      </c>
      <c r="R1749" s="18">
        <f>+R1747-R1748</f>
        <v>0</v>
      </c>
      <c r="S1749" s="18"/>
      <c r="T1749" s="18">
        <f>+T1747-T1748</f>
        <v>0</v>
      </c>
      <c r="U1749" s="42"/>
      <c r="V1749" s="31">
        <f>+V1747-V1748</f>
        <v>26042.679999999935</v>
      </c>
      <c r="W1749" s="31">
        <f>+W1747-W1748</f>
        <v>8796.130000000005</v>
      </c>
      <c r="X1749" s="18">
        <f>+X1747-X1748</f>
        <v>17246.54999999993</v>
      </c>
    </row>
    <row r="1750" spans="1:24" ht="28.5">
      <c r="A1750" s="4">
        <f>+A1749+1</f>
        <v>22</v>
      </c>
      <c r="B1750" s="88" t="s">
        <v>182</v>
      </c>
      <c r="C1750" s="11"/>
      <c r="D1750" s="18">
        <v>0</v>
      </c>
      <c r="E1750" s="18"/>
      <c r="F1750" s="18">
        <v>0</v>
      </c>
      <c r="G1750" s="18">
        <f>+D1750-F1750</f>
        <v>0</v>
      </c>
      <c r="I1750" s="18">
        <v>0</v>
      </c>
      <c r="J1750" s="18">
        <v>0</v>
      </c>
      <c r="K1750" s="18">
        <f>+I1750-J1750</f>
        <v>0</v>
      </c>
      <c r="L1750" s="18">
        <v>0</v>
      </c>
      <c r="M1750" s="18">
        <v>0</v>
      </c>
      <c r="N1750" s="18">
        <f>+L1750-M1750</f>
        <v>0</v>
      </c>
      <c r="O1750" s="18">
        <v>0</v>
      </c>
      <c r="P1750" s="42"/>
      <c r="Q1750" s="18">
        <v>0</v>
      </c>
      <c r="R1750" s="18">
        <v>0</v>
      </c>
      <c r="S1750" s="18"/>
      <c r="T1750" s="18">
        <v>0</v>
      </c>
      <c r="U1750" s="42"/>
      <c r="V1750" s="31">
        <f>+D1750+I1750+L1750+M1750+N1750+O1750+Q1750+R1750+T1750</f>
        <v>0</v>
      </c>
      <c r="W1750" s="18">
        <f>+F1750+J1750</f>
        <v>0</v>
      </c>
      <c r="X1750" s="18">
        <f>+V1750-W1750</f>
        <v>0</v>
      </c>
    </row>
    <row r="1751" spans="1:24" ht="24.75">
      <c r="A1751" s="4">
        <f>+A1750+1</f>
        <v>23</v>
      </c>
      <c r="B1751" s="89" t="s">
        <v>39</v>
      </c>
      <c r="C1751" s="40"/>
      <c r="D1751" s="27">
        <f>40639+367</f>
        <v>41006</v>
      </c>
      <c r="E1751" s="18" t="s">
        <v>0</v>
      </c>
      <c r="F1751" s="27">
        <f>2527304-198-8796</f>
        <v>2518310</v>
      </c>
      <c r="G1751" s="18">
        <f>D1751-F1751</f>
        <v>-2477304</v>
      </c>
      <c r="I1751" s="27">
        <v>0</v>
      </c>
      <c r="J1751" s="27">
        <v>0</v>
      </c>
      <c r="K1751" s="18">
        <f>+I1751-J1751</f>
        <v>0</v>
      </c>
      <c r="L1751" s="18">
        <v>2572</v>
      </c>
      <c r="M1751" s="27">
        <v>925571</v>
      </c>
      <c r="N1751" s="27">
        <v>13706</v>
      </c>
      <c r="O1751" s="27">
        <v>-210345.67</v>
      </c>
      <c r="P1751" s="42"/>
      <c r="Q1751" s="55">
        <v>0</v>
      </c>
      <c r="R1751" s="21">
        <v>0</v>
      </c>
      <c r="S1751" s="18"/>
      <c r="T1751" s="18">
        <v>0</v>
      </c>
      <c r="U1751" s="42"/>
      <c r="V1751" s="31">
        <f>+D1751+I1751+M1751+N1751+L1751+O1751+Q1751+R1751+T1751</f>
        <v>772509.33</v>
      </c>
      <c r="W1751" s="18">
        <f>+F1751+J1751</f>
        <v>2518310</v>
      </c>
      <c r="X1751" s="36">
        <f>+V1751-W1751</f>
        <v>-1745800.67</v>
      </c>
    </row>
    <row r="1752" spans="1:24" ht="15">
      <c r="A1752" s="6" t="s">
        <v>41</v>
      </c>
      <c r="B1752" s="41"/>
      <c r="C1752" s="40"/>
      <c r="D1752" s="18"/>
      <c r="E1752" s="18"/>
      <c r="F1752" s="18" t="s">
        <v>0</v>
      </c>
      <c r="G1752" s="18"/>
      <c r="I1752" s="18"/>
      <c r="J1752" s="18"/>
      <c r="K1752" s="18"/>
      <c r="L1752" s="18"/>
      <c r="M1752" s="18"/>
      <c r="N1752" s="18"/>
      <c r="O1752" s="18"/>
      <c r="P1752" s="42"/>
      <c r="Q1752" s="18"/>
      <c r="R1752" s="18"/>
      <c r="S1752" s="18"/>
      <c r="T1752" s="18" t="s">
        <v>0</v>
      </c>
      <c r="U1752" s="42"/>
      <c r="V1752" s="30"/>
      <c r="W1752" s="30"/>
      <c r="X1752" s="36"/>
    </row>
    <row r="1753" spans="1:24" ht="15">
      <c r="A1753" s="4">
        <f>+A1751+1</f>
        <v>24</v>
      </c>
      <c r="B1753" s="5" t="s">
        <v>42</v>
      </c>
      <c r="C1753" s="22" t="s">
        <v>38</v>
      </c>
      <c r="D1753" s="27">
        <f>789944.5+872117.51</f>
        <v>1662062.01</v>
      </c>
      <c r="E1753" s="18" t="s">
        <v>0</v>
      </c>
      <c r="F1753" s="27">
        <v>477142.27</v>
      </c>
      <c r="G1753" s="18">
        <f>D1753-F1753</f>
        <v>1184919.74</v>
      </c>
      <c r="I1753" s="18">
        <v>-367</v>
      </c>
      <c r="J1753" s="26">
        <f>-284.74+482.47</f>
        <v>197.73000000000002</v>
      </c>
      <c r="K1753" s="18">
        <f>+I1753-J1753</f>
        <v>-564.73</v>
      </c>
      <c r="L1753" s="27">
        <v>0</v>
      </c>
      <c r="M1753" s="27">
        <v>431280</v>
      </c>
      <c r="N1753" s="27">
        <f>1819+34843.18</f>
        <v>36662.18</v>
      </c>
      <c r="O1753" s="18">
        <v>0</v>
      </c>
      <c r="P1753" s="42"/>
      <c r="Q1753" s="31">
        <v>0</v>
      </c>
      <c r="R1753" s="18">
        <v>0</v>
      </c>
      <c r="S1753" s="18" t="s">
        <v>0</v>
      </c>
      <c r="T1753" s="18">
        <v>0</v>
      </c>
      <c r="U1753" s="42"/>
      <c r="V1753" s="31">
        <f>+D1753+I1753+L1753+M1753+N1753+O1753+Q1753+R1753+T1753</f>
        <v>2129637.19</v>
      </c>
      <c r="W1753" s="18">
        <f>+F1753+J1753</f>
        <v>477340</v>
      </c>
      <c r="X1753" s="18">
        <f>+V1753-W1753</f>
        <v>1652297.19</v>
      </c>
    </row>
    <row r="1754" spans="1:24" ht="15">
      <c r="A1754" s="4">
        <f>+A1753+1</f>
        <v>25</v>
      </c>
      <c r="B1754" s="5" t="s">
        <v>43</v>
      </c>
      <c r="C1754" s="11"/>
      <c r="D1754" s="18"/>
      <c r="E1754" s="18"/>
      <c r="F1754" s="18">
        <v>0</v>
      </c>
      <c r="G1754" s="18">
        <f>+D1754-F1754</f>
        <v>0</v>
      </c>
      <c r="I1754" s="18">
        <v>0</v>
      </c>
      <c r="J1754" s="18">
        <v>0</v>
      </c>
      <c r="K1754" s="18">
        <f>+I1754-J1754</f>
        <v>0</v>
      </c>
      <c r="L1754" s="18">
        <v>0</v>
      </c>
      <c r="M1754" s="18">
        <v>0</v>
      </c>
      <c r="N1754" s="18">
        <f>+L1754-M1754</f>
        <v>0</v>
      </c>
      <c r="O1754" s="18">
        <v>0</v>
      </c>
      <c r="P1754" s="42"/>
      <c r="Q1754" s="18">
        <v>0</v>
      </c>
      <c r="R1754" s="18">
        <v>0</v>
      </c>
      <c r="S1754" s="18"/>
      <c r="T1754" s="18">
        <v>0</v>
      </c>
      <c r="U1754" s="42"/>
      <c r="V1754" s="31">
        <f>+D1754+I1754+L1754+O1754+Q1754+R1754+T1754</f>
        <v>0</v>
      </c>
      <c r="W1754" s="18">
        <f>+F1754+J1754+M1754</f>
        <v>0</v>
      </c>
      <c r="X1754" s="18">
        <f>+V1754-W1754</f>
        <v>0</v>
      </c>
    </row>
    <row r="1755" spans="1:24" ht="26.25">
      <c r="A1755" s="4">
        <f>+A1754+1</f>
        <v>26</v>
      </c>
      <c r="B1755" s="24" t="s">
        <v>79</v>
      </c>
      <c r="C1755" s="11"/>
      <c r="D1755" s="18">
        <f>+D1753-D1754</f>
        <v>1662062.01</v>
      </c>
      <c r="E1755" s="18"/>
      <c r="F1755" s="18">
        <f>+F1753-F1754</f>
        <v>477142.27</v>
      </c>
      <c r="G1755" s="18">
        <f>+G1753-G1754</f>
        <v>1184919.74</v>
      </c>
      <c r="I1755" s="18">
        <f aca="true" t="shared" si="214" ref="I1755:N1755">+I1753-I1754</f>
        <v>-367</v>
      </c>
      <c r="J1755" s="18">
        <f t="shared" si="214"/>
        <v>197.73000000000002</v>
      </c>
      <c r="K1755" s="18">
        <f t="shared" si="214"/>
        <v>-564.73</v>
      </c>
      <c r="L1755" s="18">
        <f t="shared" si="214"/>
        <v>0</v>
      </c>
      <c r="M1755" s="18">
        <f t="shared" si="214"/>
        <v>431280</v>
      </c>
      <c r="N1755" s="18">
        <f t="shared" si="214"/>
        <v>36662.18</v>
      </c>
      <c r="O1755" s="18">
        <v>0</v>
      </c>
      <c r="P1755" s="42"/>
      <c r="Q1755" s="18">
        <f>+Q1753-Q1754</f>
        <v>0</v>
      </c>
      <c r="R1755" s="18">
        <f>+R1753-R1754</f>
        <v>0</v>
      </c>
      <c r="S1755" s="18"/>
      <c r="T1755" s="18">
        <f>+T1753-T1754</f>
        <v>0</v>
      </c>
      <c r="U1755" s="42"/>
      <c r="V1755" s="27">
        <f>+V1753-V1754</f>
        <v>2129637.19</v>
      </c>
      <c r="W1755" s="27">
        <f>+W1753-W1754</f>
        <v>477340</v>
      </c>
      <c r="X1755" s="31">
        <f>+X1753-X1754</f>
        <v>1652297.19</v>
      </c>
    </row>
    <row r="1756" spans="1:24" ht="28.5">
      <c r="A1756" s="4">
        <f>+A1755+1</f>
        <v>27</v>
      </c>
      <c r="B1756" s="88" t="s">
        <v>181</v>
      </c>
      <c r="C1756" s="11"/>
      <c r="D1756" s="18">
        <v>0</v>
      </c>
      <c r="E1756" s="18"/>
      <c r="F1756" s="18">
        <v>0</v>
      </c>
      <c r="G1756" s="18">
        <f>+D1756-F1756</f>
        <v>0</v>
      </c>
      <c r="I1756" s="18">
        <v>0</v>
      </c>
      <c r="J1756" s="18">
        <v>0</v>
      </c>
      <c r="K1756" s="18">
        <f>+I1756-J1756</f>
        <v>0</v>
      </c>
      <c r="L1756" s="18">
        <v>0</v>
      </c>
      <c r="M1756" s="18">
        <v>0</v>
      </c>
      <c r="N1756" s="18">
        <f>+L1756-M1756</f>
        <v>0</v>
      </c>
      <c r="O1756" s="18">
        <v>0</v>
      </c>
      <c r="P1756" s="42"/>
      <c r="Q1756" s="18">
        <v>0</v>
      </c>
      <c r="R1756" s="18">
        <v>0</v>
      </c>
      <c r="S1756" s="18"/>
      <c r="T1756" s="18">
        <v>0</v>
      </c>
      <c r="U1756" s="42"/>
      <c r="V1756" s="31">
        <f>+D1756+I1756+L1756+O1756+Q1756+R1756+T1756</f>
        <v>0</v>
      </c>
      <c r="W1756" s="18">
        <f>+F1756+J1756+M1756</f>
        <v>0</v>
      </c>
      <c r="X1756" s="18">
        <f>+V1756-W1756</f>
        <v>0</v>
      </c>
    </row>
    <row r="1757" spans="1:24" ht="15">
      <c r="A1757" s="4">
        <f>+A1756+1</f>
        <v>28</v>
      </c>
      <c r="B1757" s="24" t="s">
        <v>46</v>
      </c>
      <c r="C1757" s="11" t="s">
        <v>47</v>
      </c>
      <c r="D1757" s="51">
        <f>+D1749+D1750+D1755+D1756+D1751</f>
        <v>1697561.75</v>
      </c>
      <c r="E1757" s="18"/>
      <c r="F1757" s="52">
        <f>+F1749+F1750+F1755+F1756+F1751</f>
        <v>3004248.4</v>
      </c>
      <c r="G1757" s="18">
        <f>+G1749+G1750+G1755+G1756+G1751</f>
        <v>-1306686.65</v>
      </c>
      <c r="I1757" s="51">
        <f aca="true" t="shared" si="215" ref="I1757:O1757">+I1749+I1750+I1755+I1756+I1751</f>
        <v>-367</v>
      </c>
      <c r="J1757" s="52">
        <f t="shared" si="215"/>
        <v>197.73000000000002</v>
      </c>
      <c r="K1757" s="18">
        <f t="shared" si="215"/>
        <v>-564.73</v>
      </c>
      <c r="L1757" s="18">
        <f t="shared" si="215"/>
        <v>2572</v>
      </c>
      <c r="M1757" s="18">
        <f t="shared" si="215"/>
        <v>1386305</v>
      </c>
      <c r="N1757" s="18">
        <f t="shared" si="215"/>
        <v>52463.12</v>
      </c>
      <c r="O1757" s="18">
        <f t="shared" si="215"/>
        <v>-210345.67</v>
      </c>
      <c r="P1757" s="42"/>
      <c r="Q1757" s="18">
        <f>+Q1749+Q1750+Q1755+Q1756+Q1751</f>
        <v>0</v>
      </c>
      <c r="R1757" s="18">
        <f>+R1749+R1750+R1755+R1756+R1751</f>
        <v>0</v>
      </c>
      <c r="S1757" s="18"/>
      <c r="T1757" s="18">
        <f>+T1749+T1750+T1755+T1756+T1751</f>
        <v>0</v>
      </c>
      <c r="U1757" s="42"/>
      <c r="V1757" s="18">
        <f>+V1749+V1750+V1755+V1756+V1751</f>
        <v>2928189.2</v>
      </c>
      <c r="W1757" s="18">
        <f>+W1749+W1750+W1755+W1756+W1751</f>
        <v>3004446.13</v>
      </c>
      <c r="X1757" s="18">
        <f>+X1749+X1750+X1755+X1756+X1751</f>
        <v>-76256.93000000017</v>
      </c>
    </row>
    <row r="1758" spans="1:24" ht="15">
      <c r="A1758" s="4"/>
      <c r="B1758" s="24" t="s">
        <v>0</v>
      </c>
      <c r="C1758" s="11"/>
      <c r="D1758" s="27"/>
      <c r="E1758" s="18"/>
      <c r="F1758" s="27"/>
      <c r="G1758" s="18"/>
      <c r="I1758" s="18"/>
      <c r="J1758" s="18"/>
      <c r="K1758" s="18"/>
      <c r="L1758" s="18"/>
      <c r="M1758" s="42"/>
      <c r="N1758" s="73" t="s">
        <v>0</v>
      </c>
      <c r="O1758" s="42"/>
      <c r="P1758" s="42"/>
      <c r="Q1758" s="42"/>
      <c r="U1758" s="42"/>
      <c r="V1758" s="18"/>
      <c r="W1758" s="18"/>
      <c r="X1758" s="18"/>
    </row>
    <row r="1759" spans="1:24" ht="15">
      <c r="A1759" s="4"/>
      <c r="B1759" s="92"/>
      <c r="C1759" s="11"/>
      <c r="D1759" s="6" t="s">
        <v>48</v>
      </c>
      <c r="E1759" s="6"/>
      <c r="F1759" s="10" t="s">
        <v>49</v>
      </c>
      <c r="G1759" s="10" t="s">
        <v>50</v>
      </c>
      <c r="I1759" s="10" t="s">
        <v>51</v>
      </c>
      <c r="J1759" s="10" t="s">
        <v>52</v>
      </c>
      <c r="K1759" s="10" t="s">
        <v>53</v>
      </c>
      <c r="L1759" s="10" t="s">
        <v>54</v>
      </c>
      <c r="M1759" s="10" t="s">
        <v>55</v>
      </c>
      <c r="N1759" s="10" t="s">
        <v>56</v>
      </c>
      <c r="O1759" s="10" t="s">
        <v>57</v>
      </c>
      <c r="P1759" s="18"/>
      <c r="Q1759" s="10" t="s">
        <v>58</v>
      </c>
      <c r="R1759" s="10" t="s">
        <v>59</v>
      </c>
      <c r="S1759" s="10"/>
      <c r="T1759" s="10" t="s">
        <v>60</v>
      </c>
      <c r="U1759" s="18"/>
      <c r="V1759" s="10" t="s">
        <v>61</v>
      </c>
      <c r="W1759" s="10" t="s">
        <v>62</v>
      </c>
      <c r="X1759" s="10" t="s">
        <v>63</v>
      </c>
    </row>
    <row r="1760" spans="1:24" ht="15">
      <c r="A1760" s="4"/>
      <c r="B1760" s="24"/>
      <c r="C1760" s="11"/>
      <c r="D1760" s="14" t="s">
        <v>20</v>
      </c>
      <c r="E1760" s="18"/>
      <c r="F1760" s="14" t="s">
        <v>20</v>
      </c>
      <c r="G1760" s="14" t="s">
        <v>20</v>
      </c>
      <c r="I1760" s="14" t="s">
        <v>20</v>
      </c>
      <c r="J1760" s="14" t="s">
        <v>21</v>
      </c>
      <c r="K1760" s="14" t="s">
        <v>21</v>
      </c>
      <c r="L1760" s="14" t="s">
        <v>21</v>
      </c>
      <c r="M1760" s="14" t="s">
        <v>21</v>
      </c>
      <c r="N1760" s="14" t="s">
        <v>21</v>
      </c>
      <c r="O1760" s="14" t="s">
        <v>21</v>
      </c>
      <c r="P1760" s="14"/>
      <c r="Q1760" s="14" t="s">
        <v>21</v>
      </c>
      <c r="R1760" s="14" t="s">
        <v>21</v>
      </c>
      <c r="T1760" s="14" t="s">
        <v>21</v>
      </c>
      <c r="U1760" s="42"/>
      <c r="V1760" s="18"/>
      <c r="W1760" s="39" t="s">
        <v>123</v>
      </c>
      <c r="X1760" s="18"/>
    </row>
    <row r="1761" spans="1:24" ht="15">
      <c r="A1761" s="4"/>
      <c r="B1761" s="87" t="s">
        <v>183</v>
      </c>
      <c r="C1761" s="11"/>
      <c r="D1761" s="53" t="s">
        <v>124</v>
      </c>
      <c r="E1761" s="18"/>
      <c r="F1761" s="53" t="s">
        <v>125</v>
      </c>
      <c r="G1761" s="53" t="s">
        <v>126</v>
      </c>
      <c r="I1761" s="53" t="s">
        <v>127</v>
      </c>
      <c r="J1761" s="53" t="s">
        <v>128</v>
      </c>
      <c r="K1761" s="53" t="s">
        <v>129</v>
      </c>
      <c r="L1761" s="53" t="s">
        <v>130</v>
      </c>
      <c r="M1761" s="53" t="s">
        <v>131</v>
      </c>
      <c r="N1761" s="24" t="s">
        <v>132</v>
      </c>
      <c r="O1761" s="24" t="s">
        <v>98</v>
      </c>
      <c r="P1761" s="24"/>
      <c r="Q1761" s="24" t="s">
        <v>99</v>
      </c>
      <c r="R1761" s="24" t="s">
        <v>133</v>
      </c>
      <c r="S1761" s="42"/>
      <c r="T1761" s="24" t="s">
        <v>134</v>
      </c>
      <c r="U1761" s="42"/>
      <c r="V1761" s="10" t="s">
        <v>20</v>
      </c>
      <c r="W1761" s="10" t="s">
        <v>21</v>
      </c>
      <c r="X1761" s="10" t="s">
        <v>22</v>
      </c>
    </row>
    <row r="1762" spans="1:24" ht="15">
      <c r="A1762" s="4"/>
      <c r="B1762" s="24"/>
      <c r="C1762" s="11"/>
      <c r="D1762" s="18"/>
      <c r="E1762" s="18"/>
      <c r="F1762" s="18"/>
      <c r="I1762" s="18"/>
      <c r="J1762" s="18"/>
      <c r="O1762" s="42"/>
      <c r="P1762" s="42"/>
      <c r="Q1762" s="42"/>
      <c r="R1762" s="42"/>
      <c r="S1762" s="42"/>
      <c r="T1762" s="42"/>
      <c r="U1762" s="42"/>
      <c r="V1762" s="18"/>
      <c r="W1762" s="39"/>
      <c r="X1762" s="18"/>
    </row>
    <row r="1763" spans="1:24" ht="15">
      <c r="A1763" s="4">
        <f>+A1757+1</f>
        <v>29</v>
      </c>
      <c r="B1763" s="5" t="s">
        <v>36</v>
      </c>
      <c r="C1763" s="17" t="s">
        <v>37</v>
      </c>
      <c r="D1763" s="18">
        <v>0</v>
      </c>
      <c r="E1763" s="18"/>
      <c r="F1763" s="18">
        <v>0</v>
      </c>
      <c r="G1763" s="18">
        <v>0</v>
      </c>
      <c r="I1763" s="18">
        <v>0</v>
      </c>
      <c r="J1763" s="18">
        <v>0</v>
      </c>
      <c r="K1763" s="18">
        <v>0</v>
      </c>
      <c r="L1763" s="18">
        <v>0</v>
      </c>
      <c r="M1763" s="18">
        <v>0</v>
      </c>
      <c r="N1763" s="18">
        <v>0</v>
      </c>
      <c r="O1763" s="18">
        <v>0</v>
      </c>
      <c r="P1763" s="18"/>
      <c r="Q1763" s="18">
        <v>0</v>
      </c>
      <c r="R1763" s="18">
        <v>0</v>
      </c>
      <c r="S1763" s="42"/>
      <c r="T1763" s="18">
        <v>0</v>
      </c>
      <c r="U1763" s="42"/>
      <c r="V1763" s="18">
        <f>+V1747+D1763+F1763+G1763+I1763</f>
        <v>1025197.74</v>
      </c>
      <c r="W1763" s="18">
        <f>+W1747+J1763+K1763+L1763+M1763+N1763+O1763+Q1763+R1763+T1763</f>
        <v>428976.13</v>
      </c>
      <c r="X1763" s="18">
        <f>+V1763-W1763</f>
        <v>596221.61</v>
      </c>
    </row>
    <row r="1764" spans="1:24" ht="15">
      <c r="A1764" s="4">
        <f>+A1763+1</f>
        <v>30</v>
      </c>
      <c r="B1764" s="5" t="s">
        <v>36</v>
      </c>
      <c r="C1764" s="22" t="s">
        <v>38</v>
      </c>
      <c r="D1764" s="18">
        <v>0</v>
      </c>
      <c r="E1764" s="18"/>
      <c r="F1764" s="18">
        <v>0</v>
      </c>
      <c r="G1764" s="18">
        <v>0</v>
      </c>
      <c r="I1764" s="18">
        <v>0</v>
      </c>
      <c r="J1764" s="18">
        <v>0</v>
      </c>
      <c r="K1764" s="18">
        <v>0</v>
      </c>
      <c r="L1764" s="18">
        <v>0</v>
      </c>
      <c r="M1764" s="18">
        <v>0</v>
      </c>
      <c r="N1764" s="18">
        <v>0</v>
      </c>
      <c r="O1764" s="18">
        <v>0</v>
      </c>
      <c r="P1764" s="18"/>
      <c r="Q1764" s="18">
        <v>0</v>
      </c>
      <c r="R1764" s="18">
        <v>0</v>
      </c>
      <c r="S1764" s="42"/>
      <c r="T1764" s="18">
        <v>0</v>
      </c>
      <c r="U1764" s="42"/>
      <c r="V1764" s="18">
        <f>+V1748+D1764+F1764+G1764+I1764</f>
        <v>999155.06</v>
      </c>
      <c r="W1764" s="18">
        <f>+W1748+J1764+K1764+L1764+M1764+N1764+O1764+Q1764+R1764+T1764</f>
        <v>420180</v>
      </c>
      <c r="X1764" s="18">
        <f>+V1764-W1764</f>
        <v>578975.06</v>
      </c>
    </row>
    <row r="1765" spans="1:24" ht="15">
      <c r="A1765" s="4">
        <f>+A1764+1</f>
        <v>31</v>
      </c>
      <c r="B1765" s="24" t="s">
        <v>46</v>
      </c>
      <c r="C1765" s="40" t="s">
        <v>78</v>
      </c>
      <c r="D1765" s="18">
        <f>+D1763-D1764</f>
        <v>0</v>
      </c>
      <c r="E1765" s="18"/>
      <c r="F1765" s="18">
        <f>+F1763-F1764</f>
        <v>0</v>
      </c>
      <c r="G1765" s="18">
        <f>+G1763-G1764</f>
        <v>0</v>
      </c>
      <c r="I1765" s="18">
        <f aca="true" t="shared" si="216" ref="I1765:O1765">+I1763-I1764</f>
        <v>0</v>
      </c>
      <c r="J1765" s="18">
        <f t="shared" si="216"/>
        <v>0</v>
      </c>
      <c r="K1765" s="18">
        <f t="shared" si="216"/>
        <v>0</v>
      </c>
      <c r="L1765" s="18">
        <f t="shared" si="216"/>
        <v>0</v>
      </c>
      <c r="M1765" s="18">
        <f t="shared" si="216"/>
        <v>0</v>
      </c>
      <c r="N1765" s="18">
        <f t="shared" si="216"/>
        <v>0</v>
      </c>
      <c r="O1765" s="18">
        <f t="shared" si="216"/>
        <v>0</v>
      </c>
      <c r="P1765" s="18"/>
      <c r="Q1765" s="18">
        <f>+Q1763-Q1764</f>
        <v>0</v>
      </c>
      <c r="R1765" s="18">
        <f>+R1763-R1764</f>
        <v>0</v>
      </c>
      <c r="S1765" s="42"/>
      <c r="T1765" s="18">
        <f>+T1763-T1764</f>
        <v>0</v>
      </c>
      <c r="U1765" s="42"/>
      <c r="V1765" s="27">
        <f>+V1763-V1764</f>
        <v>26042.679999999935</v>
      </c>
      <c r="W1765" s="27">
        <f>+W1763-W1764</f>
        <v>8796.130000000005</v>
      </c>
      <c r="X1765" s="18">
        <f>+X1763-X1764</f>
        <v>17246.54999999993</v>
      </c>
    </row>
    <row r="1766" spans="1:24" ht="28.5">
      <c r="A1766" s="4">
        <f>+A1765+1</f>
        <v>32</v>
      </c>
      <c r="B1766" s="88" t="s">
        <v>182</v>
      </c>
      <c r="C1766" s="11"/>
      <c r="D1766" s="18">
        <v>0</v>
      </c>
      <c r="E1766" s="18"/>
      <c r="F1766" s="18">
        <v>0</v>
      </c>
      <c r="G1766" s="18">
        <v>0</v>
      </c>
      <c r="I1766" s="18">
        <v>0</v>
      </c>
      <c r="J1766" s="18">
        <v>0</v>
      </c>
      <c r="K1766" s="18">
        <v>0</v>
      </c>
      <c r="L1766" s="18">
        <v>0</v>
      </c>
      <c r="M1766" s="18">
        <v>0</v>
      </c>
      <c r="N1766" s="18">
        <v>0</v>
      </c>
      <c r="O1766" s="18">
        <v>0</v>
      </c>
      <c r="P1766" s="18"/>
      <c r="Q1766" s="18">
        <v>0</v>
      </c>
      <c r="R1766" s="18">
        <v>0</v>
      </c>
      <c r="S1766" s="42"/>
      <c r="T1766" s="18">
        <v>0</v>
      </c>
      <c r="U1766" s="42"/>
      <c r="V1766" s="18">
        <f>+V1750+D1766+F1766+G1766+I1766</f>
        <v>0</v>
      </c>
      <c r="W1766" s="18">
        <f>+W1750+J1766+K1766+L1766+M1766+N1766+O1766+Q1766+R1766+T1766</f>
        <v>0</v>
      </c>
      <c r="X1766" s="18">
        <f>+V1766-W1766</f>
        <v>0</v>
      </c>
    </row>
    <row r="1767" spans="1:24" ht="24.75">
      <c r="A1767" s="4">
        <f>+A1766+1</f>
        <v>33</v>
      </c>
      <c r="B1767" s="89" t="s">
        <v>39</v>
      </c>
      <c r="C1767" s="40"/>
      <c r="D1767" s="27">
        <v>49</v>
      </c>
      <c r="E1767" s="27" t="s">
        <v>0</v>
      </c>
      <c r="F1767" s="27">
        <v>69</v>
      </c>
      <c r="G1767" s="27">
        <v>0</v>
      </c>
      <c r="H1767" t="s">
        <v>0</v>
      </c>
      <c r="I1767" s="27">
        <v>0</v>
      </c>
      <c r="J1767" s="27">
        <v>176</v>
      </c>
      <c r="K1767" s="27">
        <v>0</v>
      </c>
      <c r="L1767" s="27">
        <v>0</v>
      </c>
      <c r="M1767" s="18">
        <v>0</v>
      </c>
      <c r="N1767" s="18">
        <v>0</v>
      </c>
      <c r="O1767" s="18">
        <v>0</v>
      </c>
      <c r="P1767" s="18"/>
      <c r="Q1767" s="18">
        <v>0</v>
      </c>
      <c r="R1767" s="18">
        <v>0</v>
      </c>
      <c r="S1767" s="42"/>
      <c r="T1767" s="18">
        <v>1241</v>
      </c>
      <c r="U1767" s="42"/>
      <c r="V1767" s="18">
        <f>+V1751+D1767+F1767+G1767+I1767</f>
        <v>772627.33</v>
      </c>
      <c r="W1767" s="18">
        <f>+W1751+J1767+K1767+L1767+M1767+N1767+O1767+Q1767+R1767+T1767</f>
        <v>2519727</v>
      </c>
      <c r="X1767" s="36">
        <f>+V1767-W1767</f>
        <v>-1747099.67</v>
      </c>
    </row>
    <row r="1768" spans="1:24" ht="15">
      <c r="A1768" s="6" t="s">
        <v>41</v>
      </c>
      <c r="B1768" s="41"/>
      <c r="C1768" s="40"/>
      <c r="D1768" s="18"/>
      <c r="E1768" s="18"/>
      <c r="F1768" s="18"/>
      <c r="G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42"/>
      <c r="T1768" s="18"/>
      <c r="U1768" s="42"/>
      <c r="V1768" s="18"/>
      <c r="W1768" s="54"/>
      <c r="X1768" s="36"/>
    </row>
    <row r="1769" spans="1:24" ht="15">
      <c r="A1769" s="4">
        <f>+A1767+1</f>
        <v>34</v>
      </c>
      <c r="B1769" s="5" t="s">
        <v>42</v>
      </c>
      <c r="C1769" s="22" t="s">
        <v>38</v>
      </c>
      <c r="D1769" s="18">
        <v>0</v>
      </c>
      <c r="E1769" s="18"/>
      <c r="F1769" s="18">
        <v>0</v>
      </c>
      <c r="G1769" s="18">
        <v>0</v>
      </c>
      <c r="I1769" s="18">
        <v>0</v>
      </c>
      <c r="J1769" s="18">
        <v>0</v>
      </c>
      <c r="K1769" s="18">
        <v>0</v>
      </c>
      <c r="L1769" s="18"/>
      <c r="M1769" s="18">
        <v>0</v>
      </c>
      <c r="N1769" s="18">
        <v>0</v>
      </c>
      <c r="O1769" s="18">
        <v>0</v>
      </c>
      <c r="P1769" s="18"/>
      <c r="Q1769" s="18">
        <v>0</v>
      </c>
      <c r="R1769" s="18">
        <v>0</v>
      </c>
      <c r="S1769" s="42"/>
      <c r="T1769" s="18">
        <v>0</v>
      </c>
      <c r="U1769" s="42"/>
      <c r="V1769" s="18">
        <f>+V1753+D1769+F1769+G1769+I1769</f>
        <v>2129637.19</v>
      </c>
      <c r="W1769" s="18">
        <f>+W1753+J1769+K1769+L1769+M1769+N1769+O1769+Q1769+R1769+T1769</f>
        <v>477340</v>
      </c>
      <c r="X1769" s="18">
        <f>+V1769-W1769</f>
        <v>1652297.19</v>
      </c>
    </row>
    <row r="1770" spans="1:24" ht="15">
      <c r="A1770" s="4">
        <f>+A1769+1</f>
        <v>35</v>
      </c>
      <c r="B1770" s="5" t="s">
        <v>43</v>
      </c>
      <c r="C1770" s="11"/>
      <c r="D1770" s="18">
        <v>0</v>
      </c>
      <c r="E1770" s="18"/>
      <c r="F1770" s="18">
        <v>0</v>
      </c>
      <c r="G1770" s="18">
        <v>0</v>
      </c>
      <c r="I1770" s="18">
        <v>0</v>
      </c>
      <c r="J1770" s="18">
        <v>0</v>
      </c>
      <c r="K1770" s="18">
        <v>0</v>
      </c>
      <c r="L1770" s="18">
        <v>0</v>
      </c>
      <c r="M1770" s="18">
        <v>0</v>
      </c>
      <c r="N1770" s="18">
        <v>0</v>
      </c>
      <c r="O1770" s="18">
        <v>0</v>
      </c>
      <c r="P1770" s="18"/>
      <c r="Q1770" s="18">
        <v>0</v>
      </c>
      <c r="R1770" s="18">
        <v>0</v>
      </c>
      <c r="S1770" s="42"/>
      <c r="T1770" s="18">
        <v>0</v>
      </c>
      <c r="U1770" s="42"/>
      <c r="V1770" s="18">
        <f>+V1754+D1770+F1770+G1770+I1770</f>
        <v>0</v>
      </c>
      <c r="W1770" s="18">
        <f>+W1754+J1770+K1770+L1770+M1770+N1770+O1770+Q1770+R1770+T1770</f>
        <v>0</v>
      </c>
      <c r="X1770" s="18">
        <f>+V1770-W1770</f>
        <v>0</v>
      </c>
    </row>
    <row r="1771" spans="1:24" ht="26.25">
      <c r="A1771" s="4">
        <f>+A1770+1</f>
        <v>36</v>
      </c>
      <c r="B1771" s="24" t="s">
        <v>79</v>
      </c>
      <c r="C1771" s="11"/>
      <c r="D1771" s="18">
        <f>+D1769-D1770</f>
        <v>0</v>
      </c>
      <c r="E1771" s="18"/>
      <c r="F1771" s="18">
        <f>+F1769-F1770</f>
        <v>0</v>
      </c>
      <c r="G1771" s="18">
        <f>+G1769-G1770</f>
        <v>0</v>
      </c>
      <c r="I1771" s="18">
        <f aca="true" t="shared" si="217" ref="I1771:O1771">+I1769-I1770</f>
        <v>0</v>
      </c>
      <c r="J1771" s="18">
        <f t="shared" si="217"/>
        <v>0</v>
      </c>
      <c r="K1771" s="18">
        <f t="shared" si="217"/>
        <v>0</v>
      </c>
      <c r="L1771" s="18">
        <f t="shared" si="217"/>
        <v>0</v>
      </c>
      <c r="M1771" s="18">
        <f t="shared" si="217"/>
        <v>0</v>
      </c>
      <c r="N1771" s="18">
        <f t="shared" si="217"/>
        <v>0</v>
      </c>
      <c r="O1771" s="18">
        <f t="shared" si="217"/>
        <v>0</v>
      </c>
      <c r="P1771" s="18"/>
      <c r="Q1771" s="18">
        <f>+Q1769-Q1770</f>
        <v>0</v>
      </c>
      <c r="R1771" s="18">
        <f>+R1769-R1770</f>
        <v>0</v>
      </c>
      <c r="S1771" s="42"/>
      <c r="T1771" s="18">
        <f>+T1769-T1770</f>
        <v>0</v>
      </c>
      <c r="U1771" s="42"/>
      <c r="V1771" s="55">
        <f>+V1769-V1770</f>
        <v>2129637.19</v>
      </c>
      <c r="W1771" s="55">
        <f>+W1769-W1770</f>
        <v>477340</v>
      </c>
      <c r="X1771" s="31">
        <f>+X1769-X1770</f>
        <v>1652297.19</v>
      </c>
    </row>
    <row r="1772" spans="1:24" ht="28.5">
      <c r="A1772" s="4">
        <f>+A1771+1</f>
        <v>37</v>
      </c>
      <c r="B1772" s="88" t="s">
        <v>181</v>
      </c>
      <c r="C1772" s="11"/>
      <c r="D1772" s="18">
        <v>0</v>
      </c>
      <c r="E1772" s="18"/>
      <c r="F1772" s="18">
        <v>0</v>
      </c>
      <c r="G1772" s="18">
        <v>0</v>
      </c>
      <c r="I1772" s="18">
        <v>0</v>
      </c>
      <c r="J1772" s="18">
        <v>0</v>
      </c>
      <c r="K1772" s="18">
        <v>0</v>
      </c>
      <c r="L1772" s="18">
        <v>0</v>
      </c>
      <c r="M1772" s="18">
        <v>0</v>
      </c>
      <c r="N1772" s="18">
        <v>0</v>
      </c>
      <c r="O1772" s="18">
        <v>0</v>
      </c>
      <c r="P1772" s="18"/>
      <c r="Q1772" s="18">
        <v>0</v>
      </c>
      <c r="R1772" s="18">
        <v>0</v>
      </c>
      <c r="S1772" s="42"/>
      <c r="T1772" s="18">
        <v>0</v>
      </c>
      <c r="U1772" s="42"/>
      <c r="V1772" s="18">
        <f>+V1756+D1772+F1772+G1772+I1772</f>
        <v>0</v>
      </c>
      <c r="W1772" s="18">
        <f>+W1756+J1772+K1772+L1772+M1772+N1772+O1772+Q1772+R1772+T1772</f>
        <v>0</v>
      </c>
      <c r="X1772" s="18">
        <f>+V1772-W1772</f>
        <v>0</v>
      </c>
    </row>
    <row r="1773" spans="1:24" ht="15">
      <c r="A1773" s="4">
        <f>+A1772+1</f>
        <v>38</v>
      </c>
      <c r="B1773" s="24" t="s">
        <v>46</v>
      </c>
      <c r="C1773" s="11" t="s">
        <v>47</v>
      </c>
      <c r="D1773" s="18">
        <f>+D1765+D1766+D1771+D1772+D1767</f>
        <v>49</v>
      </c>
      <c r="E1773" s="18"/>
      <c r="F1773" s="18">
        <f>+F1765+F1766+F1771+F1772+F1767</f>
        <v>69</v>
      </c>
      <c r="G1773" s="18">
        <f>+G1765+G1766+G1771+G1772+G1767</f>
        <v>0</v>
      </c>
      <c r="I1773" s="18">
        <f aca="true" t="shared" si="218" ref="I1773:O1773">+I1765+I1766+I1771+I1772+I1767</f>
        <v>0</v>
      </c>
      <c r="J1773" s="18">
        <f t="shared" si="218"/>
        <v>176</v>
      </c>
      <c r="K1773" s="18">
        <f t="shared" si="218"/>
        <v>0</v>
      </c>
      <c r="L1773" s="18">
        <f t="shared" si="218"/>
        <v>0</v>
      </c>
      <c r="M1773" s="18">
        <f t="shared" si="218"/>
        <v>0</v>
      </c>
      <c r="N1773" s="18">
        <f t="shared" si="218"/>
        <v>0</v>
      </c>
      <c r="O1773" s="18">
        <f t="shared" si="218"/>
        <v>0</v>
      </c>
      <c r="P1773" s="18"/>
      <c r="Q1773" s="18">
        <f>+Q1765+Q1766+Q1771+Q1772+Q1767</f>
        <v>0</v>
      </c>
      <c r="R1773" s="18">
        <f>+R1765+R1766+R1771+R1772+R1767</f>
        <v>0</v>
      </c>
      <c r="S1773" s="42"/>
      <c r="T1773" s="18">
        <f>+T1765+T1766+T1771+T1772+T1767</f>
        <v>1241</v>
      </c>
      <c r="U1773" s="42"/>
      <c r="V1773" s="18">
        <f>+V1765+V1766+V1771+V1772+V1767</f>
        <v>2928307.2</v>
      </c>
      <c r="W1773" s="18">
        <f>+W1765+W1766+W1771+W1772+W1767</f>
        <v>3005863.13</v>
      </c>
      <c r="X1773" s="18">
        <f>+X1765+X1766+X1771+X1772+X1767</f>
        <v>-77555.93000000017</v>
      </c>
    </row>
    <row r="1774" spans="1:24" ht="15">
      <c r="A1774" s="4"/>
      <c r="B1774" s="24"/>
      <c r="C1774" s="11"/>
      <c r="D1774" s="18"/>
      <c r="E1774" s="18"/>
      <c r="F1774" s="18"/>
      <c r="G1774" s="18"/>
      <c r="N1774" s="42"/>
      <c r="O1774" s="42"/>
      <c r="P1774" s="42"/>
      <c r="Q1774" s="42"/>
      <c r="R1774" s="42"/>
      <c r="S1774" s="42"/>
      <c r="T1774" s="42"/>
      <c r="U1774" s="42"/>
      <c r="V1774" s="18"/>
      <c r="W1774" s="18"/>
      <c r="X1774" s="18"/>
    </row>
    <row r="1775" spans="1:24" ht="15">
      <c r="A1775" s="4"/>
      <c r="B1775" s="24"/>
      <c r="C1775" s="11"/>
      <c r="D1775" s="18"/>
      <c r="E1775" s="18"/>
      <c r="F1775" s="18"/>
      <c r="G1775" s="18"/>
      <c r="L1775" s="42"/>
      <c r="M1775" s="42"/>
      <c r="N1775" s="42"/>
      <c r="O1775" s="42"/>
      <c r="P1775" s="42"/>
      <c r="Q1775" s="42"/>
      <c r="R1775" s="42"/>
      <c r="S1775" s="42"/>
      <c r="T1775" s="42"/>
      <c r="U1775" s="42"/>
      <c r="V1775" s="18"/>
      <c r="W1775" s="18"/>
      <c r="X1775" s="18"/>
    </row>
    <row r="1776" spans="1:24" ht="15">
      <c r="A1776" s="4"/>
      <c r="B1776" s="24"/>
      <c r="C1776" s="11"/>
      <c r="D1776" s="18"/>
      <c r="E1776" s="18"/>
      <c r="F1776" s="18"/>
      <c r="G1776" s="18"/>
      <c r="L1776" s="42"/>
      <c r="M1776" s="42"/>
      <c r="N1776" s="42"/>
      <c r="O1776" s="42"/>
      <c r="P1776" s="42"/>
      <c r="Q1776" s="42"/>
      <c r="R1776" s="42"/>
      <c r="S1776" s="42"/>
      <c r="T1776" s="42"/>
      <c r="U1776" s="42"/>
      <c r="V1776" s="18"/>
      <c r="W1776" s="18"/>
      <c r="X1776" s="18"/>
    </row>
    <row r="1777" spans="1:24" ht="15">
      <c r="A1777" s="4"/>
      <c r="B1777" s="24"/>
      <c r="C1777" s="11"/>
      <c r="D1777" s="18"/>
      <c r="E1777" s="18"/>
      <c r="F1777" s="18"/>
      <c r="G1777" s="18"/>
      <c r="H1777" s="56"/>
      <c r="L1777" s="42"/>
      <c r="M1777" s="42"/>
      <c r="N1777" s="42"/>
      <c r="O1777" s="42"/>
      <c r="P1777" s="42"/>
      <c r="Q1777" s="42"/>
      <c r="R1777" s="42"/>
      <c r="S1777" s="42"/>
      <c r="T1777" s="42"/>
      <c r="U1777" s="42"/>
      <c r="V1777" s="18"/>
      <c r="W1777" s="18"/>
      <c r="X1777" s="18"/>
    </row>
    <row r="1778" spans="1:24" ht="15">
      <c r="A1778" s="4"/>
      <c r="B1778" s="24"/>
      <c r="C1778" s="11"/>
      <c r="D1778" s="18"/>
      <c r="E1778" s="18"/>
      <c r="F1778" s="18"/>
      <c r="G1778" s="18"/>
      <c r="H1778" s="56"/>
      <c r="I1778" s="57" t="s">
        <v>135</v>
      </c>
      <c r="L1778" s="42"/>
      <c r="M1778" s="42"/>
      <c r="N1778" s="42"/>
      <c r="O1778" s="42"/>
      <c r="P1778" s="42"/>
      <c r="Q1778" s="42"/>
      <c r="R1778" s="42"/>
      <c r="S1778" s="42"/>
      <c r="T1778" s="42"/>
      <c r="U1778" s="42"/>
      <c r="V1778" s="18"/>
      <c r="W1778" s="18"/>
      <c r="X1778" s="18"/>
    </row>
    <row r="1779" spans="1:24" ht="15">
      <c r="A1779" s="4"/>
      <c r="B1779" s="24"/>
      <c r="C1779" s="11"/>
      <c r="D1779" s="18"/>
      <c r="E1779" s="18"/>
      <c r="F1779" s="18"/>
      <c r="G1779" s="18"/>
      <c r="H1779" s="56"/>
      <c r="I1779" s="58"/>
      <c r="L1779" s="42"/>
      <c r="T1779" s="42"/>
      <c r="U1779" s="42"/>
      <c r="V1779" s="18"/>
      <c r="W1779" s="18"/>
      <c r="X1779" s="18"/>
    </row>
    <row r="1780" spans="1:24" ht="15">
      <c r="A1780" s="4"/>
      <c r="B1780" s="24"/>
      <c r="C1780" s="11"/>
      <c r="D1780" s="18"/>
      <c r="E1780" s="18"/>
      <c r="F1780" s="18"/>
      <c r="G1780" s="18"/>
      <c r="H1780" s="56"/>
      <c r="I1780" s="59" t="s">
        <v>136</v>
      </c>
      <c r="L1780" s="75">
        <v>42902340.701</v>
      </c>
      <c r="T1780" s="42"/>
      <c r="U1780" s="42"/>
      <c r="V1780" s="18"/>
      <c r="W1780" s="18"/>
      <c r="X1780" s="18"/>
    </row>
    <row r="1781" spans="1:24" ht="15">
      <c r="A1781" s="4"/>
      <c r="B1781" s="24"/>
      <c r="C1781" s="11"/>
      <c r="D1781" s="18"/>
      <c r="E1781" s="18"/>
      <c r="F1781" s="18"/>
      <c r="G1781" s="18"/>
      <c r="H1781" s="56"/>
      <c r="I1781" s="59"/>
      <c r="L1781" s="18"/>
      <c r="T1781" s="42"/>
      <c r="U1781" s="42"/>
      <c r="V1781" s="18"/>
      <c r="W1781" s="18"/>
      <c r="X1781" s="18"/>
    </row>
    <row r="1782" spans="1:24" ht="15">
      <c r="A1782" s="4"/>
      <c r="B1782" s="24"/>
      <c r="C1782" s="11"/>
      <c r="D1782" s="44" t="s">
        <v>137</v>
      </c>
      <c r="E1782" s="18"/>
      <c r="F1782" s="10" t="s">
        <v>138</v>
      </c>
      <c r="G1782" s="44" t="s">
        <v>24</v>
      </c>
      <c r="H1782" s="56"/>
      <c r="I1782" s="59" t="s">
        <v>139</v>
      </c>
      <c r="L1782" s="27">
        <v>5488788.98</v>
      </c>
      <c r="N1782" s="6" t="s">
        <v>137</v>
      </c>
      <c r="O1782" s="6" t="s">
        <v>137</v>
      </c>
      <c r="P1782" s="42"/>
      <c r="Q1782" s="6" t="s">
        <v>138</v>
      </c>
      <c r="R1782" s="6" t="s">
        <v>138</v>
      </c>
      <c r="S1782" s="6"/>
      <c r="T1782" s="42"/>
      <c r="U1782" s="42"/>
      <c r="V1782" s="18"/>
      <c r="W1782" s="18"/>
      <c r="X1782" s="18"/>
    </row>
    <row r="1783" spans="1:24" ht="15">
      <c r="A1783" s="4"/>
      <c r="B1783" s="24"/>
      <c r="C1783" s="11"/>
      <c r="D1783" s="18"/>
      <c r="E1783" s="18"/>
      <c r="F1783" s="18"/>
      <c r="G1783" s="18"/>
      <c r="H1783" s="56"/>
      <c r="I1783" s="59"/>
      <c r="L1783" s="18"/>
      <c r="N1783" s="8" t="s">
        <v>140</v>
      </c>
      <c r="O1783" s="49" t="s">
        <v>141</v>
      </c>
      <c r="P1783" s="42"/>
      <c r="Q1783" s="8" t="s">
        <v>140</v>
      </c>
      <c r="R1783" s="49" t="s">
        <v>141</v>
      </c>
      <c r="S1783" s="49"/>
      <c r="T1783" s="42"/>
      <c r="U1783" s="42"/>
      <c r="V1783" s="18"/>
      <c r="W1783" s="18"/>
      <c r="X1783" s="18"/>
    </row>
    <row r="1784" spans="1:24" ht="15">
      <c r="A1784" s="4">
        <f>+A1772+1</f>
        <v>38</v>
      </c>
      <c r="B1784" s="5" t="s">
        <v>36</v>
      </c>
      <c r="C1784" s="17" t="s">
        <v>37</v>
      </c>
      <c r="D1784" s="31">
        <f>+V1725+V1763</f>
        <v>10628927.610000001</v>
      </c>
      <c r="E1784" s="18"/>
      <c r="F1784" s="31">
        <f>+W1725+W1763</f>
        <v>4320405.13</v>
      </c>
      <c r="G1784" s="18">
        <f>+D1784-F1784</f>
        <v>6308522.480000001</v>
      </c>
      <c r="H1784" s="56"/>
      <c r="I1784" s="59" t="s">
        <v>142</v>
      </c>
      <c r="J1784" s="18"/>
      <c r="K1784" s="18"/>
      <c r="L1784" s="36">
        <f>F1700</f>
        <v>19455124.96</v>
      </c>
      <c r="N1784" s="60"/>
      <c r="O1784" s="6"/>
      <c r="P1784" s="42"/>
      <c r="Q1784" s="61"/>
      <c r="R1784" s="61"/>
      <c r="S1784" s="61"/>
      <c r="T1784" s="42"/>
      <c r="U1784" s="42"/>
      <c r="V1784" s="18"/>
      <c r="W1784" s="18"/>
      <c r="X1784" s="18"/>
    </row>
    <row r="1785" spans="1:21" ht="15">
      <c r="A1785" s="4">
        <f>+A1784+1</f>
        <v>39</v>
      </c>
      <c r="B1785" s="5" t="s">
        <v>36</v>
      </c>
      <c r="C1785" s="22" t="s">
        <v>38</v>
      </c>
      <c r="D1785" s="31">
        <f>+V1726+V1764</f>
        <v>10608584.700000003</v>
      </c>
      <c r="E1785" s="18"/>
      <c r="F1785" s="31">
        <f>+W1726+W1764</f>
        <v>4279007</v>
      </c>
      <c r="G1785" s="18">
        <f>+D1785-F1785</f>
        <v>6329577.700000003</v>
      </c>
      <c r="H1785" s="56"/>
      <c r="I1785" s="58"/>
      <c r="J1785" s="18"/>
      <c r="K1785" s="18"/>
      <c r="L1785" s="60"/>
      <c r="N1785" s="62">
        <f>+D1786</f>
        <v>20342.909999998286</v>
      </c>
      <c r="O1785" s="63">
        <f>+D1792</f>
        <v>57220511.75999999</v>
      </c>
      <c r="P1785" s="42"/>
      <c r="Q1785" s="31">
        <f>+F1692</f>
        <v>32602</v>
      </c>
      <c r="R1785" s="31">
        <f>+F1694</f>
        <v>0</v>
      </c>
      <c r="S1785" s="31"/>
      <c r="T1785" s="42"/>
      <c r="U1785" s="42"/>
    </row>
    <row r="1786" spans="1:25" ht="15">
      <c r="A1786" s="4">
        <f>+A1785+1</f>
        <v>40</v>
      </c>
      <c r="B1786" s="24" t="s">
        <v>46</v>
      </c>
      <c r="C1786" s="40" t="s">
        <v>78</v>
      </c>
      <c r="D1786" s="26">
        <f>+D1784-D1785</f>
        <v>20342.909999998286</v>
      </c>
      <c r="E1786" s="18"/>
      <c r="F1786" s="26">
        <f>+F1784-F1785</f>
        <v>41398.12999999989</v>
      </c>
      <c r="G1786" s="18">
        <f>+G1784-G1785</f>
        <v>-21055.220000001602</v>
      </c>
      <c r="H1786" s="56"/>
      <c r="I1786" s="58" t="s">
        <v>143</v>
      </c>
      <c r="J1786" s="18"/>
      <c r="K1786" s="18"/>
      <c r="L1786">
        <v>0</v>
      </c>
      <c r="N1786" s="62">
        <f>+D1787</f>
        <v>0</v>
      </c>
      <c r="O1786" s="63">
        <f>+D1793</f>
        <v>0</v>
      </c>
      <c r="P1786" s="42"/>
      <c r="Q1786" s="31">
        <f>+F1693</f>
        <v>0</v>
      </c>
      <c r="R1786" s="31">
        <f>+F1698</f>
        <v>19422522.96</v>
      </c>
      <c r="S1786" s="31"/>
      <c r="U1786" s="18"/>
      <c r="V1786" s="10" t="s">
        <v>20</v>
      </c>
      <c r="W1786" s="10" t="s">
        <v>21</v>
      </c>
      <c r="X1786" s="10" t="s">
        <v>22</v>
      </c>
      <c r="Y1786" s="18"/>
    </row>
    <row r="1787" spans="1:25" ht="28.5">
      <c r="A1787" s="4">
        <f>+A1786+1</f>
        <v>41</v>
      </c>
      <c r="B1787" s="88" t="s">
        <v>182</v>
      </c>
      <c r="C1787" s="11"/>
      <c r="D1787" s="26">
        <f>+V1728+V1766</f>
        <v>0</v>
      </c>
      <c r="E1787" s="26"/>
      <c r="F1787" s="26">
        <f>+W1728+W1766</f>
        <v>0</v>
      </c>
      <c r="G1787" s="18">
        <f>+D1787-F1787</f>
        <v>0</v>
      </c>
      <c r="H1787" s="56"/>
      <c r="I1787" s="58"/>
      <c r="J1787" s="18"/>
      <c r="K1787" s="18"/>
      <c r="L1787" s="60" t="s">
        <v>144</v>
      </c>
      <c r="N1787" s="62">
        <f>+F1786</f>
        <v>41398.12999999989</v>
      </c>
      <c r="O1787" s="63">
        <f>+F1792</f>
        <v>19899862.96</v>
      </c>
      <c r="P1787" s="42"/>
      <c r="R1787" s="31">
        <f>+F1699</f>
        <v>0</v>
      </c>
      <c r="S1787" s="31"/>
      <c r="U1787" s="18"/>
      <c r="Y1787" s="18"/>
    </row>
    <row r="1788" spans="1:25" ht="24.75">
      <c r="A1788" s="4">
        <f>+A1787+1</f>
        <v>42</v>
      </c>
      <c r="B1788" s="89" t="s">
        <v>39</v>
      </c>
      <c r="C1788" s="40"/>
      <c r="D1788" s="30">
        <f>+V1729+V1767</f>
        <v>-16821440.19</v>
      </c>
      <c r="E1788" s="30"/>
      <c r="F1788" s="30">
        <f>+W1729+W1767</f>
        <v>2519727</v>
      </c>
      <c r="G1788" s="18">
        <f>+D1788-F1788</f>
        <v>-19341167.19</v>
      </c>
      <c r="H1788" s="56"/>
      <c r="I1788" s="64" t="s">
        <v>145</v>
      </c>
      <c r="J1788" s="18"/>
      <c r="K1788" s="18"/>
      <c r="L1788" s="31">
        <f>+L1780-L1782-L1784-L1786</f>
        <v>17958426.761</v>
      </c>
      <c r="N1788" s="62">
        <f>+F1787</f>
        <v>0</v>
      </c>
      <c r="O1788" s="63">
        <f>+F1793</f>
        <v>0</v>
      </c>
      <c r="P1788" s="42"/>
      <c r="Q1788" s="31"/>
      <c r="R1788" s="31"/>
      <c r="S1788" s="31"/>
      <c r="U1788" s="65"/>
      <c r="V1788" s="66"/>
      <c r="W1788" s="66"/>
      <c r="X1788" s="65"/>
      <c r="Y1788" s="65"/>
    </row>
    <row r="1789" spans="1:25" ht="15">
      <c r="A1789" s="6" t="s">
        <v>41</v>
      </c>
      <c r="B1789" s="41"/>
      <c r="C1789" s="40"/>
      <c r="D1789" s="18"/>
      <c r="E1789" s="18"/>
      <c r="F1789" s="18"/>
      <c r="G1789" s="18"/>
      <c r="H1789" s="56"/>
      <c r="I1789" s="58"/>
      <c r="J1789" s="18"/>
      <c r="K1789" s="18"/>
      <c r="N1789" s="62">
        <f>+F1692</f>
        <v>32602</v>
      </c>
      <c r="O1789" s="63">
        <f>+F1698</f>
        <v>19422522.96</v>
      </c>
      <c r="P1789" s="42"/>
      <c r="Q1789" s="31"/>
      <c r="U1789" s="65"/>
      <c r="V1789" s="67"/>
      <c r="W1789" s="67"/>
      <c r="X1789" s="68"/>
      <c r="Y1789" s="65"/>
    </row>
    <row r="1790" spans="1:25" ht="15">
      <c r="A1790" s="4">
        <f>+A1788+1</f>
        <v>43</v>
      </c>
      <c r="B1790" s="5" t="s">
        <v>42</v>
      </c>
      <c r="C1790" s="22" t="s">
        <v>38</v>
      </c>
      <c r="D1790" s="31">
        <f>+V1731+V1769</f>
        <v>57220511.75999999</v>
      </c>
      <c r="E1790" s="18"/>
      <c r="F1790" s="31">
        <f>+W1731+W1769</f>
        <v>19899862.96</v>
      </c>
      <c r="G1790" s="18">
        <f>+D1790-F1790</f>
        <v>37320648.79999999</v>
      </c>
      <c r="H1790" s="56"/>
      <c r="I1790" s="59" t="s">
        <v>22</v>
      </c>
      <c r="J1790" s="18"/>
      <c r="K1790" s="18"/>
      <c r="L1790" s="30">
        <f>+X1795</f>
        <v>17958426.38999999</v>
      </c>
      <c r="N1790" s="62"/>
      <c r="O1790" s="63">
        <f>+D1788</f>
        <v>-16821440.19</v>
      </c>
      <c r="P1790" s="42"/>
      <c r="Q1790" s="31"/>
      <c r="R1790" s="31"/>
      <c r="S1790" s="31"/>
      <c r="T1790" s="69" t="s">
        <v>78</v>
      </c>
      <c r="U1790" s="65"/>
      <c r="V1790" s="26">
        <f>+D1786+D1787-F1786-F1787+F1692</f>
        <v>11546.779999998398</v>
      </c>
      <c r="W1790" s="26">
        <f>+F1692+F1693</f>
        <v>32602</v>
      </c>
      <c r="X1790" s="26">
        <f>+V1790-W1790</f>
        <v>-21055.220000001602</v>
      </c>
      <c r="Y1790" s="65"/>
    </row>
    <row r="1791" spans="1:25" ht="15">
      <c r="A1791" s="4">
        <f>+A1790+1</f>
        <v>44</v>
      </c>
      <c r="B1791" s="5" t="s">
        <v>43</v>
      </c>
      <c r="C1791" s="11"/>
      <c r="D1791" s="31">
        <f>+V1732+V1770</f>
        <v>0</v>
      </c>
      <c r="E1791" s="18"/>
      <c r="F1791" s="31">
        <f>+W1732+W1770</f>
        <v>0</v>
      </c>
      <c r="G1791" s="18">
        <f>+D1791-F1791</f>
        <v>0</v>
      </c>
      <c r="H1791" s="56"/>
      <c r="I1791" s="59"/>
      <c r="J1791" s="18"/>
      <c r="K1791" s="18"/>
      <c r="L1791" s="60" t="s">
        <v>144</v>
      </c>
      <c r="O1791" s="63">
        <f>+F1788</f>
        <v>2519727</v>
      </c>
      <c r="P1791" s="42"/>
      <c r="Q1791" s="31"/>
      <c r="R1791" s="31"/>
      <c r="S1791" s="31"/>
      <c r="T1791" s="11" t="s">
        <v>146</v>
      </c>
      <c r="U1791" s="65"/>
      <c r="V1791" s="30">
        <f>+D1792+D1793-F1792-F1793+F1698+D1788-F1788+F1694</f>
        <v>37402004.56999999</v>
      </c>
      <c r="W1791" s="30">
        <f>+F1694+F1698+F1699</f>
        <v>19422522.96</v>
      </c>
      <c r="X1791" s="30">
        <f>+V1791-W1791</f>
        <v>17979481.609999992</v>
      </c>
      <c r="Y1791" s="65"/>
    </row>
    <row r="1792" spans="1:25" ht="26.25">
      <c r="A1792" s="4">
        <f>+A1791+1</f>
        <v>45</v>
      </c>
      <c r="B1792" s="24" t="s">
        <v>79</v>
      </c>
      <c r="C1792" s="11"/>
      <c r="D1792" s="30">
        <f>+D1790-D1791</f>
        <v>57220511.75999999</v>
      </c>
      <c r="E1792" s="18"/>
      <c r="F1792" s="30">
        <f>+F1790-F1791</f>
        <v>19899862.96</v>
      </c>
      <c r="G1792" s="18">
        <f>+G1790-G1791</f>
        <v>37320648.79999999</v>
      </c>
      <c r="H1792" s="56"/>
      <c r="I1792" s="58"/>
      <c r="J1792" s="18"/>
      <c r="K1792" s="18"/>
      <c r="N1792" s="62"/>
      <c r="O1792" s="63">
        <f>+F1694</f>
        <v>0</v>
      </c>
      <c r="P1792" s="42"/>
      <c r="Q1792" s="31"/>
      <c r="R1792" s="31"/>
      <c r="S1792" s="31"/>
      <c r="T1792" s="11"/>
      <c r="U1792" s="65"/>
      <c r="V1792" s="30"/>
      <c r="W1792" s="30"/>
      <c r="X1792" s="30"/>
      <c r="Y1792" s="65"/>
    </row>
    <row r="1793" spans="1:25" ht="28.5">
      <c r="A1793" s="4">
        <f>+A1792+1</f>
        <v>46</v>
      </c>
      <c r="B1793" s="88" t="s">
        <v>181</v>
      </c>
      <c r="C1793" s="11"/>
      <c r="D1793" s="30">
        <f>+V1734+V1772</f>
        <v>0</v>
      </c>
      <c r="E1793" s="30"/>
      <c r="F1793" s="30">
        <f>+W1734+W1772</f>
        <v>0</v>
      </c>
      <c r="G1793" s="18">
        <f>+D1793-F1793</f>
        <v>0</v>
      </c>
      <c r="H1793" s="56"/>
      <c r="N1793" s="62"/>
      <c r="O1793" s="62"/>
      <c r="P1793" s="42"/>
      <c r="Q1793" s="31"/>
      <c r="R1793" s="31"/>
      <c r="S1793" s="31"/>
      <c r="T1793" s="11"/>
      <c r="U1793" s="65"/>
      <c r="V1793" s="30"/>
      <c r="W1793" s="30"/>
      <c r="X1793" s="30"/>
      <c r="Y1793" s="65"/>
    </row>
    <row r="1794" spans="1:25" ht="15">
      <c r="A1794" s="4">
        <f>+A1793+1</f>
        <v>47</v>
      </c>
      <c r="B1794" s="24" t="s">
        <v>46</v>
      </c>
      <c r="C1794" s="11" t="s">
        <v>47</v>
      </c>
      <c r="D1794" s="18">
        <f>+D1786+D1787+D1792+D1793+D1788</f>
        <v>40419414.47999999</v>
      </c>
      <c r="E1794" s="18"/>
      <c r="F1794" s="18">
        <f>+F1786+F1787+F1792+F1793+F1788</f>
        <v>22460988.09</v>
      </c>
      <c r="G1794" s="18">
        <f>+G1786+G1787+G1792+G1793+G1788</f>
        <v>17958426.38999999</v>
      </c>
      <c r="H1794" s="56"/>
      <c r="I1794" s="59" t="s">
        <v>147</v>
      </c>
      <c r="J1794" s="18"/>
      <c r="K1794" s="18"/>
      <c r="L1794" s="36">
        <f>+L1788-L1790</f>
        <v>0.3710000105202198</v>
      </c>
      <c r="N1794" s="70">
        <f>+N1785+N1786-N1787-N1788+N1789</f>
        <v>11546.779999998398</v>
      </c>
      <c r="O1794" s="71">
        <f>+O1785+O1786-O1787-O1788+O1789+O1790-O1791+O1792</f>
        <v>37402004.56999999</v>
      </c>
      <c r="P1794" s="42"/>
      <c r="Q1794" s="26">
        <f>SUM(Q1785:Q1786)</f>
        <v>32602</v>
      </c>
      <c r="R1794" s="30">
        <f>SUM(R1785:R1788)</f>
        <v>19422522.96</v>
      </c>
      <c r="S1794" s="30"/>
      <c r="T1794" s="11"/>
      <c r="U1794" s="65"/>
      <c r="V1794" s="30"/>
      <c r="W1794" s="30"/>
      <c r="X1794" s="30"/>
      <c r="Y1794" s="65"/>
    </row>
    <row r="1795" spans="1:25" ht="15">
      <c r="A1795" s="4"/>
      <c r="B1795" s="24"/>
      <c r="C1795" s="11"/>
      <c r="D1795" s="18"/>
      <c r="E1795" s="18"/>
      <c r="F1795" s="18"/>
      <c r="G1795" s="18"/>
      <c r="H1795" s="56"/>
      <c r="L1795" s="60" t="s">
        <v>148</v>
      </c>
      <c r="M1795" s="42"/>
      <c r="N1795" s="42"/>
      <c r="O1795" s="42"/>
      <c r="P1795" s="42"/>
      <c r="Q1795" s="42"/>
      <c r="R1795" s="42"/>
      <c r="S1795" s="42"/>
      <c r="T1795" s="10" t="s">
        <v>22</v>
      </c>
      <c r="U1795" s="65"/>
      <c r="V1795" s="36"/>
      <c r="W1795" s="36"/>
      <c r="X1795" s="36">
        <f>+X1790+X1791</f>
        <v>17958426.38999999</v>
      </c>
      <c r="Y1795" s="65"/>
    </row>
    <row r="1796" spans="1:25" ht="15">
      <c r="A1796" s="1"/>
      <c r="B1796" s="2"/>
      <c r="C1796" s="2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</row>
    <row r="1797" spans="1:6" ht="15">
      <c r="A1797" s="4"/>
      <c r="B1797"/>
      <c r="F1797"/>
    </row>
    <row r="1798" spans="1:6" ht="15">
      <c r="A1798" s="4"/>
      <c r="B1798"/>
      <c r="F1798"/>
    </row>
    <row r="1799" spans="1:6" ht="15">
      <c r="A1799" s="4"/>
      <c r="B1799"/>
      <c r="F1799"/>
    </row>
    <row r="1800" spans="1:25" ht="15">
      <c r="A1800" s="1"/>
      <c r="B1800" s="2"/>
      <c r="C1800" s="2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</row>
    <row r="1801" spans="1:6" ht="15">
      <c r="A1801" s="4" t="s">
        <v>0</v>
      </c>
      <c r="B1801" s="5"/>
      <c r="C1801" s="6" t="s">
        <v>1</v>
      </c>
      <c r="F1801"/>
    </row>
    <row r="1802" spans="1:6" ht="15">
      <c r="A1802" s="4"/>
      <c r="B1802" s="5"/>
      <c r="C1802" s="6" t="s">
        <v>2</v>
      </c>
      <c r="F1802"/>
    </row>
    <row r="1803" spans="1:6" ht="15">
      <c r="A1803" s="4"/>
      <c r="B1803" s="5"/>
      <c r="C1803" s="7" t="s">
        <v>166</v>
      </c>
      <c r="F1803"/>
    </row>
    <row r="1804" spans="1:6" ht="15">
      <c r="A1804" s="4"/>
      <c r="B1804" s="5"/>
      <c r="C1804" s="8"/>
      <c r="F1804"/>
    </row>
    <row r="1805" spans="1:25" ht="15">
      <c r="A1805" s="4"/>
      <c r="B1805" s="5"/>
      <c r="C1805" s="9"/>
      <c r="D1805" s="10" t="s">
        <v>4</v>
      </c>
      <c r="E1805" s="10"/>
      <c r="F1805" s="10" t="s">
        <v>5</v>
      </c>
      <c r="G1805" s="10" t="s">
        <v>6</v>
      </c>
      <c r="H1805" s="10"/>
      <c r="I1805" s="10" t="s">
        <v>7</v>
      </c>
      <c r="J1805" s="10" t="s">
        <v>8</v>
      </c>
      <c r="K1805" s="10" t="s">
        <v>9</v>
      </c>
      <c r="L1805" s="10" t="s">
        <v>10</v>
      </c>
      <c r="M1805" s="10" t="s">
        <v>11</v>
      </c>
      <c r="N1805" s="10" t="s">
        <v>12</v>
      </c>
      <c r="O1805" s="10" t="s">
        <v>13</v>
      </c>
      <c r="P1805" s="10"/>
      <c r="Q1805" s="10" t="s">
        <v>14</v>
      </c>
      <c r="R1805" s="10" t="s">
        <v>15</v>
      </c>
      <c r="S1805" s="10"/>
      <c r="T1805" s="10" t="s">
        <v>16</v>
      </c>
      <c r="U1805" s="10"/>
      <c r="V1805" s="10" t="s">
        <v>17</v>
      </c>
      <c r="W1805" s="10" t="s">
        <v>18</v>
      </c>
      <c r="X1805" s="10" t="s">
        <v>19</v>
      </c>
      <c r="Y1805" s="10"/>
    </row>
    <row r="1806" spans="1:24" ht="15">
      <c r="A1806" s="4"/>
      <c r="B1806" s="87" t="s">
        <v>174</v>
      </c>
      <c r="C1806" s="5"/>
      <c r="D1806" s="10" t="s">
        <v>20</v>
      </c>
      <c r="E1806" s="10"/>
      <c r="F1806" s="10" t="s">
        <v>21</v>
      </c>
      <c r="G1806" s="10" t="s">
        <v>22</v>
      </c>
      <c r="I1806" s="10" t="s">
        <v>20</v>
      </c>
      <c r="J1806" s="10" t="s">
        <v>20</v>
      </c>
      <c r="K1806" s="10" t="s">
        <v>20</v>
      </c>
      <c r="L1806" s="10" t="s">
        <v>20</v>
      </c>
      <c r="M1806" s="10" t="s">
        <v>20</v>
      </c>
      <c r="N1806" s="10" t="s">
        <v>20</v>
      </c>
      <c r="O1806" s="10" t="s">
        <v>20</v>
      </c>
      <c r="Q1806" s="10" t="s">
        <v>20</v>
      </c>
      <c r="R1806" s="10" t="s">
        <v>20</v>
      </c>
      <c r="S1806" s="10"/>
      <c r="T1806" s="10" t="s">
        <v>20</v>
      </c>
      <c r="V1806" s="10" t="s">
        <v>20</v>
      </c>
      <c r="W1806" s="10" t="s">
        <v>20</v>
      </c>
      <c r="X1806" s="10" t="s">
        <v>20</v>
      </c>
    </row>
    <row r="1807" spans="1:24" ht="42.75">
      <c r="A1807" s="4"/>
      <c r="B1807" s="5"/>
      <c r="C1807" s="11"/>
      <c r="D1807" s="12" t="s">
        <v>23</v>
      </c>
      <c r="E1807" s="13"/>
      <c r="F1807" s="12" t="s">
        <v>175</v>
      </c>
      <c r="G1807" s="13" t="s">
        <v>24</v>
      </c>
      <c r="I1807" s="13" t="s">
        <v>25</v>
      </c>
      <c r="J1807" s="8" t="s">
        <v>26</v>
      </c>
      <c r="K1807" s="13" t="s">
        <v>27</v>
      </c>
      <c r="L1807" s="13" t="s">
        <v>28</v>
      </c>
      <c r="M1807" s="13" t="s">
        <v>29</v>
      </c>
      <c r="N1807" s="13" t="s">
        <v>30</v>
      </c>
      <c r="O1807" s="13" t="s">
        <v>31</v>
      </c>
      <c r="Q1807" s="14">
        <v>4470115</v>
      </c>
      <c r="R1807" s="13" t="s">
        <v>32</v>
      </c>
      <c r="S1807" s="13"/>
      <c r="T1807" s="14">
        <v>4470119</v>
      </c>
      <c r="V1807" s="8" t="s">
        <v>33</v>
      </c>
      <c r="W1807" s="8" t="s">
        <v>34</v>
      </c>
      <c r="X1807" s="8" t="s">
        <v>35</v>
      </c>
    </row>
    <row r="1808" spans="1:23" ht="15">
      <c r="A1808" s="4"/>
      <c r="B1808" s="5"/>
      <c r="C1808" s="11"/>
      <c r="D1808" s="13"/>
      <c r="E1808" s="13"/>
      <c r="F1808" s="13"/>
      <c r="G1808" s="15"/>
      <c r="I1808" s="13"/>
      <c r="J1808" s="13"/>
      <c r="K1808" s="13"/>
      <c r="L1808" s="13"/>
      <c r="M1808" s="13"/>
      <c r="N1808" s="13"/>
      <c r="O1808" s="13"/>
      <c r="Q1808" s="14"/>
      <c r="R1808" s="13"/>
      <c r="S1808" s="14"/>
      <c r="T1808" s="16"/>
      <c r="V1808" s="14"/>
      <c r="W1808" s="13"/>
    </row>
    <row r="1809" spans="1:25" ht="15">
      <c r="A1809" s="4">
        <v>1</v>
      </c>
      <c r="B1809" s="5" t="s">
        <v>36</v>
      </c>
      <c r="C1809" s="17" t="s">
        <v>37</v>
      </c>
      <c r="D1809" s="78">
        <v>55297878</v>
      </c>
      <c r="E1809" s="77"/>
      <c r="F1809" s="93">
        <f>2218795+16923141</f>
        <v>19141936</v>
      </c>
      <c r="G1809" s="21">
        <f>+D1809-F1809</f>
        <v>36155942</v>
      </c>
      <c r="H1809" s="18"/>
      <c r="I1809" s="18">
        <v>0</v>
      </c>
      <c r="J1809" s="18">
        <v>0</v>
      </c>
      <c r="K1809" s="18">
        <v>0</v>
      </c>
      <c r="L1809" s="18">
        <v>0</v>
      </c>
      <c r="M1809" s="18">
        <v>0</v>
      </c>
      <c r="N1809" s="18">
        <v>0</v>
      </c>
      <c r="O1809" s="18">
        <v>0</v>
      </c>
      <c r="P1809" s="18"/>
      <c r="Q1809" s="18">
        <v>0</v>
      </c>
      <c r="R1809" s="18">
        <v>0</v>
      </c>
      <c r="S1809" s="18"/>
      <c r="T1809" s="18">
        <v>0</v>
      </c>
      <c r="U1809" s="18"/>
      <c r="V1809" s="18">
        <v>0</v>
      </c>
      <c r="W1809" s="18">
        <v>0</v>
      </c>
      <c r="X1809" s="18">
        <v>0</v>
      </c>
      <c r="Y1809" s="18"/>
    </row>
    <row r="1810" spans="1:25" ht="15">
      <c r="A1810" s="4">
        <f>+A1809+1</f>
        <v>2</v>
      </c>
      <c r="B1810" s="5" t="s">
        <v>36</v>
      </c>
      <c r="C1810" s="22" t="s">
        <v>38</v>
      </c>
      <c r="D1810" s="78">
        <v>55297878</v>
      </c>
      <c r="E1810" s="19"/>
      <c r="F1810" s="23">
        <f>2274688+17147835</f>
        <v>19422523</v>
      </c>
      <c r="G1810" s="21">
        <f>+D1810-F1810</f>
        <v>35875355</v>
      </c>
      <c r="H1810" s="18"/>
      <c r="I1810" s="18">
        <v>0</v>
      </c>
      <c r="J1810" s="18">
        <v>0</v>
      </c>
      <c r="K1810" s="18">
        <v>0</v>
      </c>
      <c r="L1810" s="18">
        <v>0</v>
      </c>
      <c r="M1810" s="18">
        <v>0</v>
      </c>
      <c r="N1810" s="18">
        <v>0</v>
      </c>
      <c r="O1810" s="18">
        <v>0</v>
      </c>
      <c r="P1810" s="18"/>
      <c r="Q1810" s="18">
        <v>0</v>
      </c>
      <c r="R1810" s="18">
        <v>0</v>
      </c>
      <c r="S1810" s="18"/>
      <c r="T1810" s="18">
        <v>0</v>
      </c>
      <c r="U1810" s="18"/>
      <c r="V1810" s="18">
        <v>0</v>
      </c>
      <c r="W1810" s="18">
        <v>0</v>
      </c>
      <c r="X1810" s="18">
        <v>0</v>
      </c>
      <c r="Y1810" s="18"/>
    </row>
    <row r="1811" spans="1:25" ht="22.5">
      <c r="A1811" s="4">
        <f>+A1810+1</f>
        <v>3</v>
      </c>
      <c r="B1811" s="24" t="s">
        <v>176</v>
      </c>
      <c r="C1811" s="25" t="s">
        <v>177</v>
      </c>
      <c r="D1811" s="18">
        <v>0</v>
      </c>
      <c r="E1811" s="19"/>
      <c r="F1811" s="26">
        <f>+F1809-F1810</f>
        <v>-280587</v>
      </c>
      <c r="G1811" s="18">
        <v>0</v>
      </c>
      <c r="H1811" s="18"/>
      <c r="I1811" s="18">
        <f aca="true" t="shared" si="219" ref="I1811:O1811">+I1809-I1810</f>
        <v>0</v>
      </c>
      <c r="J1811" s="18">
        <f t="shared" si="219"/>
        <v>0</v>
      </c>
      <c r="K1811" s="18">
        <f t="shared" si="219"/>
        <v>0</v>
      </c>
      <c r="L1811" s="18">
        <f t="shared" si="219"/>
        <v>0</v>
      </c>
      <c r="M1811" s="18">
        <f t="shared" si="219"/>
        <v>0</v>
      </c>
      <c r="N1811" s="18">
        <f t="shared" si="219"/>
        <v>0</v>
      </c>
      <c r="O1811" s="18">
        <f t="shared" si="219"/>
        <v>0</v>
      </c>
      <c r="P1811" s="18"/>
      <c r="Q1811" s="18">
        <f>+Q1809-Q1810</f>
        <v>0</v>
      </c>
      <c r="R1811" s="18">
        <f>+R1809-R1810</f>
        <v>0</v>
      </c>
      <c r="S1811" s="18"/>
      <c r="T1811" s="18">
        <f>+T1809-T1810</f>
        <v>0</v>
      </c>
      <c r="U1811" s="18"/>
      <c r="V1811" s="18">
        <f>+V1809-V1810</f>
        <v>0</v>
      </c>
      <c r="W1811" s="18">
        <f>+W1809-W1810</f>
        <v>0</v>
      </c>
      <c r="X1811" s="18">
        <f>+X1809-X1810</f>
        <v>0</v>
      </c>
      <c r="Y1811" s="18"/>
    </row>
    <row r="1812" spans="1:25" ht="28.5">
      <c r="A1812" s="4">
        <f>+A1811+1</f>
        <v>4</v>
      </c>
      <c r="B1812" s="88" t="s">
        <v>178</v>
      </c>
      <c r="C1812" s="25" t="s">
        <v>179</v>
      </c>
      <c r="D1812" s="18">
        <v>0</v>
      </c>
      <c r="E1812" s="19"/>
      <c r="F1812" s="26">
        <v>0</v>
      </c>
      <c r="G1812" s="18">
        <f>+D1812-F1812</f>
        <v>0</v>
      </c>
      <c r="H1812" s="18"/>
      <c r="I1812" s="27">
        <v>0</v>
      </c>
      <c r="J1812" s="18">
        <v>0</v>
      </c>
      <c r="K1812" s="18">
        <v>0</v>
      </c>
      <c r="L1812" s="18">
        <v>0</v>
      </c>
      <c r="M1812" s="18">
        <v>0</v>
      </c>
      <c r="N1812" s="18">
        <v>0</v>
      </c>
      <c r="O1812" s="18">
        <v>0</v>
      </c>
      <c r="P1812" s="18"/>
      <c r="Q1812" s="18">
        <v>0</v>
      </c>
      <c r="R1812" s="18">
        <v>0</v>
      </c>
      <c r="S1812" s="18"/>
      <c r="T1812" s="18">
        <v>0</v>
      </c>
      <c r="U1812" s="18"/>
      <c r="V1812" s="18">
        <v>0</v>
      </c>
      <c r="W1812" s="18">
        <v>0</v>
      </c>
      <c r="X1812" s="18">
        <v>0</v>
      </c>
      <c r="Y1812" s="18"/>
    </row>
    <row r="1813" spans="1:25" ht="24.75">
      <c r="A1813" s="4">
        <f>+A1812+1</f>
        <v>5</v>
      </c>
      <c r="B1813" s="89" t="s">
        <v>39</v>
      </c>
      <c r="C1813" s="28" t="s">
        <v>40</v>
      </c>
      <c r="D1813" s="27">
        <v>194272</v>
      </c>
      <c r="E1813" s="29"/>
      <c r="F1813" s="30">
        <v>0</v>
      </c>
      <c r="G1813" s="31">
        <f>+D1813-F1813</f>
        <v>194272</v>
      </c>
      <c r="H1813" s="18"/>
      <c r="I1813" s="27">
        <v>0</v>
      </c>
      <c r="J1813" s="27">
        <v>74</v>
      </c>
      <c r="K1813" s="27">
        <v>0</v>
      </c>
      <c r="L1813" s="27">
        <v>-214313</v>
      </c>
      <c r="M1813" s="27">
        <v>-6451</v>
      </c>
      <c r="N1813" s="27">
        <f>-12</f>
        <v>-12</v>
      </c>
      <c r="O1813" s="27">
        <v>4445</v>
      </c>
      <c r="P1813" s="18"/>
      <c r="Q1813" s="27">
        <v>-15</v>
      </c>
      <c r="R1813" s="27">
        <v>0</v>
      </c>
      <c r="S1813" s="27"/>
      <c r="T1813" s="27">
        <v>0</v>
      </c>
      <c r="U1813" s="27"/>
      <c r="V1813" s="27">
        <v>0</v>
      </c>
      <c r="W1813" s="27">
        <v>0</v>
      </c>
      <c r="X1813" s="27">
        <v>-2844810.97</v>
      </c>
      <c r="Y1813" s="18"/>
    </row>
    <row r="1814" spans="1:25" ht="15">
      <c r="A1814" s="6" t="s">
        <v>41</v>
      </c>
      <c r="B1814" s="90"/>
      <c r="C1814" s="11"/>
      <c r="D1814" s="18"/>
      <c r="E1814" s="19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 t="s">
        <v>0</v>
      </c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</row>
    <row r="1815" spans="1:25" ht="15">
      <c r="A1815" s="4">
        <f>+A1813+1</f>
        <v>6</v>
      </c>
      <c r="B1815" s="5" t="s">
        <v>42</v>
      </c>
      <c r="C1815" s="22" t="s">
        <v>38</v>
      </c>
      <c r="D1815" s="27">
        <v>31124211</v>
      </c>
      <c r="E1815" s="19"/>
      <c r="F1815" s="23">
        <f>967592+14626701</f>
        <v>15594293</v>
      </c>
      <c r="G1815" s="18">
        <f>+D1815-F1815</f>
        <v>15529918</v>
      </c>
      <c r="H1815" s="18"/>
      <c r="I1815" s="18">
        <v>0</v>
      </c>
      <c r="J1815" s="18">
        <v>0</v>
      </c>
      <c r="K1815" s="18">
        <v>0</v>
      </c>
      <c r="L1815" s="18">
        <v>0</v>
      </c>
      <c r="M1815" s="18">
        <v>0</v>
      </c>
      <c r="N1815" s="18">
        <v>0</v>
      </c>
      <c r="O1815" s="18">
        <v>0</v>
      </c>
      <c r="P1815" s="18"/>
      <c r="Q1815" s="18">
        <v>0</v>
      </c>
      <c r="R1815" s="18">
        <v>0</v>
      </c>
      <c r="S1815" s="18"/>
      <c r="T1815" s="18">
        <v>0</v>
      </c>
      <c r="U1815" s="18"/>
      <c r="V1815" s="18">
        <v>0</v>
      </c>
      <c r="W1815" s="18">
        <v>0</v>
      </c>
      <c r="X1815" s="18">
        <v>0</v>
      </c>
      <c r="Y1815" s="18"/>
    </row>
    <row r="1816" spans="1:25" ht="15">
      <c r="A1816" s="4">
        <f>+A1815+1</f>
        <v>7</v>
      </c>
      <c r="B1816" s="5" t="s">
        <v>43</v>
      </c>
      <c r="C1816" s="11"/>
      <c r="D1816" s="27">
        <v>0</v>
      </c>
      <c r="E1816" s="19"/>
      <c r="F1816" s="23">
        <v>0</v>
      </c>
      <c r="G1816" s="18">
        <f>+D1816-F1816</f>
        <v>0</v>
      </c>
      <c r="H1816" s="18"/>
      <c r="I1816" s="18">
        <v>0</v>
      </c>
      <c r="J1816" s="18">
        <v>0</v>
      </c>
      <c r="K1816" s="18">
        <v>0</v>
      </c>
      <c r="L1816" s="18">
        <v>0</v>
      </c>
      <c r="M1816" s="18">
        <v>0</v>
      </c>
      <c r="N1816" s="18">
        <v>0</v>
      </c>
      <c r="O1816" s="31">
        <v>0</v>
      </c>
      <c r="P1816" s="18"/>
      <c r="Q1816" s="18">
        <v>0</v>
      </c>
      <c r="R1816" s="18">
        <v>0</v>
      </c>
      <c r="S1816" s="18"/>
      <c r="T1816" s="18">
        <v>0</v>
      </c>
      <c r="U1816" s="18"/>
      <c r="V1816" s="18">
        <v>0</v>
      </c>
      <c r="W1816" s="18">
        <v>0</v>
      </c>
      <c r="X1816" s="18">
        <v>0</v>
      </c>
      <c r="Y1816" s="18"/>
    </row>
    <row r="1817" spans="1:25" ht="35.25">
      <c r="A1817" s="4">
        <f>+A1816+1</f>
        <v>8</v>
      </c>
      <c r="B1817" s="24" t="s">
        <v>180</v>
      </c>
      <c r="C1817" s="32" t="s">
        <v>44</v>
      </c>
      <c r="D1817" s="33">
        <f>D1815-D1816</f>
        <v>31124211</v>
      </c>
      <c r="E1817" s="34"/>
      <c r="F1817" s="91">
        <f>+F1815-F1816</f>
        <v>15594293</v>
      </c>
      <c r="G1817" s="18">
        <f>+G1815-G1816</f>
        <v>15529918</v>
      </c>
      <c r="H1817" s="18"/>
      <c r="I1817" s="18">
        <f aca="true" t="shared" si="220" ref="I1817:O1817">+I1815-I1816</f>
        <v>0</v>
      </c>
      <c r="J1817" s="18">
        <f t="shared" si="220"/>
        <v>0</v>
      </c>
      <c r="K1817" s="18">
        <f t="shared" si="220"/>
        <v>0</v>
      </c>
      <c r="L1817" s="18">
        <f t="shared" si="220"/>
        <v>0</v>
      </c>
      <c r="M1817" s="18">
        <f t="shared" si="220"/>
        <v>0</v>
      </c>
      <c r="N1817" s="18">
        <f t="shared" si="220"/>
        <v>0</v>
      </c>
      <c r="O1817" s="18">
        <f t="shared" si="220"/>
        <v>0</v>
      </c>
      <c r="P1817" s="18"/>
      <c r="Q1817" s="18">
        <f>+Q1815-Q1816</f>
        <v>0</v>
      </c>
      <c r="R1817" s="18">
        <f>+R1815-R1816</f>
        <v>0</v>
      </c>
      <c r="S1817" s="18"/>
      <c r="T1817" s="18">
        <f>+T1815-T1816</f>
        <v>0</v>
      </c>
      <c r="U1817" s="18"/>
      <c r="V1817" s="18">
        <f>+V1815-V1816</f>
        <v>0</v>
      </c>
      <c r="W1817" s="18">
        <f>+W1815-W1816</f>
        <v>0</v>
      </c>
      <c r="X1817" s="18">
        <f>+X1815-X1816</f>
        <v>0</v>
      </c>
      <c r="Y1817" s="18"/>
    </row>
    <row r="1818" spans="1:25" ht="28.5">
      <c r="A1818" s="4">
        <f>+A1817+1</f>
        <v>9</v>
      </c>
      <c r="B1818" s="88" t="s">
        <v>181</v>
      </c>
      <c r="C1818" s="35" t="s">
        <v>45</v>
      </c>
      <c r="D1818" s="18">
        <v>0</v>
      </c>
      <c r="E1818" s="19"/>
      <c r="F1818" s="31">
        <v>0</v>
      </c>
      <c r="G1818" s="31">
        <f>+D1818-F1818</f>
        <v>0</v>
      </c>
      <c r="H1818" s="18"/>
      <c r="I1818" s="18">
        <v>0</v>
      </c>
      <c r="J1818" s="18">
        <v>0</v>
      </c>
      <c r="K1818" s="18">
        <v>0</v>
      </c>
      <c r="L1818" s="18">
        <v>0</v>
      </c>
      <c r="M1818" s="18">
        <v>0</v>
      </c>
      <c r="N1818" s="18">
        <v>0</v>
      </c>
      <c r="O1818" s="31">
        <v>0</v>
      </c>
      <c r="P1818" s="18"/>
      <c r="Q1818" s="18">
        <v>0</v>
      </c>
      <c r="R1818" s="18">
        <v>0</v>
      </c>
      <c r="S1818" s="18"/>
      <c r="T1818" s="18">
        <v>0</v>
      </c>
      <c r="U1818" s="18"/>
      <c r="V1818" s="18">
        <v>0</v>
      </c>
      <c r="W1818" s="18">
        <v>0</v>
      </c>
      <c r="X1818" s="18">
        <v>0</v>
      </c>
      <c r="Y1818" s="18"/>
    </row>
    <row r="1819" spans="1:25" ht="15">
      <c r="A1819" s="4">
        <f>+A1818+1</f>
        <v>10</v>
      </c>
      <c r="B1819" s="24" t="s">
        <v>46</v>
      </c>
      <c r="C1819" s="11" t="s">
        <v>47</v>
      </c>
      <c r="D1819" s="36">
        <f>+D1811+D1812+D1813+D1817+D1818</f>
        <v>31318483</v>
      </c>
      <c r="E1819" s="19"/>
      <c r="F1819" s="36">
        <f>+F1811+F1812+F1813+F1817+F1818</f>
        <v>15313706</v>
      </c>
      <c r="G1819" s="18">
        <f>+G1811+G1812+G1817+G1818+G1813</f>
        <v>15724190</v>
      </c>
      <c r="H1819" s="18"/>
      <c r="I1819" s="18">
        <f aca="true" t="shared" si="221" ref="I1819:O1819">+I1811+I1812+I1817+I1818+I1813</f>
        <v>0</v>
      </c>
      <c r="J1819" s="21">
        <f t="shared" si="221"/>
        <v>74</v>
      </c>
      <c r="K1819" s="18">
        <f t="shared" si="221"/>
        <v>0</v>
      </c>
      <c r="L1819" s="18">
        <f t="shared" si="221"/>
        <v>-214313</v>
      </c>
      <c r="M1819" s="18">
        <f t="shared" si="221"/>
        <v>-6451</v>
      </c>
      <c r="N1819" s="18">
        <f t="shared" si="221"/>
        <v>-12</v>
      </c>
      <c r="O1819" s="18">
        <f t="shared" si="221"/>
        <v>4445</v>
      </c>
      <c r="P1819" s="18"/>
      <c r="Q1819" s="18">
        <f>+Q1811+Q1812+Q1817+Q1818+Q1813</f>
        <v>-15</v>
      </c>
      <c r="R1819" s="18">
        <f>+R1811+R1812+R1817+R1818+R1813</f>
        <v>0</v>
      </c>
      <c r="S1819" s="18"/>
      <c r="T1819" s="18">
        <f>+T1811+T1812+T1817+T1818+T1813</f>
        <v>0</v>
      </c>
      <c r="U1819" s="18"/>
      <c r="V1819" s="18">
        <f>+V1811+V1812+V1817+V1818+V1813</f>
        <v>0</v>
      </c>
      <c r="W1819" s="18">
        <f>+W1811+W1812+W1817+W1818+W1813</f>
        <v>0</v>
      </c>
      <c r="X1819" s="18">
        <f>+X1811+X1812+X1817+X1818+X1813</f>
        <v>-2844810.97</v>
      </c>
      <c r="Y1819" s="18"/>
    </row>
    <row r="1820" spans="1:25" ht="15">
      <c r="A1820" s="4"/>
      <c r="B1820" s="24"/>
      <c r="C1820" s="11" t="s">
        <v>0</v>
      </c>
      <c r="D1820" s="27" t="s">
        <v>0</v>
      </c>
      <c r="E1820" s="18"/>
      <c r="F1820" s="36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</row>
    <row r="1821" spans="1:25" ht="15">
      <c r="A1821" s="4"/>
      <c r="B1821" s="94" t="s">
        <v>0</v>
      </c>
      <c r="C1821" s="37" t="s">
        <v>0</v>
      </c>
      <c r="D1821" s="27">
        <f>-203117.72+15893700.47+15424803.03+203096.95</f>
        <v>31318482.73</v>
      </c>
      <c r="E1821" s="18"/>
      <c r="F1821" s="92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</row>
    <row r="1822" spans="1:25" ht="15">
      <c r="A1822" s="4"/>
      <c r="B1822" s="24"/>
      <c r="C1822" s="11"/>
      <c r="D1822" s="6" t="s">
        <v>48</v>
      </c>
      <c r="E1822" s="6"/>
      <c r="F1822" s="10" t="s">
        <v>49</v>
      </c>
      <c r="G1822" s="10" t="s">
        <v>50</v>
      </c>
      <c r="I1822" s="10" t="s">
        <v>51</v>
      </c>
      <c r="J1822" s="10" t="s">
        <v>52</v>
      </c>
      <c r="K1822" s="10" t="s">
        <v>53</v>
      </c>
      <c r="L1822" s="10" t="s">
        <v>54</v>
      </c>
      <c r="M1822" s="10" t="s">
        <v>55</v>
      </c>
      <c r="N1822" s="10" t="s">
        <v>56</v>
      </c>
      <c r="O1822" s="10" t="s">
        <v>57</v>
      </c>
      <c r="P1822" s="18"/>
      <c r="Q1822" s="10" t="s">
        <v>58</v>
      </c>
      <c r="R1822" s="10" t="s">
        <v>59</v>
      </c>
      <c r="S1822" s="10"/>
      <c r="T1822" s="10" t="s">
        <v>60</v>
      </c>
      <c r="U1822" s="18"/>
      <c r="V1822" s="10" t="s">
        <v>61</v>
      </c>
      <c r="W1822" s="10" t="s">
        <v>62</v>
      </c>
      <c r="X1822" s="10" t="s">
        <v>63</v>
      </c>
      <c r="Y1822" s="18"/>
    </row>
    <row r="1823" spans="1:25" ht="15">
      <c r="A1823" s="4"/>
      <c r="B1823"/>
      <c r="C1823" s="11"/>
      <c r="D1823" s="10" t="s">
        <v>20</v>
      </c>
      <c r="E1823" s="38"/>
      <c r="F1823" s="10" t="s">
        <v>20</v>
      </c>
      <c r="G1823" s="10" t="s">
        <v>20</v>
      </c>
      <c r="I1823" s="10" t="s">
        <v>20</v>
      </c>
      <c r="J1823" s="10" t="s">
        <v>20</v>
      </c>
      <c r="K1823" s="10" t="s">
        <v>20</v>
      </c>
      <c r="L1823" s="10" t="s">
        <v>20</v>
      </c>
      <c r="M1823" s="10" t="s">
        <v>20</v>
      </c>
      <c r="N1823" s="10" t="s">
        <v>20</v>
      </c>
      <c r="O1823" s="10" t="s">
        <v>20</v>
      </c>
      <c r="P1823" s="18"/>
      <c r="Q1823" s="10" t="s">
        <v>20</v>
      </c>
      <c r="R1823" s="10" t="s">
        <v>20</v>
      </c>
      <c r="S1823" s="14"/>
      <c r="T1823" s="10" t="s">
        <v>20</v>
      </c>
      <c r="U1823" s="18"/>
      <c r="W1823" s="39" t="s">
        <v>64</v>
      </c>
      <c r="Y1823" s="18"/>
    </row>
    <row r="1824" spans="1:25" ht="15">
      <c r="A1824" s="4"/>
      <c r="B1824" s="87" t="s">
        <v>174</v>
      </c>
      <c r="C1824" s="11"/>
      <c r="D1824" s="8" t="s">
        <v>155</v>
      </c>
      <c r="E1824" s="6"/>
      <c r="F1824" s="8" t="s">
        <v>66</v>
      </c>
      <c r="G1824" s="8" t="s">
        <v>67</v>
      </c>
      <c r="H1824" s="19"/>
      <c r="I1824" s="8" t="s">
        <v>68</v>
      </c>
      <c r="J1824" s="8" t="s">
        <v>69</v>
      </c>
      <c r="K1824" s="8" t="s">
        <v>70</v>
      </c>
      <c r="L1824" s="8" t="s">
        <v>71</v>
      </c>
      <c r="M1824" s="8" t="s">
        <v>72</v>
      </c>
      <c r="N1824" s="8" t="s">
        <v>73</v>
      </c>
      <c r="O1824" s="8" t="s">
        <v>74</v>
      </c>
      <c r="P1824" s="6"/>
      <c r="Q1824" s="8" t="s">
        <v>75</v>
      </c>
      <c r="R1824" s="8" t="s">
        <v>76</v>
      </c>
      <c r="S1824" s="8"/>
      <c r="T1824" s="8" t="s">
        <v>77</v>
      </c>
      <c r="U1824" s="18"/>
      <c r="V1824" s="10" t="s">
        <v>20</v>
      </c>
      <c r="W1824" s="14" t="s">
        <v>21</v>
      </c>
      <c r="X1824" s="10" t="s">
        <v>22</v>
      </c>
      <c r="Y1824" s="18"/>
    </row>
    <row r="1825" spans="1:8" ht="15">
      <c r="A1825" s="4"/>
      <c r="B1825" s="24"/>
      <c r="C1825" s="11"/>
      <c r="E1825" s="14"/>
      <c r="F1825"/>
      <c r="H1825" s="18"/>
    </row>
    <row r="1826" spans="1:24" ht="15">
      <c r="A1826" s="4">
        <f>+A1819+1</f>
        <v>11</v>
      </c>
      <c r="B1826" s="5" t="s">
        <v>36</v>
      </c>
      <c r="C1826" s="17" t="s">
        <v>37</v>
      </c>
      <c r="D1826" s="18">
        <v>0</v>
      </c>
      <c r="E1826" s="18"/>
      <c r="F1826" s="18">
        <v>0</v>
      </c>
      <c r="G1826" s="18">
        <v>0</v>
      </c>
      <c r="I1826" s="27">
        <v>331831</v>
      </c>
      <c r="J1826" s="18">
        <v>0</v>
      </c>
      <c r="K1826" s="18">
        <v>0</v>
      </c>
      <c r="L1826" s="18">
        <v>0</v>
      </c>
      <c r="M1826" s="18">
        <v>0</v>
      </c>
      <c r="N1826" s="18">
        <v>0</v>
      </c>
      <c r="O1826" s="18">
        <v>0</v>
      </c>
      <c r="Q1826" s="18">
        <v>0</v>
      </c>
      <c r="R1826" s="18">
        <v>0</v>
      </c>
      <c r="S1826" s="18"/>
      <c r="T1826" s="18">
        <v>0</v>
      </c>
      <c r="V1826" s="18">
        <f>+D1809+I1809+J1809+K1809+L1809+M1809+N1809+O1809+Q1809+R1809+T1809+V1809+W1809+X1809+D1826+F1826+G1826+I1826+J1826+K1826+L1826+M1826+N1826+O1826+Q1826+R1826+T1826</f>
        <v>55629709</v>
      </c>
      <c r="W1826" s="18">
        <f>+F1809</f>
        <v>19141936</v>
      </c>
      <c r="X1826" s="18">
        <f>+V1826-W1826</f>
        <v>36487773</v>
      </c>
    </row>
    <row r="1827" spans="1:24" ht="15">
      <c r="A1827" s="4">
        <f>+A1826+1</f>
        <v>12</v>
      </c>
      <c r="B1827" s="5" t="s">
        <v>36</v>
      </c>
      <c r="C1827" s="22" t="s">
        <v>38</v>
      </c>
      <c r="D1827" s="18">
        <v>0</v>
      </c>
      <c r="E1827" s="18"/>
      <c r="F1827" s="18">
        <v>0</v>
      </c>
      <c r="G1827" s="18">
        <v>0</v>
      </c>
      <c r="I1827" s="27">
        <v>333225</v>
      </c>
      <c r="J1827" s="18">
        <v>0</v>
      </c>
      <c r="K1827" s="18">
        <v>0</v>
      </c>
      <c r="L1827" s="18">
        <v>0</v>
      </c>
      <c r="M1827" s="18">
        <v>0</v>
      </c>
      <c r="N1827" s="18">
        <v>0</v>
      </c>
      <c r="O1827" s="18">
        <v>0</v>
      </c>
      <c r="Q1827" s="18">
        <v>0</v>
      </c>
      <c r="R1827" s="18">
        <v>0</v>
      </c>
      <c r="S1827" s="18"/>
      <c r="T1827" s="18">
        <v>0</v>
      </c>
      <c r="V1827" s="18">
        <f>+D1810+I1810+J1810+K1810+L1810+M1810+N1810+O1810+Q1810+R1810+T1810+V1810+W1810+X1810+D1827+F1827+G1827+I1827+J1827+K1827+L1827+M1827+N1827+O1827+Q1827+R1827+T1827</f>
        <v>55631103</v>
      </c>
      <c r="W1827" s="18">
        <f>+F1810</f>
        <v>19422523</v>
      </c>
      <c r="X1827" s="18">
        <f>+V1827-W1827</f>
        <v>36208580</v>
      </c>
    </row>
    <row r="1828" spans="1:24" ht="15">
      <c r="A1828" s="4">
        <f>+A1827+1</f>
        <v>13</v>
      </c>
      <c r="B1828" s="24" t="s">
        <v>46</v>
      </c>
      <c r="C1828" s="40" t="s">
        <v>78</v>
      </c>
      <c r="D1828" s="18">
        <f>+D1826-D1827</f>
        <v>0</v>
      </c>
      <c r="E1828" s="18"/>
      <c r="F1828" s="18">
        <f>+F1826-F1827</f>
        <v>0</v>
      </c>
      <c r="G1828" s="18">
        <f>+G1826-G1827</f>
        <v>0</v>
      </c>
      <c r="I1828" s="18">
        <f aca="true" t="shared" si="222" ref="I1828:O1828">+I1826-I1827</f>
        <v>-1394</v>
      </c>
      <c r="J1828" s="18">
        <f t="shared" si="222"/>
        <v>0</v>
      </c>
      <c r="K1828" s="18">
        <f t="shared" si="222"/>
        <v>0</v>
      </c>
      <c r="L1828" s="18">
        <f t="shared" si="222"/>
        <v>0</v>
      </c>
      <c r="M1828" s="18">
        <f t="shared" si="222"/>
        <v>0</v>
      </c>
      <c r="N1828" s="18">
        <f t="shared" si="222"/>
        <v>0</v>
      </c>
      <c r="O1828" s="18">
        <f t="shared" si="222"/>
        <v>0</v>
      </c>
      <c r="Q1828" s="18">
        <f>+Q1826-Q1827</f>
        <v>0</v>
      </c>
      <c r="R1828" s="18">
        <f>+R1826-R1827</f>
        <v>0</v>
      </c>
      <c r="S1828" s="18"/>
      <c r="T1828" s="18">
        <f>+T1826-T1827</f>
        <v>0</v>
      </c>
      <c r="V1828" s="27">
        <f>+V1826-V1827</f>
        <v>-1394</v>
      </c>
      <c r="W1828" s="27">
        <f>+W1826-W1827</f>
        <v>-280587</v>
      </c>
      <c r="X1828" s="18">
        <f>+X1826-X1827</f>
        <v>279193</v>
      </c>
    </row>
    <row r="1829" spans="1:24" ht="28.5">
      <c r="A1829" s="4">
        <f>+A1828+1</f>
        <v>14</v>
      </c>
      <c r="B1829" s="88" t="s">
        <v>182</v>
      </c>
      <c r="C1829" s="11"/>
      <c r="D1829" s="18">
        <v>0</v>
      </c>
      <c r="E1829" s="18"/>
      <c r="F1829" s="18">
        <v>0</v>
      </c>
      <c r="G1829" s="18">
        <v>0</v>
      </c>
      <c r="I1829" s="18">
        <v>0</v>
      </c>
      <c r="J1829" s="18">
        <v>0</v>
      </c>
      <c r="K1829" s="18">
        <v>0</v>
      </c>
      <c r="L1829" s="18">
        <v>0</v>
      </c>
      <c r="M1829" s="18">
        <v>0</v>
      </c>
      <c r="N1829" s="18">
        <v>0</v>
      </c>
      <c r="O1829" s="18">
        <v>0</v>
      </c>
      <c r="Q1829" s="18">
        <v>0</v>
      </c>
      <c r="R1829" s="18">
        <v>0</v>
      </c>
      <c r="S1829" s="18"/>
      <c r="T1829" s="18">
        <v>0</v>
      </c>
      <c r="V1829" s="18">
        <f>+D1812+I1812+J1812+K1812+L1812+M1812+N1812+O1812+Q1812+R1812+T1812+V1812+W1812+X1812+D1829+F1829+G1829+I1829+J1829+K1829+L1829+M1829+N1829+O1829+Q1829+R1829+T1829</f>
        <v>0</v>
      </c>
      <c r="W1829" s="18">
        <f>+F1812</f>
        <v>0</v>
      </c>
      <c r="X1829" s="18">
        <f>+V1829-W1829</f>
        <v>0</v>
      </c>
    </row>
    <row r="1830" spans="1:24" ht="24.75">
      <c r="A1830" s="4">
        <f>+A1829+1</f>
        <v>15</v>
      </c>
      <c r="B1830" s="89" t="s">
        <v>39</v>
      </c>
      <c r="C1830" s="40"/>
      <c r="D1830" s="27">
        <v>2664</v>
      </c>
      <c r="E1830" s="18" t="s">
        <v>0</v>
      </c>
      <c r="F1830" s="27">
        <v>0</v>
      </c>
      <c r="G1830" s="27">
        <v>0</v>
      </c>
      <c r="H1830" t="s">
        <v>0</v>
      </c>
      <c r="I1830" s="27">
        <v>0</v>
      </c>
      <c r="J1830" s="27">
        <v>0</v>
      </c>
      <c r="K1830" s="27">
        <v>0</v>
      </c>
      <c r="L1830" s="27">
        <v>0</v>
      </c>
      <c r="M1830" s="27">
        <v>219120</v>
      </c>
      <c r="N1830" s="27">
        <v>-1967182</v>
      </c>
      <c r="O1830" s="27">
        <v>0</v>
      </c>
      <c r="Q1830" s="27">
        <v>0</v>
      </c>
      <c r="R1830" s="27">
        <v>0</v>
      </c>
      <c r="S1830" s="27"/>
      <c r="T1830" s="27">
        <v>0</v>
      </c>
      <c r="V1830" s="18">
        <f>+D1813+I1813+J1813+K1813+L1813+M1813+N1813+O1813+Q1813+R1813+T1813+V1813+W1813+X1813+D1830+F1830+G1830+I1830+J1830+K1830+L1830+M1830+N1830+O1830+Q1830+R1830+T1830</f>
        <v>-4612208.970000001</v>
      </c>
      <c r="W1830" s="18">
        <f>+F1813</f>
        <v>0</v>
      </c>
      <c r="X1830" s="18">
        <f>+V1830-W1830</f>
        <v>-4612208.970000001</v>
      </c>
    </row>
    <row r="1831" spans="1:24" ht="15">
      <c r="A1831" s="6" t="s">
        <v>41</v>
      </c>
      <c r="B1831" s="41"/>
      <c r="C1831" s="40"/>
      <c r="D1831" s="18"/>
      <c r="E1831" s="18"/>
      <c r="F1831" s="18"/>
      <c r="G1831" s="18"/>
      <c r="I1831" s="18"/>
      <c r="J1831" s="18"/>
      <c r="K1831" s="18"/>
      <c r="L1831" s="18"/>
      <c r="M1831" s="18"/>
      <c r="N1831" s="18"/>
      <c r="O1831" s="18"/>
      <c r="Q1831" s="18"/>
      <c r="R1831" s="18"/>
      <c r="S1831" s="18"/>
      <c r="T1831" s="18"/>
      <c r="V1831" s="18"/>
      <c r="W1831" s="18"/>
      <c r="X1831" s="18"/>
    </row>
    <row r="1832" spans="1:24" ht="15">
      <c r="A1832" s="4">
        <f>+A1830+1</f>
        <v>16</v>
      </c>
      <c r="B1832" s="5" t="s">
        <v>42</v>
      </c>
      <c r="C1832" s="22" t="s">
        <v>38</v>
      </c>
      <c r="D1832" s="18">
        <v>0</v>
      </c>
      <c r="E1832" s="18"/>
      <c r="F1832" s="18">
        <v>0</v>
      </c>
      <c r="G1832" s="18">
        <v>0</v>
      </c>
      <c r="I1832" s="27">
        <v>287995</v>
      </c>
      <c r="J1832" s="18">
        <v>0</v>
      </c>
      <c r="K1832" s="18">
        <v>0</v>
      </c>
      <c r="L1832" s="18">
        <v>0</v>
      </c>
      <c r="M1832" s="18">
        <v>0</v>
      </c>
      <c r="N1832" s="18">
        <v>0</v>
      </c>
      <c r="O1832" s="18">
        <v>0</v>
      </c>
      <c r="P1832" s="18"/>
      <c r="Q1832" s="18">
        <v>0</v>
      </c>
      <c r="R1832" s="18">
        <v>0</v>
      </c>
      <c r="S1832" s="18"/>
      <c r="T1832" s="18">
        <v>0</v>
      </c>
      <c r="U1832" s="18"/>
      <c r="V1832" s="18">
        <f>+D1815+I1815+J1815+K1815+L1815+M1815+N1815+O1815+Q1815+R1815+T1815+V1815+W1815+X1815+D1832+F1832+G1832+I1832+J1832+K1832+L1832+M1832+N1832+O1832+Q1832+R1832+T1832</f>
        <v>31412206</v>
      </c>
      <c r="W1832" s="18">
        <f>+F1815</f>
        <v>15594293</v>
      </c>
      <c r="X1832" s="18">
        <f>+V1832-W1832</f>
        <v>15817913</v>
      </c>
    </row>
    <row r="1833" spans="1:24" ht="15">
      <c r="A1833" s="4">
        <f>+A1832+1</f>
        <v>17</v>
      </c>
      <c r="B1833" s="5" t="s">
        <v>43</v>
      </c>
      <c r="C1833" s="11"/>
      <c r="D1833" s="18">
        <v>0</v>
      </c>
      <c r="E1833" s="18"/>
      <c r="F1833" s="18">
        <v>0</v>
      </c>
      <c r="G1833" s="18">
        <v>0</v>
      </c>
      <c r="I1833" s="27">
        <v>0</v>
      </c>
      <c r="J1833" s="18">
        <v>0</v>
      </c>
      <c r="K1833" s="18">
        <v>0</v>
      </c>
      <c r="L1833" s="18">
        <v>0</v>
      </c>
      <c r="M1833" s="18">
        <v>0</v>
      </c>
      <c r="N1833" s="18">
        <v>0</v>
      </c>
      <c r="O1833" s="18">
        <v>0</v>
      </c>
      <c r="P1833" s="18"/>
      <c r="Q1833" s="18">
        <v>0</v>
      </c>
      <c r="R1833" s="18">
        <v>0</v>
      </c>
      <c r="S1833" s="18"/>
      <c r="T1833" s="18">
        <v>0</v>
      </c>
      <c r="U1833" s="18"/>
      <c r="V1833" s="18">
        <f>+D1816+I1816+J1816+K1816+L1816+M1816+N1816+O1816+Q1816+R1816+T1816+V1816+W1816+X1816+D1833+F1833+G1833+I1833+J1833+K1833+L1833+M1833+N1833+O1833+Q1833+R1833+T1833</f>
        <v>0</v>
      </c>
      <c r="W1833" s="18">
        <f>+F1816</f>
        <v>0</v>
      </c>
      <c r="X1833" s="18">
        <f>+V1833-W1833</f>
        <v>0</v>
      </c>
    </row>
    <row r="1834" spans="1:24" ht="26.25">
      <c r="A1834" s="4">
        <f>+A1833+1</f>
        <v>18</v>
      </c>
      <c r="B1834" s="24" t="s">
        <v>79</v>
      </c>
      <c r="C1834" s="11"/>
      <c r="D1834" s="18">
        <f>+D1832-D1833</f>
        <v>0</v>
      </c>
      <c r="E1834" s="18"/>
      <c r="F1834" s="18">
        <f>+F1832-F1833</f>
        <v>0</v>
      </c>
      <c r="G1834" s="18">
        <f>+G1832-G1833</f>
        <v>0</v>
      </c>
      <c r="I1834" s="18">
        <f aca="true" t="shared" si="223" ref="I1834:O1834">+I1832-I1833</f>
        <v>287995</v>
      </c>
      <c r="J1834" s="18">
        <f t="shared" si="223"/>
        <v>0</v>
      </c>
      <c r="K1834" s="18">
        <f t="shared" si="223"/>
        <v>0</v>
      </c>
      <c r="L1834" s="18">
        <f t="shared" si="223"/>
        <v>0</v>
      </c>
      <c r="M1834" s="18">
        <f t="shared" si="223"/>
        <v>0</v>
      </c>
      <c r="N1834" s="18">
        <f t="shared" si="223"/>
        <v>0</v>
      </c>
      <c r="O1834" s="18">
        <f t="shared" si="223"/>
        <v>0</v>
      </c>
      <c r="P1834" s="18"/>
      <c r="Q1834" s="18">
        <f>+Q1832-Q1833</f>
        <v>0</v>
      </c>
      <c r="R1834" s="18">
        <f>+R1832-R1833</f>
        <v>0</v>
      </c>
      <c r="S1834" s="18"/>
      <c r="T1834" s="18">
        <f>+T1832-T1833</f>
        <v>0</v>
      </c>
      <c r="U1834" s="18"/>
      <c r="V1834" s="27">
        <f>+V1832-V1833</f>
        <v>31412206</v>
      </c>
      <c r="W1834" s="27">
        <f>+W1832-W1833</f>
        <v>15594293</v>
      </c>
      <c r="X1834" s="18">
        <f>+X1832-X1833</f>
        <v>15817913</v>
      </c>
    </row>
    <row r="1835" spans="1:24" ht="28.5">
      <c r="A1835" s="4">
        <f>+A1834+1</f>
        <v>19</v>
      </c>
      <c r="B1835" s="88" t="s">
        <v>181</v>
      </c>
      <c r="C1835" s="11"/>
      <c r="D1835" s="18">
        <v>0</v>
      </c>
      <c r="E1835" s="18"/>
      <c r="F1835" s="18">
        <v>0</v>
      </c>
      <c r="G1835" s="18">
        <v>0</v>
      </c>
      <c r="I1835" s="18">
        <v>0</v>
      </c>
      <c r="J1835" s="18">
        <v>0</v>
      </c>
      <c r="K1835" s="18">
        <v>0</v>
      </c>
      <c r="L1835" s="18">
        <v>0</v>
      </c>
      <c r="M1835" s="18">
        <v>0</v>
      </c>
      <c r="N1835" s="18">
        <v>0</v>
      </c>
      <c r="O1835" s="18">
        <v>0</v>
      </c>
      <c r="P1835" s="18"/>
      <c r="Q1835" s="18">
        <v>0</v>
      </c>
      <c r="R1835" s="18">
        <v>0</v>
      </c>
      <c r="S1835" s="18"/>
      <c r="T1835" s="18">
        <v>0</v>
      </c>
      <c r="U1835" s="18"/>
      <c r="V1835" s="18">
        <f>+D1818+I1818+J1818+K1818+L1818+M1818+N1818+O1818+Q1818+R1818+T1818+V1818+W1818+X1818+D1835+F1835+G1835+I1835+J1835+K1835+L1835+M1835+N1835+O1835+Q1835+R1835+T1835</f>
        <v>0</v>
      </c>
      <c r="W1835" s="18">
        <f>+F1818+K1835+L1835+M1835+N1835+O1835+Q1835+R1835+T1835</f>
        <v>0</v>
      </c>
      <c r="X1835" s="18">
        <f>+V1835-W1835</f>
        <v>0</v>
      </c>
    </row>
    <row r="1836" spans="1:24" ht="15">
      <c r="A1836" s="4">
        <f>+A1835+1</f>
        <v>20</v>
      </c>
      <c r="B1836" s="24" t="s">
        <v>46</v>
      </c>
      <c r="C1836" s="11" t="s">
        <v>47</v>
      </c>
      <c r="D1836" s="18">
        <f>+D1828+D1829+D1834+D1835+D1830</f>
        <v>2664</v>
      </c>
      <c r="E1836" s="18"/>
      <c r="F1836" s="18">
        <f>+F1828+F1829+F1834+F1835+F1830</f>
        <v>0</v>
      </c>
      <c r="G1836" s="18">
        <f>+G1828+G1829+G1834+G1835+G1830</f>
        <v>0</v>
      </c>
      <c r="I1836" s="18">
        <f aca="true" t="shared" si="224" ref="I1836:O1836">+I1828+I1829+I1834+I1835+I1830</f>
        <v>286601</v>
      </c>
      <c r="J1836" s="18">
        <f t="shared" si="224"/>
        <v>0</v>
      </c>
      <c r="K1836" s="18">
        <f t="shared" si="224"/>
        <v>0</v>
      </c>
      <c r="L1836" s="18">
        <f t="shared" si="224"/>
        <v>0</v>
      </c>
      <c r="M1836" s="18">
        <f t="shared" si="224"/>
        <v>219120</v>
      </c>
      <c r="N1836" s="18">
        <f t="shared" si="224"/>
        <v>-1967182</v>
      </c>
      <c r="O1836" s="18">
        <f t="shared" si="224"/>
        <v>0</v>
      </c>
      <c r="P1836" s="42"/>
      <c r="Q1836" s="18">
        <f>+Q1828+Q1829+Q1834+Q1835+Q1830</f>
        <v>0</v>
      </c>
      <c r="R1836" s="18">
        <f>+R1828+R1829+R1834+R1835+R1830</f>
        <v>0</v>
      </c>
      <c r="S1836" s="18"/>
      <c r="T1836" s="18">
        <f>+T1828+T1829+T1834+T1835+T1830</f>
        <v>0</v>
      </c>
      <c r="U1836" s="42"/>
      <c r="V1836" s="18">
        <f>SUM(V1828,V1830,V1834,V1835)</f>
        <v>26798603.03</v>
      </c>
      <c r="W1836" s="18">
        <f>+W1828+W1829+W1834+W1835+W1830</f>
        <v>15313706</v>
      </c>
      <c r="X1836" s="18">
        <f>+X1828+X1829+X1834+X1835+X1830</f>
        <v>11484897.03</v>
      </c>
    </row>
    <row r="1837" spans="1:24" ht="15">
      <c r="A1837" s="4"/>
      <c r="B1837" s="24"/>
      <c r="C1837" s="11"/>
      <c r="D1837" s="18"/>
      <c r="E1837" s="18"/>
      <c r="F1837" s="18"/>
      <c r="G1837" s="18"/>
      <c r="I1837" s="18"/>
      <c r="J1837" s="18"/>
      <c r="K1837" s="18"/>
      <c r="L1837" s="18"/>
      <c r="M1837" s="18"/>
      <c r="N1837" s="18"/>
      <c r="O1837" s="18"/>
      <c r="P1837" s="42"/>
      <c r="Q1837" s="18"/>
      <c r="R1837" s="18"/>
      <c r="S1837" s="18"/>
      <c r="T1837" s="18"/>
      <c r="U1837" s="42"/>
      <c r="V1837" s="18"/>
      <c r="W1837" s="18"/>
      <c r="X1837" s="18"/>
    </row>
    <row r="1838" spans="1:24" ht="15">
      <c r="A1838" s="4"/>
      <c r="B1838" s="24"/>
      <c r="C1838" s="11"/>
      <c r="D1838" s="18"/>
      <c r="E1838" s="18"/>
      <c r="F1838" s="18"/>
      <c r="G1838" s="18"/>
      <c r="I1838" s="18"/>
      <c r="J1838" s="18"/>
      <c r="K1838" s="18"/>
      <c r="L1838" s="18"/>
      <c r="M1838" s="18"/>
      <c r="N1838" s="18"/>
      <c r="O1838" s="18"/>
      <c r="P1838" s="42"/>
      <c r="Q1838" s="18"/>
      <c r="R1838" s="18"/>
      <c r="S1838" s="18"/>
      <c r="T1838" s="18"/>
      <c r="U1838" s="42"/>
      <c r="V1838" s="18"/>
      <c r="W1838" s="18"/>
      <c r="X1838" s="18"/>
    </row>
    <row r="1839" spans="1:24" ht="15">
      <c r="A1839" s="4"/>
      <c r="B1839" s="24"/>
      <c r="C1839" s="11"/>
      <c r="D1839" s="18"/>
      <c r="E1839" s="18"/>
      <c r="F1839" s="18"/>
      <c r="G1839" s="18"/>
      <c r="I1839" s="18"/>
      <c r="J1839" s="18"/>
      <c r="K1839" s="18"/>
      <c r="L1839" s="18"/>
      <c r="M1839" s="18"/>
      <c r="N1839" s="18"/>
      <c r="O1839" s="18"/>
      <c r="P1839" s="42"/>
      <c r="Q1839" s="18"/>
      <c r="R1839" s="18"/>
      <c r="S1839" s="18"/>
      <c r="T1839" s="18"/>
      <c r="U1839" s="42"/>
      <c r="V1839" s="18"/>
      <c r="W1839" s="18"/>
      <c r="X1839" s="18"/>
    </row>
    <row r="1840" spans="1:25" ht="15">
      <c r="A1840" s="4"/>
      <c r="B1840" s="24"/>
      <c r="C1840" s="11"/>
      <c r="D1840" s="10" t="s">
        <v>80</v>
      </c>
      <c r="E1840" s="10"/>
      <c r="F1840" s="10" t="s">
        <v>81</v>
      </c>
      <c r="G1840" s="10" t="s">
        <v>82</v>
      </c>
      <c r="I1840" s="10" t="s">
        <v>83</v>
      </c>
      <c r="J1840" s="10" t="s">
        <v>84</v>
      </c>
      <c r="K1840" s="10" t="s">
        <v>85</v>
      </c>
      <c r="L1840" s="10" t="s">
        <v>86</v>
      </c>
      <c r="M1840" s="43" t="s">
        <v>87</v>
      </c>
      <c r="N1840" s="43" t="s">
        <v>88</v>
      </c>
      <c r="O1840" s="44" t="s">
        <v>89</v>
      </c>
      <c r="P1840" s="42"/>
      <c r="Q1840" s="43" t="s">
        <v>90</v>
      </c>
      <c r="R1840" s="43" t="s">
        <v>91</v>
      </c>
      <c r="S1840" s="43"/>
      <c r="T1840" s="43" t="s">
        <v>92</v>
      </c>
      <c r="U1840" s="42"/>
      <c r="V1840" s="43" t="s">
        <v>93</v>
      </c>
      <c r="W1840" s="43" t="s">
        <v>94</v>
      </c>
      <c r="X1840" s="43" t="s">
        <v>95</v>
      </c>
      <c r="Y1840" s="18"/>
    </row>
    <row r="1841" spans="1:25" ht="15">
      <c r="A1841" s="4"/>
      <c r="B1841"/>
      <c r="C1841" s="11"/>
      <c r="D1841" s="10" t="s">
        <v>20</v>
      </c>
      <c r="E1841" s="38"/>
      <c r="F1841" s="10" t="s">
        <v>20</v>
      </c>
      <c r="G1841" s="10" t="s">
        <v>20</v>
      </c>
      <c r="I1841" s="10" t="s">
        <v>20</v>
      </c>
      <c r="J1841" s="10" t="s">
        <v>20</v>
      </c>
      <c r="K1841" s="10" t="s">
        <v>20</v>
      </c>
      <c r="L1841" s="10" t="s">
        <v>20</v>
      </c>
      <c r="M1841" s="10" t="s">
        <v>20</v>
      </c>
      <c r="N1841" s="10" t="s">
        <v>20</v>
      </c>
      <c r="O1841" s="10" t="s">
        <v>20</v>
      </c>
      <c r="P1841" s="18"/>
      <c r="Q1841" s="10" t="s">
        <v>20</v>
      </c>
      <c r="R1841" s="10" t="s">
        <v>20</v>
      </c>
      <c r="S1841" s="14"/>
      <c r="T1841" s="10" t="s">
        <v>20</v>
      </c>
      <c r="U1841" s="18"/>
      <c r="W1841" s="39" t="s">
        <v>96</v>
      </c>
      <c r="Y1841" s="18"/>
    </row>
    <row r="1842" spans="1:25" ht="15">
      <c r="A1842" s="4"/>
      <c r="B1842" s="87" t="s">
        <v>174</v>
      </c>
      <c r="C1842" s="11"/>
      <c r="D1842" s="8" t="s">
        <v>156</v>
      </c>
      <c r="E1842" s="6"/>
      <c r="F1842" s="8" t="s">
        <v>157</v>
      </c>
      <c r="G1842" s="45" t="s">
        <v>99</v>
      </c>
      <c r="H1842" s="19"/>
      <c r="I1842" s="45" t="s">
        <v>100</v>
      </c>
      <c r="J1842" s="45" t="s">
        <v>101</v>
      </c>
      <c r="K1842" s="45" t="s">
        <v>102</v>
      </c>
      <c r="L1842" s="45" t="s">
        <v>103</v>
      </c>
      <c r="M1842" s="45" t="s">
        <v>104</v>
      </c>
      <c r="N1842" s="45" t="s">
        <v>105</v>
      </c>
      <c r="O1842" s="45" t="s">
        <v>106</v>
      </c>
      <c r="P1842" s="6"/>
      <c r="Q1842" s="45" t="s">
        <v>107</v>
      </c>
      <c r="R1842" s="45" t="s">
        <v>108</v>
      </c>
      <c r="S1842" s="45"/>
      <c r="T1842" s="45" t="s">
        <v>109</v>
      </c>
      <c r="U1842" s="18"/>
      <c r="V1842" s="10" t="s">
        <v>20</v>
      </c>
      <c r="W1842" s="10" t="s">
        <v>21</v>
      </c>
      <c r="X1842" s="10" t="s">
        <v>22</v>
      </c>
      <c r="Y1842" s="18"/>
    </row>
    <row r="1843" spans="1:9" ht="15">
      <c r="A1843" s="4"/>
      <c r="B1843" s="24"/>
      <c r="C1843" s="11"/>
      <c r="E1843" s="14"/>
      <c r="F1843"/>
      <c r="H1843" s="18"/>
      <c r="I1843" s="16"/>
    </row>
    <row r="1844" spans="1:24" ht="15">
      <c r="A1844" s="4">
        <f>+A1837+1</f>
        <v>1</v>
      </c>
      <c r="B1844" s="5" t="s">
        <v>36</v>
      </c>
      <c r="C1844" s="17" t="s">
        <v>37</v>
      </c>
      <c r="D1844" s="18">
        <v>0</v>
      </c>
      <c r="E1844" s="18"/>
      <c r="F1844" s="18">
        <v>36279.89</v>
      </c>
      <c r="G1844" s="18">
        <v>0</v>
      </c>
      <c r="I1844" s="18">
        <v>0</v>
      </c>
      <c r="J1844" s="18">
        <v>0</v>
      </c>
      <c r="K1844" s="46">
        <v>-209440.82</v>
      </c>
      <c r="L1844" s="27">
        <v>-7129</v>
      </c>
      <c r="M1844" s="18">
        <v>0</v>
      </c>
      <c r="N1844" s="18">
        <v>0</v>
      </c>
      <c r="O1844" s="18">
        <v>0</v>
      </c>
      <c r="Q1844" s="18">
        <v>0</v>
      </c>
      <c r="R1844" s="18">
        <v>0</v>
      </c>
      <c r="S1844" s="18"/>
      <c r="T1844" s="18">
        <v>0</v>
      </c>
      <c r="V1844" s="18">
        <f>+V1826+D1844+F1844+G1844+I1844+J1844+K1844+L1844+M1844+N1844+O1844+Q1844+R1844+T1844</f>
        <v>55449419.07</v>
      </c>
      <c r="W1844" s="18">
        <f>+W1826</f>
        <v>19141936</v>
      </c>
      <c r="X1844" s="18">
        <f>+V1844-W1844</f>
        <v>36307483.07</v>
      </c>
    </row>
    <row r="1845" spans="1:24" ht="15">
      <c r="A1845" s="4">
        <f>+A1844+1</f>
        <v>2</v>
      </c>
      <c r="B1845" s="5" t="s">
        <v>36</v>
      </c>
      <c r="C1845" s="22" t="s">
        <v>38</v>
      </c>
      <c r="D1845" s="18">
        <v>0</v>
      </c>
      <c r="E1845" s="18"/>
      <c r="F1845" s="18">
        <v>35941.09</v>
      </c>
      <c r="G1845" s="18">
        <v>0</v>
      </c>
      <c r="I1845" s="18">
        <v>0</v>
      </c>
      <c r="J1845" s="18">
        <v>0</v>
      </c>
      <c r="K1845" s="46">
        <v>-209441</v>
      </c>
      <c r="L1845" s="27">
        <v>-7129</v>
      </c>
      <c r="M1845" s="18">
        <v>0</v>
      </c>
      <c r="N1845" s="18">
        <v>0</v>
      </c>
      <c r="O1845" s="18">
        <v>0</v>
      </c>
      <c r="Q1845" s="18">
        <v>0</v>
      </c>
      <c r="R1845" s="18">
        <v>0</v>
      </c>
      <c r="S1845" s="18"/>
      <c r="T1845" s="18">
        <v>0</v>
      </c>
      <c r="V1845" s="18">
        <f>+V1827+D1845+F1845+G1845+I1845+J1845+K1845+L1845+M1845+N1845+O1845+Q1845+R1845+T1845</f>
        <v>55450474.09</v>
      </c>
      <c r="W1845" s="18">
        <f>+W1827</f>
        <v>19422523</v>
      </c>
      <c r="X1845" s="18">
        <f>+V1845-W1845</f>
        <v>36027951.09</v>
      </c>
    </row>
    <row r="1846" spans="1:24" ht="15">
      <c r="A1846" s="4">
        <f>+A1845+1</f>
        <v>3</v>
      </c>
      <c r="B1846" s="24" t="s">
        <v>46</v>
      </c>
      <c r="C1846" s="40" t="s">
        <v>78</v>
      </c>
      <c r="D1846" s="18">
        <f>+D1844-D1845</f>
        <v>0</v>
      </c>
      <c r="E1846" s="18"/>
      <c r="F1846" s="18">
        <f>+F1844-F1845</f>
        <v>338.8000000000029</v>
      </c>
      <c r="G1846" s="18">
        <f>+G1844-G1845</f>
        <v>0</v>
      </c>
      <c r="I1846" s="18">
        <f aca="true" t="shared" si="225" ref="I1846:O1846">+I1844-I1845</f>
        <v>0</v>
      </c>
      <c r="J1846" s="18">
        <f t="shared" si="225"/>
        <v>0</v>
      </c>
      <c r="K1846" s="18">
        <f t="shared" si="225"/>
        <v>0.17999999999301508</v>
      </c>
      <c r="L1846" s="18">
        <f t="shared" si="225"/>
        <v>0</v>
      </c>
      <c r="M1846" s="18">
        <f t="shared" si="225"/>
        <v>0</v>
      </c>
      <c r="N1846" s="18">
        <f t="shared" si="225"/>
        <v>0</v>
      </c>
      <c r="O1846" s="18">
        <f t="shared" si="225"/>
        <v>0</v>
      </c>
      <c r="Q1846" s="18">
        <f>+Q1844-Q1845</f>
        <v>0</v>
      </c>
      <c r="R1846" s="18">
        <f>+R1844-R1845</f>
        <v>0</v>
      </c>
      <c r="S1846" s="18"/>
      <c r="T1846" s="18">
        <f>+T1844-T1845</f>
        <v>0</v>
      </c>
      <c r="V1846" s="27">
        <f>+V1844-V1845</f>
        <v>-1055.0200000032783</v>
      </c>
      <c r="W1846" s="27">
        <f>+W1844-W1845</f>
        <v>-280587</v>
      </c>
      <c r="X1846" s="18">
        <f>+X1844-X1845</f>
        <v>279531.9799999967</v>
      </c>
    </row>
    <row r="1847" spans="1:24" ht="28.5">
      <c r="A1847" s="4">
        <f>+A1846+1</f>
        <v>4</v>
      </c>
      <c r="B1847" s="88" t="s">
        <v>182</v>
      </c>
      <c r="C1847" s="11"/>
      <c r="D1847" s="18">
        <v>0</v>
      </c>
      <c r="E1847" s="18"/>
      <c r="F1847" s="18">
        <v>0</v>
      </c>
      <c r="G1847" s="18">
        <v>0</v>
      </c>
      <c r="I1847" s="18">
        <v>0</v>
      </c>
      <c r="J1847" s="27">
        <v>0</v>
      </c>
      <c r="K1847" s="18">
        <v>0</v>
      </c>
      <c r="L1847" s="18">
        <v>0</v>
      </c>
      <c r="M1847" s="18">
        <v>0</v>
      </c>
      <c r="N1847" s="18">
        <v>0</v>
      </c>
      <c r="O1847" s="18">
        <v>0</v>
      </c>
      <c r="Q1847" s="18">
        <v>0</v>
      </c>
      <c r="R1847" s="18">
        <v>0</v>
      </c>
      <c r="S1847" s="18"/>
      <c r="T1847" s="18">
        <v>0</v>
      </c>
      <c r="V1847" s="18">
        <f>+V1829+D1847+F1847+G1847+I1847+J1847+K1847+L1847+M1847+N1847+O1847+Q1847+R1847+T1847</f>
        <v>0</v>
      </c>
      <c r="W1847" s="18">
        <f>+W1829</f>
        <v>0</v>
      </c>
      <c r="X1847" s="18">
        <f>+V1847-W1847</f>
        <v>0</v>
      </c>
    </row>
    <row r="1848" spans="1:24" ht="24.75">
      <c r="A1848" s="4">
        <f>+A1847+1</f>
        <v>5</v>
      </c>
      <c r="B1848" s="89" t="s">
        <v>39</v>
      </c>
      <c r="C1848" s="40"/>
      <c r="D1848" s="27">
        <v>6194</v>
      </c>
      <c r="E1848" s="18"/>
      <c r="F1848" s="27">
        <f>104380-339</f>
        <v>104041</v>
      </c>
      <c r="G1848" s="27">
        <v>69765</v>
      </c>
      <c r="I1848" s="27">
        <v>0</v>
      </c>
      <c r="J1848" s="27">
        <v>0</v>
      </c>
      <c r="K1848" s="27">
        <v>-216407</v>
      </c>
      <c r="L1848" s="27">
        <v>0</v>
      </c>
      <c r="M1848" s="27">
        <v>-8884</v>
      </c>
      <c r="N1848" s="27">
        <v>0</v>
      </c>
      <c r="O1848" s="27">
        <v>-45294</v>
      </c>
      <c r="Q1848" s="27">
        <v>0</v>
      </c>
      <c r="R1848" s="27">
        <v>-11836.54</v>
      </c>
      <c r="S1848" s="27"/>
      <c r="T1848" s="27">
        <v>-58225.06</v>
      </c>
      <c r="V1848" s="18">
        <f>+V1830+D1848+F1848+G1848+I1848+J1848+K1848+L1848+M1848+N1848+O1848+Q1848+R1848+T1848</f>
        <v>-4772855.57</v>
      </c>
      <c r="W1848" s="18">
        <f>+W1830</f>
        <v>0</v>
      </c>
      <c r="X1848" s="18">
        <f>+V1848-W1848</f>
        <v>-4772855.57</v>
      </c>
    </row>
    <row r="1849" spans="1:24" ht="15">
      <c r="A1849" s="6" t="s">
        <v>41</v>
      </c>
      <c r="B1849" s="41"/>
      <c r="C1849" s="40"/>
      <c r="D1849" s="18"/>
      <c r="E1849" s="18"/>
      <c r="F1849" s="18"/>
      <c r="G1849" s="18"/>
      <c r="I1849" s="18"/>
      <c r="J1849" s="18"/>
      <c r="K1849" s="27"/>
      <c r="L1849" s="18"/>
      <c r="M1849" s="18"/>
      <c r="N1849" s="18"/>
      <c r="O1849" s="18"/>
      <c r="Q1849" s="18"/>
      <c r="R1849" s="18"/>
      <c r="S1849" s="18"/>
      <c r="T1849" s="18"/>
      <c r="V1849" s="18"/>
      <c r="W1849" s="18"/>
      <c r="X1849" s="18"/>
    </row>
    <row r="1850" spans="1:24" ht="15">
      <c r="A1850" s="4">
        <f>+A1848+1</f>
        <v>6</v>
      </c>
      <c r="B1850" s="5" t="s">
        <v>42</v>
      </c>
      <c r="C1850" s="22" t="s">
        <v>38</v>
      </c>
      <c r="D1850" s="18">
        <v>0</v>
      </c>
      <c r="E1850" s="18"/>
      <c r="F1850" s="18">
        <v>0</v>
      </c>
      <c r="G1850" s="18">
        <v>0</v>
      </c>
      <c r="I1850" s="18">
        <v>0</v>
      </c>
      <c r="J1850" s="18">
        <v>0</v>
      </c>
      <c r="K1850" s="46">
        <v>-100003</v>
      </c>
      <c r="L1850" s="27">
        <v>-7129</v>
      </c>
      <c r="M1850" s="18">
        <v>0</v>
      </c>
      <c r="N1850" s="18">
        <v>0</v>
      </c>
      <c r="O1850" s="18">
        <v>0</v>
      </c>
      <c r="P1850" s="18"/>
      <c r="Q1850" s="18">
        <v>0</v>
      </c>
      <c r="R1850" s="18">
        <v>0</v>
      </c>
      <c r="S1850" s="18"/>
      <c r="T1850" s="18">
        <v>0</v>
      </c>
      <c r="U1850" s="18"/>
      <c r="V1850" s="18">
        <f>+V1832+D1850+F1850+G1850+I1850+J1850+K1850+L1850+M1850+N1850+O1850+Q1850+R1850+T1850</f>
        <v>31305074</v>
      </c>
      <c r="W1850" s="18">
        <f>+W1832</f>
        <v>15594293</v>
      </c>
      <c r="X1850" s="18">
        <f>+V1850-W1850</f>
        <v>15710781</v>
      </c>
    </row>
    <row r="1851" spans="1:24" ht="15">
      <c r="A1851" s="4">
        <f>+A1850+1</f>
        <v>7</v>
      </c>
      <c r="B1851" s="5" t="s">
        <v>43</v>
      </c>
      <c r="C1851" s="11"/>
      <c r="D1851" s="18">
        <v>0</v>
      </c>
      <c r="E1851" s="18"/>
      <c r="F1851" s="18">
        <v>0</v>
      </c>
      <c r="G1851" s="18">
        <v>0</v>
      </c>
      <c r="I1851" s="18">
        <v>0</v>
      </c>
      <c r="J1851" s="18">
        <v>0</v>
      </c>
      <c r="K1851" s="18">
        <v>0</v>
      </c>
      <c r="L1851" s="18">
        <v>0</v>
      </c>
      <c r="M1851" s="18">
        <v>0</v>
      </c>
      <c r="N1851" s="18">
        <v>0</v>
      </c>
      <c r="O1851" s="18">
        <v>0</v>
      </c>
      <c r="P1851" s="18"/>
      <c r="Q1851" s="18">
        <v>0</v>
      </c>
      <c r="R1851" s="18">
        <v>0</v>
      </c>
      <c r="S1851" s="18"/>
      <c r="T1851" s="18">
        <v>0</v>
      </c>
      <c r="U1851" s="18"/>
      <c r="V1851" s="18">
        <f>+V1833+D1851+F1851+G1851+I1851+J1851+K1851+L1851+M1851+N1851+O1851+Q1851+R1851+T1851</f>
        <v>0</v>
      </c>
      <c r="W1851" s="18">
        <f>+W1833</f>
        <v>0</v>
      </c>
      <c r="X1851" s="18">
        <f>+V1851-W1851</f>
        <v>0</v>
      </c>
    </row>
    <row r="1852" spans="1:24" ht="26.25">
      <c r="A1852" s="4">
        <f>+A1851+1</f>
        <v>8</v>
      </c>
      <c r="B1852" s="24" t="s">
        <v>79</v>
      </c>
      <c r="C1852" s="11"/>
      <c r="D1852" s="18">
        <f>+D1850-D1851</f>
        <v>0</v>
      </c>
      <c r="E1852" s="18"/>
      <c r="F1852" s="18">
        <f>+F1850-F1851</f>
        <v>0</v>
      </c>
      <c r="G1852" s="18">
        <f>+G1850-G1851</f>
        <v>0</v>
      </c>
      <c r="I1852" s="18">
        <f aca="true" t="shared" si="226" ref="I1852:O1852">+I1850-I1851</f>
        <v>0</v>
      </c>
      <c r="J1852" s="18">
        <f t="shared" si="226"/>
        <v>0</v>
      </c>
      <c r="K1852" s="18">
        <f t="shared" si="226"/>
        <v>-100003</v>
      </c>
      <c r="L1852" s="18">
        <f t="shared" si="226"/>
        <v>-7129</v>
      </c>
      <c r="M1852" s="18">
        <f t="shared" si="226"/>
        <v>0</v>
      </c>
      <c r="N1852" s="18">
        <f t="shared" si="226"/>
        <v>0</v>
      </c>
      <c r="O1852" s="18">
        <f t="shared" si="226"/>
        <v>0</v>
      </c>
      <c r="P1852" s="18"/>
      <c r="Q1852" s="18">
        <f>+Q1850-Q1851</f>
        <v>0</v>
      </c>
      <c r="R1852" s="18">
        <f>+R1850-R1851</f>
        <v>0</v>
      </c>
      <c r="S1852" s="18"/>
      <c r="T1852" s="18">
        <f>+T1850-T1851</f>
        <v>0</v>
      </c>
      <c r="U1852" s="18"/>
      <c r="V1852" s="27">
        <f>+V1850-V1851</f>
        <v>31305074</v>
      </c>
      <c r="W1852" s="27">
        <f>+W1850-W1851</f>
        <v>15594293</v>
      </c>
      <c r="X1852" s="18">
        <f>+X1850-X1851</f>
        <v>15710781</v>
      </c>
    </row>
    <row r="1853" spans="1:24" ht="28.5">
      <c r="A1853" s="4">
        <f>+A1852+1</f>
        <v>9</v>
      </c>
      <c r="B1853" s="88" t="s">
        <v>181</v>
      </c>
      <c r="C1853" s="11"/>
      <c r="D1853" s="18">
        <v>0</v>
      </c>
      <c r="E1853" s="18"/>
      <c r="F1853" s="18">
        <v>0</v>
      </c>
      <c r="G1853" s="18">
        <v>0</v>
      </c>
      <c r="I1853" s="18">
        <v>0</v>
      </c>
      <c r="J1853" s="18">
        <v>0</v>
      </c>
      <c r="K1853" s="18">
        <v>0</v>
      </c>
      <c r="L1853" s="18">
        <v>0</v>
      </c>
      <c r="M1853" s="18">
        <v>0</v>
      </c>
      <c r="N1853" s="18">
        <v>0</v>
      </c>
      <c r="O1853" s="18">
        <v>0</v>
      </c>
      <c r="P1853" s="18"/>
      <c r="Q1853" s="18">
        <v>0</v>
      </c>
      <c r="R1853" s="18">
        <v>0</v>
      </c>
      <c r="S1853" s="18"/>
      <c r="T1853" s="18">
        <v>0</v>
      </c>
      <c r="U1853" s="18"/>
      <c r="V1853" s="18">
        <f>+V1835+D1853+F1853+G1853+I1853+J1853+K1853+L1853+M1853+N1853+O1853+Q1853+R1853+T1853</f>
        <v>0</v>
      </c>
      <c r="W1853" s="18">
        <f>+W1835</f>
        <v>0</v>
      </c>
      <c r="X1853" s="18">
        <f>+V1853-W1853</f>
        <v>0</v>
      </c>
    </row>
    <row r="1854" spans="1:24" ht="15">
      <c r="A1854" s="4">
        <f>+A1853+1</f>
        <v>10</v>
      </c>
      <c r="B1854" s="24" t="s">
        <v>46</v>
      </c>
      <c r="C1854" s="11" t="s">
        <v>47</v>
      </c>
      <c r="D1854" s="18">
        <f>+D1846+D1847+D1852+D1853+D1848</f>
        <v>6194</v>
      </c>
      <c r="E1854" s="18"/>
      <c r="F1854" s="18">
        <f>+F1846+F1847+F1852+F1853+F1848</f>
        <v>104379.8</v>
      </c>
      <c r="G1854" s="18">
        <f>+G1846+G1847+G1852+G1853+G1848</f>
        <v>69765</v>
      </c>
      <c r="I1854" s="18">
        <f aca="true" t="shared" si="227" ref="I1854:O1854">+I1846+I1847+I1852+I1853+I1848</f>
        <v>0</v>
      </c>
      <c r="J1854" s="18">
        <f t="shared" si="227"/>
        <v>0</v>
      </c>
      <c r="K1854" s="18">
        <f t="shared" si="227"/>
        <v>-316409.82</v>
      </c>
      <c r="L1854" s="18">
        <f t="shared" si="227"/>
        <v>-7129</v>
      </c>
      <c r="M1854" s="18">
        <f t="shared" si="227"/>
        <v>-8884</v>
      </c>
      <c r="N1854" s="18">
        <f t="shared" si="227"/>
        <v>0</v>
      </c>
      <c r="O1854" s="18">
        <f t="shared" si="227"/>
        <v>-45294</v>
      </c>
      <c r="P1854" s="42"/>
      <c r="Q1854" s="18">
        <f>+Q1846+Q1847+Q1852+Q1853+Q1848</f>
        <v>0</v>
      </c>
      <c r="R1854" s="18">
        <f>+R1846+R1847+R1852+R1853+R1848</f>
        <v>-11836.54</v>
      </c>
      <c r="S1854" s="18"/>
      <c r="T1854" s="18">
        <f>+T1846+T1847+T1852+T1853+T1848</f>
        <v>-58225.06</v>
      </c>
      <c r="U1854" s="42"/>
      <c r="V1854" s="18">
        <f>+V1846+V1847+V1852+V1853+V1848</f>
        <v>26531163.409999996</v>
      </c>
      <c r="W1854" s="18">
        <f>+W1846+W1847+W1852+W1853+W1848</f>
        <v>15313706</v>
      </c>
      <c r="X1854" s="18">
        <f>+X1846+X1847+X1852+X1853+X1848</f>
        <v>11217457.409999996</v>
      </c>
    </row>
    <row r="1855" spans="1:24" ht="15">
      <c r="A1855" s="4"/>
      <c r="B1855" s="24"/>
      <c r="C1855" s="11"/>
      <c r="D1855" s="18"/>
      <c r="E1855" s="18"/>
      <c r="F1855" s="18"/>
      <c r="G1855" s="18"/>
      <c r="I1855" s="18"/>
      <c r="J1855" s="18"/>
      <c r="K1855" s="27" t="s">
        <v>0</v>
      </c>
      <c r="L1855" s="18"/>
      <c r="M1855" s="18"/>
      <c r="N1855" s="18"/>
      <c r="O1855" s="18"/>
      <c r="P1855" s="42"/>
      <c r="Q1855" s="18"/>
      <c r="R1855" s="18"/>
      <c r="S1855" s="18"/>
      <c r="T1855" s="18"/>
      <c r="U1855" s="42"/>
      <c r="V1855" s="18"/>
      <c r="W1855" s="18"/>
      <c r="X1855" s="18"/>
    </row>
    <row r="1856" spans="1:24" ht="15">
      <c r="A1856" s="4"/>
      <c r="B1856" s="24"/>
      <c r="C1856" s="11"/>
      <c r="D1856" s="18"/>
      <c r="E1856" s="18"/>
      <c r="F1856" s="18"/>
      <c r="G1856" s="18"/>
      <c r="I1856" s="18"/>
      <c r="J1856" s="18"/>
      <c r="K1856" s="27" t="s">
        <v>0</v>
      </c>
      <c r="L1856" s="18"/>
      <c r="M1856" s="18"/>
      <c r="N1856" s="18"/>
      <c r="O1856" s="18"/>
      <c r="P1856" s="42"/>
      <c r="Q1856" s="18"/>
      <c r="R1856" s="18"/>
      <c r="S1856" s="18"/>
      <c r="T1856" s="18"/>
      <c r="U1856" s="42"/>
      <c r="V1856" s="18"/>
      <c r="W1856" s="18"/>
      <c r="X1856" s="18"/>
    </row>
    <row r="1857" spans="1:24" ht="15">
      <c r="A1857" s="4"/>
      <c r="B1857" s="24"/>
      <c r="C1857" s="11"/>
      <c r="D1857" s="18"/>
      <c r="E1857" s="18"/>
      <c r="F1857" s="18"/>
      <c r="G1857" s="18"/>
      <c r="I1857" s="18"/>
      <c r="J1857" s="18"/>
      <c r="K1857" s="18"/>
      <c r="L1857" s="18"/>
      <c r="M1857" s="18"/>
      <c r="N1857" s="18"/>
      <c r="O1857" s="18"/>
      <c r="P1857" s="42"/>
      <c r="Q1857" s="18"/>
      <c r="R1857" s="18"/>
      <c r="S1857" s="18"/>
      <c r="T1857" s="18"/>
      <c r="U1857" s="42"/>
      <c r="V1857" s="18"/>
      <c r="W1857" s="18"/>
      <c r="X1857" s="18"/>
    </row>
    <row r="1858" spans="1:24" ht="15">
      <c r="A1858" s="4"/>
      <c r="B1858" s="24"/>
      <c r="C1858" s="11"/>
      <c r="D1858" s="10" t="s">
        <v>4</v>
      </c>
      <c r="E1858" s="10"/>
      <c r="F1858" s="10" t="s">
        <v>5</v>
      </c>
      <c r="G1858" s="10" t="s">
        <v>6</v>
      </c>
      <c r="H1858" s="10"/>
      <c r="I1858" s="10" t="s">
        <v>7</v>
      </c>
      <c r="J1858" s="10" t="s">
        <v>8</v>
      </c>
      <c r="K1858" s="10" t="s">
        <v>9</v>
      </c>
      <c r="L1858" s="10" t="s">
        <v>10</v>
      </c>
      <c r="M1858" s="10" t="s">
        <v>11</v>
      </c>
      <c r="N1858" s="10" t="s">
        <v>12</v>
      </c>
      <c r="O1858" s="10" t="s">
        <v>13</v>
      </c>
      <c r="P1858" s="10"/>
      <c r="Q1858" s="10" t="s">
        <v>14</v>
      </c>
      <c r="R1858" s="10" t="s">
        <v>15</v>
      </c>
      <c r="S1858" s="10"/>
      <c r="T1858" s="10" t="s">
        <v>16</v>
      </c>
      <c r="U1858" s="10"/>
      <c r="V1858" s="10" t="s">
        <v>17</v>
      </c>
      <c r="W1858" s="10" t="s">
        <v>18</v>
      </c>
      <c r="X1858" s="10" t="s">
        <v>19</v>
      </c>
    </row>
    <row r="1859" spans="1:23" ht="15">
      <c r="A1859" s="4"/>
      <c r="B1859" s="24"/>
      <c r="C1859" s="11"/>
      <c r="D1859" s="10" t="s">
        <v>20</v>
      </c>
      <c r="E1859" s="10"/>
      <c r="F1859" s="14" t="s">
        <v>21</v>
      </c>
      <c r="G1859" s="10"/>
      <c r="I1859" s="39" t="s">
        <v>110</v>
      </c>
      <c r="J1859" s="47" t="s">
        <v>111</v>
      </c>
      <c r="K1859" s="39"/>
      <c r="L1859" s="10" t="s">
        <v>20</v>
      </c>
      <c r="M1859" s="10" t="s">
        <v>20</v>
      </c>
      <c r="N1859" s="10" t="s">
        <v>20</v>
      </c>
      <c r="O1859" s="10" t="s">
        <v>20</v>
      </c>
      <c r="P1859" s="42"/>
      <c r="Q1859" s="10" t="s">
        <v>20</v>
      </c>
      <c r="R1859" s="10" t="s">
        <v>20</v>
      </c>
      <c r="S1859" s="48"/>
      <c r="T1859" s="10" t="s">
        <v>20</v>
      </c>
      <c r="U1859" s="42"/>
      <c r="W1859" s="39" t="s">
        <v>112</v>
      </c>
    </row>
    <row r="1860" spans="1:24" ht="15">
      <c r="A1860" s="4"/>
      <c r="B1860" s="87" t="s">
        <v>183</v>
      </c>
      <c r="C1860" s="11"/>
      <c r="D1860" s="8" t="s">
        <v>113</v>
      </c>
      <c r="E1860" s="6"/>
      <c r="F1860" s="6" t="s">
        <v>114</v>
      </c>
      <c r="G1860" s="49" t="s">
        <v>22</v>
      </c>
      <c r="I1860" s="8" t="s">
        <v>113</v>
      </c>
      <c r="J1860" s="6" t="s">
        <v>114</v>
      </c>
      <c r="K1860" s="49" t="s">
        <v>24</v>
      </c>
      <c r="L1860" s="13" t="s">
        <v>115</v>
      </c>
      <c r="M1860" s="13" t="s">
        <v>116</v>
      </c>
      <c r="N1860" s="13" t="s">
        <v>117</v>
      </c>
      <c r="O1860" s="13" t="s">
        <v>118</v>
      </c>
      <c r="P1860" s="42"/>
      <c r="Q1860" s="13" t="s">
        <v>119</v>
      </c>
      <c r="R1860" s="13" t="s">
        <v>120</v>
      </c>
      <c r="T1860" s="13" t="s">
        <v>121</v>
      </c>
      <c r="U1860" s="42"/>
      <c r="V1860" s="10" t="s">
        <v>20</v>
      </c>
      <c r="W1860" s="10" t="s">
        <v>21</v>
      </c>
      <c r="X1860" s="10" t="s">
        <v>22</v>
      </c>
    </row>
    <row r="1861" spans="1:24" ht="15">
      <c r="A1861" s="4"/>
      <c r="B1861" s="24"/>
      <c r="C1861" s="11"/>
      <c r="D1861" s="18"/>
      <c r="E1861" s="18"/>
      <c r="F1861" s="18"/>
      <c r="G1861" s="18"/>
      <c r="I1861" s="72" t="s">
        <v>0</v>
      </c>
      <c r="K1861" s="42"/>
      <c r="L1861" s="42"/>
      <c r="N1861" s="42"/>
      <c r="O1861" s="18"/>
      <c r="P1861" s="42"/>
      <c r="U1861" s="42"/>
      <c r="V1861" s="18"/>
      <c r="W1861" s="39" t="s">
        <v>122</v>
      </c>
      <c r="X1861" s="18"/>
    </row>
    <row r="1862" spans="1:24" ht="15">
      <c r="A1862" s="4">
        <f>+A1834+1</f>
        <v>19</v>
      </c>
      <c r="B1862" s="5" t="s">
        <v>36</v>
      </c>
      <c r="C1862" s="17" t="s">
        <v>37</v>
      </c>
      <c r="D1862" s="27">
        <f>789945+892724</f>
        <v>1682669</v>
      </c>
      <c r="E1862" s="18" t="s">
        <v>0</v>
      </c>
      <c r="F1862" s="27">
        <f>113276+18</f>
        <v>113294</v>
      </c>
      <c r="G1862" s="18">
        <f>D1862-F1862</f>
        <v>1569375</v>
      </c>
      <c r="I1862" s="27">
        <v>-515</v>
      </c>
      <c r="J1862" s="27">
        <v>1821</v>
      </c>
      <c r="K1862" s="36">
        <f>+I1862-J1862</f>
        <v>-2336</v>
      </c>
      <c r="L1862" s="18">
        <v>0</v>
      </c>
      <c r="M1862" s="27">
        <v>-431280</v>
      </c>
      <c r="N1862" s="27">
        <v>1819</v>
      </c>
      <c r="O1862" s="18">
        <v>0</v>
      </c>
      <c r="P1862" s="42"/>
      <c r="Q1862" s="31">
        <v>0</v>
      </c>
      <c r="R1862" s="18">
        <v>0</v>
      </c>
      <c r="S1862" s="18"/>
      <c r="T1862" s="18">
        <v>0</v>
      </c>
      <c r="U1862" s="42"/>
      <c r="V1862" s="31">
        <f>+D1862+I1862+L1862+M1862+N1862+O1862+Q1862+R1862+T1862</f>
        <v>1252693</v>
      </c>
      <c r="W1862" s="18">
        <f>+F1862+J1862</f>
        <v>115115</v>
      </c>
      <c r="X1862" s="18">
        <f>+V1862-W1862</f>
        <v>1137578</v>
      </c>
    </row>
    <row r="1863" spans="1:24" ht="15">
      <c r="A1863" s="4">
        <f>+A1862+1</f>
        <v>20</v>
      </c>
      <c r="B1863" s="5" t="s">
        <v>36</v>
      </c>
      <c r="C1863" s="22" t="s">
        <v>38</v>
      </c>
      <c r="D1863" s="27">
        <f>789945+872117</f>
        <v>1662062</v>
      </c>
      <c r="E1863" s="18" t="s">
        <v>0</v>
      </c>
      <c r="F1863" s="27">
        <f>113276+18</f>
        <v>113294</v>
      </c>
      <c r="G1863" s="18">
        <f>D1863-F1863</f>
        <v>1548768</v>
      </c>
      <c r="I1863" s="27">
        <v>-496</v>
      </c>
      <c r="J1863" s="31">
        <v>284</v>
      </c>
      <c r="K1863" s="36">
        <f>+I1863-J1863</f>
        <v>-780</v>
      </c>
      <c r="L1863" s="18">
        <v>0</v>
      </c>
      <c r="M1863" s="27">
        <v>-431280</v>
      </c>
      <c r="N1863" s="27">
        <v>1819</v>
      </c>
      <c r="O1863" s="18">
        <v>0</v>
      </c>
      <c r="P1863" s="42"/>
      <c r="Q1863" s="31">
        <v>0</v>
      </c>
      <c r="R1863" s="18">
        <v>0</v>
      </c>
      <c r="S1863" s="18"/>
      <c r="T1863" s="18">
        <v>0</v>
      </c>
      <c r="U1863" s="42"/>
      <c r="V1863" s="31">
        <f>+D1863+I1863+L1863+M1863+N1863+O1863+Q1863+R1863+T1863</f>
        <v>1232105</v>
      </c>
      <c r="W1863" s="18">
        <f>+F1863+J1863</f>
        <v>113578</v>
      </c>
      <c r="X1863" s="18">
        <f>+V1863-W1863</f>
        <v>1118527</v>
      </c>
    </row>
    <row r="1864" spans="1:24" ht="15">
      <c r="A1864" s="4">
        <f>+A1863+1</f>
        <v>21</v>
      </c>
      <c r="B1864" s="24" t="s">
        <v>46</v>
      </c>
      <c r="C1864" s="40" t="s">
        <v>78</v>
      </c>
      <c r="D1864" s="18">
        <f>+D1862-D1863</f>
        <v>20607</v>
      </c>
      <c r="E1864" s="18"/>
      <c r="F1864" s="18">
        <f>+F1862-F1863</f>
        <v>0</v>
      </c>
      <c r="G1864" s="18">
        <f>+G1862-G1863</f>
        <v>20607</v>
      </c>
      <c r="I1864" s="18">
        <f>+I1862-I1863</f>
        <v>-19</v>
      </c>
      <c r="J1864" s="18">
        <f>+J1862-J1863</f>
        <v>1537</v>
      </c>
      <c r="K1864" s="18">
        <f>K1862-K1863</f>
        <v>-1556</v>
      </c>
      <c r="L1864" s="18">
        <f>+L1862-L1863</f>
        <v>0</v>
      </c>
      <c r="M1864" s="18">
        <f>+M1862-M1863</f>
        <v>0</v>
      </c>
      <c r="N1864" s="18">
        <f>+N1862-N1863</f>
        <v>0</v>
      </c>
      <c r="O1864" s="18">
        <f>+O1862-O1863</f>
        <v>0</v>
      </c>
      <c r="P1864" s="42"/>
      <c r="Q1864" s="18">
        <f>+Q1862-Q1863</f>
        <v>0</v>
      </c>
      <c r="R1864" s="18">
        <f>+R1862-R1863</f>
        <v>0</v>
      </c>
      <c r="S1864" s="18"/>
      <c r="T1864" s="18">
        <f>+T1862-T1863</f>
        <v>0</v>
      </c>
      <c r="U1864" s="42"/>
      <c r="V1864" s="31">
        <f>+V1862-V1863</f>
        <v>20588</v>
      </c>
      <c r="W1864" s="31">
        <f>+W1862-W1863</f>
        <v>1537</v>
      </c>
      <c r="X1864" s="18">
        <f>+X1862-X1863</f>
        <v>19051</v>
      </c>
    </row>
    <row r="1865" spans="1:24" ht="28.5">
      <c r="A1865" s="4">
        <f>+A1864+1</f>
        <v>22</v>
      </c>
      <c r="B1865" s="88" t="s">
        <v>182</v>
      </c>
      <c r="C1865" s="11"/>
      <c r="D1865" s="18">
        <v>0</v>
      </c>
      <c r="E1865" s="18"/>
      <c r="F1865" s="18">
        <v>0</v>
      </c>
      <c r="G1865" s="18">
        <f>+D1865-F1865</f>
        <v>0</v>
      </c>
      <c r="I1865" s="18">
        <v>0</v>
      </c>
      <c r="J1865" s="18">
        <v>0</v>
      </c>
      <c r="K1865" s="18">
        <f>+I1865-J1865</f>
        <v>0</v>
      </c>
      <c r="L1865" s="18">
        <v>0</v>
      </c>
      <c r="M1865" s="18">
        <v>0</v>
      </c>
      <c r="N1865" s="18">
        <f>+L1865-M1865</f>
        <v>0</v>
      </c>
      <c r="O1865" s="18">
        <v>0</v>
      </c>
      <c r="P1865" s="42"/>
      <c r="Q1865" s="18">
        <v>0</v>
      </c>
      <c r="R1865" s="18">
        <v>0</v>
      </c>
      <c r="S1865" s="18"/>
      <c r="T1865" s="18">
        <v>0</v>
      </c>
      <c r="U1865" s="42"/>
      <c r="V1865" s="31">
        <f>+D1865+I1865+L1865+M1865+N1865+O1865+Q1865+R1865+T1865</f>
        <v>0</v>
      </c>
      <c r="W1865" s="18">
        <f>+F1865+J1865</f>
        <v>0</v>
      </c>
      <c r="X1865" s="18">
        <f>+V1865-W1865</f>
        <v>0</v>
      </c>
    </row>
    <row r="1866" spans="1:24" ht="24.75">
      <c r="A1866" s="4">
        <f>+A1865+1</f>
        <v>23</v>
      </c>
      <c r="B1866" s="89" t="s">
        <v>39</v>
      </c>
      <c r="C1866" s="40"/>
      <c r="D1866" s="27">
        <f>163999+18</f>
        <v>164017</v>
      </c>
      <c r="E1866" s="18" t="s">
        <v>0</v>
      </c>
      <c r="F1866" s="27">
        <v>2217588</v>
      </c>
      <c r="G1866" s="18">
        <f>D1866-F1866</f>
        <v>-2053571</v>
      </c>
      <c r="I1866" s="27">
        <v>-1357</v>
      </c>
      <c r="J1866" s="27">
        <v>0</v>
      </c>
      <c r="K1866" s="18">
        <f>+I1866-J1866</f>
        <v>-1357</v>
      </c>
      <c r="L1866" s="18">
        <v>2847</v>
      </c>
      <c r="M1866" s="27">
        <f>437386--334177</f>
        <v>771563</v>
      </c>
      <c r="N1866" s="27">
        <v>34137</v>
      </c>
      <c r="O1866" s="27">
        <v>142676</v>
      </c>
      <c r="P1866" s="42"/>
      <c r="Q1866" s="55">
        <v>0</v>
      </c>
      <c r="R1866" s="21">
        <v>0</v>
      </c>
      <c r="S1866" s="18"/>
      <c r="T1866" s="18">
        <v>0</v>
      </c>
      <c r="U1866" s="42"/>
      <c r="V1866" s="31">
        <f>+D1866+I1866+M1866+N1866+L1866+O1866+Q1866+R1866+T1866</f>
        <v>1113883</v>
      </c>
      <c r="W1866" s="18">
        <f>+F1866+J1866</f>
        <v>2217588</v>
      </c>
      <c r="X1866" s="36">
        <f>+V1866-W1866</f>
        <v>-1103705</v>
      </c>
    </row>
    <row r="1867" spans="1:24" ht="15">
      <c r="A1867" s="6" t="s">
        <v>41</v>
      </c>
      <c r="B1867" s="41"/>
      <c r="C1867" s="40"/>
      <c r="D1867" s="18"/>
      <c r="E1867" s="18"/>
      <c r="F1867" s="18" t="s">
        <v>0</v>
      </c>
      <c r="G1867" s="18"/>
      <c r="I1867" s="18"/>
      <c r="J1867" s="18"/>
      <c r="K1867" s="18"/>
      <c r="L1867" s="18"/>
      <c r="M1867" s="18"/>
      <c r="N1867" s="18"/>
      <c r="O1867" s="18"/>
      <c r="P1867" s="42"/>
      <c r="Q1867" s="18"/>
      <c r="R1867" s="18"/>
      <c r="S1867" s="18"/>
      <c r="T1867" s="18" t="s">
        <v>0</v>
      </c>
      <c r="U1867" s="42"/>
      <c r="V1867" s="30"/>
      <c r="W1867" s="30"/>
      <c r="X1867" s="36"/>
    </row>
    <row r="1868" spans="1:24" ht="15">
      <c r="A1868" s="4">
        <f>+A1866+1</f>
        <v>24</v>
      </c>
      <c r="B1868" s="5" t="s">
        <v>42</v>
      </c>
      <c r="C1868" s="22" t="s">
        <v>38</v>
      </c>
      <c r="D1868" s="27">
        <f>875392+748998</f>
        <v>1624390</v>
      </c>
      <c r="E1868" s="18" t="s">
        <v>0</v>
      </c>
      <c r="F1868" s="27">
        <f>128579+17</f>
        <v>128596</v>
      </c>
      <c r="G1868" s="18">
        <f>D1868-F1868</f>
        <v>1495794</v>
      </c>
      <c r="I1868" s="18">
        <v>1358</v>
      </c>
      <c r="J1868" s="26">
        <v>1331</v>
      </c>
      <c r="K1868" s="18">
        <f>+I1868-J1868</f>
        <v>27</v>
      </c>
      <c r="L1868" s="27">
        <v>0</v>
      </c>
      <c r="M1868" s="27">
        <v>-334177</v>
      </c>
      <c r="N1868" s="27">
        <v>2061</v>
      </c>
      <c r="O1868" s="18">
        <v>0</v>
      </c>
      <c r="P1868" s="42"/>
      <c r="Q1868" s="31">
        <v>0</v>
      </c>
      <c r="R1868" s="18">
        <v>0</v>
      </c>
      <c r="S1868" s="18" t="s">
        <v>0</v>
      </c>
      <c r="T1868" s="18">
        <v>0</v>
      </c>
      <c r="U1868" s="42"/>
      <c r="V1868" s="31">
        <f>+D1868+I1868+L1868+M1868+N1868+O1868+Q1868+R1868+T1868</f>
        <v>1293632</v>
      </c>
      <c r="W1868" s="18">
        <f>+F1868+J1868</f>
        <v>129927</v>
      </c>
      <c r="X1868" s="18">
        <f>+V1868-W1868</f>
        <v>1163705</v>
      </c>
    </row>
    <row r="1869" spans="1:24" ht="15">
      <c r="A1869" s="4">
        <f>+A1868+1</f>
        <v>25</v>
      </c>
      <c r="B1869" s="5" t="s">
        <v>43</v>
      </c>
      <c r="C1869" s="11"/>
      <c r="D1869" s="18"/>
      <c r="E1869" s="18"/>
      <c r="F1869" s="18">
        <v>0</v>
      </c>
      <c r="G1869" s="18">
        <f>+D1869-F1869</f>
        <v>0</v>
      </c>
      <c r="I1869" s="18">
        <v>0</v>
      </c>
      <c r="J1869" s="18">
        <v>0</v>
      </c>
      <c r="K1869" s="18">
        <f>+I1869-J1869</f>
        <v>0</v>
      </c>
      <c r="L1869" s="18">
        <v>0</v>
      </c>
      <c r="M1869" s="18">
        <v>0</v>
      </c>
      <c r="N1869" s="18">
        <f>+L1869-M1869</f>
        <v>0</v>
      </c>
      <c r="O1869" s="18">
        <v>0</v>
      </c>
      <c r="P1869" s="42"/>
      <c r="Q1869" s="18">
        <v>0</v>
      </c>
      <c r="R1869" s="18">
        <v>0</v>
      </c>
      <c r="S1869" s="18"/>
      <c r="T1869" s="18">
        <v>0</v>
      </c>
      <c r="U1869" s="42"/>
      <c r="V1869" s="31">
        <f>+D1869+I1869+L1869+O1869+Q1869+R1869+T1869</f>
        <v>0</v>
      </c>
      <c r="W1869" s="18">
        <f>+F1869+J1869+M1869</f>
        <v>0</v>
      </c>
      <c r="X1869" s="18">
        <f>+V1869-W1869</f>
        <v>0</v>
      </c>
    </row>
    <row r="1870" spans="1:24" ht="26.25">
      <c r="A1870" s="4">
        <f>+A1869+1</f>
        <v>26</v>
      </c>
      <c r="B1870" s="24" t="s">
        <v>79</v>
      </c>
      <c r="C1870" s="11"/>
      <c r="D1870" s="18">
        <f>+D1868-D1869</f>
        <v>1624390</v>
      </c>
      <c r="E1870" s="18"/>
      <c r="F1870" s="18">
        <f>+F1868-F1869</f>
        <v>128596</v>
      </c>
      <c r="G1870" s="18">
        <f>+G1868-G1869</f>
        <v>1495794</v>
      </c>
      <c r="I1870" s="18">
        <f aca="true" t="shared" si="228" ref="I1870:N1870">+I1868-I1869</f>
        <v>1358</v>
      </c>
      <c r="J1870" s="18">
        <f t="shared" si="228"/>
        <v>1331</v>
      </c>
      <c r="K1870" s="18">
        <f t="shared" si="228"/>
        <v>27</v>
      </c>
      <c r="L1870" s="18">
        <f t="shared" si="228"/>
        <v>0</v>
      </c>
      <c r="M1870" s="18">
        <f t="shared" si="228"/>
        <v>-334177</v>
      </c>
      <c r="N1870" s="18">
        <f t="shared" si="228"/>
        <v>2061</v>
      </c>
      <c r="O1870" s="18">
        <v>0</v>
      </c>
      <c r="P1870" s="42"/>
      <c r="Q1870" s="18">
        <f>+Q1868-Q1869</f>
        <v>0</v>
      </c>
      <c r="R1870" s="18">
        <f>+R1868-R1869</f>
        <v>0</v>
      </c>
      <c r="S1870" s="18"/>
      <c r="T1870" s="18">
        <f>+T1868-T1869</f>
        <v>0</v>
      </c>
      <c r="U1870" s="42"/>
      <c r="V1870" s="27">
        <f>+V1868-V1869</f>
        <v>1293632</v>
      </c>
      <c r="W1870" s="27">
        <f>+W1868-W1869</f>
        <v>129927</v>
      </c>
      <c r="X1870" s="31">
        <f>+X1868-X1869</f>
        <v>1163705</v>
      </c>
    </row>
    <row r="1871" spans="1:24" ht="28.5">
      <c r="A1871" s="4">
        <f>+A1870+1</f>
        <v>27</v>
      </c>
      <c r="B1871" s="88" t="s">
        <v>181</v>
      </c>
      <c r="C1871" s="11"/>
      <c r="D1871" s="18">
        <v>0</v>
      </c>
      <c r="E1871" s="18"/>
      <c r="F1871" s="18">
        <v>0</v>
      </c>
      <c r="G1871" s="18">
        <f>+D1871-F1871</f>
        <v>0</v>
      </c>
      <c r="I1871" s="18">
        <v>0</v>
      </c>
      <c r="J1871" s="18">
        <v>0</v>
      </c>
      <c r="K1871" s="18">
        <f>+I1871-J1871</f>
        <v>0</v>
      </c>
      <c r="L1871" s="18">
        <v>0</v>
      </c>
      <c r="M1871" s="18">
        <v>0</v>
      </c>
      <c r="N1871" s="18">
        <f>+L1871-M1871</f>
        <v>0</v>
      </c>
      <c r="O1871" s="18">
        <v>0</v>
      </c>
      <c r="P1871" s="42"/>
      <c r="Q1871" s="18">
        <v>0</v>
      </c>
      <c r="R1871" s="18">
        <v>0</v>
      </c>
      <c r="S1871" s="18"/>
      <c r="T1871" s="18">
        <v>0</v>
      </c>
      <c r="U1871" s="42"/>
      <c r="V1871" s="31">
        <f>+D1871+I1871+L1871+O1871+Q1871+R1871+T1871</f>
        <v>0</v>
      </c>
      <c r="W1871" s="18">
        <f>+F1871+J1871+M1871</f>
        <v>0</v>
      </c>
      <c r="X1871" s="18">
        <f>+V1871-W1871</f>
        <v>0</v>
      </c>
    </row>
    <row r="1872" spans="1:24" ht="15">
      <c r="A1872" s="4">
        <f>+A1871+1</f>
        <v>28</v>
      </c>
      <c r="B1872" s="24" t="s">
        <v>46</v>
      </c>
      <c r="C1872" s="11" t="s">
        <v>47</v>
      </c>
      <c r="D1872" s="51">
        <f>+D1864+D1865+D1870+D1871+D1866</f>
        <v>1809014</v>
      </c>
      <c r="E1872" s="18"/>
      <c r="F1872" s="52">
        <f>+F1864+F1865+F1870+F1871+F1866</f>
        <v>2346184</v>
      </c>
      <c r="G1872" s="18">
        <f>+G1864+G1865+G1870+G1871+G1866</f>
        <v>-537170</v>
      </c>
      <c r="I1872" s="51">
        <f aca="true" t="shared" si="229" ref="I1872:O1872">+I1864+I1865+I1870+I1871+I1866</f>
        <v>-18</v>
      </c>
      <c r="J1872" s="52">
        <f t="shared" si="229"/>
        <v>2868</v>
      </c>
      <c r="K1872" s="18">
        <f t="shared" si="229"/>
        <v>-2886</v>
      </c>
      <c r="L1872" s="18">
        <f t="shared" si="229"/>
        <v>2847</v>
      </c>
      <c r="M1872" s="18">
        <f t="shared" si="229"/>
        <v>437386</v>
      </c>
      <c r="N1872" s="18">
        <f t="shared" si="229"/>
        <v>36198</v>
      </c>
      <c r="O1872" s="18">
        <f t="shared" si="229"/>
        <v>142676</v>
      </c>
      <c r="P1872" s="42"/>
      <c r="Q1872" s="18">
        <f>+Q1864+Q1865+Q1870+Q1871+Q1866</f>
        <v>0</v>
      </c>
      <c r="R1872" s="18">
        <f>+R1864+R1865+R1870+R1871+R1866</f>
        <v>0</v>
      </c>
      <c r="S1872" s="18"/>
      <c r="T1872" s="18">
        <f>+T1864+T1865+T1870+T1871+T1866</f>
        <v>0</v>
      </c>
      <c r="U1872" s="42"/>
      <c r="V1872" s="18">
        <f>+V1864+V1865+V1870+V1871+V1866</f>
        <v>2428103</v>
      </c>
      <c r="W1872" s="18">
        <f>+W1864+W1865+W1870+W1871+W1866</f>
        <v>2349052</v>
      </c>
      <c r="X1872" s="18">
        <f>+X1864+X1865+X1870+X1871+X1866</f>
        <v>79051</v>
      </c>
    </row>
    <row r="1873" spans="1:24" ht="15">
      <c r="A1873" s="4"/>
      <c r="B1873" s="24" t="s">
        <v>0</v>
      </c>
      <c r="C1873" s="11"/>
      <c r="D1873" s="27">
        <f>D1872+I1872</f>
        <v>1808996</v>
      </c>
      <c r="E1873" s="79" t="s">
        <v>0</v>
      </c>
      <c r="F1873" s="27">
        <f>-2349052+131464</f>
        <v>-2217588</v>
      </c>
      <c r="G1873" s="79" t="s">
        <v>0</v>
      </c>
      <c r="I1873" s="18"/>
      <c r="J1873" s="18"/>
      <c r="K1873" s="18"/>
      <c r="L1873" s="18"/>
      <c r="M1873" s="42"/>
      <c r="N1873" s="73" t="s">
        <v>0</v>
      </c>
      <c r="O1873" s="42"/>
      <c r="P1873" s="42"/>
      <c r="Q1873" s="42"/>
      <c r="U1873" s="42"/>
      <c r="V1873" s="18"/>
      <c r="W1873" s="18"/>
      <c r="X1873" s="18"/>
    </row>
    <row r="1874" spans="1:24" ht="15">
      <c r="A1874" s="4"/>
      <c r="B1874" s="92"/>
      <c r="C1874" s="79" t="s">
        <v>0</v>
      </c>
      <c r="D1874" s="6" t="s">
        <v>48</v>
      </c>
      <c r="E1874" s="6"/>
      <c r="F1874" s="10" t="s">
        <v>49</v>
      </c>
      <c r="G1874" s="10" t="s">
        <v>50</v>
      </c>
      <c r="I1874" s="10" t="s">
        <v>51</v>
      </c>
      <c r="J1874" s="10" t="s">
        <v>52</v>
      </c>
      <c r="K1874" s="10" t="s">
        <v>53</v>
      </c>
      <c r="L1874" s="10" t="s">
        <v>54</v>
      </c>
      <c r="M1874" s="10" t="s">
        <v>55</v>
      </c>
      <c r="N1874" s="10" t="s">
        <v>56</v>
      </c>
      <c r="O1874" s="10" t="s">
        <v>57</v>
      </c>
      <c r="P1874" s="18"/>
      <c r="Q1874" s="10" t="s">
        <v>58</v>
      </c>
      <c r="R1874" s="10" t="s">
        <v>59</v>
      </c>
      <c r="S1874" s="10"/>
      <c r="T1874" s="10" t="s">
        <v>60</v>
      </c>
      <c r="U1874" s="18"/>
      <c r="V1874" s="10" t="s">
        <v>61</v>
      </c>
      <c r="W1874" s="10" t="s">
        <v>62</v>
      </c>
      <c r="X1874" s="10" t="s">
        <v>63</v>
      </c>
    </row>
    <row r="1875" spans="1:24" ht="15">
      <c r="A1875" s="4"/>
      <c r="B1875" s="24"/>
      <c r="C1875" s="11"/>
      <c r="D1875" s="14" t="s">
        <v>20</v>
      </c>
      <c r="E1875" s="18"/>
      <c r="F1875" s="14" t="s">
        <v>20</v>
      </c>
      <c r="G1875" s="14" t="s">
        <v>20</v>
      </c>
      <c r="I1875" s="14" t="s">
        <v>20</v>
      </c>
      <c r="J1875" s="14" t="s">
        <v>21</v>
      </c>
      <c r="K1875" s="14" t="s">
        <v>21</v>
      </c>
      <c r="L1875" s="14" t="s">
        <v>21</v>
      </c>
      <c r="M1875" s="14" t="s">
        <v>21</v>
      </c>
      <c r="N1875" s="14" t="s">
        <v>21</v>
      </c>
      <c r="O1875" s="14" t="s">
        <v>21</v>
      </c>
      <c r="P1875" s="14"/>
      <c r="Q1875" s="14" t="s">
        <v>21</v>
      </c>
      <c r="R1875" s="14" t="s">
        <v>21</v>
      </c>
      <c r="T1875" s="14" t="s">
        <v>21</v>
      </c>
      <c r="U1875" s="42"/>
      <c r="V1875" s="18"/>
      <c r="W1875" s="39" t="s">
        <v>123</v>
      </c>
      <c r="X1875" s="18"/>
    </row>
    <row r="1876" spans="1:24" ht="15">
      <c r="A1876" s="4"/>
      <c r="B1876" s="87" t="s">
        <v>183</v>
      </c>
      <c r="C1876" s="11"/>
      <c r="D1876" s="53" t="s">
        <v>124</v>
      </c>
      <c r="E1876" s="18"/>
      <c r="F1876" s="53" t="s">
        <v>125</v>
      </c>
      <c r="G1876" s="53" t="s">
        <v>126</v>
      </c>
      <c r="I1876" s="53" t="s">
        <v>127</v>
      </c>
      <c r="J1876" s="53" t="s">
        <v>128</v>
      </c>
      <c r="K1876" s="53" t="s">
        <v>129</v>
      </c>
      <c r="L1876" s="53" t="s">
        <v>130</v>
      </c>
      <c r="M1876" s="53" t="s">
        <v>131</v>
      </c>
      <c r="N1876" s="24" t="s">
        <v>132</v>
      </c>
      <c r="O1876" s="24" t="s">
        <v>98</v>
      </c>
      <c r="P1876" s="24"/>
      <c r="Q1876" s="24" t="s">
        <v>99</v>
      </c>
      <c r="R1876" s="24" t="s">
        <v>133</v>
      </c>
      <c r="S1876" s="42"/>
      <c r="T1876" s="24" t="s">
        <v>134</v>
      </c>
      <c r="U1876" s="42"/>
      <c r="V1876" s="10" t="s">
        <v>20</v>
      </c>
      <c r="W1876" s="10" t="s">
        <v>21</v>
      </c>
      <c r="X1876" s="10" t="s">
        <v>22</v>
      </c>
    </row>
    <row r="1877" spans="1:24" ht="15">
      <c r="A1877" s="4"/>
      <c r="B1877" s="24"/>
      <c r="C1877" s="11"/>
      <c r="D1877" s="18"/>
      <c r="E1877" s="18"/>
      <c r="F1877" s="18"/>
      <c r="I1877" s="18"/>
      <c r="J1877" s="18"/>
      <c r="O1877" s="42"/>
      <c r="P1877" s="42"/>
      <c r="Q1877" s="42"/>
      <c r="R1877" s="42"/>
      <c r="S1877" s="42"/>
      <c r="T1877" s="42"/>
      <c r="U1877" s="42"/>
      <c r="V1877" s="18"/>
      <c r="W1877" s="39"/>
      <c r="X1877" s="18"/>
    </row>
    <row r="1878" spans="1:24" ht="15">
      <c r="A1878" s="4">
        <f>+A1872+1</f>
        <v>29</v>
      </c>
      <c r="B1878" s="5" t="s">
        <v>36</v>
      </c>
      <c r="C1878" s="17" t="s">
        <v>37</v>
      </c>
      <c r="D1878" s="18">
        <v>0</v>
      </c>
      <c r="E1878" s="18"/>
      <c r="F1878" s="18">
        <v>0</v>
      </c>
      <c r="G1878" s="18">
        <v>0</v>
      </c>
      <c r="I1878" s="18">
        <v>0</v>
      </c>
      <c r="J1878" s="18">
        <v>0</v>
      </c>
      <c r="K1878" s="18">
        <v>0</v>
      </c>
      <c r="L1878" s="18">
        <v>0</v>
      </c>
      <c r="M1878" s="18">
        <v>0</v>
      </c>
      <c r="N1878" s="18">
        <v>0</v>
      </c>
      <c r="O1878" s="18">
        <v>0</v>
      </c>
      <c r="P1878" s="18"/>
      <c r="Q1878" s="18">
        <v>0</v>
      </c>
      <c r="R1878" s="18">
        <v>0</v>
      </c>
      <c r="S1878" s="42"/>
      <c r="T1878" s="18">
        <v>0</v>
      </c>
      <c r="U1878" s="42"/>
      <c r="V1878" s="18">
        <f>+V1862+D1878+F1878+G1878+I1878</f>
        <v>1252693</v>
      </c>
      <c r="W1878" s="18">
        <f>+W1862+J1878+K1878+L1878+M1878+N1878+O1878+Q1878+R1878+T1878</f>
        <v>115115</v>
      </c>
      <c r="X1878" s="18">
        <f>+V1878-W1878</f>
        <v>1137578</v>
      </c>
    </row>
    <row r="1879" spans="1:24" ht="15">
      <c r="A1879" s="4">
        <f>+A1878+1</f>
        <v>30</v>
      </c>
      <c r="B1879" s="5" t="s">
        <v>36</v>
      </c>
      <c r="C1879" s="22" t="s">
        <v>38</v>
      </c>
      <c r="D1879" s="18">
        <v>0</v>
      </c>
      <c r="E1879" s="18"/>
      <c r="F1879" s="18">
        <v>0</v>
      </c>
      <c r="G1879" s="18">
        <v>0</v>
      </c>
      <c r="I1879" s="18">
        <v>0</v>
      </c>
      <c r="J1879" s="18">
        <v>0</v>
      </c>
      <c r="K1879" s="18">
        <v>0</v>
      </c>
      <c r="L1879" s="18">
        <v>0</v>
      </c>
      <c r="M1879" s="18">
        <v>0</v>
      </c>
      <c r="N1879" s="18">
        <v>0</v>
      </c>
      <c r="O1879" s="18">
        <v>0</v>
      </c>
      <c r="P1879" s="18"/>
      <c r="Q1879" s="18">
        <v>0</v>
      </c>
      <c r="R1879" s="18">
        <v>0</v>
      </c>
      <c r="S1879" s="42"/>
      <c r="T1879" s="18">
        <v>0</v>
      </c>
      <c r="U1879" s="42"/>
      <c r="V1879" s="18">
        <f>+V1863+D1879+F1879+G1879+I1879</f>
        <v>1232105</v>
      </c>
      <c r="W1879" s="18">
        <f>+W1863+J1879+K1879+L1879+M1879+N1879+O1879+Q1879+R1879+T1879</f>
        <v>113578</v>
      </c>
      <c r="X1879" s="18">
        <f>+V1879-W1879</f>
        <v>1118527</v>
      </c>
    </row>
    <row r="1880" spans="1:24" ht="15">
      <c r="A1880" s="4">
        <f>+A1879+1</f>
        <v>31</v>
      </c>
      <c r="B1880" s="24" t="s">
        <v>46</v>
      </c>
      <c r="C1880" s="40" t="s">
        <v>78</v>
      </c>
      <c r="D1880" s="18">
        <f>+D1878-D1879</f>
        <v>0</v>
      </c>
      <c r="E1880" s="18"/>
      <c r="F1880" s="18">
        <f>+F1878-F1879</f>
        <v>0</v>
      </c>
      <c r="G1880" s="18">
        <f>+G1878-G1879</f>
        <v>0</v>
      </c>
      <c r="I1880" s="18">
        <f aca="true" t="shared" si="230" ref="I1880:O1880">+I1878-I1879</f>
        <v>0</v>
      </c>
      <c r="J1880" s="18">
        <f t="shared" si="230"/>
        <v>0</v>
      </c>
      <c r="K1880" s="18">
        <f t="shared" si="230"/>
        <v>0</v>
      </c>
      <c r="L1880" s="18">
        <f t="shared" si="230"/>
        <v>0</v>
      </c>
      <c r="M1880" s="18">
        <f t="shared" si="230"/>
        <v>0</v>
      </c>
      <c r="N1880" s="18">
        <f t="shared" si="230"/>
        <v>0</v>
      </c>
      <c r="O1880" s="18">
        <f t="shared" si="230"/>
        <v>0</v>
      </c>
      <c r="P1880" s="18"/>
      <c r="Q1880" s="18">
        <f>+Q1878-Q1879</f>
        <v>0</v>
      </c>
      <c r="R1880" s="18">
        <f>+R1878-R1879</f>
        <v>0</v>
      </c>
      <c r="S1880" s="42"/>
      <c r="T1880" s="18">
        <f>+T1878-T1879</f>
        <v>0</v>
      </c>
      <c r="U1880" s="42"/>
      <c r="V1880" s="27">
        <f>+V1878-V1879</f>
        <v>20588</v>
      </c>
      <c r="W1880" s="27">
        <f>+W1878-W1879</f>
        <v>1537</v>
      </c>
      <c r="X1880" s="18">
        <f>+X1878-X1879</f>
        <v>19051</v>
      </c>
    </row>
    <row r="1881" spans="1:24" ht="28.5">
      <c r="A1881" s="4">
        <f>+A1880+1</f>
        <v>32</v>
      </c>
      <c r="B1881" s="88" t="s">
        <v>182</v>
      </c>
      <c r="C1881" s="11"/>
      <c r="D1881" s="18">
        <v>0</v>
      </c>
      <c r="E1881" s="18"/>
      <c r="F1881" s="18">
        <v>0</v>
      </c>
      <c r="G1881" s="18">
        <v>0</v>
      </c>
      <c r="I1881" s="18">
        <v>0</v>
      </c>
      <c r="J1881" s="18">
        <v>0</v>
      </c>
      <c r="K1881" s="18">
        <v>0</v>
      </c>
      <c r="L1881" s="18">
        <v>0</v>
      </c>
      <c r="M1881" s="18">
        <v>0</v>
      </c>
      <c r="N1881" s="18">
        <v>0</v>
      </c>
      <c r="O1881" s="18">
        <v>0</v>
      </c>
      <c r="P1881" s="18"/>
      <c r="Q1881" s="18">
        <v>0</v>
      </c>
      <c r="R1881" s="18">
        <v>0</v>
      </c>
      <c r="S1881" s="42"/>
      <c r="T1881" s="18">
        <v>0</v>
      </c>
      <c r="U1881" s="42"/>
      <c r="V1881" s="18">
        <f>+V1865+D1881+F1881+G1881+I1881</f>
        <v>0</v>
      </c>
      <c r="W1881" s="18">
        <f>+W1865+J1881+K1881+L1881+M1881+N1881+O1881+Q1881+R1881+T1881</f>
        <v>0</v>
      </c>
      <c r="X1881" s="18">
        <f>+V1881-W1881</f>
        <v>0</v>
      </c>
    </row>
    <row r="1882" spans="1:24" ht="24.75">
      <c r="A1882" s="4">
        <f>+A1881+1</f>
        <v>33</v>
      </c>
      <c r="B1882" s="89" t="s">
        <v>39</v>
      </c>
      <c r="C1882" s="40"/>
      <c r="D1882" s="27">
        <v>-3243</v>
      </c>
      <c r="E1882" s="27" t="s">
        <v>0</v>
      </c>
      <c r="F1882" s="27">
        <v>0</v>
      </c>
      <c r="G1882" s="27">
        <v>0</v>
      </c>
      <c r="H1882" t="s">
        <v>0</v>
      </c>
      <c r="I1882" s="27">
        <v>0</v>
      </c>
      <c r="J1882" s="27">
        <v>0</v>
      </c>
      <c r="K1882" s="27">
        <v>0</v>
      </c>
      <c r="L1882" s="27">
        <v>0</v>
      </c>
      <c r="M1882" s="18">
        <v>0</v>
      </c>
      <c r="N1882" s="18">
        <v>0</v>
      </c>
      <c r="O1882" s="18">
        <v>0</v>
      </c>
      <c r="P1882" s="18"/>
      <c r="Q1882" s="18">
        <v>0</v>
      </c>
      <c r="R1882" s="18">
        <v>0</v>
      </c>
      <c r="S1882" s="42"/>
      <c r="T1882" s="18">
        <v>413</v>
      </c>
      <c r="U1882" s="42"/>
      <c r="V1882" s="18">
        <f>+V1866+D1882+F1882+G1882+I1882</f>
        <v>1110640</v>
      </c>
      <c r="W1882" s="18">
        <f>+W1866+J1882+K1882+L1882+M1882+N1882+O1882+Q1882+R1882+T1882</f>
        <v>2218001</v>
      </c>
      <c r="X1882" s="36">
        <f>+V1882-W1882</f>
        <v>-1107361</v>
      </c>
    </row>
    <row r="1883" spans="1:24" ht="15">
      <c r="A1883" s="6" t="s">
        <v>41</v>
      </c>
      <c r="B1883" s="41"/>
      <c r="C1883" s="40"/>
      <c r="D1883" s="18"/>
      <c r="E1883" s="18"/>
      <c r="F1883" s="18"/>
      <c r="G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42"/>
      <c r="T1883" s="18"/>
      <c r="U1883" s="42"/>
      <c r="V1883" s="18"/>
      <c r="W1883" s="54"/>
      <c r="X1883" s="36"/>
    </row>
    <row r="1884" spans="1:24" ht="15">
      <c r="A1884" s="4">
        <f>+A1882+1</f>
        <v>34</v>
      </c>
      <c r="B1884" s="5" t="s">
        <v>42</v>
      </c>
      <c r="C1884" s="22" t="s">
        <v>38</v>
      </c>
      <c r="D1884" s="18">
        <v>0</v>
      </c>
      <c r="E1884" s="18"/>
      <c r="F1884" s="18">
        <v>0</v>
      </c>
      <c r="G1884" s="18">
        <v>0</v>
      </c>
      <c r="I1884" s="18">
        <v>0</v>
      </c>
      <c r="J1884" s="18">
        <v>0</v>
      </c>
      <c r="K1884" s="18">
        <v>0</v>
      </c>
      <c r="L1884" s="18"/>
      <c r="M1884" s="18">
        <v>0</v>
      </c>
      <c r="N1884" s="18">
        <v>0</v>
      </c>
      <c r="O1884" s="18">
        <v>0</v>
      </c>
      <c r="P1884" s="18"/>
      <c r="Q1884" s="18">
        <v>0</v>
      </c>
      <c r="R1884" s="18">
        <v>0</v>
      </c>
      <c r="S1884" s="42"/>
      <c r="T1884" s="18">
        <v>0</v>
      </c>
      <c r="U1884" s="42"/>
      <c r="V1884" s="18">
        <f>+V1868+D1884+F1884+G1884+I1884</f>
        <v>1293632</v>
      </c>
      <c r="W1884" s="18">
        <f>+W1868+J1884+K1884+L1884+M1884+N1884+O1884+Q1884+R1884+T1884</f>
        <v>129927</v>
      </c>
      <c r="X1884" s="18">
        <f>+V1884-W1884</f>
        <v>1163705</v>
      </c>
    </row>
    <row r="1885" spans="1:24" ht="15">
      <c r="A1885" s="4">
        <f>+A1884+1</f>
        <v>35</v>
      </c>
      <c r="B1885" s="5" t="s">
        <v>43</v>
      </c>
      <c r="C1885" s="11"/>
      <c r="D1885" s="18">
        <v>0</v>
      </c>
      <c r="E1885" s="18"/>
      <c r="F1885" s="18">
        <v>0</v>
      </c>
      <c r="G1885" s="18">
        <v>0</v>
      </c>
      <c r="I1885" s="18">
        <v>0</v>
      </c>
      <c r="J1885" s="18">
        <v>0</v>
      </c>
      <c r="K1885" s="18">
        <v>0</v>
      </c>
      <c r="L1885" s="18">
        <v>0</v>
      </c>
      <c r="M1885" s="18">
        <v>0</v>
      </c>
      <c r="N1885" s="18">
        <v>0</v>
      </c>
      <c r="O1885" s="18">
        <v>0</v>
      </c>
      <c r="P1885" s="18"/>
      <c r="Q1885" s="18">
        <v>0</v>
      </c>
      <c r="R1885" s="18">
        <v>0</v>
      </c>
      <c r="S1885" s="42"/>
      <c r="T1885" s="18">
        <v>0</v>
      </c>
      <c r="U1885" s="42"/>
      <c r="V1885" s="18">
        <f>+V1869+D1885+F1885+G1885+I1885</f>
        <v>0</v>
      </c>
      <c r="W1885" s="18">
        <f>+W1869+J1885+K1885+L1885+M1885+N1885+O1885+Q1885+R1885+T1885</f>
        <v>0</v>
      </c>
      <c r="X1885" s="18">
        <f>+V1885-W1885</f>
        <v>0</v>
      </c>
    </row>
    <row r="1886" spans="1:24" ht="26.25">
      <c r="A1886" s="4">
        <f>+A1885+1</f>
        <v>36</v>
      </c>
      <c r="B1886" s="24" t="s">
        <v>79</v>
      </c>
      <c r="C1886" s="11"/>
      <c r="D1886" s="18">
        <f>+D1884-D1885</f>
        <v>0</v>
      </c>
      <c r="E1886" s="18"/>
      <c r="F1886" s="18">
        <f>+F1884-F1885</f>
        <v>0</v>
      </c>
      <c r="G1886" s="18">
        <f>+G1884-G1885</f>
        <v>0</v>
      </c>
      <c r="I1886" s="18">
        <f aca="true" t="shared" si="231" ref="I1886:O1886">+I1884-I1885</f>
        <v>0</v>
      </c>
      <c r="J1886" s="18">
        <f t="shared" si="231"/>
        <v>0</v>
      </c>
      <c r="K1886" s="18">
        <f t="shared" si="231"/>
        <v>0</v>
      </c>
      <c r="L1886" s="18">
        <f t="shared" si="231"/>
        <v>0</v>
      </c>
      <c r="M1886" s="18">
        <f t="shared" si="231"/>
        <v>0</v>
      </c>
      <c r="N1886" s="18">
        <f t="shared" si="231"/>
        <v>0</v>
      </c>
      <c r="O1886" s="18">
        <f t="shared" si="231"/>
        <v>0</v>
      </c>
      <c r="P1886" s="18"/>
      <c r="Q1886" s="18">
        <f>+Q1884-Q1885</f>
        <v>0</v>
      </c>
      <c r="R1886" s="18">
        <f>+R1884-R1885</f>
        <v>0</v>
      </c>
      <c r="S1886" s="42"/>
      <c r="T1886" s="18">
        <f>+T1884-T1885</f>
        <v>0</v>
      </c>
      <c r="U1886" s="42"/>
      <c r="V1886" s="55">
        <f>+V1884-V1885</f>
        <v>1293632</v>
      </c>
      <c r="W1886" s="55">
        <f>+W1884-W1885</f>
        <v>129927</v>
      </c>
      <c r="X1886" s="31">
        <f>+X1884-X1885</f>
        <v>1163705</v>
      </c>
    </row>
    <row r="1887" spans="1:24" ht="28.5">
      <c r="A1887" s="4">
        <f>+A1886+1</f>
        <v>37</v>
      </c>
      <c r="B1887" s="88" t="s">
        <v>181</v>
      </c>
      <c r="C1887" s="11"/>
      <c r="D1887" s="18">
        <v>0</v>
      </c>
      <c r="E1887" s="18"/>
      <c r="F1887" s="18">
        <v>0</v>
      </c>
      <c r="G1887" s="18">
        <v>0</v>
      </c>
      <c r="I1887" s="18">
        <v>0</v>
      </c>
      <c r="J1887" s="18">
        <v>0</v>
      </c>
      <c r="K1887" s="18">
        <v>0</v>
      </c>
      <c r="L1887" s="18">
        <v>0</v>
      </c>
      <c r="M1887" s="18">
        <v>0</v>
      </c>
      <c r="N1887" s="18">
        <v>0</v>
      </c>
      <c r="O1887" s="18">
        <v>0</v>
      </c>
      <c r="P1887" s="18"/>
      <c r="Q1887" s="18">
        <v>0</v>
      </c>
      <c r="R1887" s="18">
        <v>0</v>
      </c>
      <c r="S1887" s="42"/>
      <c r="T1887" s="18">
        <v>0</v>
      </c>
      <c r="U1887" s="42"/>
      <c r="V1887" s="18">
        <f>+V1871+D1887+F1887+G1887+I1887</f>
        <v>0</v>
      </c>
      <c r="W1887" s="18">
        <f>+W1871+J1887+K1887+L1887+M1887+N1887+O1887+Q1887+R1887+T1887</f>
        <v>0</v>
      </c>
      <c r="X1887" s="18">
        <f>+V1887-W1887</f>
        <v>0</v>
      </c>
    </row>
    <row r="1888" spans="1:24" ht="15">
      <c r="A1888" s="4">
        <f>+A1887+1</f>
        <v>38</v>
      </c>
      <c r="B1888" s="24" t="s">
        <v>46</v>
      </c>
      <c r="C1888" s="11" t="s">
        <v>47</v>
      </c>
      <c r="D1888" s="18">
        <f>+D1880+D1881+D1886+D1887+D1882</f>
        <v>-3243</v>
      </c>
      <c r="E1888" s="18"/>
      <c r="F1888" s="18">
        <f>+F1880+F1881+F1886+F1887+F1882</f>
        <v>0</v>
      </c>
      <c r="G1888" s="18">
        <f>+G1880+G1881+G1886+G1887+G1882</f>
        <v>0</v>
      </c>
      <c r="I1888" s="18">
        <f aca="true" t="shared" si="232" ref="I1888:O1888">+I1880+I1881+I1886+I1887+I1882</f>
        <v>0</v>
      </c>
      <c r="J1888" s="18">
        <f t="shared" si="232"/>
        <v>0</v>
      </c>
      <c r="K1888" s="18">
        <f t="shared" si="232"/>
        <v>0</v>
      </c>
      <c r="L1888" s="18">
        <f t="shared" si="232"/>
        <v>0</v>
      </c>
      <c r="M1888" s="18">
        <f t="shared" si="232"/>
        <v>0</v>
      </c>
      <c r="N1888" s="18">
        <f t="shared" si="232"/>
        <v>0</v>
      </c>
      <c r="O1888" s="18">
        <f t="shared" si="232"/>
        <v>0</v>
      </c>
      <c r="P1888" s="18"/>
      <c r="Q1888" s="18">
        <f>+Q1880+Q1881+Q1886+Q1887+Q1882</f>
        <v>0</v>
      </c>
      <c r="R1888" s="18">
        <f>+R1880+R1881+R1886+R1887+R1882</f>
        <v>0</v>
      </c>
      <c r="S1888" s="42"/>
      <c r="T1888" s="18">
        <f>+T1880+T1881+T1886+T1887+T1882</f>
        <v>413</v>
      </c>
      <c r="U1888" s="42"/>
      <c r="V1888" s="18">
        <f>+V1880+V1881+V1886+V1887+V1882</f>
        <v>2424860</v>
      </c>
      <c r="W1888" s="18">
        <f>+W1880+W1881+W1886+W1887+W1882</f>
        <v>2349465</v>
      </c>
      <c r="X1888" s="18">
        <f>+X1880+X1881+X1886+X1887+X1882</f>
        <v>75395</v>
      </c>
    </row>
    <row r="1889" spans="1:24" ht="15">
      <c r="A1889" s="4"/>
      <c r="B1889" s="24"/>
      <c r="C1889" s="11"/>
      <c r="D1889" s="18"/>
      <c r="E1889" s="18"/>
      <c r="F1889" s="18"/>
      <c r="G1889" s="18"/>
      <c r="N1889" s="42"/>
      <c r="O1889" s="42"/>
      <c r="P1889" s="42"/>
      <c r="Q1889" s="42"/>
      <c r="R1889" s="42"/>
      <c r="S1889" s="42"/>
      <c r="T1889" s="42"/>
      <c r="U1889" s="42"/>
      <c r="V1889" s="18"/>
      <c r="W1889" s="18"/>
      <c r="X1889" s="18"/>
    </row>
    <row r="1890" spans="1:24" ht="15">
      <c r="A1890" s="4"/>
      <c r="B1890" s="24"/>
      <c r="C1890" s="11"/>
      <c r="D1890" s="18"/>
      <c r="E1890" s="18"/>
      <c r="F1890" s="18"/>
      <c r="G1890" s="18"/>
      <c r="L1890" s="42"/>
      <c r="M1890" s="42"/>
      <c r="N1890" s="42"/>
      <c r="O1890" s="42"/>
      <c r="P1890" s="42"/>
      <c r="Q1890" s="42"/>
      <c r="R1890" s="42"/>
      <c r="S1890" s="42"/>
      <c r="T1890" s="42"/>
      <c r="U1890" s="42"/>
      <c r="V1890" s="18"/>
      <c r="W1890" s="18"/>
      <c r="X1890" s="18"/>
    </row>
    <row r="1891" spans="1:24" ht="15">
      <c r="A1891" s="4"/>
      <c r="B1891" s="24"/>
      <c r="C1891" s="11"/>
      <c r="D1891" s="18"/>
      <c r="E1891" s="18"/>
      <c r="F1891" s="18"/>
      <c r="G1891" s="18"/>
      <c r="L1891" s="42"/>
      <c r="M1891" s="42"/>
      <c r="N1891" s="42"/>
      <c r="O1891" s="42"/>
      <c r="P1891" s="42"/>
      <c r="Q1891" s="42"/>
      <c r="R1891" s="42"/>
      <c r="S1891" s="42"/>
      <c r="T1891" s="42"/>
      <c r="U1891" s="42"/>
      <c r="V1891" s="18"/>
      <c r="W1891" s="18"/>
      <c r="X1891" s="18"/>
    </row>
    <row r="1892" spans="1:24" ht="15">
      <c r="A1892" s="4"/>
      <c r="B1892" s="24"/>
      <c r="C1892" s="11"/>
      <c r="D1892" s="18"/>
      <c r="E1892" s="18"/>
      <c r="F1892" s="18"/>
      <c r="G1892" s="18"/>
      <c r="H1892" s="56"/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  <c r="V1892" s="18"/>
      <c r="W1892" s="18"/>
      <c r="X1892" s="18"/>
    </row>
    <row r="1893" spans="1:24" ht="15">
      <c r="A1893" s="4"/>
      <c r="B1893" s="24"/>
      <c r="C1893" s="11"/>
      <c r="D1893" s="18"/>
      <c r="E1893" s="18"/>
      <c r="F1893" s="18"/>
      <c r="G1893" s="18"/>
      <c r="H1893" s="56"/>
      <c r="I1893" s="57" t="s">
        <v>135</v>
      </c>
      <c r="L1893" s="42"/>
      <c r="M1893" s="42"/>
      <c r="N1893" s="42"/>
      <c r="O1893" s="42"/>
      <c r="P1893" s="42"/>
      <c r="Q1893" s="42"/>
      <c r="R1893" s="42"/>
      <c r="S1893" s="42"/>
      <c r="T1893" s="42"/>
      <c r="U1893" s="42"/>
      <c r="V1893" s="18"/>
      <c r="W1893" s="18"/>
      <c r="X1893" s="18"/>
    </row>
    <row r="1894" spans="1:24" ht="15">
      <c r="A1894" s="4"/>
      <c r="B1894" s="24"/>
      <c r="C1894" s="11"/>
      <c r="D1894" s="18"/>
      <c r="E1894" s="18"/>
      <c r="F1894" s="18"/>
      <c r="G1894" s="18"/>
      <c r="H1894" s="56"/>
      <c r="I1894" s="58"/>
      <c r="L1894" s="42"/>
      <c r="T1894" s="42"/>
      <c r="U1894" s="42"/>
      <c r="V1894" s="18"/>
      <c r="W1894" s="18"/>
      <c r="X1894" s="18"/>
    </row>
    <row r="1895" spans="1:24" ht="15">
      <c r="A1895" s="4"/>
      <c r="B1895" s="24"/>
      <c r="C1895" s="11"/>
      <c r="D1895" s="18"/>
      <c r="E1895" s="18"/>
      <c r="F1895" s="18"/>
      <c r="G1895" s="18"/>
      <c r="H1895" s="56"/>
      <c r="I1895" s="59" t="s">
        <v>136</v>
      </c>
      <c r="L1895" s="75">
        <v>26685152.53</v>
      </c>
      <c r="T1895" s="42"/>
      <c r="U1895" s="42"/>
      <c r="V1895" s="18"/>
      <c r="W1895" s="18"/>
      <c r="X1895" s="18"/>
    </row>
    <row r="1896" spans="1:24" ht="15">
      <c r="A1896" s="4"/>
      <c r="B1896" s="24"/>
      <c r="C1896" s="11"/>
      <c r="D1896" s="18"/>
      <c r="E1896" s="18"/>
      <c r="F1896" s="18"/>
      <c r="G1896" s="18"/>
      <c r="H1896" s="56"/>
      <c r="I1896" s="59"/>
      <c r="L1896" s="18"/>
      <c r="T1896" s="42"/>
      <c r="U1896" s="42"/>
      <c r="V1896" s="18"/>
      <c r="W1896" s="18"/>
      <c r="X1896" s="18"/>
    </row>
    <row r="1897" spans="1:24" ht="15">
      <c r="A1897" s="4"/>
      <c r="B1897" s="24"/>
      <c r="C1897" s="11"/>
      <c r="D1897" s="44" t="s">
        <v>137</v>
      </c>
      <c r="E1897" s="18"/>
      <c r="F1897" s="10" t="s">
        <v>138</v>
      </c>
      <c r="G1897" s="44" t="s">
        <v>24</v>
      </c>
      <c r="H1897" s="56"/>
      <c r="I1897" s="59" t="s">
        <v>139</v>
      </c>
      <c r="L1897" s="27">
        <v>78596</v>
      </c>
      <c r="N1897" s="6" t="s">
        <v>137</v>
      </c>
      <c r="O1897" s="6" t="s">
        <v>137</v>
      </c>
      <c r="P1897" s="42"/>
      <c r="Q1897" s="6" t="s">
        <v>138</v>
      </c>
      <c r="R1897" s="6" t="s">
        <v>138</v>
      </c>
      <c r="S1897" s="6"/>
      <c r="T1897" s="42"/>
      <c r="U1897" s="42"/>
      <c r="V1897" s="18"/>
      <c r="W1897" s="18"/>
      <c r="X1897" s="18"/>
    </row>
    <row r="1898" spans="1:24" ht="15">
      <c r="A1898" s="4"/>
      <c r="B1898" s="24"/>
      <c r="C1898" s="11"/>
      <c r="D1898" s="18"/>
      <c r="E1898" s="18"/>
      <c r="F1898" s="18"/>
      <c r="G1898" s="18"/>
      <c r="H1898" s="56"/>
      <c r="I1898" s="59"/>
      <c r="L1898" s="18"/>
      <c r="N1898" s="8" t="s">
        <v>140</v>
      </c>
      <c r="O1898" s="49" t="s">
        <v>141</v>
      </c>
      <c r="P1898" s="42"/>
      <c r="Q1898" s="8" t="s">
        <v>140</v>
      </c>
      <c r="R1898" s="49" t="s">
        <v>141</v>
      </c>
      <c r="S1898" s="49"/>
      <c r="T1898" s="42"/>
      <c r="U1898" s="42"/>
      <c r="V1898" s="18"/>
      <c r="W1898" s="18"/>
      <c r="X1898" s="18"/>
    </row>
    <row r="1899" spans="1:24" ht="15">
      <c r="A1899" s="4">
        <f>+A1887+1</f>
        <v>38</v>
      </c>
      <c r="B1899" s="5" t="s">
        <v>36</v>
      </c>
      <c r="C1899" s="17" t="s">
        <v>37</v>
      </c>
      <c r="D1899" s="31">
        <f>+V1844+V1878</f>
        <v>56702112.07</v>
      </c>
      <c r="E1899" s="18"/>
      <c r="F1899" s="31">
        <f>+W1844+W1878</f>
        <v>19257051</v>
      </c>
      <c r="G1899" s="18">
        <f>+D1899-F1899</f>
        <v>37445061.07</v>
      </c>
      <c r="H1899" s="56"/>
      <c r="I1899" s="59" t="s">
        <v>142</v>
      </c>
      <c r="J1899" s="18"/>
      <c r="K1899" s="18"/>
      <c r="L1899" s="36">
        <v>15313706</v>
      </c>
      <c r="N1899" s="60"/>
      <c r="O1899" s="6"/>
      <c r="P1899" s="42"/>
      <c r="Q1899" s="61"/>
      <c r="R1899" s="61"/>
      <c r="S1899" s="61"/>
      <c r="T1899" s="42"/>
      <c r="U1899" s="42"/>
      <c r="V1899" s="18"/>
      <c r="W1899" s="18"/>
      <c r="X1899" s="18"/>
    </row>
    <row r="1900" spans="1:21" ht="15">
      <c r="A1900" s="4">
        <f>+A1899+1</f>
        <v>39</v>
      </c>
      <c r="B1900" s="5" t="s">
        <v>36</v>
      </c>
      <c r="C1900" s="22" t="s">
        <v>38</v>
      </c>
      <c r="D1900" s="31">
        <f>+V1845+V1879</f>
        <v>56682579.09</v>
      </c>
      <c r="E1900" s="18"/>
      <c r="F1900" s="31">
        <f>+W1845+W1879</f>
        <v>19536101</v>
      </c>
      <c r="G1900" s="18">
        <f>+D1900-F1900</f>
        <v>37146478.09</v>
      </c>
      <c r="H1900" s="56"/>
      <c r="I1900" s="58"/>
      <c r="J1900" s="18"/>
      <c r="K1900" s="18"/>
      <c r="L1900" s="60"/>
      <c r="N1900" s="62">
        <f>+D1901</f>
        <v>19532.97999999672</v>
      </c>
      <c r="O1900" s="63">
        <f>+D1907</f>
        <v>32598706</v>
      </c>
      <c r="P1900" s="42"/>
      <c r="Q1900" s="31">
        <f>+F1811</f>
        <v>-280587</v>
      </c>
      <c r="R1900" s="31">
        <f>+F1813</f>
        <v>0</v>
      </c>
      <c r="S1900" s="31"/>
      <c r="T1900" s="42"/>
      <c r="U1900" s="42"/>
    </row>
    <row r="1901" spans="1:24" ht="15">
      <c r="A1901" s="4">
        <f>+A1900+1</f>
        <v>40</v>
      </c>
      <c r="B1901" s="24" t="s">
        <v>46</v>
      </c>
      <c r="C1901" s="40" t="s">
        <v>78</v>
      </c>
      <c r="D1901" s="26">
        <f>+D1899-D1900</f>
        <v>19532.97999999672</v>
      </c>
      <c r="E1901" s="18"/>
      <c r="F1901" s="26">
        <f>+F1899-F1900</f>
        <v>-279050</v>
      </c>
      <c r="G1901" s="18">
        <f>+G1899-G1900</f>
        <v>298582.9799999967</v>
      </c>
      <c r="H1901" s="56"/>
      <c r="I1901" s="58" t="s">
        <v>143</v>
      </c>
      <c r="J1901" s="18"/>
      <c r="K1901" s="18"/>
      <c r="L1901">
        <v>0</v>
      </c>
      <c r="N1901" s="62">
        <f>+D1902</f>
        <v>0</v>
      </c>
      <c r="O1901" s="63">
        <f>+D1908</f>
        <v>0</v>
      </c>
      <c r="P1901" s="42"/>
      <c r="Q1901" s="31">
        <f>+F1812</f>
        <v>0</v>
      </c>
      <c r="R1901" s="31">
        <f>+F1817</f>
        <v>15594293</v>
      </c>
      <c r="S1901" s="31"/>
      <c r="U1901" s="18"/>
      <c r="V1901" s="10" t="s">
        <v>20</v>
      </c>
      <c r="W1901" s="10" t="s">
        <v>21</v>
      </c>
      <c r="X1901" s="10" t="s">
        <v>22</v>
      </c>
    </row>
    <row r="1902" spans="1:21" ht="28.5">
      <c r="A1902" s="4">
        <f>+A1901+1</f>
        <v>41</v>
      </c>
      <c r="B1902" s="88" t="s">
        <v>182</v>
      </c>
      <c r="C1902" s="11"/>
      <c r="D1902" s="26">
        <f>+V1847+V1881</f>
        <v>0</v>
      </c>
      <c r="E1902" s="26"/>
      <c r="F1902" s="26">
        <f>+W1847+W1881</f>
        <v>0</v>
      </c>
      <c r="G1902" s="18">
        <f>+D1902-F1902</f>
        <v>0</v>
      </c>
      <c r="H1902" s="56"/>
      <c r="I1902" s="58"/>
      <c r="J1902" s="18"/>
      <c r="K1902" s="18"/>
      <c r="L1902" s="60" t="s">
        <v>144</v>
      </c>
      <c r="N1902" s="62">
        <f>+F1901</f>
        <v>-279050</v>
      </c>
      <c r="O1902" s="63">
        <f>+F1907</f>
        <v>15724220</v>
      </c>
      <c r="P1902" s="42"/>
      <c r="R1902" s="31">
        <f>+F1818</f>
        <v>0</v>
      </c>
      <c r="S1902" s="31"/>
      <c r="U1902" s="18"/>
    </row>
    <row r="1903" spans="1:24" ht="24.75">
      <c r="A1903" s="4">
        <f>+A1902+1</f>
        <v>42</v>
      </c>
      <c r="B1903" s="89" t="s">
        <v>39</v>
      </c>
      <c r="C1903" s="40"/>
      <c r="D1903" s="30">
        <f>+V1848+V1882</f>
        <v>-3662215.5700000003</v>
      </c>
      <c r="E1903" s="30"/>
      <c r="F1903" s="30">
        <f>+W1848+W1882</f>
        <v>2218001</v>
      </c>
      <c r="G1903" s="18">
        <f>+D1903-F1903</f>
        <v>-5880216.57</v>
      </c>
      <c r="H1903" s="56"/>
      <c r="I1903" s="64" t="s">
        <v>145</v>
      </c>
      <c r="J1903" s="18"/>
      <c r="K1903" s="18"/>
      <c r="L1903" s="31">
        <f>+L1895-L1897-L1899-L1901</f>
        <v>11292850.530000001</v>
      </c>
      <c r="N1903" s="62">
        <f>+F1902</f>
        <v>0</v>
      </c>
      <c r="O1903" s="63">
        <f>+F1908</f>
        <v>0</v>
      </c>
      <c r="P1903" s="42"/>
      <c r="Q1903" s="31"/>
      <c r="R1903" s="31"/>
      <c r="S1903" s="31"/>
      <c r="U1903" s="65"/>
      <c r="V1903" s="66"/>
      <c r="W1903" s="66"/>
      <c r="X1903" s="65"/>
    </row>
    <row r="1904" spans="1:24" ht="15">
      <c r="A1904" s="6" t="s">
        <v>41</v>
      </c>
      <c r="B1904" s="41"/>
      <c r="C1904" s="40"/>
      <c r="D1904" s="18"/>
      <c r="E1904" s="18"/>
      <c r="F1904" s="18"/>
      <c r="G1904" s="18"/>
      <c r="H1904" s="56"/>
      <c r="I1904" s="58"/>
      <c r="J1904" s="18"/>
      <c r="K1904" s="18"/>
      <c r="N1904" s="62">
        <f>+F1811</f>
        <v>-280587</v>
      </c>
      <c r="O1904" s="63">
        <f>+F1817</f>
        <v>15594293</v>
      </c>
      <c r="P1904" s="42"/>
      <c r="Q1904" s="31"/>
      <c r="U1904" s="65"/>
      <c r="V1904" s="67"/>
      <c r="W1904" s="67"/>
      <c r="X1904" s="68"/>
    </row>
    <row r="1905" spans="1:25" ht="15">
      <c r="A1905" s="4">
        <f>+A1903+1</f>
        <v>43</v>
      </c>
      <c r="B1905" s="5" t="s">
        <v>42</v>
      </c>
      <c r="C1905" s="22" t="s">
        <v>38</v>
      </c>
      <c r="D1905" s="31">
        <f>+V1850+V1884</f>
        <v>32598706</v>
      </c>
      <c r="E1905" s="18"/>
      <c r="F1905" s="31">
        <f>+W1850+W1884</f>
        <v>15724220</v>
      </c>
      <c r="G1905" s="18">
        <f>+D1905-F1905</f>
        <v>16874486</v>
      </c>
      <c r="H1905" s="56"/>
      <c r="I1905" s="59" t="s">
        <v>22</v>
      </c>
      <c r="J1905" s="18"/>
      <c r="K1905" s="18"/>
      <c r="L1905" s="30">
        <f>+X1910</f>
        <v>11292852.409999996</v>
      </c>
      <c r="N1905" s="62"/>
      <c r="O1905" s="63">
        <f>+D1903</f>
        <v>-3662215.5700000003</v>
      </c>
      <c r="P1905" s="42"/>
      <c r="Q1905" s="31"/>
      <c r="R1905" s="31"/>
      <c r="S1905" s="31"/>
      <c r="T1905" s="69" t="s">
        <v>78</v>
      </c>
      <c r="U1905" s="65"/>
      <c r="V1905" s="26">
        <f>+D1901+D1902-F1901-F1902+F1811</f>
        <v>17995.97999999672</v>
      </c>
      <c r="W1905" s="26">
        <f>+F1811+F1812</f>
        <v>-280587</v>
      </c>
      <c r="X1905" s="26">
        <f>+V1905-W1905</f>
        <v>298582.9799999967</v>
      </c>
      <c r="Y1905" s="18"/>
    </row>
    <row r="1906" spans="1:25" ht="15">
      <c r="A1906" s="4">
        <f>+A1905+1</f>
        <v>44</v>
      </c>
      <c r="B1906" s="5" t="s">
        <v>43</v>
      </c>
      <c r="C1906" s="11"/>
      <c r="D1906" s="31">
        <f>+V1851+V1885</f>
        <v>0</v>
      </c>
      <c r="E1906" s="18"/>
      <c r="F1906" s="31">
        <f>+W1851+W1885</f>
        <v>0</v>
      </c>
      <c r="G1906" s="18">
        <f>+D1906-F1906</f>
        <v>0</v>
      </c>
      <c r="H1906" s="56"/>
      <c r="I1906" s="59"/>
      <c r="J1906" s="18"/>
      <c r="K1906" s="18"/>
      <c r="L1906" s="60" t="s">
        <v>144</v>
      </c>
      <c r="O1906" s="63">
        <f>+F1903</f>
        <v>2218001</v>
      </c>
      <c r="P1906" s="42"/>
      <c r="Q1906" s="31"/>
      <c r="R1906" s="31"/>
      <c r="S1906" s="31"/>
      <c r="T1906" s="11" t="s">
        <v>146</v>
      </c>
      <c r="U1906" s="65"/>
      <c r="V1906" s="30">
        <f>+D1907+D1908-F1907-F1908+F1817+D1903-F1903+F1813</f>
        <v>26588562.43</v>
      </c>
      <c r="W1906" s="30">
        <f>+F1813+F1817+F1818</f>
        <v>15594293</v>
      </c>
      <c r="X1906" s="30">
        <f>+V1906-W1906</f>
        <v>10994269.43</v>
      </c>
      <c r="Y1906" s="18"/>
    </row>
    <row r="1907" spans="1:25" ht="26.25">
      <c r="A1907" s="4">
        <f>+A1906+1</f>
        <v>45</v>
      </c>
      <c r="B1907" s="24" t="s">
        <v>79</v>
      </c>
      <c r="C1907" s="11"/>
      <c r="D1907" s="30">
        <f>+D1905-D1906</f>
        <v>32598706</v>
      </c>
      <c r="E1907" s="18"/>
      <c r="F1907" s="30">
        <f>+F1905-F1906</f>
        <v>15724220</v>
      </c>
      <c r="G1907" s="18">
        <f>+G1905-G1906</f>
        <v>16874486</v>
      </c>
      <c r="H1907" s="56"/>
      <c r="I1907" s="58"/>
      <c r="J1907" s="18"/>
      <c r="K1907" s="18"/>
      <c r="N1907" s="62"/>
      <c r="O1907" s="63">
        <f>+F1813</f>
        <v>0</v>
      </c>
      <c r="P1907" s="42"/>
      <c r="Q1907" s="31"/>
      <c r="R1907" s="31"/>
      <c r="S1907" s="31"/>
      <c r="T1907" s="11"/>
      <c r="U1907" s="65"/>
      <c r="V1907" s="30"/>
      <c r="W1907" s="30"/>
      <c r="X1907" s="30"/>
      <c r="Y1907" s="65"/>
    </row>
    <row r="1908" spans="1:25" ht="28.5">
      <c r="A1908" s="4">
        <f>+A1907+1</f>
        <v>46</v>
      </c>
      <c r="B1908" s="88" t="s">
        <v>181</v>
      </c>
      <c r="C1908" s="11"/>
      <c r="D1908" s="30">
        <f>+V1853+V1887</f>
        <v>0</v>
      </c>
      <c r="E1908" s="30"/>
      <c r="F1908" s="30">
        <f>+W1853+W1887</f>
        <v>0</v>
      </c>
      <c r="G1908" s="18">
        <f>+D1908-F1908</f>
        <v>0</v>
      </c>
      <c r="H1908" s="56"/>
      <c r="N1908" s="62"/>
      <c r="O1908" s="62"/>
      <c r="P1908" s="42"/>
      <c r="Q1908" s="31"/>
      <c r="R1908" s="31"/>
      <c r="S1908" s="31"/>
      <c r="T1908" s="11"/>
      <c r="U1908" s="65"/>
      <c r="V1908" s="30"/>
      <c r="W1908" s="30"/>
      <c r="X1908" s="30"/>
      <c r="Y1908" s="65"/>
    </row>
    <row r="1909" spans="1:25" ht="15">
      <c r="A1909" s="4">
        <f>+A1908+1</f>
        <v>47</v>
      </c>
      <c r="B1909" s="24" t="s">
        <v>46</v>
      </c>
      <c r="C1909" s="11" t="s">
        <v>47</v>
      </c>
      <c r="D1909" s="18">
        <f>+D1901+D1902+D1907+D1908+D1903</f>
        <v>28956023.409999996</v>
      </c>
      <c r="E1909" s="18"/>
      <c r="F1909" s="18">
        <f>+F1901+F1902+F1907+F1908+F1903</f>
        <v>17663171</v>
      </c>
      <c r="G1909" s="18">
        <f>+G1901+G1902+G1907+G1908+G1903</f>
        <v>11292852.409999996</v>
      </c>
      <c r="H1909" s="56"/>
      <c r="I1909" s="59" t="s">
        <v>147</v>
      </c>
      <c r="J1909" s="18"/>
      <c r="K1909" s="18"/>
      <c r="L1909" s="36">
        <f>+L1903-L1905</f>
        <v>-1.8799999952316284</v>
      </c>
      <c r="N1909" s="70">
        <f>+N1900+N1901-N1902-N1903+N1904</f>
        <v>17995.97999999672</v>
      </c>
      <c r="O1909" s="71">
        <f>+O1900+O1901-O1902-O1903+O1904+O1905-O1906+O1907</f>
        <v>26588562.43</v>
      </c>
      <c r="P1909" s="42"/>
      <c r="Q1909" s="26">
        <f>SUM(Q1900:Q1901)</f>
        <v>-280587</v>
      </c>
      <c r="R1909" s="30">
        <f>SUM(R1900:R1903)</f>
        <v>15594293</v>
      </c>
      <c r="S1909" s="30"/>
      <c r="T1909" s="11"/>
      <c r="U1909" s="65"/>
      <c r="V1909" s="30"/>
      <c r="W1909" s="30"/>
      <c r="X1909" s="30"/>
      <c r="Y1909" s="65"/>
    </row>
    <row r="1910" spans="1:25" ht="15">
      <c r="A1910" s="4"/>
      <c r="B1910" s="24"/>
      <c r="C1910" s="11"/>
      <c r="D1910" s="18"/>
      <c r="E1910" s="18"/>
      <c r="F1910" s="18"/>
      <c r="G1910" s="18"/>
      <c r="H1910" s="56"/>
      <c r="L1910" s="60" t="s">
        <v>148</v>
      </c>
      <c r="M1910" s="42"/>
      <c r="N1910" s="42"/>
      <c r="O1910" s="42"/>
      <c r="P1910" s="42"/>
      <c r="Q1910" s="42"/>
      <c r="R1910" s="42"/>
      <c r="S1910" s="42"/>
      <c r="T1910" s="10" t="s">
        <v>22</v>
      </c>
      <c r="U1910" s="65"/>
      <c r="V1910" s="36"/>
      <c r="W1910" s="36"/>
      <c r="X1910" s="36">
        <f>+X1905+X1906</f>
        <v>11292852.409999996</v>
      </c>
      <c r="Y1910" s="65"/>
    </row>
    <row r="1911" spans="1:25" ht="15">
      <c r="A1911" s="1"/>
      <c r="B1911" s="2"/>
      <c r="C1911" s="2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65"/>
    </row>
    <row r="1912" spans="1:6" ht="15">
      <c r="A1912" s="4"/>
      <c r="B1912"/>
      <c r="F1912"/>
    </row>
    <row r="1913" spans="1:6" ht="15">
      <c r="A1913" s="4"/>
      <c r="B1913"/>
      <c r="F1913"/>
    </row>
    <row r="1914" spans="1:25" ht="15">
      <c r="A1914" s="1"/>
      <c r="B1914" s="2"/>
      <c r="C1914" s="2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</row>
    <row r="1915" spans="1:6" ht="15">
      <c r="A1915" s="4" t="s">
        <v>0</v>
      </c>
      <c r="B1915" s="5"/>
      <c r="C1915" s="6" t="s">
        <v>1</v>
      </c>
      <c r="F1915"/>
    </row>
    <row r="1916" spans="1:6" ht="15">
      <c r="A1916" s="4"/>
      <c r="B1916" s="5"/>
      <c r="C1916" s="6" t="s">
        <v>2</v>
      </c>
      <c r="F1916"/>
    </row>
    <row r="1917" spans="1:6" ht="15">
      <c r="A1917" s="4"/>
      <c r="B1917" s="5"/>
      <c r="C1917" s="7" t="s">
        <v>166</v>
      </c>
      <c r="F1917"/>
    </row>
    <row r="1918" spans="1:6" ht="15">
      <c r="A1918" s="4"/>
      <c r="B1918" s="5"/>
      <c r="C1918" s="8"/>
      <c r="F1918"/>
    </row>
    <row r="1919" spans="1:25" ht="15">
      <c r="A1919" s="4"/>
      <c r="B1919" s="5"/>
      <c r="C1919" s="9"/>
      <c r="D1919" s="10" t="s">
        <v>4</v>
      </c>
      <c r="E1919" s="10"/>
      <c r="F1919" s="10" t="s">
        <v>5</v>
      </c>
      <c r="G1919" s="10" t="s">
        <v>6</v>
      </c>
      <c r="H1919" s="10"/>
      <c r="I1919" s="10" t="s">
        <v>7</v>
      </c>
      <c r="J1919" s="10" t="s">
        <v>8</v>
      </c>
      <c r="K1919" s="10" t="s">
        <v>9</v>
      </c>
      <c r="L1919" s="10" t="s">
        <v>10</v>
      </c>
      <c r="M1919" s="10" t="s">
        <v>11</v>
      </c>
      <c r="N1919" s="10" t="s">
        <v>12</v>
      </c>
      <c r="O1919" s="10" t="s">
        <v>13</v>
      </c>
      <c r="P1919" s="10"/>
      <c r="Q1919" s="10" t="s">
        <v>14</v>
      </c>
      <c r="R1919" s="10" t="s">
        <v>15</v>
      </c>
      <c r="S1919" s="10"/>
      <c r="T1919" s="10" t="s">
        <v>16</v>
      </c>
      <c r="U1919" s="10"/>
      <c r="V1919" s="10" t="s">
        <v>17</v>
      </c>
      <c r="W1919" s="10" t="s">
        <v>18</v>
      </c>
      <c r="X1919" s="10" t="s">
        <v>19</v>
      </c>
      <c r="Y1919" s="10"/>
    </row>
    <row r="1920" spans="1:24" ht="15">
      <c r="A1920" s="4"/>
      <c r="B1920" s="87" t="s">
        <v>174</v>
      </c>
      <c r="C1920" s="5"/>
      <c r="D1920" s="10" t="s">
        <v>20</v>
      </c>
      <c r="E1920" s="10"/>
      <c r="F1920" s="10" t="s">
        <v>21</v>
      </c>
      <c r="G1920" s="10" t="s">
        <v>22</v>
      </c>
      <c r="I1920" s="10" t="s">
        <v>20</v>
      </c>
      <c r="J1920" s="10" t="s">
        <v>20</v>
      </c>
      <c r="K1920" s="10" t="s">
        <v>20</v>
      </c>
      <c r="L1920" s="10" t="s">
        <v>20</v>
      </c>
      <c r="M1920" s="10" t="s">
        <v>20</v>
      </c>
      <c r="N1920" s="10" t="s">
        <v>20</v>
      </c>
      <c r="O1920" s="10" t="s">
        <v>20</v>
      </c>
      <c r="Q1920" s="10" t="s">
        <v>20</v>
      </c>
      <c r="R1920" s="10" t="s">
        <v>20</v>
      </c>
      <c r="S1920" s="10"/>
      <c r="T1920" s="10" t="s">
        <v>20</v>
      </c>
      <c r="V1920" s="10" t="s">
        <v>20</v>
      </c>
      <c r="W1920" s="10" t="s">
        <v>20</v>
      </c>
      <c r="X1920" s="10" t="s">
        <v>20</v>
      </c>
    </row>
    <row r="1921" spans="1:24" ht="42.75">
      <c r="A1921" s="4"/>
      <c r="B1921" s="5"/>
      <c r="C1921" s="11"/>
      <c r="D1921" s="12" t="s">
        <v>23</v>
      </c>
      <c r="E1921" s="13"/>
      <c r="F1921" s="12" t="s">
        <v>175</v>
      </c>
      <c r="G1921" s="13" t="s">
        <v>24</v>
      </c>
      <c r="I1921" s="13" t="s">
        <v>25</v>
      </c>
      <c r="J1921" s="8" t="s">
        <v>26</v>
      </c>
      <c r="K1921" s="13" t="s">
        <v>27</v>
      </c>
      <c r="L1921" s="13" t="s">
        <v>28</v>
      </c>
      <c r="M1921" s="13" t="s">
        <v>29</v>
      </c>
      <c r="N1921" s="13" t="s">
        <v>30</v>
      </c>
      <c r="O1921" s="13" t="s">
        <v>31</v>
      </c>
      <c r="Q1921" s="14">
        <v>4470115</v>
      </c>
      <c r="R1921" s="13" t="s">
        <v>32</v>
      </c>
      <c r="S1921" s="13"/>
      <c r="T1921" s="14">
        <v>4470119</v>
      </c>
      <c r="V1921" s="8" t="s">
        <v>33</v>
      </c>
      <c r="W1921" s="8" t="s">
        <v>34</v>
      </c>
      <c r="X1921" s="8" t="s">
        <v>35</v>
      </c>
    </row>
    <row r="1922" spans="1:23" ht="15">
      <c r="A1922" s="4"/>
      <c r="B1922" s="5"/>
      <c r="C1922" s="11"/>
      <c r="D1922" s="13"/>
      <c r="E1922" s="13"/>
      <c r="F1922" s="13"/>
      <c r="G1922" s="15"/>
      <c r="I1922" s="13"/>
      <c r="J1922" s="13"/>
      <c r="K1922" s="13"/>
      <c r="L1922" s="13"/>
      <c r="M1922" s="13"/>
      <c r="N1922" s="13"/>
      <c r="O1922" s="13"/>
      <c r="Q1922" s="14"/>
      <c r="R1922" s="13"/>
      <c r="S1922" s="14"/>
      <c r="T1922" s="16"/>
      <c r="V1922" s="14"/>
      <c r="W1922" s="13"/>
    </row>
    <row r="1923" spans="1:25" ht="15">
      <c r="A1923" s="4">
        <v>1</v>
      </c>
      <c r="B1923" s="5" t="s">
        <v>36</v>
      </c>
      <c r="C1923" s="17" t="s">
        <v>37</v>
      </c>
      <c r="D1923" s="78">
        <v>55297878</v>
      </c>
      <c r="E1923" s="77"/>
      <c r="F1923" s="93">
        <f>2218795+16923141</f>
        <v>19141936</v>
      </c>
      <c r="G1923" s="21">
        <f>+D1923-F1923</f>
        <v>36155942</v>
      </c>
      <c r="H1923" s="18"/>
      <c r="I1923" s="18">
        <v>0</v>
      </c>
      <c r="J1923" s="18">
        <v>0</v>
      </c>
      <c r="K1923" s="18">
        <v>0</v>
      </c>
      <c r="L1923" s="18">
        <v>0</v>
      </c>
      <c r="M1923" s="18">
        <v>0</v>
      </c>
      <c r="N1923" s="18">
        <v>0</v>
      </c>
      <c r="O1923" s="18">
        <v>0</v>
      </c>
      <c r="P1923" s="18"/>
      <c r="Q1923" s="18">
        <v>0</v>
      </c>
      <c r="R1923" s="18">
        <v>0</v>
      </c>
      <c r="S1923" s="18"/>
      <c r="T1923" s="18">
        <v>0</v>
      </c>
      <c r="U1923" s="18"/>
      <c r="V1923" s="18">
        <v>0</v>
      </c>
      <c r="W1923" s="18">
        <v>0</v>
      </c>
      <c r="X1923" s="18">
        <v>0</v>
      </c>
      <c r="Y1923" s="18"/>
    </row>
    <row r="1924" spans="1:25" ht="15">
      <c r="A1924" s="4">
        <f>+A1923+1</f>
        <v>2</v>
      </c>
      <c r="B1924" s="5" t="s">
        <v>36</v>
      </c>
      <c r="C1924" s="22" t="s">
        <v>38</v>
      </c>
      <c r="D1924" s="78">
        <v>55297878</v>
      </c>
      <c r="E1924" s="19"/>
      <c r="F1924" s="23">
        <f>2274688+17147835</f>
        <v>19422523</v>
      </c>
      <c r="G1924" s="21">
        <f>+D1924-F1924</f>
        <v>35875355</v>
      </c>
      <c r="H1924" s="18"/>
      <c r="I1924" s="18">
        <v>0</v>
      </c>
      <c r="J1924" s="18">
        <v>0</v>
      </c>
      <c r="K1924" s="18">
        <v>0</v>
      </c>
      <c r="L1924" s="18">
        <v>0</v>
      </c>
      <c r="M1924" s="18">
        <v>0</v>
      </c>
      <c r="N1924" s="18">
        <v>0</v>
      </c>
      <c r="O1924" s="18">
        <v>0</v>
      </c>
      <c r="P1924" s="18"/>
      <c r="Q1924" s="18">
        <v>0</v>
      </c>
      <c r="R1924" s="18">
        <v>0</v>
      </c>
      <c r="S1924" s="18"/>
      <c r="T1924" s="18">
        <v>0</v>
      </c>
      <c r="U1924" s="18"/>
      <c r="V1924" s="18">
        <v>0</v>
      </c>
      <c r="W1924" s="18">
        <v>0</v>
      </c>
      <c r="X1924" s="18">
        <v>0</v>
      </c>
      <c r="Y1924" s="18"/>
    </row>
    <row r="1925" spans="1:25" ht="22.5">
      <c r="A1925" s="4">
        <f>+A1924+1</f>
        <v>3</v>
      </c>
      <c r="B1925" s="24" t="s">
        <v>176</v>
      </c>
      <c r="C1925" s="25" t="s">
        <v>177</v>
      </c>
      <c r="D1925" s="18">
        <v>0</v>
      </c>
      <c r="E1925" s="19"/>
      <c r="F1925" s="26">
        <f>+F1923-F1924</f>
        <v>-280587</v>
      </c>
      <c r="G1925" s="18">
        <v>0</v>
      </c>
      <c r="H1925" s="18"/>
      <c r="I1925" s="18">
        <f aca="true" t="shared" si="233" ref="I1925:O1925">+I1923-I1924</f>
        <v>0</v>
      </c>
      <c r="J1925" s="18">
        <f t="shared" si="233"/>
        <v>0</v>
      </c>
      <c r="K1925" s="18">
        <f t="shared" si="233"/>
        <v>0</v>
      </c>
      <c r="L1925" s="18">
        <f t="shared" si="233"/>
        <v>0</v>
      </c>
      <c r="M1925" s="18">
        <f t="shared" si="233"/>
        <v>0</v>
      </c>
      <c r="N1925" s="18">
        <f t="shared" si="233"/>
        <v>0</v>
      </c>
      <c r="O1925" s="18">
        <f t="shared" si="233"/>
        <v>0</v>
      </c>
      <c r="P1925" s="18"/>
      <c r="Q1925" s="18">
        <f>+Q1923-Q1924</f>
        <v>0</v>
      </c>
      <c r="R1925" s="18">
        <f>+R1923-R1924</f>
        <v>0</v>
      </c>
      <c r="S1925" s="18"/>
      <c r="T1925" s="18">
        <f>+T1923-T1924</f>
        <v>0</v>
      </c>
      <c r="U1925" s="18"/>
      <c r="V1925" s="18">
        <f>+V1923-V1924</f>
        <v>0</v>
      </c>
      <c r="W1925" s="18">
        <f>+W1923-W1924</f>
        <v>0</v>
      </c>
      <c r="X1925" s="18">
        <f>+X1923-X1924</f>
        <v>0</v>
      </c>
      <c r="Y1925" s="18"/>
    </row>
    <row r="1926" spans="1:25" ht="28.5">
      <c r="A1926" s="4">
        <f>+A1925+1</f>
        <v>4</v>
      </c>
      <c r="B1926" s="88" t="s">
        <v>178</v>
      </c>
      <c r="C1926" s="25" t="s">
        <v>179</v>
      </c>
      <c r="D1926" s="18">
        <v>0</v>
      </c>
      <c r="E1926" s="19"/>
      <c r="F1926" s="26">
        <v>0</v>
      </c>
      <c r="G1926" s="18">
        <f>+D1926-F1926</f>
        <v>0</v>
      </c>
      <c r="H1926" s="18"/>
      <c r="I1926" s="27">
        <v>0</v>
      </c>
      <c r="J1926" s="18">
        <v>0</v>
      </c>
      <c r="K1926" s="18">
        <v>0</v>
      </c>
      <c r="L1926" s="18">
        <v>0</v>
      </c>
      <c r="M1926" s="18">
        <v>0</v>
      </c>
      <c r="N1926" s="18">
        <v>0</v>
      </c>
      <c r="O1926" s="18">
        <v>0</v>
      </c>
      <c r="P1926" s="18"/>
      <c r="Q1926" s="18">
        <v>0</v>
      </c>
      <c r="R1926" s="18">
        <v>0</v>
      </c>
      <c r="S1926" s="18"/>
      <c r="T1926" s="18">
        <v>0</v>
      </c>
      <c r="U1926" s="18"/>
      <c r="V1926" s="18">
        <v>0</v>
      </c>
      <c r="W1926" s="18">
        <v>0</v>
      </c>
      <c r="X1926" s="18">
        <v>0</v>
      </c>
      <c r="Y1926" s="18"/>
    </row>
    <row r="1927" spans="1:25" ht="24.75">
      <c r="A1927" s="4">
        <f>+A1926+1</f>
        <v>5</v>
      </c>
      <c r="B1927" s="89" t="s">
        <v>39</v>
      </c>
      <c r="C1927" s="28" t="s">
        <v>40</v>
      </c>
      <c r="D1927" s="27">
        <v>194272</v>
      </c>
      <c r="E1927" s="29"/>
      <c r="F1927" s="30">
        <v>0</v>
      </c>
      <c r="G1927" s="31">
        <f>+D1927-F1927</f>
        <v>194272</v>
      </c>
      <c r="H1927" s="18"/>
      <c r="I1927" s="27">
        <v>0</v>
      </c>
      <c r="J1927" s="27">
        <v>74</v>
      </c>
      <c r="K1927" s="27">
        <v>0</v>
      </c>
      <c r="L1927" s="27">
        <v>-214313</v>
      </c>
      <c r="M1927" s="27">
        <v>-6451</v>
      </c>
      <c r="N1927" s="27">
        <f>-12</f>
        <v>-12</v>
      </c>
      <c r="O1927" s="27">
        <v>4445</v>
      </c>
      <c r="P1927" s="18"/>
      <c r="Q1927" s="27">
        <v>-15</v>
      </c>
      <c r="R1927" s="27">
        <v>0</v>
      </c>
      <c r="S1927" s="27"/>
      <c r="T1927" s="27">
        <v>0</v>
      </c>
      <c r="U1927" s="27"/>
      <c r="V1927" s="27">
        <v>0</v>
      </c>
      <c r="W1927" s="27">
        <v>0</v>
      </c>
      <c r="X1927" s="27">
        <v>-2844810.97</v>
      </c>
      <c r="Y1927" s="18"/>
    </row>
    <row r="1928" spans="1:25" ht="15">
      <c r="A1928" s="6" t="s">
        <v>41</v>
      </c>
      <c r="B1928" s="90"/>
      <c r="C1928" s="11"/>
      <c r="D1928" s="18"/>
      <c r="E1928" s="19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 t="s">
        <v>0</v>
      </c>
      <c r="P1928" s="18"/>
      <c r="Q1928" s="18"/>
      <c r="R1928" s="18"/>
      <c r="S1928" s="18"/>
      <c r="T1928" s="18"/>
      <c r="U1928" s="18"/>
      <c r="V1928" s="18"/>
      <c r="W1928" s="18"/>
      <c r="X1928" s="18"/>
      <c r="Y1928" s="18"/>
    </row>
    <row r="1929" spans="1:25" ht="15">
      <c r="A1929" s="4">
        <f>+A1927+1</f>
        <v>6</v>
      </c>
      <c r="B1929" s="5" t="s">
        <v>42</v>
      </c>
      <c r="C1929" s="22" t="s">
        <v>38</v>
      </c>
      <c r="D1929" s="27">
        <v>31124211</v>
      </c>
      <c r="E1929" s="19"/>
      <c r="F1929" s="23">
        <f>967592+14626701</f>
        <v>15594293</v>
      </c>
      <c r="G1929" s="18">
        <f>+D1929-F1929</f>
        <v>15529918</v>
      </c>
      <c r="H1929" s="18"/>
      <c r="I1929" s="18">
        <v>0</v>
      </c>
      <c r="J1929" s="18">
        <v>0</v>
      </c>
      <c r="K1929" s="18">
        <v>0</v>
      </c>
      <c r="L1929" s="18">
        <v>0</v>
      </c>
      <c r="M1929" s="18">
        <v>0</v>
      </c>
      <c r="N1929" s="18">
        <v>0</v>
      </c>
      <c r="O1929" s="18">
        <v>0</v>
      </c>
      <c r="P1929" s="18"/>
      <c r="Q1929" s="18">
        <v>0</v>
      </c>
      <c r="R1929" s="18">
        <v>0</v>
      </c>
      <c r="S1929" s="18"/>
      <c r="T1929" s="18">
        <v>0</v>
      </c>
      <c r="U1929" s="18"/>
      <c r="V1929" s="18">
        <v>0</v>
      </c>
      <c r="W1929" s="18">
        <v>0</v>
      </c>
      <c r="X1929" s="18">
        <v>0</v>
      </c>
      <c r="Y1929" s="18"/>
    </row>
    <row r="1930" spans="1:25" ht="15">
      <c r="A1930" s="4">
        <f>+A1929+1</f>
        <v>7</v>
      </c>
      <c r="B1930" s="5" t="s">
        <v>43</v>
      </c>
      <c r="C1930" s="11"/>
      <c r="D1930" s="27">
        <v>0</v>
      </c>
      <c r="E1930" s="19"/>
      <c r="F1930" s="23">
        <v>0</v>
      </c>
      <c r="G1930" s="18">
        <f>+D1930-F1930</f>
        <v>0</v>
      </c>
      <c r="H1930" s="18"/>
      <c r="I1930" s="18">
        <v>0</v>
      </c>
      <c r="J1930" s="18">
        <v>0</v>
      </c>
      <c r="K1930" s="18">
        <v>0</v>
      </c>
      <c r="L1930" s="18">
        <v>0</v>
      </c>
      <c r="M1930" s="18">
        <v>0</v>
      </c>
      <c r="N1930" s="18">
        <v>0</v>
      </c>
      <c r="O1930" s="31">
        <v>0</v>
      </c>
      <c r="P1930" s="18"/>
      <c r="Q1930" s="18">
        <v>0</v>
      </c>
      <c r="R1930" s="18">
        <v>0</v>
      </c>
      <c r="S1930" s="18"/>
      <c r="T1930" s="18">
        <v>0</v>
      </c>
      <c r="U1930" s="18"/>
      <c r="V1930" s="18">
        <v>0</v>
      </c>
      <c r="W1930" s="18">
        <v>0</v>
      </c>
      <c r="X1930" s="18">
        <v>0</v>
      </c>
      <c r="Y1930" s="18"/>
    </row>
    <row r="1931" spans="1:25" ht="35.25">
      <c r="A1931" s="4">
        <f>+A1930+1</f>
        <v>8</v>
      </c>
      <c r="B1931" s="24" t="s">
        <v>180</v>
      </c>
      <c r="C1931" s="32" t="s">
        <v>44</v>
      </c>
      <c r="D1931" s="33">
        <f>D1929-D1930</f>
        <v>31124211</v>
      </c>
      <c r="E1931" s="34"/>
      <c r="F1931" s="91">
        <f>+F1929-F1930</f>
        <v>15594293</v>
      </c>
      <c r="G1931" s="18">
        <f>+G1929-G1930</f>
        <v>15529918</v>
      </c>
      <c r="H1931" s="18"/>
      <c r="I1931" s="18">
        <f aca="true" t="shared" si="234" ref="I1931:O1931">+I1929-I1930</f>
        <v>0</v>
      </c>
      <c r="J1931" s="18">
        <f t="shared" si="234"/>
        <v>0</v>
      </c>
      <c r="K1931" s="18">
        <f t="shared" si="234"/>
        <v>0</v>
      </c>
      <c r="L1931" s="18">
        <f t="shared" si="234"/>
        <v>0</v>
      </c>
      <c r="M1931" s="18">
        <f t="shared" si="234"/>
        <v>0</v>
      </c>
      <c r="N1931" s="18">
        <f t="shared" si="234"/>
        <v>0</v>
      </c>
      <c r="O1931" s="18">
        <f t="shared" si="234"/>
        <v>0</v>
      </c>
      <c r="P1931" s="18"/>
      <c r="Q1931" s="18">
        <f>+Q1929-Q1930</f>
        <v>0</v>
      </c>
      <c r="R1931" s="18">
        <f>+R1929-R1930</f>
        <v>0</v>
      </c>
      <c r="S1931" s="18"/>
      <c r="T1931" s="18">
        <f>+T1929-T1930</f>
        <v>0</v>
      </c>
      <c r="U1931" s="18"/>
      <c r="V1931" s="18">
        <f>+V1929-V1930</f>
        <v>0</v>
      </c>
      <c r="W1931" s="18">
        <f>+W1929-W1930</f>
        <v>0</v>
      </c>
      <c r="X1931" s="18">
        <f>+X1929-X1930</f>
        <v>0</v>
      </c>
      <c r="Y1931" s="18"/>
    </row>
    <row r="1932" spans="1:25" ht="28.5">
      <c r="A1932" s="4">
        <f>+A1931+1</f>
        <v>9</v>
      </c>
      <c r="B1932" s="88" t="s">
        <v>181</v>
      </c>
      <c r="C1932" s="35" t="s">
        <v>45</v>
      </c>
      <c r="D1932" s="18">
        <v>0</v>
      </c>
      <c r="E1932" s="19"/>
      <c r="F1932" s="31">
        <v>0</v>
      </c>
      <c r="G1932" s="31">
        <f>+D1932-F1932</f>
        <v>0</v>
      </c>
      <c r="H1932" s="18"/>
      <c r="I1932" s="18">
        <v>0</v>
      </c>
      <c r="J1932" s="18">
        <v>0</v>
      </c>
      <c r="K1932" s="18">
        <v>0</v>
      </c>
      <c r="L1932" s="18">
        <v>0</v>
      </c>
      <c r="M1932" s="18">
        <v>0</v>
      </c>
      <c r="N1932" s="18">
        <v>0</v>
      </c>
      <c r="O1932" s="31">
        <v>0</v>
      </c>
      <c r="P1932" s="18"/>
      <c r="Q1932" s="18">
        <v>0</v>
      </c>
      <c r="R1932" s="18">
        <v>0</v>
      </c>
      <c r="S1932" s="18"/>
      <c r="T1932" s="18">
        <v>0</v>
      </c>
      <c r="U1932" s="18"/>
      <c r="V1932" s="18">
        <v>0</v>
      </c>
      <c r="W1932" s="18">
        <v>0</v>
      </c>
      <c r="X1932" s="18">
        <v>0</v>
      </c>
      <c r="Y1932" s="18"/>
    </row>
    <row r="1933" spans="1:25" ht="15">
      <c r="A1933" s="4">
        <f>+A1932+1</f>
        <v>10</v>
      </c>
      <c r="B1933" s="24" t="s">
        <v>46</v>
      </c>
      <c r="C1933" s="11" t="s">
        <v>47</v>
      </c>
      <c r="D1933" s="36">
        <f>+D1925+D1926+D1927+D1931+D1932</f>
        <v>31318483</v>
      </c>
      <c r="E1933" s="19"/>
      <c r="F1933" s="36">
        <f>+F1925+F1926+F1927+F1931+F1932</f>
        <v>15313706</v>
      </c>
      <c r="G1933" s="18">
        <f>+G1925+G1926+G1931+G1932+G1927</f>
        <v>15724190</v>
      </c>
      <c r="H1933" s="18"/>
      <c r="I1933" s="18">
        <f aca="true" t="shared" si="235" ref="I1933:O1933">+I1925+I1926+I1931+I1932+I1927</f>
        <v>0</v>
      </c>
      <c r="J1933" s="21">
        <f t="shared" si="235"/>
        <v>74</v>
      </c>
      <c r="K1933" s="18">
        <f t="shared" si="235"/>
        <v>0</v>
      </c>
      <c r="L1933" s="18">
        <f t="shared" si="235"/>
        <v>-214313</v>
      </c>
      <c r="M1933" s="18">
        <f t="shared" si="235"/>
        <v>-6451</v>
      </c>
      <c r="N1933" s="18">
        <f t="shared" si="235"/>
        <v>-12</v>
      </c>
      <c r="O1933" s="18">
        <f t="shared" si="235"/>
        <v>4445</v>
      </c>
      <c r="P1933" s="18"/>
      <c r="Q1933" s="18">
        <f>+Q1925+Q1926+Q1931+Q1932+Q1927</f>
        <v>-15</v>
      </c>
      <c r="R1933" s="18">
        <f>+R1925+R1926+R1931+R1932+R1927</f>
        <v>0</v>
      </c>
      <c r="S1933" s="18"/>
      <c r="T1933" s="18">
        <f>+T1925+T1926+T1931+T1932+T1927</f>
        <v>0</v>
      </c>
      <c r="U1933" s="18"/>
      <c r="V1933" s="18">
        <f>+V1925+V1926+V1931+V1932+V1927</f>
        <v>0</v>
      </c>
      <c r="W1933" s="18">
        <f>+W1925+W1926+W1931+W1932+W1927</f>
        <v>0</v>
      </c>
      <c r="X1933" s="18">
        <f>+X1925+X1926+X1931+X1932+X1927</f>
        <v>-2844810.97</v>
      </c>
      <c r="Y1933" s="18"/>
    </row>
    <row r="1934" spans="1:25" ht="15">
      <c r="A1934" s="4"/>
      <c r="B1934" s="24"/>
      <c r="C1934" s="11" t="s">
        <v>0</v>
      </c>
      <c r="D1934" s="27" t="s">
        <v>0</v>
      </c>
      <c r="E1934" s="18"/>
      <c r="F1934" s="36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/>
    </row>
    <row r="1935" spans="1:25" ht="15">
      <c r="A1935" s="4"/>
      <c r="B1935" s="94" t="s">
        <v>0</v>
      </c>
      <c r="C1935" s="37" t="s">
        <v>0</v>
      </c>
      <c r="D1935" s="27">
        <f>-203117.72+15893700.47+15424803.03+203096.95</f>
        <v>31318482.73</v>
      </c>
      <c r="E1935" s="18"/>
      <c r="F1935" s="92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/>
    </row>
    <row r="1936" spans="1:25" ht="15">
      <c r="A1936" s="4"/>
      <c r="B1936" s="24"/>
      <c r="C1936" s="11"/>
      <c r="D1936" s="6" t="s">
        <v>48</v>
      </c>
      <c r="E1936" s="6"/>
      <c r="F1936" s="10" t="s">
        <v>49</v>
      </c>
      <c r="G1936" s="10" t="s">
        <v>50</v>
      </c>
      <c r="I1936" s="10" t="s">
        <v>51</v>
      </c>
      <c r="J1936" s="10" t="s">
        <v>52</v>
      </c>
      <c r="K1936" s="10" t="s">
        <v>53</v>
      </c>
      <c r="L1936" s="10" t="s">
        <v>54</v>
      </c>
      <c r="M1936" s="10" t="s">
        <v>55</v>
      </c>
      <c r="N1936" s="10" t="s">
        <v>56</v>
      </c>
      <c r="O1936" s="10" t="s">
        <v>57</v>
      </c>
      <c r="P1936" s="18"/>
      <c r="Q1936" s="10" t="s">
        <v>58</v>
      </c>
      <c r="R1936" s="10" t="s">
        <v>59</v>
      </c>
      <c r="S1936" s="10"/>
      <c r="T1936" s="10" t="s">
        <v>60</v>
      </c>
      <c r="U1936" s="18"/>
      <c r="V1936" s="10" t="s">
        <v>61</v>
      </c>
      <c r="W1936" s="10" t="s">
        <v>62</v>
      </c>
      <c r="X1936" s="10" t="s">
        <v>63</v>
      </c>
      <c r="Y1936" s="18"/>
    </row>
    <row r="1937" spans="1:25" ht="15">
      <c r="A1937" s="4"/>
      <c r="B1937"/>
      <c r="C1937" s="11"/>
      <c r="D1937" s="10" t="s">
        <v>20</v>
      </c>
      <c r="E1937" s="38"/>
      <c r="F1937" s="10" t="s">
        <v>20</v>
      </c>
      <c r="G1937" s="10" t="s">
        <v>20</v>
      </c>
      <c r="I1937" s="10" t="s">
        <v>20</v>
      </c>
      <c r="J1937" s="10" t="s">
        <v>20</v>
      </c>
      <c r="K1937" s="10" t="s">
        <v>20</v>
      </c>
      <c r="L1937" s="10" t="s">
        <v>20</v>
      </c>
      <c r="M1937" s="10" t="s">
        <v>20</v>
      </c>
      <c r="N1937" s="10" t="s">
        <v>20</v>
      </c>
      <c r="O1937" s="10" t="s">
        <v>20</v>
      </c>
      <c r="P1937" s="18"/>
      <c r="Q1937" s="10" t="s">
        <v>20</v>
      </c>
      <c r="R1937" s="10" t="s">
        <v>20</v>
      </c>
      <c r="S1937" s="14"/>
      <c r="T1937" s="10" t="s">
        <v>20</v>
      </c>
      <c r="U1937" s="18"/>
      <c r="W1937" s="39" t="s">
        <v>64</v>
      </c>
      <c r="Y1937" s="18"/>
    </row>
    <row r="1938" spans="1:25" ht="15">
      <c r="A1938" s="4"/>
      <c r="B1938" s="87" t="s">
        <v>174</v>
      </c>
      <c r="C1938" s="11"/>
      <c r="D1938" s="8" t="s">
        <v>155</v>
      </c>
      <c r="E1938" s="6"/>
      <c r="F1938" s="8" t="s">
        <v>66</v>
      </c>
      <c r="G1938" s="8" t="s">
        <v>67</v>
      </c>
      <c r="H1938" s="19"/>
      <c r="I1938" s="8" t="s">
        <v>68</v>
      </c>
      <c r="J1938" s="8" t="s">
        <v>69</v>
      </c>
      <c r="K1938" s="8" t="s">
        <v>70</v>
      </c>
      <c r="L1938" s="8" t="s">
        <v>71</v>
      </c>
      <c r="M1938" s="8" t="s">
        <v>72</v>
      </c>
      <c r="N1938" s="8" t="s">
        <v>73</v>
      </c>
      <c r="O1938" s="8" t="s">
        <v>74</v>
      </c>
      <c r="P1938" s="6"/>
      <c r="Q1938" s="8" t="s">
        <v>75</v>
      </c>
      <c r="R1938" s="8" t="s">
        <v>76</v>
      </c>
      <c r="S1938" s="8"/>
      <c r="T1938" s="8" t="s">
        <v>77</v>
      </c>
      <c r="U1938" s="18"/>
      <c r="V1938" s="10" t="s">
        <v>20</v>
      </c>
      <c r="W1938" s="14" t="s">
        <v>21</v>
      </c>
      <c r="X1938" s="10" t="s">
        <v>22</v>
      </c>
      <c r="Y1938" s="18"/>
    </row>
    <row r="1939" spans="1:8" ht="15">
      <c r="A1939" s="4"/>
      <c r="B1939" s="24"/>
      <c r="C1939" s="11"/>
      <c r="E1939" s="14"/>
      <c r="F1939"/>
      <c r="H1939" s="18"/>
    </row>
    <row r="1940" spans="1:24" ht="15">
      <c r="A1940" s="4">
        <f>+A1933+1</f>
        <v>11</v>
      </c>
      <c r="B1940" s="5" t="s">
        <v>36</v>
      </c>
      <c r="C1940" s="17" t="s">
        <v>37</v>
      </c>
      <c r="D1940" s="18">
        <v>0</v>
      </c>
      <c r="E1940" s="18"/>
      <c r="F1940" s="18">
        <v>0</v>
      </c>
      <c r="G1940" s="18">
        <v>0</v>
      </c>
      <c r="I1940" s="27">
        <v>331831</v>
      </c>
      <c r="J1940" s="18">
        <v>0</v>
      </c>
      <c r="K1940" s="18">
        <v>0</v>
      </c>
      <c r="L1940" s="18">
        <v>0</v>
      </c>
      <c r="M1940" s="18">
        <v>0</v>
      </c>
      <c r="N1940" s="18">
        <v>0</v>
      </c>
      <c r="O1940" s="18">
        <v>0</v>
      </c>
      <c r="Q1940" s="18">
        <v>0</v>
      </c>
      <c r="R1940" s="18">
        <v>0</v>
      </c>
      <c r="S1940" s="18"/>
      <c r="T1940" s="18">
        <v>0</v>
      </c>
      <c r="V1940" s="18">
        <f>+D1923+I1923+J1923+K1923+L1923+M1923+N1923+O1923+Q1923+R1923+T1923+V1923+W1923+X1923+D1940+F1940+G1940+I1940+J1940+K1940+L1940+M1940+N1940+O1940+Q1940+R1940+T1940</f>
        <v>55629709</v>
      </c>
      <c r="W1940" s="18">
        <f>+F1923</f>
        <v>19141936</v>
      </c>
      <c r="X1940" s="18">
        <f>+V1940-W1940</f>
        <v>36487773</v>
      </c>
    </row>
    <row r="1941" spans="1:24" ht="15">
      <c r="A1941" s="4">
        <f>+A1940+1</f>
        <v>12</v>
      </c>
      <c r="B1941" s="5" t="s">
        <v>36</v>
      </c>
      <c r="C1941" s="22" t="s">
        <v>38</v>
      </c>
      <c r="D1941" s="18">
        <v>0</v>
      </c>
      <c r="E1941" s="18"/>
      <c r="F1941" s="18">
        <v>0</v>
      </c>
      <c r="G1941" s="18">
        <v>0</v>
      </c>
      <c r="I1941" s="27">
        <v>333225</v>
      </c>
      <c r="J1941" s="18">
        <v>0</v>
      </c>
      <c r="K1941" s="18">
        <v>0</v>
      </c>
      <c r="L1941" s="18">
        <v>0</v>
      </c>
      <c r="M1941" s="18">
        <v>0</v>
      </c>
      <c r="N1941" s="18">
        <v>0</v>
      </c>
      <c r="O1941" s="18">
        <v>0</v>
      </c>
      <c r="Q1941" s="18">
        <v>0</v>
      </c>
      <c r="R1941" s="18">
        <v>0</v>
      </c>
      <c r="S1941" s="18"/>
      <c r="T1941" s="18">
        <v>0</v>
      </c>
      <c r="V1941" s="18">
        <f>+D1924+I1924+J1924+K1924+L1924+M1924+N1924+O1924+Q1924+R1924+T1924+V1924+W1924+X1924+D1941+F1941+G1941+I1941+J1941+K1941+L1941+M1941+N1941+O1941+Q1941+R1941+T1941</f>
        <v>55631103</v>
      </c>
      <c r="W1941" s="18">
        <f>+F1924</f>
        <v>19422523</v>
      </c>
      <c r="X1941" s="18">
        <f>+V1941-W1941</f>
        <v>36208580</v>
      </c>
    </row>
    <row r="1942" spans="1:24" ht="15">
      <c r="A1942" s="4">
        <f>+A1941+1</f>
        <v>13</v>
      </c>
      <c r="B1942" s="24" t="s">
        <v>46</v>
      </c>
      <c r="C1942" s="40" t="s">
        <v>78</v>
      </c>
      <c r="D1942" s="18">
        <f>+D1940-D1941</f>
        <v>0</v>
      </c>
      <c r="E1942" s="18"/>
      <c r="F1942" s="18">
        <f>+F1940-F1941</f>
        <v>0</v>
      </c>
      <c r="G1942" s="18">
        <f>+G1940-G1941</f>
        <v>0</v>
      </c>
      <c r="I1942" s="18">
        <f aca="true" t="shared" si="236" ref="I1942:O1942">+I1940-I1941</f>
        <v>-1394</v>
      </c>
      <c r="J1942" s="18">
        <f t="shared" si="236"/>
        <v>0</v>
      </c>
      <c r="K1942" s="18">
        <f t="shared" si="236"/>
        <v>0</v>
      </c>
      <c r="L1942" s="18">
        <f t="shared" si="236"/>
        <v>0</v>
      </c>
      <c r="M1942" s="18">
        <f t="shared" si="236"/>
        <v>0</v>
      </c>
      <c r="N1942" s="18">
        <f t="shared" si="236"/>
        <v>0</v>
      </c>
      <c r="O1942" s="18">
        <f t="shared" si="236"/>
        <v>0</v>
      </c>
      <c r="Q1942" s="18">
        <f>+Q1940-Q1941</f>
        <v>0</v>
      </c>
      <c r="R1942" s="18">
        <f>+R1940-R1941</f>
        <v>0</v>
      </c>
      <c r="S1942" s="18"/>
      <c r="T1942" s="18">
        <f>+T1940-T1941</f>
        <v>0</v>
      </c>
      <c r="V1942" s="27">
        <f>+V1940-V1941</f>
        <v>-1394</v>
      </c>
      <c r="W1942" s="27">
        <f>+W1940-W1941</f>
        <v>-280587</v>
      </c>
      <c r="X1942" s="18">
        <f>+X1940-X1941</f>
        <v>279193</v>
      </c>
    </row>
    <row r="1943" spans="1:24" ht="28.5">
      <c r="A1943" s="4">
        <f>+A1942+1</f>
        <v>14</v>
      </c>
      <c r="B1943" s="88" t="s">
        <v>182</v>
      </c>
      <c r="C1943" s="11"/>
      <c r="D1943" s="18">
        <v>0</v>
      </c>
      <c r="E1943" s="18"/>
      <c r="F1943" s="18">
        <v>0</v>
      </c>
      <c r="G1943" s="18">
        <v>0</v>
      </c>
      <c r="I1943" s="18">
        <v>0</v>
      </c>
      <c r="J1943" s="18">
        <v>0</v>
      </c>
      <c r="K1943" s="18">
        <v>0</v>
      </c>
      <c r="L1943" s="18">
        <v>0</v>
      </c>
      <c r="M1943" s="18">
        <v>0</v>
      </c>
      <c r="N1943" s="18">
        <v>0</v>
      </c>
      <c r="O1943" s="18">
        <v>0</v>
      </c>
      <c r="Q1943" s="18">
        <v>0</v>
      </c>
      <c r="R1943" s="18">
        <v>0</v>
      </c>
      <c r="S1943" s="18"/>
      <c r="T1943" s="18">
        <v>0</v>
      </c>
      <c r="V1943" s="18">
        <f>+D1926+I1926+J1926+K1926+L1926+M1926+N1926+O1926+Q1926+R1926+T1926+V1926+W1926+X1926+D1943+F1943+G1943+I1943+J1943+K1943+L1943+M1943+N1943+O1943+Q1943+R1943+T1943</f>
        <v>0</v>
      </c>
      <c r="W1943" s="18">
        <f>+F1926</f>
        <v>0</v>
      </c>
      <c r="X1943" s="18">
        <f>+V1943-W1943</f>
        <v>0</v>
      </c>
    </row>
    <row r="1944" spans="1:24" ht="24.75">
      <c r="A1944" s="4">
        <f>+A1943+1</f>
        <v>15</v>
      </c>
      <c r="B1944" s="89" t="s">
        <v>39</v>
      </c>
      <c r="C1944" s="40"/>
      <c r="D1944" s="27">
        <v>2664</v>
      </c>
      <c r="E1944" s="18" t="s">
        <v>0</v>
      </c>
      <c r="F1944" s="27">
        <v>0</v>
      </c>
      <c r="G1944" s="27">
        <v>0</v>
      </c>
      <c r="H1944" t="s">
        <v>0</v>
      </c>
      <c r="I1944" s="27">
        <v>0</v>
      </c>
      <c r="J1944" s="27">
        <v>0</v>
      </c>
      <c r="K1944" s="27">
        <v>0</v>
      </c>
      <c r="L1944" s="27">
        <v>0</v>
      </c>
      <c r="M1944" s="27">
        <v>219120</v>
      </c>
      <c r="N1944" s="27">
        <v>-1967182</v>
      </c>
      <c r="O1944" s="27">
        <v>0</v>
      </c>
      <c r="Q1944" s="27">
        <v>0</v>
      </c>
      <c r="R1944" s="27">
        <v>0</v>
      </c>
      <c r="S1944" s="27"/>
      <c r="T1944" s="27">
        <v>0</v>
      </c>
      <c r="V1944" s="18">
        <f>+D1927+I1927+J1927+K1927+L1927+M1927+N1927+O1927+Q1927+R1927+T1927+V1927+W1927+X1927+D1944+F1944+G1944+I1944+J1944+K1944+L1944+M1944+N1944+O1944+Q1944+R1944+T1944</f>
        <v>-4612208.970000001</v>
      </c>
      <c r="W1944" s="18">
        <f>+F1927</f>
        <v>0</v>
      </c>
      <c r="X1944" s="18">
        <f>+V1944-W1944</f>
        <v>-4612208.970000001</v>
      </c>
    </row>
    <row r="1945" spans="1:24" ht="15">
      <c r="A1945" s="6" t="s">
        <v>41</v>
      </c>
      <c r="B1945" s="41"/>
      <c r="C1945" s="40"/>
      <c r="D1945" s="18"/>
      <c r="E1945" s="18"/>
      <c r="F1945" s="18"/>
      <c r="G1945" s="18"/>
      <c r="I1945" s="18"/>
      <c r="J1945" s="18"/>
      <c r="K1945" s="18"/>
      <c r="L1945" s="18"/>
      <c r="M1945" s="18"/>
      <c r="N1945" s="18"/>
      <c r="O1945" s="18"/>
      <c r="Q1945" s="18"/>
      <c r="R1945" s="18"/>
      <c r="S1945" s="18"/>
      <c r="T1945" s="18"/>
      <c r="V1945" s="18"/>
      <c r="W1945" s="18"/>
      <c r="X1945" s="18"/>
    </row>
    <row r="1946" spans="1:24" ht="15">
      <c r="A1946" s="4">
        <f>+A1944+1</f>
        <v>16</v>
      </c>
      <c r="B1946" s="5" t="s">
        <v>42</v>
      </c>
      <c r="C1946" s="22" t="s">
        <v>38</v>
      </c>
      <c r="D1946" s="18">
        <v>0</v>
      </c>
      <c r="E1946" s="18"/>
      <c r="F1946" s="18">
        <v>0</v>
      </c>
      <c r="G1946" s="18">
        <v>0</v>
      </c>
      <c r="I1946" s="27">
        <v>287995</v>
      </c>
      <c r="J1946" s="18">
        <v>0</v>
      </c>
      <c r="K1946" s="18">
        <v>0</v>
      </c>
      <c r="L1946" s="18">
        <v>0</v>
      </c>
      <c r="M1946" s="18">
        <v>0</v>
      </c>
      <c r="N1946" s="18">
        <v>0</v>
      </c>
      <c r="O1946" s="18">
        <v>0</v>
      </c>
      <c r="P1946" s="18"/>
      <c r="Q1946" s="18">
        <v>0</v>
      </c>
      <c r="R1946" s="18">
        <v>0</v>
      </c>
      <c r="S1946" s="18"/>
      <c r="T1946" s="18">
        <v>0</v>
      </c>
      <c r="U1946" s="18"/>
      <c r="V1946" s="18">
        <f>+D1929+I1929+J1929+K1929+L1929+M1929+N1929+O1929+Q1929+R1929+T1929+V1929+W1929+X1929+D1946+F1946+G1946+I1946+J1946+K1946+L1946+M1946+N1946+O1946+Q1946+R1946+T1946</f>
        <v>31412206</v>
      </c>
      <c r="W1946" s="18">
        <f>+F1929</f>
        <v>15594293</v>
      </c>
      <c r="X1946" s="18">
        <f>+V1946-W1946</f>
        <v>15817913</v>
      </c>
    </row>
    <row r="1947" spans="1:24" ht="15">
      <c r="A1947" s="4">
        <f>+A1946+1</f>
        <v>17</v>
      </c>
      <c r="B1947" s="5" t="s">
        <v>43</v>
      </c>
      <c r="C1947" s="11"/>
      <c r="D1947" s="18">
        <v>0</v>
      </c>
      <c r="E1947" s="18"/>
      <c r="F1947" s="18">
        <v>0</v>
      </c>
      <c r="G1947" s="18">
        <v>0</v>
      </c>
      <c r="I1947" s="27">
        <v>0</v>
      </c>
      <c r="J1947" s="18">
        <v>0</v>
      </c>
      <c r="K1947" s="18">
        <v>0</v>
      </c>
      <c r="L1947" s="18">
        <v>0</v>
      </c>
      <c r="M1947" s="18">
        <v>0</v>
      </c>
      <c r="N1947" s="18">
        <v>0</v>
      </c>
      <c r="O1947" s="18">
        <v>0</v>
      </c>
      <c r="P1947" s="18"/>
      <c r="Q1947" s="18">
        <v>0</v>
      </c>
      <c r="R1947" s="18">
        <v>0</v>
      </c>
      <c r="S1947" s="18"/>
      <c r="T1947" s="18">
        <v>0</v>
      </c>
      <c r="U1947" s="18"/>
      <c r="V1947" s="18">
        <f>+D1930+I1930+J1930+K1930+L1930+M1930+N1930+O1930+Q1930+R1930+T1930+V1930+W1930+X1930+D1947+F1947+G1947+I1947+J1947+K1947+L1947+M1947+N1947+O1947+Q1947+R1947+T1947</f>
        <v>0</v>
      </c>
      <c r="W1947" s="18">
        <f>+F1930</f>
        <v>0</v>
      </c>
      <c r="X1947" s="18">
        <f>+V1947-W1947</f>
        <v>0</v>
      </c>
    </row>
    <row r="1948" spans="1:24" ht="26.25">
      <c r="A1948" s="4">
        <f>+A1947+1</f>
        <v>18</v>
      </c>
      <c r="B1948" s="24" t="s">
        <v>79</v>
      </c>
      <c r="C1948" s="11"/>
      <c r="D1948" s="18">
        <f>+D1946-D1947</f>
        <v>0</v>
      </c>
      <c r="E1948" s="18"/>
      <c r="F1948" s="18">
        <f>+F1946-F1947</f>
        <v>0</v>
      </c>
      <c r="G1948" s="18">
        <f>+G1946-G1947</f>
        <v>0</v>
      </c>
      <c r="I1948" s="18">
        <f aca="true" t="shared" si="237" ref="I1948:O1948">+I1946-I1947</f>
        <v>287995</v>
      </c>
      <c r="J1948" s="18">
        <f t="shared" si="237"/>
        <v>0</v>
      </c>
      <c r="K1948" s="18">
        <f t="shared" si="237"/>
        <v>0</v>
      </c>
      <c r="L1948" s="18">
        <f t="shared" si="237"/>
        <v>0</v>
      </c>
      <c r="M1948" s="18">
        <f t="shared" si="237"/>
        <v>0</v>
      </c>
      <c r="N1948" s="18">
        <f t="shared" si="237"/>
        <v>0</v>
      </c>
      <c r="O1948" s="18">
        <f t="shared" si="237"/>
        <v>0</v>
      </c>
      <c r="P1948" s="18"/>
      <c r="Q1948" s="18">
        <f>+Q1946-Q1947</f>
        <v>0</v>
      </c>
      <c r="R1948" s="18">
        <f>+R1946-R1947</f>
        <v>0</v>
      </c>
      <c r="S1948" s="18"/>
      <c r="T1948" s="18">
        <f>+T1946-T1947</f>
        <v>0</v>
      </c>
      <c r="U1948" s="18"/>
      <c r="V1948" s="27">
        <f>+V1946-V1947</f>
        <v>31412206</v>
      </c>
      <c r="W1948" s="27">
        <f>+W1946-W1947</f>
        <v>15594293</v>
      </c>
      <c r="X1948" s="18">
        <f>+X1946-X1947</f>
        <v>15817913</v>
      </c>
    </row>
    <row r="1949" spans="1:24" ht="28.5">
      <c r="A1949" s="4">
        <f>+A1948+1</f>
        <v>19</v>
      </c>
      <c r="B1949" s="88" t="s">
        <v>181</v>
      </c>
      <c r="C1949" s="11"/>
      <c r="D1949" s="18">
        <v>0</v>
      </c>
      <c r="E1949" s="18"/>
      <c r="F1949" s="18">
        <v>0</v>
      </c>
      <c r="G1949" s="18">
        <v>0</v>
      </c>
      <c r="I1949" s="18">
        <v>0</v>
      </c>
      <c r="J1949" s="18">
        <v>0</v>
      </c>
      <c r="K1949" s="18">
        <v>0</v>
      </c>
      <c r="L1949" s="18">
        <v>0</v>
      </c>
      <c r="M1949" s="18">
        <v>0</v>
      </c>
      <c r="N1949" s="18">
        <v>0</v>
      </c>
      <c r="O1949" s="18">
        <v>0</v>
      </c>
      <c r="P1949" s="18"/>
      <c r="Q1949" s="18">
        <v>0</v>
      </c>
      <c r="R1949" s="18">
        <v>0</v>
      </c>
      <c r="S1949" s="18"/>
      <c r="T1949" s="18">
        <v>0</v>
      </c>
      <c r="U1949" s="18"/>
      <c r="V1949" s="18">
        <f>+D1932+I1932+J1932+K1932+L1932+M1932+N1932+O1932+Q1932+R1932+T1932+V1932+W1932+X1932+D1949+F1949+G1949+I1949+J1949+K1949+L1949+M1949+N1949+O1949+Q1949+R1949+T1949</f>
        <v>0</v>
      </c>
      <c r="W1949" s="18">
        <f>+F1932+K1949+L1949+M1949+N1949+O1949+Q1949+R1949+T1949</f>
        <v>0</v>
      </c>
      <c r="X1949" s="18">
        <f>+V1949-W1949</f>
        <v>0</v>
      </c>
    </row>
    <row r="1950" spans="1:24" ht="15">
      <c r="A1950" s="4">
        <f>+A1949+1</f>
        <v>20</v>
      </c>
      <c r="B1950" s="24" t="s">
        <v>46</v>
      </c>
      <c r="C1950" s="11" t="s">
        <v>47</v>
      </c>
      <c r="D1950" s="18">
        <f>+D1942+D1943+D1948+D1949+D1944</f>
        <v>2664</v>
      </c>
      <c r="E1950" s="18"/>
      <c r="F1950" s="18">
        <f>+F1942+F1943+F1948+F1949+F1944</f>
        <v>0</v>
      </c>
      <c r="G1950" s="18">
        <f>+G1942+G1943+G1948+G1949+G1944</f>
        <v>0</v>
      </c>
      <c r="I1950" s="18">
        <f aca="true" t="shared" si="238" ref="I1950:O1950">+I1942+I1943+I1948+I1949+I1944</f>
        <v>286601</v>
      </c>
      <c r="J1950" s="18">
        <f t="shared" si="238"/>
        <v>0</v>
      </c>
      <c r="K1950" s="18">
        <f t="shared" si="238"/>
        <v>0</v>
      </c>
      <c r="L1950" s="18">
        <f t="shared" si="238"/>
        <v>0</v>
      </c>
      <c r="M1950" s="18">
        <f t="shared" si="238"/>
        <v>219120</v>
      </c>
      <c r="N1950" s="18">
        <f t="shared" si="238"/>
        <v>-1967182</v>
      </c>
      <c r="O1950" s="18">
        <f t="shared" si="238"/>
        <v>0</v>
      </c>
      <c r="P1950" s="42"/>
      <c r="Q1950" s="18">
        <f>+Q1942+Q1943+Q1948+Q1949+Q1944</f>
        <v>0</v>
      </c>
      <c r="R1950" s="18">
        <f>+R1942+R1943+R1948+R1949+R1944</f>
        <v>0</v>
      </c>
      <c r="S1950" s="18"/>
      <c r="T1950" s="18">
        <f>+T1942+T1943+T1948+T1949+T1944</f>
        <v>0</v>
      </c>
      <c r="U1950" s="42"/>
      <c r="V1950" s="18">
        <f>SUM(V1942,V1944,V1948,V1949)</f>
        <v>26798603.03</v>
      </c>
      <c r="W1950" s="18">
        <f>+W1942+W1943+W1948+W1949+W1944</f>
        <v>15313706</v>
      </c>
      <c r="X1950" s="18">
        <f>+X1942+X1943+X1948+X1949+X1944</f>
        <v>11484897.03</v>
      </c>
    </row>
    <row r="1951" spans="1:24" ht="15">
      <c r="A1951" s="4"/>
      <c r="B1951" s="24"/>
      <c r="C1951" s="11"/>
      <c r="D1951" s="18"/>
      <c r="E1951" s="18"/>
      <c r="F1951" s="18"/>
      <c r="G1951" s="18"/>
      <c r="I1951" s="18"/>
      <c r="J1951" s="18"/>
      <c r="K1951" s="18"/>
      <c r="L1951" s="18"/>
      <c r="M1951" s="18"/>
      <c r="N1951" s="18"/>
      <c r="O1951" s="18"/>
      <c r="P1951" s="42"/>
      <c r="Q1951" s="18"/>
      <c r="R1951" s="18"/>
      <c r="S1951" s="18"/>
      <c r="T1951" s="18"/>
      <c r="U1951" s="42"/>
      <c r="V1951" s="18"/>
      <c r="W1951" s="18"/>
      <c r="X1951" s="18"/>
    </row>
    <row r="1952" spans="1:24" ht="15">
      <c r="A1952" s="4"/>
      <c r="B1952" s="24"/>
      <c r="C1952" s="11"/>
      <c r="D1952" s="18"/>
      <c r="E1952" s="18"/>
      <c r="F1952" s="18"/>
      <c r="G1952" s="18"/>
      <c r="I1952" s="18"/>
      <c r="J1952" s="18"/>
      <c r="K1952" s="18"/>
      <c r="L1952" s="18"/>
      <c r="M1952" s="18"/>
      <c r="N1952" s="18"/>
      <c r="O1952" s="18"/>
      <c r="P1952" s="42"/>
      <c r="Q1952" s="18"/>
      <c r="R1952" s="18"/>
      <c r="S1952" s="18"/>
      <c r="T1952" s="18"/>
      <c r="U1952" s="42"/>
      <c r="V1952" s="18"/>
      <c r="W1952" s="18"/>
      <c r="X1952" s="18"/>
    </row>
    <row r="1953" spans="1:24" ht="15">
      <c r="A1953" s="4"/>
      <c r="B1953" s="24"/>
      <c r="C1953" s="11"/>
      <c r="D1953" s="18"/>
      <c r="E1953" s="18"/>
      <c r="F1953" s="18"/>
      <c r="G1953" s="18"/>
      <c r="I1953" s="18"/>
      <c r="J1953" s="18"/>
      <c r="K1953" s="18"/>
      <c r="L1953" s="18"/>
      <c r="M1953" s="18"/>
      <c r="N1953" s="18"/>
      <c r="O1953" s="18"/>
      <c r="P1953" s="42"/>
      <c r="Q1953" s="18"/>
      <c r="R1953" s="18"/>
      <c r="S1953" s="18"/>
      <c r="T1953" s="18"/>
      <c r="U1953" s="42"/>
      <c r="V1953" s="18"/>
      <c r="W1953" s="18"/>
      <c r="X1953" s="18"/>
    </row>
    <row r="1954" spans="1:25" ht="15">
      <c r="A1954" s="4"/>
      <c r="B1954" s="24"/>
      <c r="C1954" s="11"/>
      <c r="D1954" s="10" t="s">
        <v>80</v>
      </c>
      <c r="E1954" s="10"/>
      <c r="F1954" s="10" t="s">
        <v>81</v>
      </c>
      <c r="G1954" s="10" t="s">
        <v>82</v>
      </c>
      <c r="I1954" s="10" t="s">
        <v>83</v>
      </c>
      <c r="J1954" s="10" t="s">
        <v>84</v>
      </c>
      <c r="K1954" s="10" t="s">
        <v>85</v>
      </c>
      <c r="L1954" s="10" t="s">
        <v>86</v>
      </c>
      <c r="M1954" s="43" t="s">
        <v>87</v>
      </c>
      <c r="N1954" s="43" t="s">
        <v>88</v>
      </c>
      <c r="O1954" s="44" t="s">
        <v>89</v>
      </c>
      <c r="P1954" s="42"/>
      <c r="Q1954" s="43" t="s">
        <v>90</v>
      </c>
      <c r="R1954" s="43" t="s">
        <v>91</v>
      </c>
      <c r="S1954" s="43"/>
      <c r="T1954" s="43" t="s">
        <v>92</v>
      </c>
      <c r="U1954" s="42"/>
      <c r="V1954" s="43" t="s">
        <v>93</v>
      </c>
      <c r="W1954" s="43" t="s">
        <v>94</v>
      </c>
      <c r="X1954" s="43" t="s">
        <v>95</v>
      </c>
      <c r="Y1954" s="18"/>
    </row>
    <row r="1955" spans="1:25" ht="15">
      <c r="A1955" s="4"/>
      <c r="B1955"/>
      <c r="C1955" s="11"/>
      <c r="D1955" s="10" t="s">
        <v>20</v>
      </c>
      <c r="E1955" s="38"/>
      <c r="F1955" s="10" t="s">
        <v>20</v>
      </c>
      <c r="G1955" s="10" t="s">
        <v>20</v>
      </c>
      <c r="I1955" s="10" t="s">
        <v>20</v>
      </c>
      <c r="J1955" s="10" t="s">
        <v>20</v>
      </c>
      <c r="K1955" s="10" t="s">
        <v>20</v>
      </c>
      <c r="L1955" s="10" t="s">
        <v>20</v>
      </c>
      <c r="M1955" s="10" t="s">
        <v>20</v>
      </c>
      <c r="N1955" s="10" t="s">
        <v>20</v>
      </c>
      <c r="O1955" s="10" t="s">
        <v>20</v>
      </c>
      <c r="P1955" s="18"/>
      <c r="Q1955" s="10" t="s">
        <v>20</v>
      </c>
      <c r="R1955" s="10" t="s">
        <v>20</v>
      </c>
      <c r="S1955" s="14"/>
      <c r="T1955" s="10" t="s">
        <v>20</v>
      </c>
      <c r="U1955" s="18"/>
      <c r="W1955" s="39" t="s">
        <v>96</v>
      </c>
      <c r="Y1955" s="18"/>
    </row>
    <row r="1956" spans="1:25" ht="15">
      <c r="A1956" s="4"/>
      <c r="B1956" s="87" t="s">
        <v>174</v>
      </c>
      <c r="C1956" s="11"/>
      <c r="D1956" s="8" t="s">
        <v>156</v>
      </c>
      <c r="E1956" s="6"/>
      <c r="F1956" s="8" t="s">
        <v>157</v>
      </c>
      <c r="G1956" s="45" t="s">
        <v>99</v>
      </c>
      <c r="H1956" s="19"/>
      <c r="I1956" s="45" t="s">
        <v>100</v>
      </c>
      <c r="J1956" s="45" t="s">
        <v>101</v>
      </c>
      <c r="K1956" s="45" t="s">
        <v>102</v>
      </c>
      <c r="L1956" s="45" t="s">
        <v>103</v>
      </c>
      <c r="M1956" s="45" t="s">
        <v>104</v>
      </c>
      <c r="N1956" s="45" t="s">
        <v>105</v>
      </c>
      <c r="O1956" s="45" t="s">
        <v>106</v>
      </c>
      <c r="P1956" s="6"/>
      <c r="Q1956" s="45" t="s">
        <v>107</v>
      </c>
      <c r="R1956" s="45" t="s">
        <v>108</v>
      </c>
      <c r="S1956" s="45"/>
      <c r="T1956" s="45" t="s">
        <v>109</v>
      </c>
      <c r="U1956" s="18"/>
      <c r="V1956" s="10" t="s">
        <v>20</v>
      </c>
      <c r="W1956" s="10" t="s">
        <v>21</v>
      </c>
      <c r="X1956" s="10" t="s">
        <v>22</v>
      </c>
      <c r="Y1956" s="18"/>
    </row>
    <row r="1957" spans="1:9" ht="15">
      <c r="A1957" s="4"/>
      <c r="B1957" s="24"/>
      <c r="C1957" s="11"/>
      <c r="E1957" s="14"/>
      <c r="F1957"/>
      <c r="H1957" s="18"/>
      <c r="I1957" s="16"/>
    </row>
    <row r="1958" spans="1:24" ht="15">
      <c r="A1958" s="4">
        <f>+A1951+1</f>
        <v>1</v>
      </c>
      <c r="B1958" s="5" t="s">
        <v>36</v>
      </c>
      <c r="C1958" s="17" t="s">
        <v>37</v>
      </c>
      <c r="D1958" s="18">
        <v>0</v>
      </c>
      <c r="E1958" s="18"/>
      <c r="F1958" s="18">
        <v>36279.89</v>
      </c>
      <c r="G1958" s="18">
        <v>0</v>
      </c>
      <c r="I1958" s="18">
        <v>0</v>
      </c>
      <c r="J1958" s="18">
        <v>0</v>
      </c>
      <c r="K1958" s="46">
        <v>-209440.82</v>
      </c>
      <c r="L1958" s="27">
        <v>-7129</v>
      </c>
      <c r="M1958" s="18">
        <v>0</v>
      </c>
      <c r="N1958" s="18">
        <v>0</v>
      </c>
      <c r="O1958" s="18">
        <v>0</v>
      </c>
      <c r="Q1958" s="18">
        <v>0</v>
      </c>
      <c r="R1958" s="18">
        <v>0</v>
      </c>
      <c r="S1958" s="18"/>
      <c r="T1958" s="18">
        <v>0</v>
      </c>
      <c r="V1958" s="18">
        <f>+V1940+D1958+F1958+G1958+I1958+J1958+K1958+L1958+M1958+N1958+O1958+Q1958+R1958+T1958</f>
        <v>55449419.07</v>
      </c>
      <c r="W1958" s="18">
        <f>+W1940</f>
        <v>19141936</v>
      </c>
      <c r="X1958" s="18">
        <f>+V1958-W1958</f>
        <v>36307483.07</v>
      </c>
    </row>
    <row r="1959" spans="1:24" ht="15">
      <c r="A1959" s="4">
        <f>+A1958+1</f>
        <v>2</v>
      </c>
      <c r="B1959" s="5" t="s">
        <v>36</v>
      </c>
      <c r="C1959" s="22" t="s">
        <v>38</v>
      </c>
      <c r="D1959" s="18">
        <v>0</v>
      </c>
      <c r="E1959" s="18"/>
      <c r="F1959" s="18">
        <v>35941.09</v>
      </c>
      <c r="G1959" s="18">
        <v>0</v>
      </c>
      <c r="I1959" s="18">
        <v>0</v>
      </c>
      <c r="J1959" s="18">
        <v>0</v>
      </c>
      <c r="K1959" s="46">
        <v>-209441</v>
      </c>
      <c r="L1959" s="27">
        <v>-7129</v>
      </c>
      <c r="M1959" s="18">
        <v>0</v>
      </c>
      <c r="N1959" s="18">
        <v>0</v>
      </c>
      <c r="O1959" s="18">
        <v>0</v>
      </c>
      <c r="Q1959" s="18">
        <v>0</v>
      </c>
      <c r="R1959" s="18">
        <v>0</v>
      </c>
      <c r="S1959" s="18"/>
      <c r="T1959" s="18">
        <v>0</v>
      </c>
      <c r="V1959" s="18">
        <f>+V1941+D1959+F1959+G1959+I1959+J1959+K1959+L1959+M1959+N1959+O1959+Q1959+R1959+T1959</f>
        <v>55450474.09</v>
      </c>
      <c r="W1959" s="18">
        <f>+W1941</f>
        <v>19422523</v>
      </c>
      <c r="X1959" s="18">
        <f>+V1959-W1959</f>
        <v>36027951.09</v>
      </c>
    </row>
    <row r="1960" spans="1:24" ht="15">
      <c r="A1960" s="4">
        <f>+A1959+1</f>
        <v>3</v>
      </c>
      <c r="B1960" s="24" t="s">
        <v>46</v>
      </c>
      <c r="C1960" s="40" t="s">
        <v>78</v>
      </c>
      <c r="D1960" s="18">
        <f>+D1958-D1959</f>
        <v>0</v>
      </c>
      <c r="E1960" s="18"/>
      <c r="F1960" s="18">
        <f>+F1958-F1959</f>
        <v>338.8000000000029</v>
      </c>
      <c r="G1960" s="18">
        <f>+G1958-G1959</f>
        <v>0</v>
      </c>
      <c r="I1960" s="18">
        <f aca="true" t="shared" si="239" ref="I1960:O1960">+I1958-I1959</f>
        <v>0</v>
      </c>
      <c r="J1960" s="18">
        <f t="shared" si="239"/>
        <v>0</v>
      </c>
      <c r="K1960" s="18">
        <f t="shared" si="239"/>
        <v>0.17999999999301508</v>
      </c>
      <c r="L1960" s="18">
        <f t="shared" si="239"/>
        <v>0</v>
      </c>
      <c r="M1960" s="18">
        <f t="shared" si="239"/>
        <v>0</v>
      </c>
      <c r="N1960" s="18">
        <f t="shared" si="239"/>
        <v>0</v>
      </c>
      <c r="O1960" s="18">
        <f t="shared" si="239"/>
        <v>0</v>
      </c>
      <c r="Q1960" s="18">
        <f>+Q1958-Q1959</f>
        <v>0</v>
      </c>
      <c r="R1960" s="18">
        <f>+R1958-R1959</f>
        <v>0</v>
      </c>
      <c r="S1960" s="18"/>
      <c r="T1960" s="18">
        <f>+T1958-T1959</f>
        <v>0</v>
      </c>
      <c r="V1960" s="27">
        <f>+V1958-V1959</f>
        <v>-1055.0200000032783</v>
      </c>
      <c r="W1960" s="27">
        <f>+W1958-W1959</f>
        <v>-280587</v>
      </c>
      <c r="X1960" s="18">
        <f>+X1958-X1959</f>
        <v>279531.9799999967</v>
      </c>
    </row>
    <row r="1961" spans="1:24" ht="28.5">
      <c r="A1961" s="4">
        <f>+A1960+1</f>
        <v>4</v>
      </c>
      <c r="B1961" s="88" t="s">
        <v>182</v>
      </c>
      <c r="C1961" s="11"/>
      <c r="D1961" s="18">
        <v>0</v>
      </c>
      <c r="E1961" s="18"/>
      <c r="F1961" s="18">
        <v>0</v>
      </c>
      <c r="G1961" s="18">
        <v>0</v>
      </c>
      <c r="I1961" s="18">
        <v>0</v>
      </c>
      <c r="J1961" s="27">
        <v>0</v>
      </c>
      <c r="K1961" s="18">
        <v>0</v>
      </c>
      <c r="L1961" s="18">
        <v>0</v>
      </c>
      <c r="M1961" s="18">
        <v>0</v>
      </c>
      <c r="N1961" s="18">
        <v>0</v>
      </c>
      <c r="O1961" s="18">
        <v>0</v>
      </c>
      <c r="Q1961" s="18">
        <v>0</v>
      </c>
      <c r="R1961" s="18">
        <v>0</v>
      </c>
      <c r="S1961" s="18"/>
      <c r="T1961" s="18">
        <v>0</v>
      </c>
      <c r="V1961" s="18">
        <f>+V1943+D1961+F1961+G1961+I1961+J1961+K1961+L1961+M1961+N1961+O1961+Q1961+R1961+T1961</f>
        <v>0</v>
      </c>
      <c r="W1961" s="18">
        <f>+W1943</f>
        <v>0</v>
      </c>
      <c r="X1961" s="18">
        <f>+V1961-W1961</f>
        <v>0</v>
      </c>
    </row>
    <row r="1962" spans="1:24" ht="24.75">
      <c r="A1962" s="4">
        <f>+A1961+1</f>
        <v>5</v>
      </c>
      <c r="B1962" s="89" t="s">
        <v>39</v>
      </c>
      <c r="C1962" s="40"/>
      <c r="D1962" s="27">
        <v>6194</v>
      </c>
      <c r="E1962" s="18"/>
      <c r="F1962" s="27">
        <f>104380-339</f>
        <v>104041</v>
      </c>
      <c r="G1962" s="27">
        <v>69765</v>
      </c>
      <c r="I1962" s="27">
        <v>0</v>
      </c>
      <c r="J1962" s="27">
        <v>0</v>
      </c>
      <c r="K1962" s="27">
        <v>-216407</v>
      </c>
      <c r="L1962" s="27">
        <v>0</v>
      </c>
      <c r="M1962" s="27">
        <v>-8884</v>
      </c>
      <c r="N1962" s="27">
        <v>0</v>
      </c>
      <c r="O1962" s="27">
        <v>-45294</v>
      </c>
      <c r="Q1962" s="27">
        <v>0</v>
      </c>
      <c r="R1962" s="27">
        <v>-11836.54</v>
      </c>
      <c r="S1962" s="27"/>
      <c r="T1962" s="27">
        <v>-58225.06</v>
      </c>
      <c r="V1962" s="18">
        <f>+V1944+D1962+F1962+G1962+I1962+J1962+K1962+L1962+M1962+N1962+O1962+Q1962+R1962+T1962</f>
        <v>-4772855.57</v>
      </c>
      <c r="W1962" s="18">
        <f>+W1944</f>
        <v>0</v>
      </c>
      <c r="X1962" s="18">
        <f>+V1962-W1962</f>
        <v>-4772855.57</v>
      </c>
    </row>
    <row r="1963" spans="1:24" ht="15">
      <c r="A1963" s="6" t="s">
        <v>41</v>
      </c>
      <c r="B1963" s="41"/>
      <c r="C1963" s="40"/>
      <c r="D1963" s="18"/>
      <c r="E1963" s="18"/>
      <c r="F1963" s="18"/>
      <c r="G1963" s="18"/>
      <c r="I1963" s="18"/>
      <c r="J1963" s="18"/>
      <c r="K1963" s="27"/>
      <c r="L1963" s="18"/>
      <c r="M1963" s="18"/>
      <c r="N1963" s="18"/>
      <c r="O1963" s="18"/>
      <c r="Q1963" s="18"/>
      <c r="R1963" s="18"/>
      <c r="S1963" s="18"/>
      <c r="T1963" s="18"/>
      <c r="V1963" s="18"/>
      <c r="W1963" s="18"/>
      <c r="X1963" s="18"/>
    </row>
    <row r="1964" spans="1:24" ht="15">
      <c r="A1964" s="4">
        <f>+A1962+1</f>
        <v>6</v>
      </c>
      <c r="B1964" s="5" t="s">
        <v>42</v>
      </c>
      <c r="C1964" s="22" t="s">
        <v>38</v>
      </c>
      <c r="D1964" s="18">
        <v>0</v>
      </c>
      <c r="E1964" s="18"/>
      <c r="F1964" s="18">
        <v>0</v>
      </c>
      <c r="G1964" s="18">
        <v>0</v>
      </c>
      <c r="I1964" s="18">
        <v>0</v>
      </c>
      <c r="J1964" s="18">
        <v>0</v>
      </c>
      <c r="K1964" s="46">
        <v>-100003</v>
      </c>
      <c r="L1964" s="27">
        <v>-7129</v>
      </c>
      <c r="M1964" s="18">
        <v>0</v>
      </c>
      <c r="N1964" s="18">
        <v>0</v>
      </c>
      <c r="O1964" s="18">
        <v>0</v>
      </c>
      <c r="P1964" s="18"/>
      <c r="Q1964" s="18">
        <v>0</v>
      </c>
      <c r="R1964" s="18">
        <v>0</v>
      </c>
      <c r="S1964" s="18"/>
      <c r="T1964" s="18">
        <v>0</v>
      </c>
      <c r="U1964" s="18"/>
      <c r="V1964" s="18">
        <f>+V1946+D1964+F1964+G1964+I1964+J1964+K1964+L1964+M1964+N1964+O1964+Q1964+R1964+T1964</f>
        <v>31305074</v>
      </c>
      <c r="W1964" s="18">
        <f>+W1946</f>
        <v>15594293</v>
      </c>
      <c r="X1964" s="18">
        <f>+V1964-W1964</f>
        <v>15710781</v>
      </c>
    </row>
    <row r="1965" spans="1:24" ht="15">
      <c r="A1965" s="4">
        <f>+A1964+1</f>
        <v>7</v>
      </c>
      <c r="B1965" s="5" t="s">
        <v>43</v>
      </c>
      <c r="C1965" s="11"/>
      <c r="D1965" s="18">
        <v>0</v>
      </c>
      <c r="E1965" s="18"/>
      <c r="F1965" s="18">
        <v>0</v>
      </c>
      <c r="G1965" s="18">
        <v>0</v>
      </c>
      <c r="I1965" s="18">
        <v>0</v>
      </c>
      <c r="J1965" s="18">
        <v>0</v>
      </c>
      <c r="K1965" s="18">
        <v>0</v>
      </c>
      <c r="L1965" s="18">
        <v>0</v>
      </c>
      <c r="M1965" s="18">
        <v>0</v>
      </c>
      <c r="N1965" s="18">
        <v>0</v>
      </c>
      <c r="O1965" s="18">
        <v>0</v>
      </c>
      <c r="P1965" s="18"/>
      <c r="Q1965" s="18">
        <v>0</v>
      </c>
      <c r="R1965" s="18">
        <v>0</v>
      </c>
      <c r="S1965" s="18"/>
      <c r="T1965" s="18">
        <v>0</v>
      </c>
      <c r="U1965" s="18"/>
      <c r="V1965" s="18">
        <f>+V1947+D1965+F1965+G1965+I1965+J1965+K1965+L1965+M1965+N1965+O1965+Q1965+R1965+T1965</f>
        <v>0</v>
      </c>
      <c r="W1965" s="18">
        <f>+W1947</f>
        <v>0</v>
      </c>
      <c r="X1965" s="18">
        <f>+V1965-W1965</f>
        <v>0</v>
      </c>
    </row>
    <row r="1966" spans="1:24" ht="26.25">
      <c r="A1966" s="4">
        <f>+A1965+1</f>
        <v>8</v>
      </c>
      <c r="B1966" s="24" t="s">
        <v>79</v>
      </c>
      <c r="C1966" s="11"/>
      <c r="D1966" s="18">
        <f>+D1964-D1965</f>
        <v>0</v>
      </c>
      <c r="E1966" s="18"/>
      <c r="F1966" s="18">
        <f>+F1964-F1965</f>
        <v>0</v>
      </c>
      <c r="G1966" s="18">
        <f>+G1964-G1965</f>
        <v>0</v>
      </c>
      <c r="I1966" s="18">
        <f aca="true" t="shared" si="240" ref="I1966:O1966">+I1964-I1965</f>
        <v>0</v>
      </c>
      <c r="J1966" s="18">
        <f t="shared" si="240"/>
        <v>0</v>
      </c>
      <c r="K1966" s="18">
        <f t="shared" si="240"/>
        <v>-100003</v>
      </c>
      <c r="L1966" s="18">
        <f t="shared" si="240"/>
        <v>-7129</v>
      </c>
      <c r="M1966" s="18">
        <f t="shared" si="240"/>
        <v>0</v>
      </c>
      <c r="N1966" s="18">
        <f t="shared" si="240"/>
        <v>0</v>
      </c>
      <c r="O1966" s="18">
        <f t="shared" si="240"/>
        <v>0</v>
      </c>
      <c r="P1966" s="18"/>
      <c r="Q1966" s="18">
        <f>+Q1964-Q1965</f>
        <v>0</v>
      </c>
      <c r="R1966" s="18">
        <f>+R1964-R1965</f>
        <v>0</v>
      </c>
      <c r="S1966" s="18"/>
      <c r="T1966" s="18">
        <f>+T1964-T1965</f>
        <v>0</v>
      </c>
      <c r="U1966" s="18"/>
      <c r="V1966" s="27">
        <f>+V1964-V1965</f>
        <v>31305074</v>
      </c>
      <c r="W1966" s="27">
        <f>+W1964-W1965</f>
        <v>15594293</v>
      </c>
      <c r="X1966" s="18">
        <f>+X1964-X1965</f>
        <v>15710781</v>
      </c>
    </row>
    <row r="1967" spans="1:24" ht="28.5">
      <c r="A1967" s="4">
        <f>+A1966+1</f>
        <v>9</v>
      </c>
      <c r="B1967" s="88" t="s">
        <v>181</v>
      </c>
      <c r="C1967" s="11"/>
      <c r="D1967" s="18">
        <v>0</v>
      </c>
      <c r="E1967" s="18"/>
      <c r="F1967" s="18">
        <v>0</v>
      </c>
      <c r="G1967" s="18">
        <v>0</v>
      </c>
      <c r="I1967" s="18">
        <v>0</v>
      </c>
      <c r="J1967" s="18">
        <v>0</v>
      </c>
      <c r="K1967" s="18">
        <v>0</v>
      </c>
      <c r="L1967" s="18">
        <v>0</v>
      </c>
      <c r="M1967" s="18">
        <v>0</v>
      </c>
      <c r="N1967" s="18">
        <v>0</v>
      </c>
      <c r="O1967" s="18">
        <v>0</v>
      </c>
      <c r="P1967" s="18"/>
      <c r="Q1967" s="18">
        <v>0</v>
      </c>
      <c r="R1967" s="18">
        <v>0</v>
      </c>
      <c r="S1967" s="18"/>
      <c r="T1967" s="18">
        <v>0</v>
      </c>
      <c r="U1967" s="18"/>
      <c r="V1967" s="18">
        <f>+V1949+D1967+F1967+G1967+I1967+J1967+K1967+L1967+M1967+N1967+O1967+Q1967+R1967+T1967</f>
        <v>0</v>
      </c>
      <c r="W1967" s="18">
        <f>+W1949</f>
        <v>0</v>
      </c>
      <c r="X1967" s="18">
        <f>+V1967-W1967</f>
        <v>0</v>
      </c>
    </row>
    <row r="1968" spans="1:24" ht="15">
      <c r="A1968" s="4">
        <f>+A1967+1</f>
        <v>10</v>
      </c>
      <c r="B1968" s="24" t="s">
        <v>46</v>
      </c>
      <c r="C1968" s="11" t="s">
        <v>47</v>
      </c>
      <c r="D1968" s="18">
        <f>+D1960+D1961+D1966+D1967+D1962</f>
        <v>6194</v>
      </c>
      <c r="E1968" s="18"/>
      <c r="F1968" s="18">
        <f>+F1960+F1961+F1966+F1967+F1962</f>
        <v>104379.8</v>
      </c>
      <c r="G1968" s="18">
        <f>+G1960+G1961+G1966+G1967+G1962</f>
        <v>69765</v>
      </c>
      <c r="I1968" s="18">
        <f aca="true" t="shared" si="241" ref="I1968:O1968">+I1960+I1961+I1966+I1967+I1962</f>
        <v>0</v>
      </c>
      <c r="J1968" s="18">
        <f t="shared" si="241"/>
        <v>0</v>
      </c>
      <c r="K1968" s="18">
        <f t="shared" si="241"/>
        <v>-316409.82</v>
      </c>
      <c r="L1968" s="18">
        <f t="shared" si="241"/>
        <v>-7129</v>
      </c>
      <c r="M1968" s="18">
        <f t="shared" si="241"/>
        <v>-8884</v>
      </c>
      <c r="N1968" s="18">
        <f t="shared" si="241"/>
        <v>0</v>
      </c>
      <c r="O1968" s="18">
        <f t="shared" si="241"/>
        <v>-45294</v>
      </c>
      <c r="P1968" s="42"/>
      <c r="Q1968" s="18">
        <f>+Q1960+Q1961+Q1966+Q1967+Q1962</f>
        <v>0</v>
      </c>
      <c r="R1968" s="18">
        <f>+R1960+R1961+R1966+R1967+R1962</f>
        <v>-11836.54</v>
      </c>
      <c r="S1968" s="18"/>
      <c r="T1968" s="18">
        <f>+T1960+T1961+T1966+T1967+T1962</f>
        <v>-58225.06</v>
      </c>
      <c r="U1968" s="42"/>
      <c r="V1968" s="18">
        <f>+V1960+V1961+V1966+V1967+V1962</f>
        <v>26531163.409999996</v>
      </c>
      <c r="W1968" s="18">
        <f>+W1960+W1961+W1966+W1967+W1962</f>
        <v>15313706</v>
      </c>
      <c r="X1968" s="18">
        <f>+X1960+X1961+X1966+X1967+X1962</f>
        <v>11217457.409999996</v>
      </c>
    </row>
    <row r="1969" spans="1:24" ht="15">
      <c r="A1969" s="4"/>
      <c r="B1969" s="24"/>
      <c r="C1969" s="11"/>
      <c r="D1969" s="18"/>
      <c r="E1969" s="18"/>
      <c r="F1969" s="18"/>
      <c r="G1969" s="18"/>
      <c r="I1969" s="18"/>
      <c r="J1969" s="18"/>
      <c r="K1969" s="27" t="s">
        <v>0</v>
      </c>
      <c r="L1969" s="18"/>
      <c r="M1969" s="18"/>
      <c r="N1969" s="18"/>
      <c r="O1969" s="18"/>
      <c r="P1969" s="42"/>
      <c r="Q1969" s="18"/>
      <c r="R1969" s="18"/>
      <c r="S1969" s="18"/>
      <c r="T1969" s="18"/>
      <c r="U1969" s="42"/>
      <c r="V1969" s="18"/>
      <c r="W1969" s="18"/>
      <c r="X1969" s="18"/>
    </row>
    <row r="1970" spans="1:24" ht="15">
      <c r="A1970" s="4"/>
      <c r="B1970" s="24"/>
      <c r="C1970" s="11"/>
      <c r="D1970" s="18"/>
      <c r="E1970" s="18"/>
      <c r="F1970" s="18"/>
      <c r="G1970" s="18"/>
      <c r="I1970" s="18"/>
      <c r="J1970" s="18"/>
      <c r="K1970" s="27" t="s">
        <v>0</v>
      </c>
      <c r="L1970" s="18"/>
      <c r="M1970" s="18"/>
      <c r="N1970" s="18"/>
      <c r="O1970" s="18"/>
      <c r="P1970" s="42"/>
      <c r="Q1970" s="18"/>
      <c r="R1970" s="18"/>
      <c r="S1970" s="18"/>
      <c r="T1970" s="18"/>
      <c r="U1970" s="42"/>
      <c r="V1970" s="18"/>
      <c r="W1970" s="18"/>
      <c r="X1970" s="18"/>
    </row>
    <row r="1971" spans="1:24" ht="15">
      <c r="A1971" s="4"/>
      <c r="B1971" s="24"/>
      <c r="C1971" s="11"/>
      <c r="D1971" s="18"/>
      <c r="E1971" s="18"/>
      <c r="F1971" s="18"/>
      <c r="G1971" s="18"/>
      <c r="I1971" s="18"/>
      <c r="J1971" s="18"/>
      <c r="K1971" s="18"/>
      <c r="L1971" s="18"/>
      <c r="M1971" s="18"/>
      <c r="N1971" s="18"/>
      <c r="O1971" s="18"/>
      <c r="P1971" s="42"/>
      <c r="Q1971" s="18"/>
      <c r="R1971" s="18"/>
      <c r="S1971" s="18"/>
      <c r="T1971" s="18"/>
      <c r="U1971" s="42"/>
      <c r="V1971" s="18"/>
      <c r="W1971" s="18"/>
      <c r="X1971" s="18"/>
    </row>
    <row r="1972" spans="1:24" ht="15">
      <c r="A1972" s="4"/>
      <c r="B1972" s="24"/>
      <c r="C1972" s="11"/>
      <c r="D1972" s="10" t="s">
        <v>4</v>
      </c>
      <c r="E1972" s="10"/>
      <c r="F1972" s="10" t="s">
        <v>5</v>
      </c>
      <c r="G1972" s="10" t="s">
        <v>6</v>
      </c>
      <c r="H1972" s="10"/>
      <c r="I1972" s="10" t="s">
        <v>7</v>
      </c>
      <c r="J1972" s="10" t="s">
        <v>8</v>
      </c>
      <c r="K1972" s="10" t="s">
        <v>9</v>
      </c>
      <c r="L1972" s="10" t="s">
        <v>10</v>
      </c>
      <c r="M1972" s="10" t="s">
        <v>11</v>
      </c>
      <c r="N1972" s="10" t="s">
        <v>12</v>
      </c>
      <c r="O1972" s="10" t="s">
        <v>13</v>
      </c>
      <c r="P1972" s="10"/>
      <c r="Q1972" s="10" t="s">
        <v>14</v>
      </c>
      <c r="R1972" s="10" t="s">
        <v>15</v>
      </c>
      <c r="S1972" s="10"/>
      <c r="T1972" s="10" t="s">
        <v>16</v>
      </c>
      <c r="U1972" s="10"/>
      <c r="V1972" s="10" t="s">
        <v>17</v>
      </c>
      <c r="W1972" s="10" t="s">
        <v>18</v>
      </c>
      <c r="X1972" s="10" t="s">
        <v>19</v>
      </c>
    </row>
    <row r="1973" spans="1:23" ht="15">
      <c r="A1973" s="4"/>
      <c r="B1973" s="24"/>
      <c r="C1973" s="11"/>
      <c r="D1973" s="10" t="s">
        <v>20</v>
      </c>
      <c r="E1973" s="10"/>
      <c r="F1973" s="14" t="s">
        <v>21</v>
      </c>
      <c r="G1973" s="10"/>
      <c r="I1973" s="39" t="s">
        <v>110</v>
      </c>
      <c r="J1973" s="47" t="s">
        <v>111</v>
      </c>
      <c r="K1973" s="39"/>
      <c r="L1973" s="10" t="s">
        <v>20</v>
      </c>
      <c r="M1973" s="10" t="s">
        <v>20</v>
      </c>
      <c r="N1973" s="10" t="s">
        <v>20</v>
      </c>
      <c r="O1973" s="10" t="s">
        <v>20</v>
      </c>
      <c r="P1973" s="42"/>
      <c r="Q1973" s="10" t="s">
        <v>20</v>
      </c>
      <c r="R1973" s="10" t="s">
        <v>20</v>
      </c>
      <c r="S1973" s="48"/>
      <c r="T1973" s="10" t="s">
        <v>20</v>
      </c>
      <c r="U1973" s="42"/>
      <c r="W1973" s="39" t="s">
        <v>112</v>
      </c>
    </row>
    <row r="1974" spans="1:24" ht="15">
      <c r="A1974" s="4"/>
      <c r="B1974" s="87" t="s">
        <v>183</v>
      </c>
      <c r="C1974" s="11"/>
      <c r="D1974" s="8" t="s">
        <v>113</v>
      </c>
      <c r="E1974" s="6"/>
      <c r="F1974" s="6" t="s">
        <v>114</v>
      </c>
      <c r="G1974" s="49" t="s">
        <v>22</v>
      </c>
      <c r="I1974" s="8" t="s">
        <v>113</v>
      </c>
      <c r="J1974" s="6" t="s">
        <v>114</v>
      </c>
      <c r="K1974" s="49" t="s">
        <v>24</v>
      </c>
      <c r="L1974" s="13" t="s">
        <v>115</v>
      </c>
      <c r="M1974" s="13" t="s">
        <v>116</v>
      </c>
      <c r="N1974" s="13" t="s">
        <v>117</v>
      </c>
      <c r="O1974" s="13" t="s">
        <v>118</v>
      </c>
      <c r="P1974" s="42"/>
      <c r="Q1974" s="13" t="s">
        <v>119</v>
      </c>
      <c r="R1974" s="13" t="s">
        <v>120</v>
      </c>
      <c r="T1974" s="13" t="s">
        <v>121</v>
      </c>
      <c r="U1974" s="42"/>
      <c r="V1974" s="10" t="s">
        <v>20</v>
      </c>
      <c r="W1974" s="10" t="s">
        <v>21</v>
      </c>
      <c r="X1974" s="10" t="s">
        <v>22</v>
      </c>
    </row>
    <row r="1975" spans="1:24" ht="15">
      <c r="A1975" s="4"/>
      <c r="B1975" s="24"/>
      <c r="C1975" s="11"/>
      <c r="D1975" s="18"/>
      <c r="E1975" s="18"/>
      <c r="F1975" s="18"/>
      <c r="G1975" s="18"/>
      <c r="I1975" s="72" t="s">
        <v>0</v>
      </c>
      <c r="K1975" s="42"/>
      <c r="L1975" s="42"/>
      <c r="N1975" s="42"/>
      <c r="O1975" s="18"/>
      <c r="P1975" s="42"/>
      <c r="U1975" s="42"/>
      <c r="V1975" s="18"/>
      <c r="W1975" s="39" t="s">
        <v>122</v>
      </c>
      <c r="X1975" s="18"/>
    </row>
    <row r="1976" spans="1:24" ht="15">
      <c r="A1976" s="4">
        <f>+A1948+1</f>
        <v>19</v>
      </c>
      <c r="B1976" s="5" t="s">
        <v>36</v>
      </c>
      <c r="C1976" s="17" t="s">
        <v>37</v>
      </c>
      <c r="D1976" s="27">
        <f>789945+892724</f>
        <v>1682669</v>
      </c>
      <c r="E1976" s="18" t="s">
        <v>0</v>
      </c>
      <c r="F1976" s="27">
        <f>113276+18</f>
        <v>113294</v>
      </c>
      <c r="G1976" s="18">
        <f>D1976-F1976</f>
        <v>1569375</v>
      </c>
      <c r="I1976" s="27">
        <v>-515</v>
      </c>
      <c r="J1976" s="27">
        <v>1821</v>
      </c>
      <c r="K1976" s="36">
        <f>+I1976-J1976</f>
        <v>-2336</v>
      </c>
      <c r="L1976" s="18">
        <v>0</v>
      </c>
      <c r="M1976" s="27">
        <v>-431280</v>
      </c>
      <c r="N1976" s="27">
        <v>1819</v>
      </c>
      <c r="O1976" s="18">
        <v>0</v>
      </c>
      <c r="P1976" s="42"/>
      <c r="Q1976" s="31">
        <v>0</v>
      </c>
      <c r="R1976" s="18">
        <v>0</v>
      </c>
      <c r="S1976" s="18"/>
      <c r="T1976" s="18">
        <v>0</v>
      </c>
      <c r="U1976" s="42"/>
      <c r="V1976" s="31">
        <f>+D1976+I1976+L1976+M1976+N1976+O1976+Q1976+R1976+T1976</f>
        <v>1252693</v>
      </c>
      <c r="W1976" s="18">
        <f>+F1976+J1976</f>
        <v>115115</v>
      </c>
      <c r="X1976" s="18">
        <f>+V1976-W1976</f>
        <v>1137578</v>
      </c>
    </row>
    <row r="1977" spans="1:24" ht="15">
      <c r="A1977" s="4">
        <f>+A1976+1</f>
        <v>20</v>
      </c>
      <c r="B1977" s="5" t="s">
        <v>36</v>
      </c>
      <c r="C1977" s="22" t="s">
        <v>38</v>
      </c>
      <c r="D1977" s="27">
        <f>789945+872117</f>
        <v>1662062</v>
      </c>
      <c r="E1977" s="18" t="s">
        <v>0</v>
      </c>
      <c r="F1977" s="27">
        <f>113276+18</f>
        <v>113294</v>
      </c>
      <c r="G1977" s="18">
        <f>D1977-F1977</f>
        <v>1548768</v>
      </c>
      <c r="I1977" s="27">
        <v>-496</v>
      </c>
      <c r="J1977" s="31">
        <v>284</v>
      </c>
      <c r="K1977" s="36">
        <f>+I1977-J1977</f>
        <v>-780</v>
      </c>
      <c r="L1977" s="18">
        <v>0</v>
      </c>
      <c r="M1977" s="27">
        <v>-431280</v>
      </c>
      <c r="N1977" s="27">
        <v>1819</v>
      </c>
      <c r="O1977" s="18">
        <v>0</v>
      </c>
      <c r="P1977" s="42"/>
      <c r="Q1977" s="31">
        <v>0</v>
      </c>
      <c r="R1977" s="18">
        <v>0</v>
      </c>
      <c r="S1977" s="18"/>
      <c r="T1977" s="18">
        <v>0</v>
      </c>
      <c r="U1977" s="42"/>
      <c r="V1977" s="31">
        <f>+D1977+I1977+L1977+M1977+N1977+O1977+Q1977+R1977+T1977</f>
        <v>1232105</v>
      </c>
      <c r="W1977" s="18">
        <f>+F1977+J1977</f>
        <v>113578</v>
      </c>
      <c r="X1977" s="18">
        <f>+V1977-W1977</f>
        <v>1118527</v>
      </c>
    </row>
    <row r="1978" spans="1:24" ht="15">
      <c r="A1978" s="4">
        <f>+A1977+1</f>
        <v>21</v>
      </c>
      <c r="B1978" s="24" t="s">
        <v>46</v>
      </c>
      <c r="C1978" s="40" t="s">
        <v>78</v>
      </c>
      <c r="D1978" s="18">
        <f>+D1976-D1977</f>
        <v>20607</v>
      </c>
      <c r="E1978" s="18"/>
      <c r="F1978" s="18">
        <f>+F1976-F1977</f>
        <v>0</v>
      </c>
      <c r="G1978" s="18">
        <f>+G1976-G1977</f>
        <v>20607</v>
      </c>
      <c r="I1978" s="18">
        <f>+I1976-I1977</f>
        <v>-19</v>
      </c>
      <c r="J1978" s="18">
        <f>+J1976-J1977</f>
        <v>1537</v>
      </c>
      <c r="K1978" s="18">
        <f>K1976-K1977</f>
        <v>-1556</v>
      </c>
      <c r="L1978" s="18">
        <f>+L1976-L1977</f>
        <v>0</v>
      </c>
      <c r="M1978" s="18">
        <f>+M1976-M1977</f>
        <v>0</v>
      </c>
      <c r="N1978" s="18">
        <f>+N1976-N1977</f>
        <v>0</v>
      </c>
      <c r="O1978" s="18">
        <f>+O1976-O1977</f>
        <v>0</v>
      </c>
      <c r="P1978" s="42"/>
      <c r="Q1978" s="18">
        <f>+Q1976-Q1977</f>
        <v>0</v>
      </c>
      <c r="R1978" s="18">
        <f>+R1976-R1977</f>
        <v>0</v>
      </c>
      <c r="S1978" s="18"/>
      <c r="T1978" s="18">
        <f>+T1976-T1977</f>
        <v>0</v>
      </c>
      <c r="U1978" s="42"/>
      <c r="V1978" s="31">
        <f>+V1976-V1977</f>
        <v>20588</v>
      </c>
      <c r="W1978" s="31">
        <f>+W1976-W1977</f>
        <v>1537</v>
      </c>
      <c r="X1978" s="18">
        <f>+X1976-X1977</f>
        <v>19051</v>
      </c>
    </row>
    <row r="1979" spans="1:24" ht="28.5">
      <c r="A1979" s="4">
        <f>+A1978+1</f>
        <v>22</v>
      </c>
      <c r="B1979" s="88" t="s">
        <v>182</v>
      </c>
      <c r="C1979" s="11"/>
      <c r="D1979" s="18">
        <v>0</v>
      </c>
      <c r="E1979" s="18"/>
      <c r="F1979" s="18">
        <v>0</v>
      </c>
      <c r="G1979" s="18">
        <f>+D1979-F1979</f>
        <v>0</v>
      </c>
      <c r="I1979" s="18">
        <v>0</v>
      </c>
      <c r="J1979" s="18">
        <v>0</v>
      </c>
      <c r="K1979" s="18">
        <f>+I1979-J1979</f>
        <v>0</v>
      </c>
      <c r="L1979" s="18">
        <v>0</v>
      </c>
      <c r="M1979" s="18">
        <v>0</v>
      </c>
      <c r="N1979" s="18">
        <f>+L1979-M1979</f>
        <v>0</v>
      </c>
      <c r="O1979" s="18">
        <v>0</v>
      </c>
      <c r="P1979" s="42"/>
      <c r="Q1979" s="18">
        <v>0</v>
      </c>
      <c r="R1979" s="18">
        <v>0</v>
      </c>
      <c r="S1979" s="18"/>
      <c r="T1979" s="18">
        <v>0</v>
      </c>
      <c r="U1979" s="42"/>
      <c r="V1979" s="31">
        <f>+D1979+I1979+L1979+M1979+N1979+O1979+Q1979+R1979+T1979</f>
        <v>0</v>
      </c>
      <c r="W1979" s="18">
        <f>+F1979+J1979</f>
        <v>0</v>
      </c>
      <c r="X1979" s="18">
        <f>+V1979-W1979</f>
        <v>0</v>
      </c>
    </row>
    <row r="1980" spans="1:24" ht="24.75">
      <c r="A1980" s="4">
        <f>+A1979+1</f>
        <v>23</v>
      </c>
      <c r="B1980" s="89" t="s">
        <v>39</v>
      </c>
      <c r="C1980" s="40"/>
      <c r="D1980" s="27">
        <f>163999+18</f>
        <v>164017</v>
      </c>
      <c r="E1980" s="18" t="s">
        <v>0</v>
      </c>
      <c r="F1980" s="27">
        <v>2217588</v>
      </c>
      <c r="G1980" s="18">
        <f>D1980-F1980</f>
        <v>-2053571</v>
      </c>
      <c r="I1980" s="27">
        <v>-1357</v>
      </c>
      <c r="J1980" s="27">
        <v>0</v>
      </c>
      <c r="K1980" s="18">
        <f>+I1980-J1980</f>
        <v>-1357</v>
      </c>
      <c r="L1980" s="18">
        <v>2847</v>
      </c>
      <c r="M1980" s="27">
        <f>437386--334177</f>
        <v>771563</v>
      </c>
      <c r="N1980" s="27">
        <v>34137</v>
      </c>
      <c r="O1980" s="27">
        <v>142676</v>
      </c>
      <c r="P1980" s="42"/>
      <c r="Q1980" s="55">
        <v>0</v>
      </c>
      <c r="R1980" s="21">
        <v>0</v>
      </c>
      <c r="S1980" s="18"/>
      <c r="T1980" s="18">
        <v>0</v>
      </c>
      <c r="U1980" s="42"/>
      <c r="V1980" s="31">
        <f>+D1980+I1980+M1980+N1980+L1980+O1980+Q1980+R1980+T1980</f>
        <v>1113883</v>
      </c>
      <c r="W1980" s="18">
        <f>+F1980+J1980</f>
        <v>2217588</v>
      </c>
      <c r="X1980" s="36">
        <f>+V1980-W1980</f>
        <v>-1103705</v>
      </c>
    </row>
    <row r="1981" spans="1:24" ht="15">
      <c r="A1981" s="6" t="s">
        <v>41</v>
      </c>
      <c r="B1981" s="41"/>
      <c r="C1981" s="40"/>
      <c r="D1981" s="18"/>
      <c r="E1981" s="18"/>
      <c r="F1981" s="18" t="s">
        <v>0</v>
      </c>
      <c r="G1981" s="18"/>
      <c r="I1981" s="18"/>
      <c r="J1981" s="18"/>
      <c r="K1981" s="18"/>
      <c r="L1981" s="18"/>
      <c r="M1981" s="18"/>
      <c r="N1981" s="18"/>
      <c r="O1981" s="18"/>
      <c r="P1981" s="42"/>
      <c r="Q1981" s="18"/>
      <c r="R1981" s="18"/>
      <c r="S1981" s="18"/>
      <c r="T1981" s="18" t="s">
        <v>0</v>
      </c>
      <c r="U1981" s="42"/>
      <c r="V1981" s="30"/>
      <c r="W1981" s="30"/>
      <c r="X1981" s="36"/>
    </row>
    <row r="1982" spans="1:24" ht="15">
      <c r="A1982" s="4">
        <f>+A1980+1</f>
        <v>24</v>
      </c>
      <c r="B1982" s="5" t="s">
        <v>42</v>
      </c>
      <c r="C1982" s="22" t="s">
        <v>38</v>
      </c>
      <c r="D1982" s="27">
        <f>875392+748998</f>
        <v>1624390</v>
      </c>
      <c r="E1982" s="18" t="s">
        <v>0</v>
      </c>
      <c r="F1982" s="27">
        <f>128579+17</f>
        <v>128596</v>
      </c>
      <c r="G1982" s="18">
        <f>D1982-F1982</f>
        <v>1495794</v>
      </c>
      <c r="I1982" s="18">
        <v>1358</v>
      </c>
      <c r="J1982" s="26">
        <v>1331</v>
      </c>
      <c r="K1982" s="18">
        <f>+I1982-J1982</f>
        <v>27</v>
      </c>
      <c r="L1982" s="27">
        <v>0</v>
      </c>
      <c r="M1982" s="27">
        <v>-334177</v>
      </c>
      <c r="N1982" s="27">
        <v>2061</v>
      </c>
      <c r="O1982" s="18">
        <v>0</v>
      </c>
      <c r="P1982" s="42"/>
      <c r="Q1982" s="31">
        <v>0</v>
      </c>
      <c r="R1982" s="18">
        <v>0</v>
      </c>
      <c r="S1982" s="18" t="s">
        <v>0</v>
      </c>
      <c r="T1982" s="18">
        <v>0</v>
      </c>
      <c r="U1982" s="42"/>
      <c r="V1982" s="31">
        <f>+D1982+I1982+L1982+M1982+N1982+O1982+Q1982+R1982+T1982</f>
        <v>1293632</v>
      </c>
      <c r="W1982" s="18">
        <f>+F1982+J1982</f>
        <v>129927</v>
      </c>
      <c r="X1982" s="18">
        <f>+V1982-W1982</f>
        <v>1163705</v>
      </c>
    </row>
    <row r="1983" spans="1:24" ht="15">
      <c r="A1983" s="4">
        <f>+A1982+1</f>
        <v>25</v>
      </c>
      <c r="B1983" s="5" t="s">
        <v>43</v>
      </c>
      <c r="C1983" s="11"/>
      <c r="D1983" s="18"/>
      <c r="E1983" s="18"/>
      <c r="F1983" s="18">
        <v>0</v>
      </c>
      <c r="G1983" s="18">
        <f>+D1983-F1983</f>
        <v>0</v>
      </c>
      <c r="I1983" s="18">
        <v>0</v>
      </c>
      <c r="J1983" s="18">
        <v>0</v>
      </c>
      <c r="K1983" s="18">
        <f>+I1983-J1983</f>
        <v>0</v>
      </c>
      <c r="L1983" s="18">
        <v>0</v>
      </c>
      <c r="M1983" s="18">
        <v>0</v>
      </c>
      <c r="N1983" s="18">
        <f>+L1983-M1983</f>
        <v>0</v>
      </c>
      <c r="O1983" s="18">
        <v>0</v>
      </c>
      <c r="P1983" s="42"/>
      <c r="Q1983" s="18">
        <v>0</v>
      </c>
      <c r="R1983" s="18">
        <v>0</v>
      </c>
      <c r="S1983" s="18"/>
      <c r="T1983" s="18">
        <v>0</v>
      </c>
      <c r="U1983" s="42"/>
      <c r="V1983" s="31">
        <f>+D1983+I1983+L1983+O1983+Q1983+R1983+T1983</f>
        <v>0</v>
      </c>
      <c r="W1983" s="18">
        <f>+F1983+J1983+M1983</f>
        <v>0</v>
      </c>
      <c r="X1983" s="18">
        <f>+V1983-W1983</f>
        <v>0</v>
      </c>
    </row>
    <row r="1984" spans="1:24" ht="26.25">
      <c r="A1984" s="4">
        <f>+A1983+1</f>
        <v>26</v>
      </c>
      <c r="B1984" s="24" t="s">
        <v>79</v>
      </c>
      <c r="C1984" s="11"/>
      <c r="D1984" s="18">
        <f>+D1982-D1983</f>
        <v>1624390</v>
      </c>
      <c r="E1984" s="18"/>
      <c r="F1984" s="18">
        <f>+F1982-F1983</f>
        <v>128596</v>
      </c>
      <c r="G1984" s="18">
        <f>+G1982-G1983</f>
        <v>1495794</v>
      </c>
      <c r="I1984" s="18">
        <f aca="true" t="shared" si="242" ref="I1984:N1984">+I1982-I1983</f>
        <v>1358</v>
      </c>
      <c r="J1984" s="18">
        <f t="shared" si="242"/>
        <v>1331</v>
      </c>
      <c r="K1984" s="18">
        <f t="shared" si="242"/>
        <v>27</v>
      </c>
      <c r="L1984" s="18">
        <f t="shared" si="242"/>
        <v>0</v>
      </c>
      <c r="M1984" s="18">
        <f t="shared" si="242"/>
        <v>-334177</v>
      </c>
      <c r="N1984" s="18">
        <f t="shared" si="242"/>
        <v>2061</v>
      </c>
      <c r="O1984" s="18">
        <v>0</v>
      </c>
      <c r="P1984" s="42"/>
      <c r="Q1984" s="18">
        <f>+Q1982-Q1983</f>
        <v>0</v>
      </c>
      <c r="R1984" s="18">
        <f>+R1982-R1983</f>
        <v>0</v>
      </c>
      <c r="S1984" s="18"/>
      <c r="T1984" s="18">
        <f>+T1982-T1983</f>
        <v>0</v>
      </c>
      <c r="U1984" s="42"/>
      <c r="V1984" s="27">
        <f>+V1982-V1983</f>
        <v>1293632</v>
      </c>
      <c r="W1984" s="27">
        <f>+W1982-W1983</f>
        <v>129927</v>
      </c>
      <c r="X1984" s="31">
        <f>+X1982-X1983</f>
        <v>1163705</v>
      </c>
    </row>
    <row r="1985" spans="1:24" ht="28.5">
      <c r="A1985" s="4">
        <f>+A1984+1</f>
        <v>27</v>
      </c>
      <c r="B1985" s="88" t="s">
        <v>181</v>
      </c>
      <c r="C1985" s="11"/>
      <c r="D1985" s="18">
        <v>0</v>
      </c>
      <c r="E1985" s="18"/>
      <c r="F1985" s="18">
        <v>0</v>
      </c>
      <c r="G1985" s="18">
        <f>+D1985-F1985</f>
        <v>0</v>
      </c>
      <c r="I1985" s="18">
        <v>0</v>
      </c>
      <c r="J1985" s="18">
        <v>0</v>
      </c>
      <c r="K1985" s="18">
        <f>+I1985-J1985</f>
        <v>0</v>
      </c>
      <c r="L1985" s="18">
        <v>0</v>
      </c>
      <c r="M1985" s="18">
        <v>0</v>
      </c>
      <c r="N1985" s="18">
        <f>+L1985-M1985</f>
        <v>0</v>
      </c>
      <c r="O1985" s="18">
        <v>0</v>
      </c>
      <c r="P1985" s="42"/>
      <c r="Q1985" s="18">
        <v>0</v>
      </c>
      <c r="R1985" s="18">
        <v>0</v>
      </c>
      <c r="S1985" s="18"/>
      <c r="T1985" s="18">
        <v>0</v>
      </c>
      <c r="U1985" s="42"/>
      <c r="V1985" s="31">
        <f>+D1985+I1985+L1985+O1985+Q1985+R1985+T1985</f>
        <v>0</v>
      </c>
      <c r="W1985" s="18">
        <f>+F1985+J1985+M1985</f>
        <v>0</v>
      </c>
      <c r="X1985" s="18">
        <f>+V1985-W1985</f>
        <v>0</v>
      </c>
    </row>
    <row r="1986" spans="1:24" ht="15">
      <c r="A1986" s="4">
        <f>+A1985+1</f>
        <v>28</v>
      </c>
      <c r="B1986" s="24" t="s">
        <v>46</v>
      </c>
      <c r="C1986" s="11" t="s">
        <v>47</v>
      </c>
      <c r="D1986" s="51">
        <f>+D1978+D1979+D1984+D1985+D1980</f>
        <v>1809014</v>
      </c>
      <c r="E1986" s="18"/>
      <c r="F1986" s="52">
        <f>+F1978+F1979+F1984+F1985+F1980</f>
        <v>2346184</v>
      </c>
      <c r="G1986" s="18">
        <f>+G1978+G1979+G1984+G1985+G1980</f>
        <v>-537170</v>
      </c>
      <c r="I1986" s="51">
        <f aca="true" t="shared" si="243" ref="I1986:O1986">+I1978+I1979+I1984+I1985+I1980</f>
        <v>-18</v>
      </c>
      <c r="J1986" s="52">
        <f t="shared" si="243"/>
        <v>2868</v>
      </c>
      <c r="K1986" s="18">
        <f t="shared" si="243"/>
        <v>-2886</v>
      </c>
      <c r="L1986" s="18">
        <f t="shared" si="243"/>
        <v>2847</v>
      </c>
      <c r="M1986" s="18">
        <f t="shared" si="243"/>
        <v>437386</v>
      </c>
      <c r="N1986" s="18">
        <f t="shared" si="243"/>
        <v>36198</v>
      </c>
      <c r="O1986" s="18">
        <f t="shared" si="243"/>
        <v>142676</v>
      </c>
      <c r="P1986" s="42"/>
      <c r="Q1986" s="18">
        <f>+Q1978+Q1979+Q1984+Q1985+Q1980</f>
        <v>0</v>
      </c>
      <c r="R1986" s="18">
        <f>+R1978+R1979+R1984+R1985+R1980</f>
        <v>0</v>
      </c>
      <c r="S1986" s="18"/>
      <c r="T1986" s="18">
        <f>+T1978+T1979+T1984+T1985+T1980</f>
        <v>0</v>
      </c>
      <c r="U1986" s="42"/>
      <c r="V1986" s="18">
        <f>+V1978+V1979+V1984+V1985+V1980</f>
        <v>2428103</v>
      </c>
      <c r="W1986" s="18">
        <f>+W1978+W1979+W1984+W1985+W1980</f>
        <v>2349052</v>
      </c>
      <c r="X1986" s="18">
        <f>+X1978+X1979+X1984+X1985+X1980</f>
        <v>79051</v>
      </c>
    </row>
    <row r="1987" spans="1:24" ht="15">
      <c r="A1987" s="4"/>
      <c r="B1987" s="24" t="s">
        <v>0</v>
      </c>
      <c r="C1987" s="11"/>
      <c r="D1987" s="27">
        <f>D1986+I1986</f>
        <v>1808996</v>
      </c>
      <c r="E1987" s="79" t="s">
        <v>0</v>
      </c>
      <c r="F1987" s="27">
        <f>-2349052+131464</f>
        <v>-2217588</v>
      </c>
      <c r="G1987" s="79" t="s">
        <v>0</v>
      </c>
      <c r="I1987" s="18"/>
      <c r="J1987" s="18"/>
      <c r="K1987" s="18"/>
      <c r="L1987" s="18"/>
      <c r="M1987" s="42"/>
      <c r="N1987" s="73" t="s">
        <v>0</v>
      </c>
      <c r="O1987" s="42"/>
      <c r="P1987" s="42"/>
      <c r="Q1987" s="42"/>
      <c r="U1987" s="42"/>
      <c r="V1987" s="18"/>
      <c r="W1987" s="18"/>
      <c r="X1987" s="18"/>
    </row>
    <row r="1988" spans="1:24" ht="15">
      <c r="A1988" s="4"/>
      <c r="B1988" s="92"/>
      <c r="C1988" s="79" t="s">
        <v>0</v>
      </c>
      <c r="D1988" s="6" t="s">
        <v>48</v>
      </c>
      <c r="E1988" s="6"/>
      <c r="F1988" s="10" t="s">
        <v>49</v>
      </c>
      <c r="G1988" s="10" t="s">
        <v>50</v>
      </c>
      <c r="I1988" s="10" t="s">
        <v>51</v>
      </c>
      <c r="J1988" s="10" t="s">
        <v>52</v>
      </c>
      <c r="K1988" s="10" t="s">
        <v>53</v>
      </c>
      <c r="L1988" s="10" t="s">
        <v>54</v>
      </c>
      <c r="M1988" s="10" t="s">
        <v>55</v>
      </c>
      <c r="N1988" s="10" t="s">
        <v>56</v>
      </c>
      <c r="O1988" s="10" t="s">
        <v>57</v>
      </c>
      <c r="P1988" s="18"/>
      <c r="Q1988" s="10" t="s">
        <v>58</v>
      </c>
      <c r="R1988" s="10" t="s">
        <v>59</v>
      </c>
      <c r="S1988" s="10"/>
      <c r="T1988" s="10" t="s">
        <v>60</v>
      </c>
      <c r="U1988" s="18"/>
      <c r="V1988" s="10" t="s">
        <v>61</v>
      </c>
      <c r="W1988" s="10" t="s">
        <v>62</v>
      </c>
      <c r="X1988" s="10" t="s">
        <v>63</v>
      </c>
    </row>
    <row r="1989" spans="1:24" ht="15">
      <c r="A1989" s="4"/>
      <c r="B1989" s="24"/>
      <c r="C1989" s="11"/>
      <c r="D1989" s="14" t="s">
        <v>20</v>
      </c>
      <c r="E1989" s="18"/>
      <c r="F1989" s="14" t="s">
        <v>20</v>
      </c>
      <c r="G1989" s="14" t="s">
        <v>20</v>
      </c>
      <c r="I1989" s="14" t="s">
        <v>20</v>
      </c>
      <c r="J1989" s="14" t="s">
        <v>21</v>
      </c>
      <c r="K1989" s="14" t="s">
        <v>21</v>
      </c>
      <c r="L1989" s="14" t="s">
        <v>21</v>
      </c>
      <c r="M1989" s="14" t="s">
        <v>21</v>
      </c>
      <c r="N1989" s="14" t="s">
        <v>21</v>
      </c>
      <c r="O1989" s="14" t="s">
        <v>21</v>
      </c>
      <c r="P1989" s="14"/>
      <c r="Q1989" s="14" t="s">
        <v>21</v>
      </c>
      <c r="R1989" s="14" t="s">
        <v>21</v>
      </c>
      <c r="T1989" s="14" t="s">
        <v>21</v>
      </c>
      <c r="U1989" s="42"/>
      <c r="V1989" s="18"/>
      <c r="W1989" s="39" t="s">
        <v>123</v>
      </c>
      <c r="X1989" s="18"/>
    </row>
    <row r="1990" spans="1:24" ht="15">
      <c r="A1990" s="4"/>
      <c r="B1990" s="87" t="s">
        <v>183</v>
      </c>
      <c r="C1990" s="11"/>
      <c r="D1990" s="53" t="s">
        <v>124</v>
      </c>
      <c r="E1990" s="18"/>
      <c r="F1990" s="53" t="s">
        <v>125</v>
      </c>
      <c r="G1990" s="53" t="s">
        <v>126</v>
      </c>
      <c r="I1990" s="53" t="s">
        <v>127</v>
      </c>
      <c r="J1990" s="53" t="s">
        <v>128</v>
      </c>
      <c r="K1990" s="53" t="s">
        <v>129</v>
      </c>
      <c r="L1990" s="53" t="s">
        <v>130</v>
      </c>
      <c r="M1990" s="53" t="s">
        <v>131</v>
      </c>
      <c r="N1990" s="24" t="s">
        <v>132</v>
      </c>
      <c r="O1990" s="24" t="s">
        <v>98</v>
      </c>
      <c r="P1990" s="24"/>
      <c r="Q1990" s="24" t="s">
        <v>99</v>
      </c>
      <c r="R1990" s="24" t="s">
        <v>133</v>
      </c>
      <c r="S1990" s="42"/>
      <c r="T1990" s="24" t="s">
        <v>134</v>
      </c>
      <c r="U1990" s="42"/>
      <c r="V1990" s="10" t="s">
        <v>20</v>
      </c>
      <c r="W1990" s="10" t="s">
        <v>21</v>
      </c>
      <c r="X1990" s="10" t="s">
        <v>22</v>
      </c>
    </row>
    <row r="1991" spans="1:24" ht="15">
      <c r="A1991" s="4"/>
      <c r="B1991" s="24"/>
      <c r="C1991" s="11"/>
      <c r="D1991" s="18"/>
      <c r="E1991" s="18"/>
      <c r="F1991" s="18"/>
      <c r="I1991" s="18"/>
      <c r="J1991" s="18"/>
      <c r="O1991" s="42"/>
      <c r="P1991" s="42"/>
      <c r="Q1991" s="42"/>
      <c r="R1991" s="42"/>
      <c r="S1991" s="42"/>
      <c r="T1991" s="42"/>
      <c r="U1991" s="42"/>
      <c r="V1991" s="18"/>
      <c r="W1991" s="39"/>
      <c r="X1991" s="18"/>
    </row>
    <row r="1992" spans="1:24" ht="15">
      <c r="A1992" s="4">
        <f>+A1986+1</f>
        <v>29</v>
      </c>
      <c r="B1992" s="5" t="s">
        <v>36</v>
      </c>
      <c r="C1992" s="17" t="s">
        <v>37</v>
      </c>
      <c r="D1992" s="18">
        <v>0</v>
      </c>
      <c r="E1992" s="18"/>
      <c r="F1992" s="18">
        <v>0</v>
      </c>
      <c r="G1992" s="18">
        <v>0</v>
      </c>
      <c r="I1992" s="18">
        <v>0</v>
      </c>
      <c r="J1992" s="18">
        <v>0</v>
      </c>
      <c r="K1992" s="18">
        <v>0</v>
      </c>
      <c r="L1992" s="18">
        <v>0</v>
      </c>
      <c r="M1992" s="18">
        <v>0</v>
      </c>
      <c r="N1992" s="18">
        <v>0</v>
      </c>
      <c r="O1992" s="18">
        <v>0</v>
      </c>
      <c r="P1992" s="18"/>
      <c r="Q1992" s="18">
        <v>0</v>
      </c>
      <c r="R1992" s="18">
        <v>0</v>
      </c>
      <c r="S1992" s="42"/>
      <c r="T1992" s="18">
        <v>0</v>
      </c>
      <c r="U1992" s="42"/>
      <c r="V1992" s="18">
        <f>+V1976+D1992+F1992+G1992+I1992</f>
        <v>1252693</v>
      </c>
      <c r="W1992" s="18">
        <f>+W1976+J1992+K1992+L1992+M1992+N1992+O1992+Q1992+R1992+T1992</f>
        <v>115115</v>
      </c>
      <c r="X1992" s="18">
        <f>+V1992-W1992</f>
        <v>1137578</v>
      </c>
    </row>
    <row r="1993" spans="1:24" ht="15">
      <c r="A1993" s="4">
        <f>+A1992+1</f>
        <v>30</v>
      </c>
      <c r="B1993" s="5" t="s">
        <v>36</v>
      </c>
      <c r="C1993" s="22" t="s">
        <v>38</v>
      </c>
      <c r="D1993" s="18">
        <v>0</v>
      </c>
      <c r="E1993" s="18"/>
      <c r="F1993" s="18">
        <v>0</v>
      </c>
      <c r="G1993" s="18">
        <v>0</v>
      </c>
      <c r="I1993" s="18">
        <v>0</v>
      </c>
      <c r="J1993" s="18">
        <v>0</v>
      </c>
      <c r="K1993" s="18">
        <v>0</v>
      </c>
      <c r="L1993" s="18">
        <v>0</v>
      </c>
      <c r="M1993" s="18">
        <v>0</v>
      </c>
      <c r="N1993" s="18">
        <v>0</v>
      </c>
      <c r="O1993" s="18">
        <v>0</v>
      </c>
      <c r="P1993" s="18"/>
      <c r="Q1993" s="18">
        <v>0</v>
      </c>
      <c r="R1993" s="18">
        <v>0</v>
      </c>
      <c r="S1993" s="42"/>
      <c r="T1993" s="18">
        <v>0</v>
      </c>
      <c r="U1993" s="42"/>
      <c r="V1993" s="18">
        <f>+V1977+D1993+F1993+G1993+I1993</f>
        <v>1232105</v>
      </c>
      <c r="W1993" s="18">
        <f>+W1977+J1993+K1993+L1993+M1993+N1993+O1993+Q1993+R1993+T1993</f>
        <v>113578</v>
      </c>
      <c r="X1993" s="18">
        <f>+V1993-W1993</f>
        <v>1118527</v>
      </c>
    </row>
    <row r="1994" spans="1:24" ht="15">
      <c r="A1994" s="4">
        <f>+A1993+1</f>
        <v>31</v>
      </c>
      <c r="B1994" s="24" t="s">
        <v>46</v>
      </c>
      <c r="C1994" s="40" t="s">
        <v>78</v>
      </c>
      <c r="D1994" s="18">
        <f>+D1992-D1993</f>
        <v>0</v>
      </c>
      <c r="E1994" s="18"/>
      <c r="F1994" s="18">
        <f>+F1992-F1993</f>
        <v>0</v>
      </c>
      <c r="G1994" s="18">
        <f>+G1992-G1993</f>
        <v>0</v>
      </c>
      <c r="I1994" s="18">
        <f aca="true" t="shared" si="244" ref="I1994:O1994">+I1992-I1993</f>
        <v>0</v>
      </c>
      <c r="J1994" s="18">
        <f t="shared" si="244"/>
        <v>0</v>
      </c>
      <c r="K1994" s="18">
        <f t="shared" si="244"/>
        <v>0</v>
      </c>
      <c r="L1994" s="18">
        <f t="shared" si="244"/>
        <v>0</v>
      </c>
      <c r="M1994" s="18">
        <f t="shared" si="244"/>
        <v>0</v>
      </c>
      <c r="N1994" s="18">
        <f t="shared" si="244"/>
        <v>0</v>
      </c>
      <c r="O1994" s="18">
        <f t="shared" si="244"/>
        <v>0</v>
      </c>
      <c r="P1994" s="18"/>
      <c r="Q1994" s="18">
        <f>+Q1992-Q1993</f>
        <v>0</v>
      </c>
      <c r="R1994" s="18">
        <f>+R1992-R1993</f>
        <v>0</v>
      </c>
      <c r="S1994" s="42"/>
      <c r="T1994" s="18">
        <f>+T1992-T1993</f>
        <v>0</v>
      </c>
      <c r="U1994" s="42"/>
      <c r="V1994" s="27">
        <f>+V1992-V1993</f>
        <v>20588</v>
      </c>
      <c r="W1994" s="27">
        <f>+W1992-W1993</f>
        <v>1537</v>
      </c>
      <c r="X1994" s="18">
        <f>+X1992-X1993</f>
        <v>19051</v>
      </c>
    </row>
    <row r="1995" spans="1:24" ht="28.5">
      <c r="A1995" s="4">
        <f>+A1994+1</f>
        <v>32</v>
      </c>
      <c r="B1995" s="88" t="s">
        <v>182</v>
      </c>
      <c r="C1995" s="11"/>
      <c r="D1995" s="18">
        <v>0</v>
      </c>
      <c r="E1995" s="18"/>
      <c r="F1995" s="18">
        <v>0</v>
      </c>
      <c r="G1995" s="18">
        <v>0</v>
      </c>
      <c r="I1995" s="18">
        <v>0</v>
      </c>
      <c r="J1995" s="18">
        <v>0</v>
      </c>
      <c r="K1995" s="18">
        <v>0</v>
      </c>
      <c r="L1995" s="18">
        <v>0</v>
      </c>
      <c r="M1995" s="18">
        <v>0</v>
      </c>
      <c r="N1995" s="18">
        <v>0</v>
      </c>
      <c r="O1995" s="18">
        <v>0</v>
      </c>
      <c r="P1995" s="18"/>
      <c r="Q1995" s="18">
        <v>0</v>
      </c>
      <c r="R1995" s="18">
        <v>0</v>
      </c>
      <c r="S1995" s="42"/>
      <c r="T1995" s="18">
        <v>0</v>
      </c>
      <c r="U1995" s="42"/>
      <c r="V1995" s="18">
        <f>+V1979+D1995+F1995+G1995+I1995</f>
        <v>0</v>
      </c>
      <c r="W1995" s="18">
        <f>+W1979+J1995+K1995+L1995+M1995+N1995+O1995+Q1995+R1995+T1995</f>
        <v>0</v>
      </c>
      <c r="X1995" s="18">
        <f>+V1995-W1995</f>
        <v>0</v>
      </c>
    </row>
    <row r="1996" spans="1:24" ht="24.75">
      <c r="A1996" s="4">
        <f>+A1995+1</f>
        <v>33</v>
      </c>
      <c r="B1996" s="89" t="s">
        <v>39</v>
      </c>
      <c r="C1996" s="40"/>
      <c r="D1996" s="27">
        <v>-3243</v>
      </c>
      <c r="E1996" s="27" t="s">
        <v>0</v>
      </c>
      <c r="F1996" s="27">
        <v>0</v>
      </c>
      <c r="G1996" s="27">
        <v>0</v>
      </c>
      <c r="H1996" t="s">
        <v>0</v>
      </c>
      <c r="I1996" s="27">
        <v>0</v>
      </c>
      <c r="J1996" s="27">
        <v>0</v>
      </c>
      <c r="K1996" s="27">
        <v>0</v>
      </c>
      <c r="L1996" s="27">
        <v>0</v>
      </c>
      <c r="M1996" s="18">
        <v>0</v>
      </c>
      <c r="N1996" s="18">
        <v>0</v>
      </c>
      <c r="O1996" s="18">
        <v>0</v>
      </c>
      <c r="P1996" s="18"/>
      <c r="Q1996" s="18">
        <v>0</v>
      </c>
      <c r="R1996" s="18">
        <v>0</v>
      </c>
      <c r="S1996" s="42"/>
      <c r="T1996" s="18">
        <v>413</v>
      </c>
      <c r="U1996" s="42"/>
      <c r="V1996" s="18">
        <f>+V1980+D1996+F1996+G1996+I1996</f>
        <v>1110640</v>
      </c>
      <c r="W1996" s="18">
        <f>+W1980+J1996+K1996+L1996+M1996+N1996+O1996+Q1996+R1996+T1996</f>
        <v>2218001</v>
      </c>
      <c r="X1996" s="36">
        <f>+V1996-W1996</f>
        <v>-1107361</v>
      </c>
    </row>
    <row r="1997" spans="1:24" ht="15">
      <c r="A1997" s="6" t="s">
        <v>41</v>
      </c>
      <c r="B1997" s="41"/>
      <c r="C1997" s="40"/>
      <c r="D1997" s="18"/>
      <c r="E1997" s="18"/>
      <c r="F1997" s="18"/>
      <c r="G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42"/>
      <c r="T1997" s="18"/>
      <c r="U1997" s="42"/>
      <c r="V1997" s="18"/>
      <c r="W1997" s="54"/>
      <c r="X1997" s="36"/>
    </row>
    <row r="1998" spans="1:24" ht="15">
      <c r="A1998" s="4">
        <f>+A1996+1</f>
        <v>34</v>
      </c>
      <c r="B1998" s="5" t="s">
        <v>42</v>
      </c>
      <c r="C1998" s="22" t="s">
        <v>38</v>
      </c>
      <c r="D1998" s="18">
        <v>0</v>
      </c>
      <c r="E1998" s="18"/>
      <c r="F1998" s="18">
        <v>0</v>
      </c>
      <c r="G1998" s="18">
        <v>0</v>
      </c>
      <c r="I1998" s="18">
        <v>0</v>
      </c>
      <c r="J1998" s="18">
        <v>0</v>
      </c>
      <c r="K1998" s="18">
        <v>0</v>
      </c>
      <c r="L1998" s="18"/>
      <c r="M1998" s="18">
        <v>0</v>
      </c>
      <c r="N1998" s="18">
        <v>0</v>
      </c>
      <c r="O1998" s="18">
        <v>0</v>
      </c>
      <c r="P1998" s="18"/>
      <c r="Q1998" s="18">
        <v>0</v>
      </c>
      <c r="R1998" s="18">
        <v>0</v>
      </c>
      <c r="S1998" s="42"/>
      <c r="T1998" s="18">
        <v>0</v>
      </c>
      <c r="U1998" s="42"/>
      <c r="V1998" s="18">
        <f>+V1982+D1998+F1998+G1998+I1998</f>
        <v>1293632</v>
      </c>
      <c r="W1998" s="18">
        <f>+W1982+J1998+K1998+L1998+M1998+N1998+O1998+Q1998+R1998+T1998</f>
        <v>129927</v>
      </c>
      <c r="X1998" s="18">
        <f>+V1998-W1998</f>
        <v>1163705</v>
      </c>
    </row>
    <row r="1999" spans="1:24" ht="15">
      <c r="A1999" s="4">
        <f>+A1998+1</f>
        <v>35</v>
      </c>
      <c r="B1999" s="5" t="s">
        <v>43</v>
      </c>
      <c r="C1999" s="11"/>
      <c r="D1999" s="18">
        <v>0</v>
      </c>
      <c r="E1999" s="18"/>
      <c r="F1999" s="18">
        <v>0</v>
      </c>
      <c r="G1999" s="18">
        <v>0</v>
      </c>
      <c r="I1999" s="18">
        <v>0</v>
      </c>
      <c r="J1999" s="18">
        <v>0</v>
      </c>
      <c r="K1999" s="18">
        <v>0</v>
      </c>
      <c r="L1999" s="18">
        <v>0</v>
      </c>
      <c r="M1999" s="18">
        <v>0</v>
      </c>
      <c r="N1999" s="18">
        <v>0</v>
      </c>
      <c r="O1999" s="18">
        <v>0</v>
      </c>
      <c r="P1999" s="18"/>
      <c r="Q1999" s="18">
        <v>0</v>
      </c>
      <c r="R1999" s="18">
        <v>0</v>
      </c>
      <c r="S1999" s="42"/>
      <c r="T1999" s="18">
        <v>0</v>
      </c>
      <c r="U1999" s="42"/>
      <c r="V1999" s="18">
        <f>+V1983+D1999+F1999+G1999+I1999</f>
        <v>0</v>
      </c>
      <c r="W1999" s="18">
        <f>+W1983+J1999+K1999+L1999+M1999+N1999+O1999+Q1999+R1999+T1999</f>
        <v>0</v>
      </c>
      <c r="X1999" s="18">
        <f>+V1999-W1999</f>
        <v>0</v>
      </c>
    </row>
    <row r="2000" spans="1:24" ht="26.25">
      <c r="A2000" s="4">
        <f>+A1999+1</f>
        <v>36</v>
      </c>
      <c r="B2000" s="24" t="s">
        <v>79</v>
      </c>
      <c r="C2000" s="11"/>
      <c r="D2000" s="18">
        <f>+D1998-D1999</f>
        <v>0</v>
      </c>
      <c r="E2000" s="18"/>
      <c r="F2000" s="18">
        <f>+F1998-F1999</f>
        <v>0</v>
      </c>
      <c r="G2000" s="18">
        <f>+G1998-G1999</f>
        <v>0</v>
      </c>
      <c r="I2000" s="18">
        <f aca="true" t="shared" si="245" ref="I2000:O2000">+I1998-I1999</f>
        <v>0</v>
      </c>
      <c r="J2000" s="18">
        <f t="shared" si="245"/>
        <v>0</v>
      </c>
      <c r="K2000" s="18">
        <f t="shared" si="245"/>
        <v>0</v>
      </c>
      <c r="L2000" s="18">
        <f t="shared" si="245"/>
        <v>0</v>
      </c>
      <c r="M2000" s="18">
        <f t="shared" si="245"/>
        <v>0</v>
      </c>
      <c r="N2000" s="18">
        <f t="shared" si="245"/>
        <v>0</v>
      </c>
      <c r="O2000" s="18">
        <f t="shared" si="245"/>
        <v>0</v>
      </c>
      <c r="P2000" s="18"/>
      <c r="Q2000" s="18">
        <f>+Q1998-Q1999</f>
        <v>0</v>
      </c>
      <c r="R2000" s="18">
        <f>+R1998-R1999</f>
        <v>0</v>
      </c>
      <c r="S2000" s="42"/>
      <c r="T2000" s="18">
        <f>+T1998-T1999</f>
        <v>0</v>
      </c>
      <c r="U2000" s="42"/>
      <c r="V2000" s="55">
        <f>+V1998-V1999</f>
        <v>1293632</v>
      </c>
      <c r="W2000" s="55">
        <f>+W1998-W1999</f>
        <v>129927</v>
      </c>
      <c r="X2000" s="31">
        <f>+X1998-X1999</f>
        <v>1163705</v>
      </c>
    </row>
    <row r="2001" spans="1:24" ht="28.5">
      <c r="A2001" s="4">
        <f>+A2000+1</f>
        <v>37</v>
      </c>
      <c r="B2001" s="88" t="s">
        <v>181</v>
      </c>
      <c r="C2001" s="11"/>
      <c r="D2001" s="18">
        <v>0</v>
      </c>
      <c r="E2001" s="18"/>
      <c r="F2001" s="18">
        <v>0</v>
      </c>
      <c r="G2001" s="18">
        <v>0</v>
      </c>
      <c r="I2001" s="18">
        <v>0</v>
      </c>
      <c r="J2001" s="18">
        <v>0</v>
      </c>
      <c r="K2001" s="18">
        <v>0</v>
      </c>
      <c r="L2001" s="18">
        <v>0</v>
      </c>
      <c r="M2001" s="18">
        <v>0</v>
      </c>
      <c r="N2001" s="18">
        <v>0</v>
      </c>
      <c r="O2001" s="18">
        <v>0</v>
      </c>
      <c r="P2001" s="18"/>
      <c r="Q2001" s="18">
        <v>0</v>
      </c>
      <c r="R2001" s="18">
        <v>0</v>
      </c>
      <c r="S2001" s="42"/>
      <c r="T2001" s="18">
        <v>0</v>
      </c>
      <c r="U2001" s="42"/>
      <c r="V2001" s="18">
        <f>+V1985+D2001+F2001+G2001+I2001</f>
        <v>0</v>
      </c>
      <c r="W2001" s="18">
        <f>+W1985+J2001+K2001+L2001+M2001+N2001+O2001+Q2001+R2001+T2001</f>
        <v>0</v>
      </c>
      <c r="X2001" s="18">
        <f>+V2001-W2001</f>
        <v>0</v>
      </c>
    </row>
    <row r="2002" spans="1:24" ht="15">
      <c r="A2002" s="4">
        <f>+A2001+1</f>
        <v>38</v>
      </c>
      <c r="B2002" s="24" t="s">
        <v>46</v>
      </c>
      <c r="C2002" s="11" t="s">
        <v>47</v>
      </c>
      <c r="D2002" s="18">
        <f>+D1994+D1995+D2000+D2001+D1996</f>
        <v>-3243</v>
      </c>
      <c r="E2002" s="18"/>
      <c r="F2002" s="18">
        <f>+F1994+F1995+F2000+F2001+F1996</f>
        <v>0</v>
      </c>
      <c r="G2002" s="18">
        <f>+G1994+G1995+G2000+G2001+G1996</f>
        <v>0</v>
      </c>
      <c r="I2002" s="18">
        <f aca="true" t="shared" si="246" ref="I2002:O2002">+I1994+I1995+I2000+I2001+I1996</f>
        <v>0</v>
      </c>
      <c r="J2002" s="18">
        <f t="shared" si="246"/>
        <v>0</v>
      </c>
      <c r="K2002" s="18">
        <f t="shared" si="246"/>
        <v>0</v>
      </c>
      <c r="L2002" s="18">
        <f t="shared" si="246"/>
        <v>0</v>
      </c>
      <c r="M2002" s="18">
        <f t="shared" si="246"/>
        <v>0</v>
      </c>
      <c r="N2002" s="18">
        <f t="shared" si="246"/>
        <v>0</v>
      </c>
      <c r="O2002" s="18">
        <f t="shared" si="246"/>
        <v>0</v>
      </c>
      <c r="P2002" s="18"/>
      <c r="Q2002" s="18">
        <f>+Q1994+Q1995+Q2000+Q2001+Q1996</f>
        <v>0</v>
      </c>
      <c r="R2002" s="18">
        <f>+R1994+R1995+R2000+R2001+R1996</f>
        <v>0</v>
      </c>
      <c r="S2002" s="42"/>
      <c r="T2002" s="18">
        <f>+T1994+T1995+T2000+T2001+T1996</f>
        <v>413</v>
      </c>
      <c r="U2002" s="42"/>
      <c r="V2002" s="18">
        <f>+V1994+V1995+V2000+V2001+V1996</f>
        <v>2424860</v>
      </c>
      <c r="W2002" s="18">
        <f>+W1994+W1995+W2000+W2001+W1996</f>
        <v>2349465</v>
      </c>
      <c r="X2002" s="18">
        <f>+X1994+X1995+X2000+X2001+X1996</f>
        <v>75395</v>
      </c>
    </row>
    <row r="2003" spans="1:24" ht="15">
      <c r="A2003" s="4"/>
      <c r="B2003" s="24"/>
      <c r="C2003" s="11"/>
      <c r="D2003" s="18"/>
      <c r="E2003" s="18"/>
      <c r="F2003" s="18"/>
      <c r="G2003" s="18"/>
      <c r="N2003" s="42"/>
      <c r="O2003" s="42"/>
      <c r="P2003" s="42"/>
      <c r="Q2003" s="42"/>
      <c r="R2003" s="42"/>
      <c r="S2003" s="42"/>
      <c r="T2003" s="42"/>
      <c r="U2003" s="42"/>
      <c r="V2003" s="18"/>
      <c r="W2003" s="18"/>
      <c r="X2003" s="18"/>
    </row>
    <row r="2004" spans="1:24" ht="15">
      <c r="A2004" s="4"/>
      <c r="B2004" s="24"/>
      <c r="C2004" s="11"/>
      <c r="D2004" s="18"/>
      <c r="E2004" s="18"/>
      <c r="F2004" s="18"/>
      <c r="G2004" s="18"/>
      <c r="L2004" s="42"/>
      <c r="M2004" s="42"/>
      <c r="N2004" s="42"/>
      <c r="O2004" s="42"/>
      <c r="P2004" s="42"/>
      <c r="Q2004" s="42"/>
      <c r="R2004" s="42"/>
      <c r="S2004" s="42"/>
      <c r="T2004" s="42"/>
      <c r="U2004" s="42"/>
      <c r="V2004" s="18"/>
      <c r="W2004" s="18"/>
      <c r="X2004" s="18"/>
    </row>
    <row r="2005" spans="1:24" ht="15">
      <c r="A2005" s="4"/>
      <c r="B2005" s="24"/>
      <c r="C2005" s="11"/>
      <c r="D2005" s="18"/>
      <c r="E2005" s="18"/>
      <c r="F2005" s="18"/>
      <c r="G2005" s="18"/>
      <c r="L2005" s="42"/>
      <c r="M2005" s="42"/>
      <c r="N2005" s="42"/>
      <c r="O2005" s="42"/>
      <c r="P2005" s="42"/>
      <c r="Q2005" s="42"/>
      <c r="R2005" s="42"/>
      <c r="S2005" s="42"/>
      <c r="T2005" s="42"/>
      <c r="U2005" s="42"/>
      <c r="V2005" s="18"/>
      <c r="W2005" s="18"/>
      <c r="X2005" s="18"/>
    </row>
    <row r="2006" spans="1:24" ht="15">
      <c r="A2006" s="4"/>
      <c r="B2006" s="24"/>
      <c r="C2006" s="11"/>
      <c r="D2006" s="18"/>
      <c r="E2006" s="18"/>
      <c r="F2006" s="18"/>
      <c r="G2006" s="18"/>
      <c r="H2006" s="56"/>
      <c r="L2006" s="42"/>
      <c r="M2006" s="42"/>
      <c r="N2006" s="42"/>
      <c r="O2006" s="42"/>
      <c r="P2006" s="42"/>
      <c r="Q2006" s="42"/>
      <c r="R2006" s="42"/>
      <c r="S2006" s="42"/>
      <c r="T2006" s="42"/>
      <c r="U2006" s="42"/>
      <c r="V2006" s="18"/>
      <c r="W2006" s="18"/>
      <c r="X2006" s="18"/>
    </row>
    <row r="2007" spans="1:24" ht="15">
      <c r="A2007" s="4"/>
      <c r="B2007" s="24"/>
      <c r="C2007" s="11"/>
      <c r="D2007" s="18"/>
      <c r="E2007" s="18"/>
      <c r="F2007" s="18"/>
      <c r="G2007" s="18"/>
      <c r="H2007" s="56"/>
      <c r="I2007" s="57" t="s">
        <v>135</v>
      </c>
      <c r="L2007" s="42"/>
      <c r="M2007" s="42"/>
      <c r="N2007" s="42"/>
      <c r="O2007" s="42"/>
      <c r="P2007" s="42"/>
      <c r="Q2007" s="42"/>
      <c r="R2007" s="42"/>
      <c r="S2007" s="42"/>
      <c r="T2007" s="42"/>
      <c r="U2007" s="42"/>
      <c r="V2007" s="18"/>
      <c r="W2007" s="18"/>
      <c r="X2007" s="18"/>
    </row>
    <row r="2008" spans="1:24" ht="15">
      <c r="A2008" s="4"/>
      <c r="B2008" s="24"/>
      <c r="C2008" s="11"/>
      <c r="D2008" s="18"/>
      <c r="E2008" s="18"/>
      <c r="F2008" s="18"/>
      <c r="G2008" s="18"/>
      <c r="H2008" s="56"/>
      <c r="I2008" s="58"/>
      <c r="L2008" s="42"/>
      <c r="T2008" s="42"/>
      <c r="U2008" s="42"/>
      <c r="V2008" s="18"/>
      <c r="W2008" s="18"/>
      <c r="X2008" s="18"/>
    </row>
    <row r="2009" spans="1:24" ht="15">
      <c r="A2009" s="4"/>
      <c r="B2009" s="24"/>
      <c r="C2009" s="11"/>
      <c r="D2009" s="18"/>
      <c r="E2009" s="18"/>
      <c r="F2009" s="18"/>
      <c r="G2009" s="18"/>
      <c r="H2009" s="56"/>
      <c r="I2009" s="59" t="s">
        <v>136</v>
      </c>
      <c r="L2009" s="75">
        <v>26685152.53</v>
      </c>
      <c r="T2009" s="42"/>
      <c r="U2009" s="42"/>
      <c r="V2009" s="18"/>
      <c r="W2009" s="18"/>
      <c r="X2009" s="18"/>
    </row>
    <row r="2010" spans="1:24" ht="15">
      <c r="A2010" s="4"/>
      <c r="B2010" s="24"/>
      <c r="C2010" s="11"/>
      <c r="D2010" s="18"/>
      <c r="E2010" s="18"/>
      <c r="F2010" s="18"/>
      <c r="G2010" s="18"/>
      <c r="H2010" s="56"/>
      <c r="I2010" s="59"/>
      <c r="L2010" s="18"/>
      <c r="T2010" s="42"/>
      <c r="U2010" s="42"/>
      <c r="V2010" s="18"/>
      <c r="W2010" s="18"/>
      <c r="X2010" s="18"/>
    </row>
    <row r="2011" spans="1:24" ht="15">
      <c r="A2011" s="4"/>
      <c r="B2011" s="24"/>
      <c r="C2011" s="11"/>
      <c r="D2011" s="44" t="s">
        <v>137</v>
      </c>
      <c r="E2011" s="18"/>
      <c r="F2011" s="10" t="s">
        <v>138</v>
      </c>
      <c r="G2011" s="44" t="s">
        <v>24</v>
      </c>
      <c r="H2011" s="56"/>
      <c r="I2011" s="59" t="s">
        <v>139</v>
      </c>
      <c r="L2011" s="27">
        <v>78596</v>
      </c>
      <c r="N2011" s="6" t="s">
        <v>137</v>
      </c>
      <c r="O2011" s="6" t="s">
        <v>137</v>
      </c>
      <c r="P2011" s="42"/>
      <c r="Q2011" s="6" t="s">
        <v>138</v>
      </c>
      <c r="R2011" s="6" t="s">
        <v>138</v>
      </c>
      <c r="S2011" s="6"/>
      <c r="T2011" s="42"/>
      <c r="U2011" s="42"/>
      <c r="V2011" s="18"/>
      <c r="W2011" s="18"/>
      <c r="X2011" s="18"/>
    </row>
    <row r="2012" spans="1:24" ht="15">
      <c r="A2012" s="4"/>
      <c r="B2012" s="24"/>
      <c r="C2012" s="11"/>
      <c r="D2012" s="18"/>
      <c r="E2012" s="18"/>
      <c r="F2012" s="18"/>
      <c r="G2012" s="18"/>
      <c r="H2012" s="56"/>
      <c r="I2012" s="59"/>
      <c r="L2012" s="18"/>
      <c r="N2012" s="8" t="s">
        <v>140</v>
      </c>
      <c r="O2012" s="49" t="s">
        <v>141</v>
      </c>
      <c r="P2012" s="42"/>
      <c r="Q2012" s="8" t="s">
        <v>140</v>
      </c>
      <c r="R2012" s="49" t="s">
        <v>141</v>
      </c>
      <c r="S2012" s="49"/>
      <c r="T2012" s="42"/>
      <c r="U2012" s="42"/>
      <c r="V2012" s="18"/>
      <c r="W2012" s="18"/>
      <c r="X2012" s="18"/>
    </row>
    <row r="2013" spans="1:24" ht="15">
      <c r="A2013" s="4">
        <f>+A2001+1</f>
        <v>38</v>
      </c>
      <c r="B2013" s="5" t="s">
        <v>36</v>
      </c>
      <c r="C2013" s="17" t="s">
        <v>37</v>
      </c>
      <c r="D2013" s="31">
        <f>+V1958+V1992</f>
        <v>56702112.07</v>
      </c>
      <c r="E2013" s="18"/>
      <c r="F2013" s="31">
        <f>+W1958+W1992</f>
        <v>19257051</v>
      </c>
      <c r="G2013" s="18">
        <f>+D2013-F2013</f>
        <v>37445061.07</v>
      </c>
      <c r="H2013" s="56"/>
      <c r="I2013" s="59" t="s">
        <v>142</v>
      </c>
      <c r="J2013" s="18"/>
      <c r="K2013" s="18"/>
      <c r="L2013" s="36">
        <v>15313706</v>
      </c>
      <c r="N2013" s="60"/>
      <c r="O2013" s="6"/>
      <c r="P2013" s="42"/>
      <c r="Q2013" s="61"/>
      <c r="R2013" s="61"/>
      <c r="S2013" s="61"/>
      <c r="T2013" s="42"/>
      <c r="U2013" s="42"/>
      <c r="V2013" s="18"/>
      <c r="W2013" s="18"/>
      <c r="X2013" s="18"/>
    </row>
    <row r="2014" spans="1:21" ht="15">
      <c r="A2014" s="4">
        <f>+A2013+1</f>
        <v>39</v>
      </c>
      <c r="B2014" s="5" t="s">
        <v>36</v>
      </c>
      <c r="C2014" s="22" t="s">
        <v>38</v>
      </c>
      <c r="D2014" s="31">
        <f>+V1959+V1993</f>
        <v>56682579.09</v>
      </c>
      <c r="E2014" s="18"/>
      <c r="F2014" s="31">
        <f>+W1959+W1993</f>
        <v>19536101</v>
      </c>
      <c r="G2014" s="18">
        <f>+D2014-F2014</f>
        <v>37146478.09</v>
      </c>
      <c r="H2014" s="56"/>
      <c r="I2014" s="58"/>
      <c r="J2014" s="18"/>
      <c r="K2014" s="18"/>
      <c r="L2014" s="60"/>
      <c r="N2014" s="62">
        <f>+D2015</f>
        <v>19532.97999999672</v>
      </c>
      <c r="O2014" s="63">
        <f>+D2021</f>
        <v>32598706</v>
      </c>
      <c r="P2014" s="42"/>
      <c r="Q2014" s="31">
        <f>+F1925</f>
        <v>-280587</v>
      </c>
      <c r="R2014" s="31">
        <f>+F1927</f>
        <v>0</v>
      </c>
      <c r="S2014" s="31"/>
      <c r="T2014" s="42"/>
      <c r="U2014" s="42"/>
    </row>
    <row r="2015" spans="1:24" ht="15">
      <c r="A2015" s="4">
        <f>+A2014+1</f>
        <v>40</v>
      </c>
      <c r="B2015" s="24" t="s">
        <v>46</v>
      </c>
      <c r="C2015" s="40" t="s">
        <v>78</v>
      </c>
      <c r="D2015" s="26">
        <f>+D2013-D2014</f>
        <v>19532.97999999672</v>
      </c>
      <c r="E2015" s="18"/>
      <c r="F2015" s="26">
        <f>+F2013-F2014</f>
        <v>-279050</v>
      </c>
      <c r="G2015" s="18">
        <f>+G2013-G2014</f>
        <v>298582.9799999967</v>
      </c>
      <c r="H2015" s="56"/>
      <c r="I2015" s="58" t="s">
        <v>143</v>
      </c>
      <c r="J2015" s="18"/>
      <c r="K2015" s="18"/>
      <c r="L2015">
        <v>0</v>
      </c>
      <c r="N2015" s="62">
        <f>+D2016</f>
        <v>0</v>
      </c>
      <c r="O2015" s="63">
        <f>+D2022</f>
        <v>0</v>
      </c>
      <c r="P2015" s="42"/>
      <c r="Q2015" s="31">
        <f>+F1926</f>
        <v>0</v>
      </c>
      <c r="R2015" s="31">
        <f>+F1931</f>
        <v>15594293</v>
      </c>
      <c r="S2015" s="31"/>
      <c r="U2015" s="18"/>
      <c r="V2015" s="10" t="s">
        <v>20</v>
      </c>
      <c r="W2015" s="10" t="s">
        <v>21</v>
      </c>
      <c r="X2015" s="10" t="s">
        <v>22</v>
      </c>
    </row>
    <row r="2016" spans="1:21" ht="28.5">
      <c r="A2016" s="4">
        <f>+A2015+1</f>
        <v>41</v>
      </c>
      <c r="B2016" s="88" t="s">
        <v>182</v>
      </c>
      <c r="C2016" s="11"/>
      <c r="D2016" s="26">
        <f>+V1961+V1995</f>
        <v>0</v>
      </c>
      <c r="E2016" s="26"/>
      <c r="F2016" s="26">
        <f>+W1961+W1995</f>
        <v>0</v>
      </c>
      <c r="G2016" s="18">
        <f>+D2016-F2016</f>
        <v>0</v>
      </c>
      <c r="H2016" s="56"/>
      <c r="I2016" s="58"/>
      <c r="J2016" s="18"/>
      <c r="K2016" s="18"/>
      <c r="L2016" s="60" t="s">
        <v>144</v>
      </c>
      <c r="N2016" s="62">
        <f>+F2015</f>
        <v>-279050</v>
      </c>
      <c r="O2016" s="63">
        <f>+F2021</f>
        <v>15724220</v>
      </c>
      <c r="P2016" s="42"/>
      <c r="R2016" s="31">
        <f>+F1932</f>
        <v>0</v>
      </c>
      <c r="S2016" s="31"/>
      <c r="U2016" s="18"/>
    </row>
    <row r="2017" spans="1:24" ht="24.75">
      <c r="A2017" s="4">
        <f>+A2016+1</f>
        <v>42</v>
      </c>
      <c r="B2017" s="89" t="s">
        <v>39</v>
      </c>
      <c r="C2017" s="40"/>
      <c r="D2017" s="30">
        <f>+V1962+V1996</f>
        <v>-3662215.5700000003</v>
      </c>
      <c r="E2017" s="30"/>
      <c r="F2017" s="30">
        <f>+W1962+W1996</f>
        <v>2218001</v>
      </c>
      <c r="G2017" s="18">
        <f>+D2017-F2017</f>
        <v>-5880216.57</v>
      </c>
      <c r="H2017" s="56"/>
      <c r="I2017" s="64" t="s">
        <v>145</v>
      </c>
      <c r="J2017" s="18"/>
      <c r="K2017" s="18"/>
      <c r="L2017" s="31">
        <f>+L2009-L2011-L2013-L2015</f>
        <v>11292850.530000001</v>
      </c>
      <c r="N2017" s="62">
        <f>+F2016</f>
        <v>0</v>
      </c>
      <c r="O2017" s="63">
        <f>+F2022</f>
        <v>0</v>
      </c>
      <c r="P2017" s="42"/>
      <c r="Q2017" s="31"/>
      <c r="R2017" s="31"/>
      <c r="S2017" s="31"/>
      <c r="U2017" s="65"/>
      <c r="V2017" s="66"/>
      <c r="W2017" s="66"/>
      <c r="X2017" s="65"/>
    </row>
    <row r="2018" spans="1:24" ht="15">
      <c r="A2018" s="6" t="s">
        <v>41</v>
      </c>
      <c r="B2018" s="41"/>
      <c r="C2018" s="40"/>
      <c r="D2018" s="18"/>
      <c r="E2018" s="18"/>
      <c r="F2018" s="18"/>
      <c r="G2018" s="18"/>
      <c r="H2018" s="56"/>
      <c r="I2018" s="58"/>
      <c r="J2018" s="18"/>
      <c r="K2018" s="18"/>
      <c r="N2018" s="62">
        <f>+F1925</f>
        <v>-280587</v>
      </c>
      <c r="O2018" s="63">
        <f>+F1931</f>
        <v>15594293</v>
      </c>
      <c r="P2018" s="42"/>
      <c r="Q2018" s="31"/>
      <c r="U2018" s="65"/>
      <c r="V2018" s="67"/>
      <c r="W2018" s="67"/>
      <c r="X2018" s="68"/>
    </row>
    <row r="2019" spans="1:25" ht="15">
      <c r="A2019" s="4">
        <f>+A2017+1</f>
        <v>43</v>
      </c>
      <c r="B2019" s="5" t="s">
        <v>42</v>
      </c>
      <c r="C2019" s="22" t="s">
        <v>38</v>
      </c>
      <c r="D2019" s="31">
        <f>+V1964+V1998</f>
        <v>32598706</v>
      </c>
      <c r="E2019" s="18"/>
      <c r="F2019" s="31">
        <f>+W1964+W1998</f>
        <v>15724220</v>
      </c>
      <c r="G2019" s="18">
        <f>+D2019-F2019</f>
        <v>16874486</v>
      </c>
      <c r="H2019" s="56"/>
      <c r="I2019" s="59" t="s">
        <v>22</v>
      </c>
      <c r="J2019" s="18"/>
      <c r="K2019" s="18"/>
      <c r="L2019" s="30">
        <f>+X2024</f>
        <v>11292852.409999996</v>
      </c>
      <c r="N2019" s="62"/>
      <c r="O2019" s="63">
        <f>+D2017</f>
        <v>-3662215.5700000003</v>
      </c>
      <c r="P2019" s="42"/>
      <c r="Q2019" s="31"/>
      <c r="R2019" s="31"/>
      <c r="S2019" s="31"/>
      <c r="T2019" s="69" t="s">
        <v>78</v>
      </c>
      <c r="U2019" s="65"/>
      <c r="V2019" s="26">
        <f>+D2015+D2016-F2015-F2016+F1925</f>
        <v>17995.97999999672</v>
      </c>
      <c r="W2019" s="26">
        <f>+F1925+F1926</f>
        <v>-280587</v>
      </c>
      <c r="X2019" s="26">
        <f>+V2019-W2019</f>
        <v>298582.9799999967</v>
      </c>
      <c r="Y2019" s="18"/>
    </row>
    <row r="2020" spans="1:25" ht="15">
      <c r="A2020" s="4">
        <f>+A2019+1</f>
        <v>44</v>
      </c>
      <c r="B2020" s="5" t="s">
        <v>43</v>
      </c>
      <c r="C2020" s="11"/>
      <c r="D2020" s="31">
        <f>+V1965+V1999</f>
        <v>0</v>
      </c>
      <c r="E2020" s="18"/>
      <c r="F2020" s="31">
        <f>+W1965+W1999</f>
        <v>0</v>
      </c>
      <c r="G2020" s="18">
        <f>+D2020-F2020</f>
        <v>0</v>
      </c>
      <c r="H2020" s="56"/>
      <c r="I2020" s="59"/>
      <c r="J2020" s="18"/>
      <c r="K2020" s="18"/>
      <c r="L2020" s="60" t="s">
        <v>144</v>
      </c>
      <c r="O2020" s="63">
        <f>+F2017</f>
        <v>2218001</v>
      </c>
      <c r="P2020" s="42"/>
      <c r="Q2020" s="31"/>
      <c r="R2020" s="31"/>
      <c r="S2020" s="31"/>
      <c r="T2020" s="11" t="s">
        <v>146</v>
      </c>
      <c r="U2020" s="65"/>
      <c r="V2020" s="30">
        <f>+D2021+D2022-F2021-F2022+F1931+D2017-F2017+F1927</f>
        <v>26588562.43</v>
      </c>
      <c r="W2020" s="30">
        <f>+F1927+F1931+F1932</f>
        <v>15594293</v>
      </c>
      <c r="X2020" s="30">
        <f>+V2020-W2020</f>
        <v>10994269.43</v>
      </c>
      <c r="Y2020" s="18"/>
    </row>
    <row r="2021" spans="1:25" ht="26.25">
      <c r="A2021" s="4">
        <f>+A2020+1</f>
        <v>45</v>
      </c>
      <c r="B2021" s="24" t="s">
        <v>79</v>
      </c>
      <c r="C2021" s="11"/>
      <c r="D2021" s="30">
        <f>+D2019-D2020</f>
        <v>32598706</v>
      </c>
      <c r="E2021" s="18"/>
      <c r="F2021" s="30">
        <f>+F2019-F2020</f>
        <v>15724220</v>
      </c>
      <c r="G2021" s="18">
        <f>+G2019-G2020</f>
        <v>16874486</v>
      </c>
      <c r="H2021" s="56"/>
      <c r="I2021" s="58"/>
      <c r="J2021" s="18"/>
      <c r="K2021" s="18"/>
      <c r="N2021" s="62"/>
      <c r="O2021" s="63">
        <f>+F1927</f>
        <v>0</v>
      </c>
      <c r="P2021" s="42"/>
      <c r="Q2021" s="31"/>
      <c r="R2021" s="31"/>
      <c r="S2021" s="31"/>
      <c r="T2021" s="11"/>
      <c r="U2021" s="65"/>
      <c r="V2021" s="30"/>
      <c r="W2021" s="30"/>
      <c r="X2021" s="30"/>
      <c r="Y2021" s="65"/>
    </row>
    <row r="2022" spans="1:25" ht="28.5">
      <c r="A2022" s="4">
        <f>+A2021+1</f>
        <v>46</v>
      </c>
      <c r="B2022" s="88" t="s">
        <v>181</v>
      </c>
      <c r="C2022" s="11"/>
      <c r="D2022" s="30">
        <f>+V1967+V2001</f>
        <v>0</v>
      </c>
      <c r="E2022" s="30"/>
      <c r="F2022" s="30">
        <f>+W1967+W2001</f>
        <v>0</v>
      </c>
      <c r="G2022" s="18">
        <f>+D2022-F2022</f>
        <v>0</v>
      </c>
      <c r="H2022" s="56"/>
      <c r="N2022" s="62"/>
      <c r="O2022" s="62"/>
      <c r="P2022" s="42"/>
      <c r="Q2022" s="31"/>
      <c r="R2022" s="31"/>
      <c r="S2022" s="31"/>
      <c r="T2022" s="11"/>
      <c r="U2022" s="65"/>
      <c r="V2022" s="30"/>
      <c r="W2022" s="30"/>
      <c r="X2022" s="30"/>
      <c r="Y2022" s="65"/>
    </row>
    <row r="2023" spans="1:25" ht="15">
      <c r="A2023" s="4">
        <f>+A2022+1</f>
        <v>47</v>
      </c>
      <c r="B2023" s="24" t="s">
        <v>46</v>
      </c>
      <c r="C2023" s="11" t="s">
        <v>47</v>
      </c>
      <c r="D2023" s="18">
        <f>+D2015+D2016+D2021+D2022+D2017</f>
        <v>28956023.409999996</v>
      </c>
      <c r="E2023" s="18"/>
      <c r="F2023" s="18">
        <f>+F2015+F2016+F2021+F2022+F2017</f>
        <v>17663171</v>
      </c>
      <c r="G2023" s="18">
        <f>+G2015+G2016+G2021+G2022+G2017</f>
        <v>11292852.409999996</v>
      </c>
      <c r="H2023" s="56"/>
      <c r="I2023" s="59" t="s">
        <v>147</v>
      </c>
      <c r="J2023" s="18"/>
      <c r="K2023" s="18"/>
      <c r="L2023" s="36">
        <f>+L2017-L2019</f>
        <v>-1.8799999952316284</v>
      </c>
      <c r="N2023" s="70">
        <f>+N2014+N2015-N2016-N2017+N2018</f>
        <v>17995.97999999672</v>
      </c>
      <c r="O2023" s="71">
        <f>+O2014+O2015-O2016-O2017+O2018+O2019-O2020+O2021</f>
        <v>26588562.43</v>
      </c>
      <c r="P2023" s="42"/>
      <c r="Q2023" s="26">
        <f>SUM(Q2014:Q2015)</f>
        <v>-280587</v>
      </c>
      <c r="R2023" s="30">
        <f>SUM(R2014:R2017)</f>
        <v>15594293</v>
      </c>
      <c r="S2023" s="30"/>
      <c r="T2023" s="11"/>
      <c r="U2023" s="65"/>
      <c r="V2023" s="30"/>
      <c r="W2023" s="30"/>
      <c r="X2023" s="30"/>
      <c r="Y2023" s="65"/>
    </row>
    <row r="2024" spans="1:25" ht="15">
      <c r="A2024" s="4"/>
      <c r="B2024" s="24"/>
      <c r="C2024" s="11"/>
      <c r="D2024" s="18"/>
      <c r="E2024" s="18"/>
      <c r="F2024" s="18"/>
      <c r="G2024" s="18"/>
      <c r="H2024" s="56"/>
      <c r="L2024" s="60" t="s">
        <v>148</v>
      </c>
      <c r="M2024" s="42"/>
      <c r="N2024" s="42"/>
      <c r="O2024" s="42"/>
      <c r="P2024" s="42"/>
      <c r="Q2024" s="42"/>
      <c r="R2024" s="42"/>
      <c r="S2024" s="42"/>
      <c r="T2024" s="10" t="s">
        <v>22</v>
      </c>
      <c r="U2024" s="65"/>
      <c r="V2024" s="36"/>
      <c r="W2024" s="36"/>
      <c r="X2024" s="36">
        <f>+X2019+X2020</f>
        <v>11292852.409999996</v>
      </c>
      <c r="Y2024" s="65"/>
    </row>
    <row r="2025" spans="1:25" ht="15">
      <c r="A2025" s="1"/>
      <c r="B2025" s="2"/>
      <c r="C2025" s="2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65"/>
    </row>
    <row r="2026" spans="1:6" ht="15">
      <c r="A2026" s="4"/>
      <c r="B2026"/>
      <c r="F2026"/>
    </row>
    <row r="2027" spans="1:25" ht="15">
      <c r="A2027" s="1"/>
      <c r="B2027" s="2"/>
      <c r="C2027" s="2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</row>
    <row r="2028" spans="1:6" ht="15">
      <c r="A2028" s="4" t="s">
        <v>0</v>
      </c>
      <c r="B2028" s="5"/>
      <c r="C2028" s="6" t="s">
        <v>1</v>
      </c>
      <c r="F2028"/>
    </row>
    <row r="2029" spans="1:6" ht="15">
      <c r="A2029" s="4"/>
      <c r="B2029" s="5"/>
      <c r="C2029" s="6" t="s">
        <v>2</v>
      </c>
      <c r="F2029"/>
    </row>
    <row r="2030" spans="1:6" ht="15">
      <c r="A2030" s="4"/>
      <c r="B2030" s="5"/>
      <c r="C2030" s="80" t="s">
        <v>167</v>
      </c>
      <c r="F2030"/>
    </row>
    <row r="2031" spans="1:6" ht="15">
      <c r="A2031" s="4"/>
      <c r="B2031" s="5"/>
      <c r="C2031" s="8"/>
      <c r="F2031"/>
    </row>
    <row r="2032" spans="1:25" ht="15">
      <c r="A2032" s="4"/>
      <c r="B2032" s="5"/>
      <c r="C2032" s="9"/>
      <c r="D2032" s="10" t="s">
        <v>4</v>
      </c>
      <c r="E2032" s="10"/>
      <c r="F2032" s="10" t="s">
        <v>5</v>
      </c>
      <c r="G2032" s="10" t="s">
        <v>6</v>
      </c>
      <c r="H2032" s="10"/>
      <c r="I2032" s="10" t="s">
        <v>7</v>
      </c>
      <c r="J2032" s="10" t="s">
        <v>8</v>
      </c>
      <c r="K2032" s="10" t="s">
        <v>9</v>
      </c>
      <c r="L2032" s="10" t="s">
        <v>10</v>
      </c>
      <c r="M2032" s="10" t="s">
        <v>11</v>
      </c>
      <c r="N2032" s="10" t="s">
        <v>12</v>
      </c>
      <c r="O2032" s="10" t="s">
        <v>13</v>
      </c>
      <c r="P2032" s="10"/>
      <c r="Q2032" s="10" t="s">
        <v>14</v>
      </c>
      <c r="R2032" s="10" t="s">
        <v>15</v>
      </c>
      <c r="S2032" s="10"/>
      <c r="T2032" s="10" t="s">
        <v>16</v>
      </c>
      <c r="U2032" s="10"/>
      <c r="V2032" s="10" t="s">
        <v>17</v>
      </c>
      <c r="W2032" s="10" t="s">
        <v>18</v>
      </c>
      <c r="X2032" s="10" t="s">
        <v>19</v>
      </c>
      <c r="Y2032" s="10"/>
    </row>
    <row r="2033" spans="1:24" ht="15">
      <c r="A2033" s="4"/>
      <c r="B2033" s="87" t="s">
        <v>174</v>
      </c>
      <c r="C2033" s="5"/>
      <c r="D2033" s="10" t="s">
        <v>20</v>
      </c>
      <c r="E2033" s="10"/>
      <c r="F2033" s="10" t="s">
        <v>21</v>
      </c>
      <c r="G2033" s="10" t="s">
        <v>22</v>
      </c>
      <c r="I2033" s="10" t="s">
        <v>20</v>
      </c>
      <c r="J2033" s="10" t="s">
        <v>20</v>
      </c>
      <c r="K2033" s="10" t="s">
        <v>20</v>
      </c>
      <c r="L2033" s="10" t="s">
        <v>20</v>
      </c>
      <c r="M2033" s="10" t="s">
        <v>20</v>
      </c>
      <c r="N2033" s="10" t="s">
        <v>20</v>
      </c>
      <c r="O2033" s="10" t="s">
        <v>20</v>
      </c>
      <c r="Q2033" s="10" t="s">
        <v>20</v>
      </c>
      <c r="R2033" s="10" t="s">
        <v>20</v>
      </c>
      <c r="S2033" s="10"/>
      <c r="T2033" s="10" t="s">
        <v>20</v>
      </c>
      <c r="V2033" s="10" t="s">
        <v>20</v>
      </c>
      <c r="W2033" s="10" t="s">
        <v>20</v>
      </c>
      <c r="X2033" s="10" t="s">
        <v>20</v>
      </c>
    </row>
    <row r="2034" spans="1:24" ht="42.75">
      <c r="A2034" s="4"/>
      <c r="B2034" s="5"/>
      <c r="C2034" s="11"/>
      <c r="D2034" s="12" t="s">
        <v>23</v>
      </c>
      <c r="E2034" s="13"/>
      <c r="F2034" s="12" t="s">
        <v>175</v>
      </c>
      <c r="G2034" s="13" t="s">
        <v>24</v>
      </c>
      <c r="I2034" s="13" t="s">
        <v>25</v>
      </c>
      <c r="J2034" s="8" t="s">
        <v>26</v>
      </c>
      <c r="K2034" s="13" t="s">
        <v>27</v>
      </c>
      <c r="L2034" s="13" t="s">
        <v>28</v>
      </c>
      <c r="M2034" s="13" t="s">
        <v>29</v>
      </c>
      <c r="N2034" s="13" t="s">
        <v>30</v>
      </c>
      <c r="O2034" s="13" t="s">
        <v>31</v>
      </c>
      <c r="Q2034" s="14">
        <v>4470115</v>
      </c>
      <c r="R2034" s="13" t="s">
        <v>32</v>
      </c>
      <c r="S2034" s="13"/>
      <c r="T2034" s="14">
        <v>4470119</v>
      </c>
      <c r="V2034" s="8" t="s">
        <v>33</v>
      </c>
      <c r="W2034" s="8" t="s">
        <v>34</v>
      </c>
      <c r="X2034" s="81" t="s">
        <v>35</v>
      </c>
    </row>
    <row r="2035" spans="1:23" ht="15">
      <c r="A2035" s="4"/>
      <c r="B2035" s="5"/>
      <c r="C2035" s="11"/>
      <c r="D2035" s="13"/>
      <c r="E2035" s="13"/>
      <c r="F2035" s="13"/>
      <c r="G2035" s="15"/>
      <c r="I2035" s="13"/>
      <c r="J2035" s="13"/>
      <c r="K2035" s="13"/>
      <c r="L2035" s="13"/>
      <c r="M2035" s="13"/>
      <c r="N2035" s="13"/>
      <c r="O2035" s="13"/>
      <c r="Q2035" s="14"/>
      <c r="R2035" s="13"/>
      <c r="S2035" s="14"/>
      <c r="T2035" s="16"/>
      <c r="V2035" s="14"/>
      <c r="W2035" s="13"/>
    </row>
    <row r="2036" spans="1:25" ht="15">
      <c r="A2036" s="4">
        <v>1</v>
      </c>
      <c r="B2036" s="5" t="s">
        <v>36</v>
      </c>
      <c r="C2036" s="17" t="s">
        <v>37</v>
      </c>
      <c r="D2036" s="78">
        <v>31124210.8</v>
      </c>
      <c r="E2036" s="77"/>
      <c r="F2036" s="93">
        <f>949936.23+14511116.04</f>
        <v>15461052.27</v>
      </c>
      <c r="G2036" s="21">
        <f>+D2036-F2036</f>
        <v>15663158.530000001</v>
      </c>
      <c r="H2036" s="18"/>
      <c r="I2036" s="18">
        <v>0</v>
      </c>
      <c r="J2036" s="18">
        <v>0</v>
      </c>
      <c r="K2036" s="18">
        <v>0</v>
      </c>
      <c r="L2036" s="18">
        <v>-106111.12</v>
      </c>
      <c r="M2036" s="18">
        <v>0</v>
      </c>
      <c r="N2036" s="18">
        <v>0</v>
      </c>
      <c r="O2036" s="18">
        <v>0</v>
      </c>
      <c r="P2036" s="18"/>
      <c r="Q2036" s="18">
        <v>0</v>
      </c>
      <c r="R2036" s="18">
        <v>0</v>
      </c>
      <c r="S2036" s="18"/>
      <c r="T2036" s="18">
        <v>0</v>
      </c>
      <c r="U2036" s="18"/>
      <c r="V2036" s="18">
        <v>0</v>
      </c>
      <c r="W2036" s="18">
        <v>0</v>
      </c>
      <c r="X2036" s="18">
        <v>-2267002.79</v>
      </c>
      <c r="Y2036" s="18"/>
    </row>
    <row r="2037" spans="1:25" ht="15">
      <c r="A2037" s="4">
        <f>+A2036+1</f>
        <v>2</v>
      </c>
      <c r="B2037" s="5" t="s">
        <v>36</v>
      </c>
      <c r="C2037" s="22" t="s">
        <v>38</v>
      </c>
      <c r="D2037" s="78">
        <v>31124210.79</v>
      </c>
      <c r="E2037" s="19"/>
      <c r="F2037" s="23">
        <f>967592.29+14626700.68</f>
        <v>15594292.969999999</v>
      </c>
      <c r="G2037" s="21">
        <f>+D2037-F2037</f>
        <v>15529917.82</v>
      </c>
      <c r="H2037" s="18"/>
      <c r="I2037" s="18">
        <v>0</v>
      </c>
      <c r="J2037" s="18">
        <v>0</v>
      </c>
      <c r="K2037" s="18">
        <v>0</v>
      </c>
      <c r="L2037" s="18">
        <v>-175617.48</v>
      </c>
      <c r="M2037" s="18">
        <v>0</v>
      </c>
      <c r="N2037" s="18">
        <v>0</v>
      </c>
      <c r="O2037" s="18">
        <v>0</v>
      </c>
      <c r="P2037" s="18"/>
      <c r="Q2037" s="18">
        <v>0</v>
      </c>
      <c r="R2037" s="18">
        <v>0</v>
      </c>
      <c r="S2037" s="18"/>
      <c r="T2037" s="18">
        <v>0</v>
      </c>
      <c r="U2037" s="18"/>
      <c r="V2037" s="18">
        <v>0</v>
      </c>
      <c r="W2037" s="18">
        <v>0</v>
      </c>
      <c r="X2037" s="18">
        <v>-1632453.6</v>
      </c>
      <c r="Y2037" s="18"/>
    </row>
    <row r="2038" spans="1:25" ht="22.5">
      <c r="A2038" s="4">
        <f>+A2037+1</f>
        <v>3</v>
      </c>
      <c r="B2038" s="24" t="s">
        <v>176</v>
      </c>
      <c r="C2038" s="25" t="s">
        <v>177</v>
      </c>
      <c r="D2038" s="18">
        <v>0</v>
      </c>
      <c r="E2038" s="19"/>
      <c r="F2038" s="26">
        <f>+F2036-F2037</f>
        <v>-133240.69999999925</v>
      </c>
      <c r="G2038" s="18">
        <v>0</v>
      </c>
      <c r="H2038" s="18"/>
      <c r="I2038" s="18">
        <f aca="true" t="shared" si="247" ref="I2038:O2038">+I2036-I2037</f>
        <v>0</v>
      </c>
      <c r="J2038" s="18">
        <f t="shared" si="247"/>
        <v>0</v>
      </c>
      <c r="K2038" s="18">
        <f t="shared" si="247"/>
        <v>0</v>
      </c>
      <c r="L2038" s="18">
        <f t="shared" si="247"/>
        <v>69506.36000000002</v>
      </c>
      <c r="M2038" s="18">
        <f t="shared" si="247"/>
        <v>0</v>
      </c>
      <c r="N2038" s="18">
        <f t="shared" si="247"/>
        <v>0</v>
      </c>
      <c r="O2038" s="18">
        <f t="shared" si="247"/>
        <v>0</v>
      </c>
      <c r="P2038" s="18"/>
      <c r="Q2038" s="18">
        <f>+Q2036-Q2037</f>
        <v>0</v>
      </c>
      <c r="R2038" s="18">
        <f>+R2036-R2037</f>
        <v>0</v>
      </c>
      <c r="S2038" s="18"/>
      <c r="T2038" s="18">
        <f>+T2036-T2037</f>
        <v>0</v>
      </c>
      <c r="U2038" s="18"/>
      <c r="V2038" s="18">
        <f>+V2036-V2037</f>
        <v>0</v>
      </c>
      <c r="W2038" s="18">
        <f>+W2036-W2037</f>
        <v>0</v>
      </c>
      <c r="X2038" s="18">
        <f>+X2036-X2037</f>
        <v>-634549.19</v>
      </c>
      <c r="Y2038" s="18"/>
    </row>
    <row r="2039" spans="1:25" ht="28.5">
      <c r="A2039" s="4">
        <f>+A2038+1</f>
        <v>4</v>
      </c>
      <c r="B2039" s="88" t="s">
        <v>178</v>
      </c>
      <c r="C2039" s="25" t="s">
        <v>179</v>
      </c>
      <c r="D2039" s="18">
        <v>0</v>
      </c>
      <c r="E2039" s="19"/>
      <c r="F2039" s="26">
        <v>0</v>
      </c>
      <c r="G2039" s="18">
        <f>+D2039-F2039</f>
        <v>0</v>
      </c>
      <c r="H2039" s="18"/>
      <c r="I2039" s="27">
        <v>0</v>
      </c>
      <c r="J2039" s="18">
        <v>0</v>
      </c>
      <c r="K2039" s="18">
        <v>0</v>
      </c>
      <c r="L2039" s="18">
        <v>0</v>
      </c>
      <c r="M2039" s="18">
        <v>0</v>
      </c>
      <c r="N2039" s="18">
        <v>0</v>
      </c>
      <c r="O2039" s="18">
        <v>0</v>
      </c>
      <c r="P2039" s="18"/>
      <c r="Q2039" s="18">
        <v>0</v>
      </c>
      <c r="R2039" s="18">
        <v>0</v>
      </c>
      <c r="S2039" s="18"/>
      <c r="T2039" s="18">
        <v>0</v>
      </c>
      <c r="U2039" s="18"/>
      <c r="V2039" s="18">
        <v>0</v>
      </c>
      <c r="W2039" s="18">
        <v>0</v>
      </c>
      <c r="X2039" s="18">
        <v>0</v>
      </c>
      <c r="Y2039" s="18"/>
    </row>
    <row r="2040" spans="1:25" ht="24.75">
      <c r="A2040" s="4">
        <f>+A2039+1</f>
        <v>5</v>
      </c>
      <c r="B2040" s="89" t="s">
        <v>39</v>
      </c>
      <c r="C2040" s="28" t="s">
        <v>40</v>
      </c>
      <c r="D2040" s="27">
        <v>0</v>
      </c>
      <c r="E2040" s="29"/>
      <c r="F2040" s="30">
        <v>0</v>
      </c>
      <c r="G2040" s="31">
        <f>+D2040-F2040</f>
        <v>0</v>
      </c>
      <c r="H2040" s="18"/>
      <c r="I2040" s="27">
        <v>0</v>
      </c>
      <c r="J2040" s="27">
        <v>0</v>
      </c>
      <c r="K2040" s="27">
        <v>0</v>
      </c>
      <c r="L2040" s="27">
        <f>-16658.23-542277.03</f>
        <v>-558935.26</v>
      </c>
      <c r="M2040" s="27">
        <v>567778.22</v>
      </c>
      <c r="N2040" s="27">
        <v>0</v>
      </c>
      <c r="O2040" s="27">
        <v>19668.66</v>
      </c>
      <c r="P2040" s="18"/>
      <c r="Q2040" s="27">
        <v>112.78</v>
      </c>
      <c r="R2040" s="27">
        <v>0</v>
      </c>
      <c r="S2040" s="27"/>
      <c r="T2040" s="27">
        <v>0</v>
      </c>
      <c r="U2040" s="27"/>
      <c r="V2040" s="27">
        <v>0.25</v>
      </c>
      <c r="W2040" s="27">
        <v>0</v>
      </c>
      <c r="X2040" s="27">
        <v>0</v>
      </c>
      <c r="Y2040" s="18"/>
    </row>
    <row r="2041" spans="1:25" ht="15">
      <c r="A2041" s="6" t="s">
        <v>41</v>
      </c>
      <c r="B2041" s="90"/>
      <c r="C2041" s="11"/>
      <c r="D2041" s="18"/>
      <c r="E2041" s="19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 t="s">
        <v>0</v>
      </c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</row>
    <row r="2042" spans="1:25" ht="15">
      <c r="A2042" s="4">
        <f>+A2040+1</f>
        <v>6</v>
      </c>
      <c r="B2042" s="5" t="s">
        <v>42</v>
      </c>
      <c r="C2042" s="22" t="s">
        <v>38</v>
      </c>
      <c r="D2042" s="27">
        <v>24871137</v>
      </c>
      <c r="E2042" s="19"/>
      <c r="F2042" s="23">
        <f>1473672.54+11374235.95</f>
        <v>12847908.489999998</v>
      </c>
      <c r="G2042" s="18">
        <f>+D2042-F2042</f>
        <v>12023228.510000002</v>
      </c>
      <c r="H2042" s="18"/>
      <c r="I2042" s="18">
        <v>0</v>
      </c>
      <c r="J2042" s="18">
        <v>0</v>
      </c>
      <c r="K2042" s="18">
        <v>0</v>
      </c>
      <c r="L2042" s="18">
        <v>-165604.21</v>
      </c>
      <c r="M2042" s="18">
        <v>0</v>
      </c>
      <c r="N2042" s="18">
        <v>0</v>
      </c>
      <c r="O2042" s="18">
        <v>0</v>
      </c>
      <c r="P2042" s="18"/>
      <c r="Q2042" s="18">
        <v>0</v>
      </c>
      <c r="R2042" s="18">
        <v>0</v>
      </c>
      <c r="S2042" s="18"/>
      <c r="T2042" s="18">
        <v>0</v>
      </c>
      <c r="U2042" s="18"/>
      <c r="V2042" s="18">
        <v>0</v>
      </c>
      <c r="W2042" s="18">
        <v>0</v>
      </c>
      <c r="X2042" s="18">
        <v>-2161912.41</v>
      </c>
      <c r="Y2042" s="18"/>
    </row>
    <row r="2043" spans="1:25" ht="15">
      <c r="A2043" s="4">
        <f>+A2042+1</f>
        <v>7</v>
      </c>
      <c r="B2043" s="5" t="s">
        <v>43</v>
      </c>
      <c r="C2043" s="11"/>
      <c r="D2043" s="27">
        <v>0</v>
      </c>
      <c r="E2043" s="19"/>
      <c r="F2043" s="23">
        <v>0</v>
      </c>
      <c r="G2043" s="18">
        <f>+D2043-F2043</f>
        <v>0</v>
      </c>
      <c r="H2043" s="18"/>
      <c r="I2043" s="18">
        <v>0</v>
      </c>
      <c r="J2043" s="18">
        <v>0</v>
      </c>
      <c r="K2043" s="18">
        <v>0</v>
      </c>
      <c r="L2043" s="18">
        <v>0</v>
      </c>
      <c r="M2043" s="18">
        <v>0</v>
      </c>
      <c r="N2043" s="18">
        <v>0</v>
      </c>
      <c r="O2043" s="31">
        <v>0</v>
      </c>
      <c r="P2043" s="18"/>
      <c r="Q2043" s="18">
        <v>0</v>
      </c>
      <c r="R2043" s="18">
        <v>0</v>
      </c>
      <c r="S2043" s="18"/>
      <c r="T2043" s="18">
        <v>0</v>
      </c>
      <c r="U2043" s="18"/>
      <c r="V2043" s="18">
        <v>0</v>
      </c>
      <c r="W2043" s="18">
        <v>0</v>
      </c>
      <c r="X2043" s="18">
        <v>0</v>
      </c>
      <c r="Y2043" s="18"/>
    </row>
    <row r="2044" spans="1:25" ht="35.25">
      <c r="A2044" s="4">
        <f>+A2043+1</f>
        <v>8</v>
      </c>
      <c r="B2044" s="24" t="s">
        <v>180</v>
      </c>
      <c r="C2044" s="32" t="s">
        <v>44</v>
      </c>
      <c r="D2044" s="33">
        <v>24871137.18</v>
      </c>
      <c r="E2044" s="34"/>
      <c r="F2044" s="91">
        <f>+F2042-F2043</f>
        <v>12847908.489999998</v>
      </c>
      <c r="G2044" s="18">
        <f>+G2042-G2043</f>
        <v>12023228.510000002</v>
      </c>
      <c r="H2044" s="18"/>
      <c r="I2044" s="18">
        <f aca="true" t="shared" si="248" ref="I2044:O2044">+I2042-I2043</f>
        <v>0</v>
      </c>
      <c r="J2044" s="18">
        <f t="shared" si="248"/>
        <v>0</v>
      </c>
      <c r="K2044" s="18">
        <f t="shared" si="248"/>
        <v>0</v>
      </c>
      <c r="L2044" s="18">
        <f t="shared" si="248"/>
        <v>-165604.21</v>
      </c>
      <c r="M2044" s="18">
        <f t="shared" si="248"/>
        <v>0</v>
      </c>
      <c r="N2044" s="18">
        <f t="shared" si="248"/>
        <v>0</v>
      </c>
      <c r="O2044" s="18">
        <f t="shared" si="248"/>
        <v>0</v>
      </c>
      <c r="P2044" s="18"/>
      <c r="Q2044" s="18">
        <f>+Q2042-Q2043</f>
        <v>0</v>
      </c>
      <c r="R2044" s="18">
        <f>+R2042-R2043</f>
        <v>0</v>
      </c>
      <c r="S2044" s="18"/>
      <c r="T2044" s="18">
        <f>+T2042-T2043</f>
        <v>0</v>
      </c>
      <c r="U2044" s="18"/>
      <c r="V2044" s="18">
        <f>+V2042-V2043</f>
        <v>0</v>
      </c>
      <c r="W2044" s="18">
        <f>+W2042-W2043</f>
        <v>0</v>
      </c>
      <c r="X2044" s="18">
        <f>+X2042-X2043</f>
        <v>-2161912.41</v>
      </c>
      <c r="Y2044" s="18"/>
    </row>
    <row r="2045" spans="1:25" ht="28.5">
      <c r="A2045" s="4">
        <f>+A2044+1</f>
        <v>9</v>
      </c>
      <c r="B2045" s="88" t="s">
        <v>181</v>
      </c>
      <c r="C2045" s="35" t="s">
        <v>45</v>
      </c>
      <c r="D2045" s="18">
        <v>0</v>
      </c>
      <c r="E2045" s="19"/>
      <c r="F2045" s="31">
        <v>0</v>
      </c>
      <c r="G2045" s="31">
        <f>+D2045-F2045</f>
        <v>0</v>
      </c>
      <c r="H2045" s="18"/>
      <c r="I2045" s="18">
        <v>0</v>
      </c>
      <c r="J2045" s="18">
        <v>0</v>
      </c>
      <c r="K2045" s="18">
        <v>0</v>
      </c>
      <c r="L2045" s="18">
        <v>0</v>
      </c>
      <c r="M2045" s="18">
        <v>0</v>
      </c>
      <c r="N2045" s="18">
        <v>0</v>
      </c>
      <c r="O2045" s="31">
        <v>0</v>
      </c>
      <c r="P2045" s="18"/>
      <c r="Q2045" s="18">
        <v>0</v>
      </c>
      <c r="R2045" s="18">
        <v>0</v>
      </c>
      <c r="S2045" s="18"/>
      <c r="T2045" s="18">
        <v>0</v>
      </c>
      <c r="U2045" s="18"/>
      <c r="V2045" s="18">
        <v>0</v>
      </c>
      <c r="W2045" s="18">
        <v>0</v>
      </c>
      <c r="X2045" s="18">
        <v>0</v>
      </c>
      <c r="Y2045" s="18"/>
    </row>
    <row r="2046" spans="1:25" ht="15">
      <c r="A2046" s="4">
        <f>+A2045+1</f>
        <v>10</v>
      </c>
      <c r="B2046" s="24" t="s">
        <v>46</v>
      </c>
      <c r="C2046" s="11" t="s">
        <v>47</v>
      </c>
      <c r="D2046" s="36">
        <f>+D2038+D2039+D2040+D2044+D2045</f>
        <v>24871137.18</v>
      </c>
      <c r="E2046" s="19"/>
      <c r="F2046" s="36">
        <f>+F2038+F2039+F2040+F2044+F2045</f>
        <v>12714667.79</v>
      </c>
      <c r="G2046" s="18">
        <f>+G2038+G2039+G2044+G2045+G2040</f>
        <v>12023228.510000002</v>
      </c>
      <c r="H2046" s="18"/>
      <c r="I2046" s="18">
        <f aca="true" t="shared" si="249" ref="I2046:O2046">+I2038+I2039+I2044+I2045+I2040</f>
        <v>0</v>
      </c>
      <c r="J2046" s="21">
        <f t="shared" si="249"/>
        <v>0</v>
      </c>
      <c r="K2046" s="18">
        <f t="shared" si="249"/>
        <v>0</v>
      </c>
      <c r="L2046" s="18">
        <f t="shared" si="249"/>
        <v>-655033.11</v>
      </c>
      <c r="M2046" s="18">
        <f t="shared" si="249"/>
        <v>567778.22</v>
      </c>
      <c r="N2046" s="18">
        <f t="shared" si="249"/>
        <v>0</v>
      </c>
      <c r="O2046" s="18">
        <f t="shared" si="249"/>
        <v>19668.66</v>
      </c>
      <c r="P2046" s="18"/>
      <c r="Q2046" s="18">
        <f>+Q2038+Q2039+Q2044+Q2045+Q2040</f>
        <v>112.78</v>
      </c>
      <c r="R2046" s="18">
        <f>+R2038+R2039+R2044+R2045+R2040</f>
        <v>0</v>
      </c>
      <c r="S2046" s="18"/>
      <c r="T2046" s="18">
        <f>+T2038+T2039+T2044+T2045+T2040</f>
        <v>0</v>
      </c>
      <c r="U2046" s="18"/>
      <c r="V2046" s="18">
        <f>+V2038+V2039+V2044+V2045+V2040</f>
        <v>0.25</v>
      </c>
      <c r="W2046" s="18">
        <f>+W2038+W2039+W2044+W2045+W2040</f>
        <v>0</v>
      </c>
      <c r="X2046" s="18">
        <f>+X2038+X2039+X2044+X2045+X2040</f>
        <v>-2796461.6</v>
      </c>
      <c r="Y2046" s="18"/>
    </row>
    <row r="2047" spans="1:25" ht="15">
      <c r="A2047" s="4"/>
      <c r="B2047" s="24"/>
      <c r="C2047" s="11" t="s">
        <v>0</v>
      </c>
      <c r="D2047" s="27" t="s">
        <v>0</v>
      </c>
      <c r="E2047" s="18"/>
      <c r="F2047" s="36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</row>
    <row r="2048" spans="1:25" ht="15">
      <c r="A2048" s="4"/>
      <c r="B2048" s="94" t="s">
        <v>0</v>
      </c>
      <c r="C2048" s="37" t="s">
        <v>0</v>
      </c>
      <c r="D2048" s="27">
        <f>12505524.06+12365613.12</f>
        <v>24871137.18</v>
      </c>
      <c r="E2048" s="18"/>
      <c r="F2048" s="92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8"/>
      <c r="Y2048" s="18"/>
    </row>
    <row r="2049" spans="1:25" ht="15">
      <c r="A2049" s="4"/>
      <c r="B2049" s="24"/>
      <c r="C2049" s="11"/>
      <c r="D2049" s="6" t="s">
        <v>48</v>
      </c>
      <c r="E2049" s="6"/>
      <c r="F2049" s="10" t="s">
        <v>49</v>
      </c>
      <c r="G2049" s="10" t="s">
        <v>50</v>
      </c>
      <c r="I2049" s="10" t="s">
        <v>51</v>
      </c>
      <c r="J2049" s="10" t="s">
        <v>52</v>
      </c>
      <c r="K2049" s="10" t="s">
        <v>53</v>
      </c>
      <c r="L2049" s="10" t="s">
        <v>54</v>
      </c>
      <c r="M2049" s="10" t="s">
        <v>55</v>
      </c>
      <c r="N2049" s="10" t="s">
        <v>56</v>
      </c>
      <c r="O2049" s="10" t="s">
        <v>57</v>
      </c>
      <c r="P2049" s="18"/>
      <c r="Q2049" s="10" t="s">
        <v>58</v>
      </c>
      <c r="R2049" s="10" t="s">
        <v>59</v>
      </c>
      <c r="S2049" s="10"/>
      <c r="T2049" s="10" t="s">
        <v>60</v>
      </c>
      <c r="U2049" s="18"/>
      <c r="V2049" s="10" t="s">
        <v>61</v>
      </c>
      <c r="W2049" s="10" t="s">
        <v>62</v>
      </c>
      <c r="X2049" s="10" t="s">
        <v>63</v>
      </c>
      <c r="Y2049" s="18"/>
    </row>
    <row r="2050" spans="1:25" ht="15">
      <c r="A2050" s="4"/>
      <c r="B2050"/>
      <c r="C2050" s="11"/>
      <c r="D2050" s="10" t="s">
        <v>20</v>
      </c>
      <c r="E2050" s="38"/>
      <c r="F2050" s="10" t="s">
        <v>20</v>
      </c>
      <c r="G2050" s="10" t="s">
        <v>20</v>
      </c>
      <c r="I2050" s="10" t="s">
        <v>20</v>
      </c>
      <c r="J2050" s="10" t="s">
        <v>20</v>
      </c>
      <c r="K2050" s="10" t="s">
        <v>20</v>
      </c>
      <c r="L2050" s="10" t="s">
        <v>20</v>
      </c>
      <c r="M2050" s="10" t="s">
        <v>20</v>
      </c>
      <c r="N2050" s="10" t="s">
        <v>20</v>
      </c>
      <c r="O2050" s="10" t="s">
        <v>20</v>
      </c>
      <c r="P2050" s="18"/>
      <c r="Q2050" s="10" t="s">
        <v>20</v>
      </c>
      <c r="R2050" s="10" t="s">
        <v>20</v>
      </c>
      <c r="S2050" s="14"/>
      <c r="T2050" s="10" t="s">
        <v>20</v>
      </c>
      <c r="U2050" s="18"/>
      <c r="W2050" s="39" t="s">
        <v>64</v>
      </c>
      <c r="Y2050" s="18"/>
    </row>
    <row r="2051" spans="1:25" ht="15">
      <c r="A2051" s="4"/>
      <c r="B2051" s="87" t="s">
        <v>174</v>
      </c>
      <c r="C2051" s="11"/>
      <c r="D2051" s="8" t="s">
        <v>155</v>
      </c>
      <c r="E2051" s="6"/>
      <c r="F2051" s="8" t="s">
        <v>66</v>
      </c>
      <c r="G2051" s="8" t="s">
        <v>67</v>
      </c>
      <c r="H2051" s="19"/>
      <c r="I2051" s="8" t="s">
        <v>68</v>
      </c>
      <c r="J2051" s="8" t="s">
        <v>69</v>
      </c>
      <c r="K2051" s="8" t="s">
        <v>70</v>
      </c>
      <c r="L2051" s="8" t="s">
        <v>71</v>
      </c>
      <c r="M2051" s="8" t="s">
        <v>72</v>
      </c>
      <c r="N2051" s="8" t="s">
        <v>73</v>
      </c>
      <c r="O2051" s="8" t="s">
        <v>74</v>
      </c>
      <c r="P2051" s="6"/>
      <c r="Q2051" s="8" t="s">
        <v>75</v>
      </c>
      <c r="R2051" s="8" t="s">
        <v>76</v>
      </c>
      <c r="S2051" s="8"/>
      <c r="T2051" s="8" t="s">
        <v>77</v>
      </c>
      <c r="U2051" s="18"/>
      <c r="V2051" s="10" t="s">
        <v>20</v>
      </c>
      <c r="W2051" s="14" t="s">
        <v>21</v>
      </c>
      <c r="X2051" s="10" t="s">
        <v>22</v>
      </c>
      <c r="Y2051" s="18"/>
    </row>
    <row r="2052" spans="1:8" ht="15">
      <c r="A2052" s="4"/>
      <c r="B2052" s="24"/>
      <c r="C2052" s="11"/>
      <c r="E2052" s="14"/>
      <c r="F2052"/>
      <c r="H2052" s="18"/>
    </row>
    <row r="2053" spans="1:24" ht="15">
      <c r="A2053" s="4">
        <f>+A2046+1</f>
        <v>11</v>
      </c>
      <c r="B2053" s="5" t="s">
        <v>36</v>
      </c>
      <c r="C2053" s="17" t="s">
        <v>37</v>
      </c>
      <c r="D2053" s="18">
        <v>0</v>
      </c>
      <c r="E2053" s="18"/>
      <c r="F2053" s="18">
        <v>0</v>
      </c>
      <c r="G2053" s="18">
        <v>0</v>
      </c>
      <c r="I2053" s="27">
        <v>291598.55</v>
      </c>
      <c r="J2053" s="18">
        <v>0</v>
      </c>
      <c r="K2053" s="18">
        <v>0</v>
      </c>
      <c r="L2053" s="18">
        <v>0</v>
      </c>
      <c r="M2053" s="18">
        <v>196628.41</v>
      </c>
      <c r="N2053" s="18">
        <v>-1886423.17</v>
      </c>
      <c r="O2053" s="18">
        <v>0</v>
      </c>
      <c r="Q2053" s="18">
        <v>0</v>
      </c>
      <c r="R2053" s="18">
        <v>0</v>
      </c>
      <c r="S2053" s="18"/>
      <c r="T2053" s="18">
        <v>0</v>
      </c>
      <c r="V2053" s="18">
        <f>+D2036+I2036+J2036+K2036+L2036+M2036+N2036+O2036+Q2036+R2036+T2036+V2036+W2036+X2036+D2053+F2053+G2053+I2053+J2053+K2053+L2053+M2053+N2053+O2053+Q2053+R2053+T2053</f>
        <v>27352900.68</v>
      </c>
      <c r="W2053" s="18">
        <f>+F2036</f>
        <v>15461052.27</v>
      </c>
      <c r="X2053" s="18">
        <f>+V2053-W2053</f>
        <v>11891848.41</v>
      </c>
    </row>
    <row r="2054" spans="1:24" ht="15">
      <c r="A2054" s="4">
        <f>+A2053+1</f>
        <v>12</v>
      </c>
      <c r="B2054" s="5" t="s">
        <v>36</v>
      </c>
      <c r="C2054" s="22" t="s">
        <v>38</v>
      </c>
      <c r="D2054" s="18">
        <v>0</v>
      </c>
      <c r="E2054" s="18"/>
      <c r="F2054" s="18">
        <v>0</v>
      </c>
      <c r="G2054" s="18">
        <v>0</v>
      </c>
      <c r="I2054" s="27">
        <v>287994.6</v>
      </c>
      <c r="J2054" s="18">
        <v>0</v>
      </c>
      <c r="K2054" s="18">
        <v>0</v>
      </c>
      <c r="L2054" s="18">
        <v>0</v>
      </c>
      <c r="M2054" s="18">
        <v>196860.23</v>
      </c>
      <c r="N2054" s="18">
        <v>-1620953.8</v>
      </c>
      <c r="O2054" s="18">
        <v>0</v>
      </c>
      <c r="Q2054" s="18">
        <v>0</v>
      </c>
      <c r="R2054" s="18">
        <v>0</v>
      </c>
      <c r="S2054" s="18"/>
      <c r="T2054" s="18">
        <v>0</v>
      </c>
      <c r="V2054" s="18">
        <f>+D2037+I2037+J2037+K2037+L2037+M2037+N2037+O2037+Q2037+R2037+T2037+V2037+W2037+X2037+D2054+F2054+G2054+I2054+J2054+K2054+L2054+M2054+N2054+O2054+Q2054+R2054+T2054</f>
        <v>28180040.74</v>
      </c>
      <c r="W2054" s="18">
        <f>+F2037</f>
        <v>15594292.969999999</v>
      </c>
      <c r="X2054" s="18">
        <f>+V2054-W2054</f>
        <v>12585747.77</v>
      </c>
    </row>
    <row r="2055" spans="1:24" ht="15">
      <c r="A2055" s="4">
        <f>+A2054+1</f>
        <v>13</v>
      </c>
      <c r="B2055" s="24" t="s">
        <v>46</v>
      </c>
      <c r="C2055" s="40" t="s">
        <v>78</v>
      </c>
      <c r="D2055" s="18">
        <f>+D2053-D2054</f>
        <v>0</v>
      </c>
      <c r="E2055" s="18"/>
      <c r="F2055" s="18">
        <f>+F2053-F2054</f>
        <v>0</v>
      </c>
      <c r="G2055" s="18">
        <f>+G2053-G2054</f>
        <v>0</v>
      </c>
      <c r="I2055" s="18">
        <f aca="true" t="shared" si="250" ref="I2055:O2055">+I2053-I2054</f>
        <v>3603.9500000000116</v>
      </c>
      <c r="J2055" s="18">
        <f t="shared" si="250"/>
        <v>0</v>
      </c>
      <c r="K2055" s="18">
        <f t="shared" si="250"/>
        <v>0</v>
      </c>
      <c r="L2055" s="18">
        <f t="shared" si="250"/>
        <v>0</v>
      </c>
      <c r="M2055" s="18">
        <f t="shared" si="250"/>
        <v>-231.82000000000698</v>
      </c>
      <c r="N2055" s="18">
        <f t="shared" si="250"/>
        <v>-265469.3699999999</v>
      </c>
      <c r="O2055" s="18">
        <f t="shared" si="250"/>
        <v>0</v>
      </c>
      <c r="Q2055" s="18">
        <f>+Q2053-Q2054</f>
        <v>0</v>
      </c>
      <c r="R2055" s="18">
        <f>+R2053-R2054</f>
        <v>0</v>
      </c>
      <c r="S2055" s="18"/>
      <c r="T2055" s="18">
        <f>+T2053-T2054</f>
        <v>0</v>
      </c>
      <c r="V2055" s="27">
        <f>+V2053-V2054</f>
        <v>-827140.0599999987</v>
      </c>
      <c r="W2055" s="27">
        <f>+W2053-W2054</f>
        <v>-133240.69999999925</v>
      </c>
      <c r="X2055" s="18">
        <f>+X2053-X2054</f>
        <v>-693899.3599999994</v>
      </c>
    </row>
    <row r="2056" spans="1:24" ht="28.5">
      <c r="A2056" s="4">
        <f>+A2055+1</f>
        <v>14</v>
      </c>
      <c r="B2056" s="88" t="s">
        <v>182</v>
      </c>
      <c r="C2056" s="11"/>
      <c r="D2056" s="18">
        <v>0</v>
      </c>
      <c r="E2056" s="18"/>
      <c r="F2056" s="18">
        <v>0</v>
      </c>
      <c r="G2056" s="18">
        <v>0</v>
      </c>
      <c r="I2056" s="18">
        <v>0</v>
      </c>
      <c r="J2056" s="18">
        <v>0</v>
      </c>
      <c r="K2056" s="18">
        <v>0</v>
      </c>
      <c r="L2056" s="18">
        <v>0</v>
      </c>
      <c r="M2056" s="18">
        <v>0</v>
      </c>
      <c r="N2056" s="18">
        <v>0</v>
      </c>
      <c r="O2056" s="18">
        <v>0</v>
      </c>
      <c r="Q2056" s="18">
        <v>0</v>
      </c>
      <c r="R2056" s="18">
        <v>0</v>
      </c>
      <c r="S2056" s="18"/>
      <c r="T2056" s="18">
        <v>0</v>
      </c>
      <c r="V2056" s="18">
        <f>+D2039+I2039+J2039+K2039+L2039+M2039+N2039+O2039+Q2039+R2039+T2039+V2039+W2039+X2039+D2056+F2056+G2056+I2056+J2056+K2056+L2056+M2056+N2056+O2056+Q2056+R2056+T2056</f>
        <v>0</v>
      </c>
      <c r="W2056" s="18">
        <f>+F2039</f>
        <v>0</v>
      </c>
      <c r="X2056" s="18">
        <f>+V2056-W2056</f>
        <v>0</v>
      </c>
    </row>
    <row r="2057" spans="1:24" ht="24.75">
      <c r="A2057" s="4">
        <f>+A2056+1</f>
        <v>15</v>
      </c>
      <c r="B2057" s="89" t="s">
        <v>39</v>
      </c>
      <c r="C2057" s="40"/>
      <c r="D2057" s="27">
        <v>0</v>
      </c>
      <c r="E2057" s="18" t="s">
        <v>0</v>
      </c>
      <c r="F2057" s="27">
        <v>0</v>
      </c>
      <c r="G2057" s="27">
        <v>0</v>
      </c>
      <c r="H2057" t="s">
        <v>0</v>
      </c>
      <c r="I2057" s="27">
        <v>0</v>
      </c>
      <c r="J2057" s="27">
        <v>0</v>
      </c>
      <c r="K2057" s="27">
        <v>0</v>
      </c>
      <c r="L2057" s="27">
        <v>0</v>
      </c>
      <c r="M2057" s="27">
        <v>0</v>
      </c>
      <c r="N2057" s="27">
        <v>0</v>
      </c>
      <c r="O2057" s="27">
        <v>7.11</v>
      </c>
      <c r="Q2057" s="27">
        <v>0</v>
      </c>
      <c r="R2057" s="27">
        <v>0</v>
      </c>
      <c r="S2057" s="27"/>
      <c r="T2057" s="27">
        <v>0</v>
      </c>
      <c r="V2057" s="18">
        <f>+D2040+I2040+J2040+K2040+L2040+M2040+N2040+O2040+Q2040+R2040+T2040+V2040+W2040+X2040+D2057+F2057+G2057+I2057+J2057+K2057+L2057+M2057+N2057+O2057+Q2057+R2057+T2057</f>
        <v>28631.759999999962</v>
      </c>
      <c r="W2057" s="18">
        <f>+F2040</f>
        <v>0</v>
      </c>
      <c r="X2057" s="18">
        <f>+V2057-W2057</f>
        <v>28631.759999999962</v>
      </c>
    </row>
    <row r="2058" spans="1:24" ht="15">
      <c r="A2058" s="6" t="s">
        <v>41</v>
      </c>
      <c r="B2058" s="41"/>
      <c r="C2058" s="40"/>
      <c r="D2058" s="18"/>
      <c r="E2058" s="18"/>
      <c r="F2058" s="18"/>
      <c r="G2058" s="18"/>
      <c r="I2058" s="18"/>
      <c r="J2058" s="18"/>
      <c r="K2058" s="18"/>
      <c r="L2058" s="18"/>
      <c r="M2058" s="18"/>
      <c r="N2058" s="18"/>
      <c r="O2058" s="18"/>
      <c r="Q2058" s="18"/>
      <c r="R2058" s="18"/>
      <c r="S2058" s="18"/>
      <c r="T2058" s="18"/>
      <c r="V2058" s="18"/>
      <c r="W2058" s="18"/>
      <c r="X2058" s="18"/>
    </row>
    <row r="2059" spans="1:24" ht="15">
      <c r="A2059" s="4">
        <f>+A2057+1</f>
        <v>16</v>
      </c>
      <c r="B2059" s="5" t="s">
        <v>42</v>
      </c>
      <c r="C2059" s="22" t="s">
        <v>38</v>
      </c>
      <c r="D2059" s="18">
        <v>0</v>
      </c>
      <c r="E2059" s="18"/>
      <c r="F2059" s="18">
        <v>0</v>
      </c>
      <c r="G2059" s="18">
        <v>0</v>
      </c>
      <c r="I2059" s="27">
        <v>296655.66</v>
      </c>
      <c r="J2059" s="18">
        <v>0</v>
      </c>
      <c r="K2059" s="18">
        <v>0</v>
      </c>
      <c r="L2059" s="18">
        <v>0</v>
      </c>
      <c r="M2059" s="18">
        <v>188996.8</v>
      </c>
      <c r="N2059" s="18">
        <v>-975249.11</v>
      </c>
      <c r="O2059" s="18">
        <v>0</v>
      </c>
      <c r="P2059" s="18"/>
      <c r="Q2059" s="18">
        <v>0</v>
      </c>
      <c r="R2059" s="18">
        <v>0</v>
      </c>
      <c r="S2059" s="18"/>
      <c r="T2059" s="18">
        <v>0</v>
      </c>
      <c r="U2059" s="18"/>
      <c r="V2059" s="18">
        <f>+D2042+I2042+J2042+K2042+L2042+M2042+N2042+O2042+Q2042+R2042+T2042+V2042+W2042+X2042+D2059+F2059+G2059+I2059+J2059+K2059+L2059+M2059+N2059+O2059+Q2059+R2059+T2059</f>
        <v>22054023.73</v>
      </c>
      <c r="W2059" s="18">
        <f>+F2042</f>
        <v>12847908.489999998</v>
      </c>
      <c r="X2059" s="18">
        <f>+V2059-W2059</f>
        <v>9206115.240000002</v>
      </c>
    </row>
    <row r="2060" spans="1:24" ht="15">
      <c r="A2060" s="4">
        <f>+A2059+1</f>
        <v>17</v>
      </c>
      <c r="B2060" s="5" t="s">
        <v>43</v>
      </c>
      <c r="C2060" s="11"/>
      <c r="D2060" s="18">
        <v>0</v>
      </c>
      <c r="E2060" s="18"/>
      <c r="F2060" s="18">
        <v>0</v>
      </c>
      <c r="G2060" s="18">
        <v>0</v>
      </c>
      <c r="I2060" s="27">
        <v>0</v>
      </c>
      <c r="J2060" s="18">
        <v>0</v>
      </c>
      <c r="K2060" s="18">
        <v>0</v>
      </c>
      <c r="L2060" s="18">
        <v>0</v>
      </c>
      <c r="M2060" s="18">
        <v>0</v>
      </c>
      <c r="N2060" s="18">
        <v>0</v>
      </c>
      <c r="O2060" s="18">
        <v>0</v>
      </c>
      <c r="P2060" s="18"/>
      <c r="Q2060" s="18">
        <v>0</v>
      </c>
      <c r="R2060" s="18">
        <v>0</v>
      </c>
      <c r="S2060" s="18"/>
      <c r="T2060" s="18">
        <v>0</v>
      </c>
      <c r="U2060" s="18"/>
      <c r="V2060" s="18">
        <f>+D2043+I2043+J2043+K2043+L2043+M2043+N2043+O2043+Q2043+R2043+T2043+V2043+W2043+X2043+D2060+F2060+G2060+I2060+J2060+K2060+L2060+M2060+N2060+O2060+Q2060+R2060+T2060</f>
        <v>0</v>
      </c>
      <c r="W2060" s="18">
        <f>+F2043</f>
        <v>0</v>
      </c>
      <c r="X2060" s="18">
        <f>+V2060-W2060</f>
        <v>0</v>
      </c>
    </row>
    <row r="2061" spans="1:24" ht="26.25">
      <c r="A2061" s="4">
        <f>+A2060+1</f>
        <v>18</v>
      </c>
      <c r="B2061" s="24" t="s">
        <v>79</v>
      </c>
      <c r="C2061" s="11"/>
      <c r="D2061" s="18">
        <f>+D2059-D2060</f>
        <v>0</v>
      </c>
      <c r="E2061" s="18"/>
      <c r="F2061" s="18">
        <f>+F2059-F2060</f>
        <v>0</v>
      </c>
      <c r="G2061" s="18">
        <f>+G2059-G2060</f>
        <v>0</v>
      </c>
      <c r="I2061" s="18">
        <f aca="true" t="shared" si="251" ref="I2061:O2061">+I2059-I2060</f>
        <v>296655.66</v>
      </c>
      <c r="J2061" s="18">
        <f t="shared" si="251"/>
        <v>0</v>
      </c>
      <c r="K2061" s="18">
        <f t="shared" si="251"/>
        <v>0</v>
      </c>
      <c r="L2061" s="18">
        <f t="shared" si="251"/>
        <v>0</v>
      </c>
      <c r="M2061" s="18">
        <f t="shared" si="251"/>
        <v>188996.8</v>
      </c>
      <c r="N2061" s="18">
        <f t="shared" si="251"/>
        <v>-975249.11</v>
      </c>
      <c r="O2061" s="18">
        <f t="shared" si="251"/>
        <v>0</v>
      </c>
      <c r="P2061" s="18"/>
      <c r="Q2061" s="18">
        <f>+Q2059-Q2060</f>
        <v>0</v>
      </c>
      <c r="R2061" s="18">
        <f>+R2059-R2060</f>
        <v>0</v>
      </c>
      <c r="S2061" s="18"/>
      <c r="T2061" s="18">
        <f>+T2059-T2060</f>
        <v>0</v>
      </c>
      <c r="U2061" s="18"/>
      <c r="V2061" s="27">
        <f>+V2059-V2060</f>
        <v>22054023.73</v>
      </c>
      <c r="W2061" s="27">
        <f>+W2059-W2060</f>
        <v>12847908.489999998</v>
      </c>
      <c r="X2061" s="18">
        <f>+X2059-X2060</f>
        <v>9206115.240000002</v>
      </c>
    </row>
    <row r="2062" spans="1:24" ht="28.5">
      <c r="A2062" s="4">
        <f>+A2061+1</f>
        <v>19</v>
      </c>
      <c r="B2062" s="88" t="s">
        <v>181</v>
      </c>
      <c r="C2062" s="11"/>
      <c r="D2062" s="18">
        <v>0</v>
      </c>
      <c r="E2062" s="18"/>
      <c r="F2062" s="18">
        <v>0</v>
      </c>
      <c r="G2062" s="18">
        <v>0</v>
      </c>
      <c r="I2062" s="18">
        <v>0</v>
      </c>
      <c r="J2062" s="18">
        <v>0</v>
      </c>
      <c r="K2062" s="18">
        <v>0</v>
      </c>
      <c r="L2062" s="18">
        <v>0</v>
      </c>
      <c r="M2062" s="18">
        <v>0</v>
      </c>
      <c r="N2062" s="18">
        <v>0</v>
      </c>
      <c r="O2062" s="18">
        <v>0</v>
      </c>
      <c r="P2062" s="18"/>
      <c r="Q2062" s="18">
        <v>0</v>
      </c>
      <c r="R2062" s="18">
        <v>0</v>
      </c>
      <c r="S2062" s="18"/>
      <c r="T2062" s="18">
        <v>0</v>
      </c>
      <c r="U2062" s="18"/>
      <c r="V2062" s="18">
        <f>+D2045+I2045+J2045+K2045+L2045+M2045+N2045+O2045+Q2045+R2045+T2045+V2045+W2045+X2045+D2062+F2062+G2062+I2062+J2062+K2062+L2062+M2062+N2062+O2062+Q2062+R2062+T2062</f>
        <v>0</v>
      </c>
      <c r="W2062" s="18">
        <f>+F2045+K2062+L2062+M2062+N2062+O2062+Q2062+R2062+T2062</f>
        <v>0</v>
      </c>
      <c r="X2062" s="18">
        <f>+V2062-W2062</f>
        <v>0</v>
      </c>
    </row>
    <row r="2063" spans="1:24" ht="15">
      <c r="A2063" s="4">
        <f>+A2062+1</f>
        <v>20</v>
      </c>
      <c r="B2063" s="24" t="s">
        <v>46</v>
      </c>
      <c r="C2063" s="11" t="s">
        <v>47</v>
      </c>
      <c r="D2063" s="18">
        <f>+D2055+D2056+D2061+D2062+D2057</f>
        <v>0</v>
      </c>
      <c r="E2063" s="18"/>
      <c r="F2063" s="18">
        <f>+F2055+F2056+F2061+F2062+F2057</f>
        <v>0</v>
      </c>
      <c r="G2063" s="18">
        <f>+G2055+G2056+G2061+G2062+G2057</f>
        <v>0</v>
      </c>
      <c r="I2063" s="18">
        <f aca="true" t="shared" si="252" ref="I2063:O2063">+I2055+I2056+I2061+I2062+I2057</f>
        <v>300259.61</v>
      </c>
      <c r="J2063" s="18">
        <f t="shared" si="252"/>
        <v>0</v>
      </c>
      <c r="K2063" s="18">
        <f t="shared" si="252"/>
        <v>0</v>
      </c>
      <c r="L2063" s="18">
        <f t="shared" si="252"/>
        <v>0</v>
      </c>
      <c r="M2063" s="18">
        <f t="shared" si="252"/>
        <v>188764.97999999998</v>
      </c>
      <c r="N2063" s="18">
        <f t="shared" si="252"/>
        <v>-1240718.48</v>
      </c>
      <c r="O2063" s="18">
        <f t="shared" si="252"/>
        <v>7.11</v>
      </c>
      <c r="P2063" s="42"/>
      <c r="Q2063" s="18">
        <f>+Q2055+Q2056+Q2061+Q2062+Q2057</f>
        <v>0</v>
      </c>
      <c r="R2063" s="18">
        <f>+R2055+R2056+R2061+R2062+R2057</f>
        <v>0</v>
      </c>
      <c r="S2063" s="18"/>
      <c r="T2063" s="18">
        <f>+T2055+T2056+T2061+T2062+T2057</f>
        <v>0</v>
      </c>
      <c r="U2063" s="42"/>
      <c r="V2063" s="18">
        <f>SUM(V2055,V2057,V2061,V2062)</f>
        <v>21255515.430000003</v>
      </c>
      <c r="W2063" s="18">
        <f>+W2055+W2056+W2061+W2062+W2057</f>
        <v>12714667.79</v>
      </c>
      <c r="X2063" s="18">
        <f>+X2055+X2056+X2061+X2062+X2057</f>
        <v>8540847.640000002</v>
      </c>
    </row>
    <row r="2064" spans="1:24" ht="15">
      <c r="A2064" s="4"/>
      <c r="B2064" s="24"/>
      <c r="C2064" s="11"/>
      <c r="D2064" s="18"/>
      <c r="E2064" s="18"/>
      <c r="F2064" s="18"/>
      <c r="G2064" s="18"/>
      <c r="I2064" s="18"/>
      <c r="J2064" s="18"/>
      <c r="K2064" s="18"/>
      <c r="L2064" s="18"/>
      <c r="M2064" s="18"/>
      <c r="N2064" s="18"/>
      <c r="O2064" s="18"/>
      <c r="P2064" s="42"/>
      <c r="Q2064" s="18"/>
      <c r="R2064" s="18"/>
      <c r="S2064" s="18"/>
      <c r="T2064" s="18"/>
      <c r="U2064" s="42"/>
      <c r="V2064" s="18"/>
      <c r="W2064" s="18"/>
      <c r="X2064" s="18"/>
    </row>
    <row r="2065" spans="1:24" ht="15">
      <c r="A2065" s="4"/>
      <c r="B2065" s="24"/>
      <c r="C2065" s="11"/>
      <c r="D2065" s="18"/>
      <c r="E2065" s="18"/>
      <c r="F2065" s="18"/>
      <c r="G2065" s="18"/>
      <c r="I2065" s="18"/>
      <c r="J2065" s="18"/>
      <c r="K2065" s="18"/>
      <c r="L2065" s="18"/>
      <c r="M2065" s="18"/>
      <c r="N2065" s="18"/>
      <c r="O2065" s="18"/>
      <c r="P2065" s="42"/>
      <c r="Q2065" s="18"/>
      <c r="R2065" s="18"/>
      <c r="S2065" s="18"/>
      <c r="T2065" s="18"/>
      <c r="U2065" s="42"/>
      <c r="V2065" s="18"/>
      <c r="W2065" s="18"/>
      <c r="X2065" s="18"/>
    </row>
    <row r="2066" spans="1:24" ht="15">
      <c r="A2066" s="4"/>
      <c r="B2066" s="24"/>
      <c r="C2066" s="11"/>
      <c r="D2066" s="18"/>
      <c r="E2066" s="18"/>
      <c r="F2066" s="18"/>
      <c r="G2066" s="18"/>
      <c r="I2066" s="18"/>
      <c r="J2066" s="18"/>
      <c r="K2066" s="18"/>
      <c r="L2066" s="18"/>
      <c r="M2066" s="18"/>
      <c r="N2066" s="18"/>
      <c r="O2066" s="18"/>
      <c r="P2066" s="42"/>
      <c r="Q2066" s="18"/>
      <c r="R2066" s="18"/>
      <c r="S2066" s="18"/>
      <c r="T2066" s="18"/>
      <c r="U2066" s="42"/>
      <c r="V2066" s="18"/>
      <c r="W2066" s="18"/>
      <c r="X2066" s="18"/>
    </row>
    <row r="2067" spans="1:25" ht="15">
      <c r="A2067" s="4"/>
      <c r="B2067" s="24"/>
      <c r="C2067" s="11"/>
      <c r="D2067" s="10" t="s">
        <v>80</v>
      </c>
      <c r="E2067" s="10"/>
      <c r="F2067" s="10" t="s">
        <v>81</v>
      </c>
      <c r="G2067" s="10" t="s">
        <v>82</v>
      </c>
      <c r="I2067" s="10" t="s">
        <v>83</v>
      </c>
      <c r="J2067" s="10" t="s">
        <v>84</v>
      </c>
      <c r="K2067" s="10" t="s">
        <v>85</v>
      </c>
      <c r="L2067" s="10" t="s">
        <v>86</v>
      </c>
      <c r="M2067" s="43" t="s">
        <v>87</v>
      </c>
      <c r="N2067" s="43" t="s">
        <v>88</v>
      </c>
      <c r="O2067" s="44" t="s">
        <v>89</v>
      </c>
      <c r="P2067" s="42"/>
      <c r="Q2067" s="43" t="s">
        <v>90</v>
      </c>
      <c r="R2067" s="43" t="s">
        <v>91</v>
      </c>
      <c r="S2067" s="43"/>
      <c r="T2067" s="43" t="s">
        <v>92</v>
      </c>
      <c r="U2067" s="42"/>
      <c r="V2067" s="43" t="s">
        <v>93</v>
      </c>
      <c r="W2067" s="43" t="s">
        <v>94</v>
      </c>
      <c r="X2067" s="43" t="s">
        <v>95</v>
      </c>
      <c r="Y2067" s="18"/>
    </row>
    <row r="2068" spans="1:25" ht="15">
      <c r="A2068" s="4"/>
      <c r="B2068"/>
      <c r="C2068" s="11"/>
      <c r="D2068" s="10" t="s">
        <v>20</v>
      </c>
      <c r="E2068" s="38"/>
      <c r="F2068" s="10" t="s">
        <v>20</v>
      </c>
      <c r="G2068" s="10" t="s">
        <v>20</v>
      </c>
      <c r="I2068" s="10" t="s">
        <v>20</v>
      </c>
      <c r="J2068" s="10" t="s">
        <v>20</v>
      </c>
      <c r="K2068" s="10" t="s">
        <v>20</v>
      </c>
      <c r="L2068" s="10" t="s">
        <v>20</v>
      </c>
      <c r="M2068" s="10" t="s">
        <v>20</v>
      </c>
      <c r="N2068" s="10" t="s">
        <v>20</v>
      </c>
      <c r="O2068" s="10" t="s">
        <v>20</v>
      </c>
      <c r="P2068" s="18"/>
      <c r="Q2068" s="10" t="s">
        <v>20</v>
      </c>
      <c r="R2068" s="10" t="s">
        <v>20</v>
      </c>
      <c r="S2068" s="14"/>
      <c r="T2068" s="10" t="s">
        <v>20</v>
      </c>
      <c r="U2068" s="18"/>
      <c r="W2068" s="39" t="s">
        <v>96</v>
      </c>
      <c r="Y2068" s="18"/>
    </row>
    <row r="2069" spans="1:25" ht="15">
      <c r="A2069" s="4"/>
      <c r="B2069" s="87" t="s">
        <v>174</v>
      </c>
      <c r="C2069" s="11"/>
      <c r="D2069" s="8" t="s">
        <v>156</v>
      </c>
      <c r="E2069" s="6"/>
      <c r="F2069" s="8" t="s">
        <v>157</v>
      </c>
      <c r="G2069" s="45" t="s">
        <v>99</v>
      </c>
      <c r="H2069" s="19"/>
      <c r="I2069" s="45" t="s">
        <v>100</v>
      </c>
      <c r="J2069" s="45" t="s">
        <v>101</v>
      </c>
      <c r="K2069" s="82" t="s">
        <v>102</v>
      </c>
      <c r="L2069" s="45" t="s">
        <v>103</v>
      </c>
      <c r="M2069" s="45" t="s">
        <v>104</v>
      </c>
      <c r="N2069" s="45" t="s">
        <v>105</v>
      </c>
      <c r="O2069" s="45" t="s">
        <v>106</v>
      </c>
      <c r="P2069" s="6"/>
      <c r="Q2069" s="45" t="s">
        <v>107</v>
      </c>
      <c r="R2069" s="45" t="s">
        <v>108</v>
      </c>
      <c r="S2069" s="45"/>
      <c r="T2069" s="45" t="s">
        <v>109</v>
      </c>
      <c r="U2069" s="18"/>
      <c r="V2069" s="10" t="s">
        <v>20</v>
      </c>
      <c r="W2069" s="10" t="s">
        <v>21</v>
      </c>
      <c r="X2069" s="10" t="s">
        <v>22</v>
      </c>
      <c r="Y2069" s="18"/>
    </row>
    <row r="2070" spans="1:9" ht="15">
      <c r="A2070" s="4"/>
      <c r="B2070" s="24"/>
      <c r="C2070" s="11"/>
      <c r="E2070" s="14"/>
      <c r="F2070"/>
      <c r="H2070" s="18"/>
      <c r="I2070" s="16"/>
    </row>
    <row r="2071" spans="1:24" ht="15">
      <c r="A2071" s="4">
        <f>+A2064+1</f>
        <v>1</v>
      </c>
      <c r="B2071" s="5" t="s">
        <v>36</v>
      </c>
      <c r="C2071" s="17" t="s">
        <v>37</v>
      </c>
      <c r="D2071" s="18">
        <v>959.87</v>
      </c>
      <c r="E2071" s="18"/>
      <c r="F2071" s="18">
        <v>53423.56</v>
      </c>
      <c r="G2071" s="18">
        <v>10632.04</v>
      </c>
      <c r="I2071" s="18">
        <v>0</v>
      </c>
      <c r="J2071" s="18">
        <v>0</v>
      </c>
      <c r="K2071" s="46">
        <v>-328597.9000000001</v>
      </c>
      <c r="L2071" s="27">
        <v>-7129</v>
      </c>
      <c r="M2071" s="18">
        <v>-8578.08</v>
      </c>
      <c r="N2071" s="18">
        <v>0</v>
      </c>
      <c r="O2071" s="18">
        <v>-43500.46</v>
      </c>
      <c r="Q2071" s="18">
        <v>0</v>
      </c>
      <c r="R2071" s="18">
        <v>-9976.29</v>
      </c>
      <c r="S2071" s="18"/>
      <c r="T2071" s="18">
        <v>-47570.09</v>
      </c>
      <c r="V2071" s="18">
        <f>+V2053+D2071+F2071+G2071+I2071+J2071+K2071+L2071+M2071+N2071+O2071+Q2071+R2071+T2071</f>
        <v>26972564.330000002</v>
      </c>
      <c r="W2071" s="18">
        <f>+W2053</f>
        <v>15461052.27</v>
      </c>
      <c r="X2071" s="18">
        <f>+V2071-W2071</f>
        <v>11511512.060000002</v>
      </c>
    </row>
    <row r="2072" spans="1:24" ht="15">
      <c r="A2072" s="4">
        <f>+A2071+1</f>
        <v>2</v>
      </c>
      <c r="B2072" s="5" t="s">
        <v>36</v>
      </c>
      <c r="C2072" s="22" t="s">
        <v>38</v>
      </c>
      <c r="D2072" s="18">
        <v>959.87</v>
      </c>
      <c r="E2072" s="18"/>
      <c r="F2072" s="18">
        <v>52516.24</v>
      </c>
      <c r="G2072" s="18">
        <v>10632.04</v>
      </c>
      <c r="I2072" s="18">
        <v>0</v>
      </c>
      <c r="J2072" s="18">
        <v>0</v>
      </c>
      <c r="K2072" s="46">
        <v>-331056.08</v>
      </c>
      <c r="L2072" s="27">
        <v>-7129</v>
      </c>
      <c r="M2072" s="18">
        <v>-8578.08</v>
      </c>
      <c r="N2072" s="18">
        <v>0</v>
      </c>
      <c r="O2072" s="18">
        <v>-46709.62</v>
      </c>
      <c r="Q2072" s="18">
        <v>0</v>
      </c>
      <c r="R2072" s="18">
        <v>-11899.97</v>
      </c>
      <c r="S2072" s="18"/>
      <c r="T2072" s="18">
        <v>-50390.85</v>
      </c>
      <c r="V2072" s="18">
        <f>+V2054+D2072+F2072+G2072+I2072+J2072+K2072+L2072+M2072+N2072+O2072+Q2072+R2072+T2072</f>
        <v>27788385.29</v>
      </c>
      <c r="W2072" s="18">
        <f>+W2054</f>
        <v>15594292.969999999</v>
      </c>
      <c r="X2072" s="18">
        <f>+V2072-W2072</f>
        <v>12194092.32</v>
      </c>
    </row>
    <row r="2073" spans="1:24" ht="15">
      <c r="A2073" s="4">
        <f>+A2072+1</f>
        <v>3</v>
      </c>
      <c r="B2073" s="24" t="s">
        <v>46</v>
      </c>
      <c r="C2073" s="40" t="s">
        <v>78</v>
      </c>
      <c r="D2073" s="18">
        <f>+D2071-D2072</f>
        <v>0</v>
      </c>
      <c r="E2073" s="18"/>
      <c r="F2073" s="18">
        <f>+F2071-F2072</f>
        <v>907.3199999999997</v>
      </c>
      <c r="G2073" s="18">
        <f>+G2071-G2072</f>
        <v>0</v>
      </c>
      <c r="I2073" s="18">
        <f aca="true" t="shared" si="253" ref="I2073:O2073">+I2071-I2072</f>
        <v>0</v>
      </c>
      <c r="J2073" s="18">
        <f t="shared" si="253"/>
        <v>0</v>
      </c>
      <c r="K2073" s="18">
        <f t="shared" si="253"/>
        <v>2458.179999999935</v>
      </c>
      <c r="L2073" s="18">
        <f t="shared" si="253"/>
        <v>0</v>
      </c>
      <c r="M2073" s="18">
        <f t="shared" si="253"/>
        <v>0</v>
      </c>
      <c r="N2073" s="18">
        <f t="shared" si="253"/>
        <v>0</v>
      </c>
      <c r="O2073" s="18">
        <f t="shared" si="253"/>
        <v>3209.1600000000035</v>
      </c>
      <c r="Q2073" s="18">
        <f>+Q2071-Q2072</f>
        <v>0</v>
      </c>
      <c r="R2073" s="18">
        <f>+R2071-R2072</f>
        <v>1923.6799999999985</v>
      </c>
      <c r="S2073" s="18"/>
      <c r="T2073" s="18">
        <f>+T2071-T2072</f>
        <v>2820.760000000002</v>
      </c>
      <c r="V2073" s="27">
        <f>+V2071-V2072</f>
        <v>-815820.9599999972</v>
      </c>
      <c r="W2073" s="27">
        <f>+W2071-W2072</f>
        <v>-133240.69999999925</v>
      </c>
      <c r="X2073" s="18">
        <f>+X2071-X2072</f>
        <v>-682580.2599999979</v>
      </c>
    </row>
    <row r="2074" spans="1:24" ht="28.5">
      <c r="A2074" s="4">
        <f>+A2073+1</f>
        <v>4</v>
      </c>
      <c r="B2074" s="88" t="s">
        <v>182</v>
      </c>
      <c r="C2074" s="11"/>
      <c r="D2074" s="18">
        <v>0</v>
      </c>
      <c r="E2074" s="18"/>
      <c r="F2074" s="18">
        <v>0</v>
      </c>
      <c r="G2074" s="18">
        <v>0</v>
      </c>
      <c r="I2074" s="18">
        <v>0</v>
      </c>
      <c r="J2074" s="27">
        <v>0</v>
      </c>
      <c r="K2074" s="18">
        <v>0</v>
      </c>
      <c r="L2074" s="18">
        <v>0</v>
      </c>
      <c r="M2074" s="18">
        <v>0</v>
      </c>
      <c r="N2074" s="18">
        <v>0</v>
      </c>
      <c r="O2074" s="18">
        <v>0</v>
      </c>
      <c r="Q2074" s="18">
        <v>0</v>
      </c>
      <c r="R2074" s="18">
        <v>0</v>
      </c>
      <c r="S2074" s="18"/>
      <c r="T2074" s="18">
        <v>0</v>
      </c>
      <c r="V2074" s="18">
        <f>+V2056+D2074+F2074+G2074+I2074+J2074+K2074+L2074+M2074+N2074+O2074+Q2074+R2074+T2074</f>
        <v>0</v>
      </c>
      <c r="W2074" s="18">
        <f>+W2056</f>
        <v>0</v>
      </c>
      <c r="X2074" s="18">
        <f>+V2074-W2074</f>
        <v>0</v>
      </c>
    </row>
    <row r="2075" spans="1:24" ht="24.75">
      <c r="A2075" s="4">
        <f>+A2074+1</f>
        <v>5</v>
      </c>
      <c r="B2075" s="89" t="s">
        <v>39</v>
      </c>
      <c r="C2075" s="40"/>
      <c r="D2075" s="27">
        <v>0</v>
      </c>
      <c r="E2075" s="18"/>
      <c r="F2075" s="27">
        <v>0</v>
      </c>
      <c r="G2075" s="27">
        <v>-6126.24</v>
      </c>
      <c r="I2075" s="27">
        <v>0</v>
      </c>
      <c r="J2075" s="27">
        <v>0</v>
      </c>
      <c r="K2075" s="55">
        <v>19864.469999999998</v>
      </c>
      <c r="L2075" s="27">
        <v>0</v>
      </c>
      <c r="M2075" s="27">
        <v>0</v>
      </c>
      <c r="N2075" s="27">
        <v>0</v>
      </c>
      <c r="O2075" s="27">
        <v>0</v>
      </c>
      <c r="Q2075" s="27">
        <v>0</v>
      </c>
      <c r="R2075" s="27">
        <v>0</v>
      </c>
      <c r="S2075" s="27"/>
      <c r="T2075" s="27">
        <v>0</v>
      </c>
      <c r="V2075" s="18">
        <f>+V2057+D2075+F2075+G2075+I2075+J2075+K2075+L2075+M2075+N2075+O2075+Q2075+R2075+T2075</f>
        <v>42369.98999999996</v>
      </c>
      <c r="W2075" s="18">
        <f>+W2057</f>
        <v>0</v>
      </c>
      <c r="X2075" s="18">
        <f>+V2075-W2075</f>
        <v>42369.98999999996</v>
      </c>
    </row>
    <row r="2076" spans="1:24" ht="15">
      <c r="A2076" s="6" t="s">
        <v>41</v>
      </c>
      <c r="B2076" s="41"/>
      <c r="C2076" s="40"/>
      <c r="D2076" s="18"/>
      <c r="E2076" s="18"/>
      <c r="F2076" s="18"/>
      <c r="G2076" s="18"/>
      <c r="I2076" s="18"/>
      <c r="J2076" s="18"/>
      <c r="K2076" s="27"/>
      <c r="L2076" s="18"/>
      <c r="M2076" s="18"/>
      <c r="N2076" s="18"/>
      <c r="O2076" s="18"/>
      <c r="Q2076" s="18"/>
      <c r="R2076" s="18"/>
      <c r="S2076" s="18"/>
      <c r="T2076" s="18"/>
      <c r="V2076" s="18"/>
      <c r="W2076" s="18"/>
      <c r="X2076" s="18"/>
    </row>
    <row r="2077" spans="1:24" ht="15">
      <c r="A2077" s="4">
        <f>+A2075+1</f>
        <v>6</v>
      </c>
      <c r="B2077" s="5" t="s">
        <v>42</v>
      </c>
      <c r="C2077" s="22" t="s">
        <v>38</v>
      </c>
      <c r="D2077" s="18">
        <v>1380.77</v>
      </c>
      <c r="E2077" s="18"/>
      <c r="F2077" s="18">
        <v>52668.11</v>
      </c>
      <c r="G2077" s="18">
        <v>11348.7</v>
      </c>
      <c r="I2077" s="18">
        <v>0</v>
      </c>
      <c r="J2077" s="18">
        <v>0</v>
      </c>
      <c r="K2077" s="46">
        <v>-285934.54</v>
      </c>
      <c r="L2077" s="27">
        <v>-7129</v>
      </c>
      <c r="M2077" s="18">
        <v>-9497.16</v>
      </c>
      <c r="N2077" s="18">
        <v>0</v>
      </c>
      <c r="O2077" s="18">
        <v>-29444.04</v>
      </c>
      <c r="P2077" s="18"/>
      <c r="Q2077" s="18">
        <v>0</v>
      </c>
      <c r="R2077" s="18">
        <v>-7617.18</v>
      </c>
      <c r="S2077" s="18"/>
      <c r="T2077" s="18">
        <v>-35842.15</v>
      </c>
      <c r="U2077" s="18"/>
      <c r="V2077" s="18">
        <f>+V2059+D2077+F2077+G2077+I2077+J2077+K2077+L2077+M2077+N2077+O2077+Q2077+R2077+T2077</f>
        <v>21743957.240000002</v>
      </c>
      <c r="W2077" s="18">
        <f>+W2059</f>
        <v>12847908.489999998</v>
      </c>
      <c r="X2077" s="18">
        <f>+V2077-W2077</f>
        <v>8896048.750000004</v>
      </c>
    </row>
    <row r="2078" spans="1:24" ht="15">
      <c r="A2078" s="4">
        <f>+A2077+1</f>
        <v>7</v>
      </c>
      <c r="B2078" s="5" t="s">
        <v>43</v>
      </c>
      <c r="C2078" s="11"/>
      <c r="D2078" s="18">
        <v>0</v>
      </c>
      <c r="E2078" s="18"/>
      <c r="F2078" s="18">
        <v>0</v>
      </c>
      <c r="G2078" s="18">
        <v>0</v>
      </c>
      <c r="I2078" s="18">
        <v>0</v>
      </c>
      <c r="J2078" s="18">
        <v>0</v>
      </c>
      <c r="K2078" s="18">
        <v>0</v>
      </c>
      <c r="L2078" s="18">
        <v>0</v>
      </c>
      <c r="M2078" s="18">
        <v>0</v>
      </c>
      <c r="N2078" s="18">
        <v>0</v>
      </c>
      <c r="O2078" s="18">
        <v>0</v>
      </c>
      <c r="P2078" s="18"/>
      <c r="Q2078" s="18">
        <v>0</v>
      </c>
      <c r="R2078" s="18">
        <v>0</v>
      </c>
      <c r="S2078" s="18"/>
      <c r="T2078" s="18">
        <v>0</v>
      </c>
      <c r="U2078" s="18"/>
      <c r="V2078" s="18">
        <f>+V2060+D2078+F2078+G2078+I2078+J2078+K2078+L2078+M2078+N2078+O2078+Q2078+R2078+T2078</f>
        <v>0</v>
      </c>
      <c r="W2078" s="18">
        <f>+W2060</f>
        <v>0</v>
      </c>
      <c r="X2078" s="18">
        <f>+V2078-W2078</f>
        <v>0</v>
      </c>
    </row>
    <row r="2079" spans="1:24" ht="26.25">
      <c r="A2079" s="4">
        <f>+A2078+1</f>
        <v>8</v>
      </c>
      <c r="B2079" s="24" t="s">
        <v>79</v>
      </c>
      <c r="C2079" s="11"/>
      <c r="D2079" s="18">
        <f>+D2077-D2078</f>
        <v>1380.77</v>
      </c>
      <c r="E2079" s="18"/>
      <c r="F2079" s="18">
        <f>+F2077-F2078</f>
        <v>52668.11</v>
      </c>
      <c r="G2079" s="18">
        <f>+G2077-G2078</f>
        <v>11348.7</v>
      </c>
      <c r="I2079" s="18">
        <f aca="true" t="shared" si="254" ref="I2079:O2079">+I2077-I2078</f>
        <v>0</v>
      </c>
      <c r="J2079" s="18">
        <f t="shared" si="254"/>
        <v>0</v>
      </c>
      <c r="K2079" s="18">
        <f t="shared" si="254"/>
        <v>-285934.54</v>
      </c>
      <c r="L2079" s="18">
        <f t="shared" si="254"/>
        <v>-7129</v>
      </c>
      <c r="M2079" s="18">
        <f t="shared" si="254"/>
        <v>-9497.16</v>
      </c>
      <c r="N2079" s="18">
        <f t="shared" si="254"/>
        <v>0</v>
      </c>
      <c r="O2079" s="18">
        <f t="shared" si="254"/>
        <v>-29444.04</v>
      </c>
      <c r="P2079" s="18"/>
      <c r="Q2079" s="18">
        <f>+Q2077-Q2078</f>
        <v>0</v>
      </c>
      <c r="R2079" s="18">
        <f>+R2077-R2078</f>
        <v>-7617.18</v>
      </c>
      <c r="S2079" s="18"/>
      <c r="T2079" s="18">
        <f>+T2077-T2078</f>
        <v>-35842.15</v>
      </c>
      <c r="U2079" s="18"/>
      <c r="V2079" s="27">
        <f>+V2077-V2078</f>
        <v>21743957.240000002</v>
      </c>
      <c r="W2079" s="27">
        <f>+W2077-W2078</f>
        <v>12847908.489999998</v>
      </c>
      <c r="X2079" s="18">
        <f>+X2077-X2078</f>
        <v>8896048.750000004</v>
      </c>
    </row>
    <row r="2080" spans="1:24" ht="28.5">
      <c r="A2080" s="4">
        <f>+A2079+1</f>
        <v>9</v>
      </c>
      <c r="B2080" s="88" t="s">
        <v>181</v>
      </c>
      <c r="C2080" s="11"/>
      <c r="D2080" s="18">
        <v>0</v>
      </c>
      <c r="E2080" s="18"/>
      <c r="F2080" s="18">
        <v>0</v>
      </c>
      <c r="G2080" s="18">
        <v>0</v>
      </c>
      <c r="I2080" s="18">
        <v>0</v>
      </c>
      <c r="J2080" s="18">
        <v>0</v>
      </c>
      <c r="K2080" s="18">
        <v>0</v>
      </c>
      <c r="L2080" s="18">
        <v>0</v>
      </c>
      <c r="M2080" s="18">
        <v>0</v>
      </c>
      <c r="N2080" s="18">
        <v>0</v>
      </c>
      <c r="O2080" s="18">
        <v>0</v>
      </c>
      <c r="P2080" s="18"/>
      <c r="Q2080" s="18">
        <v>0</v>
      </c>
      <c r="R2080" s="18">
        <v>0</v>
      </c>
      <c r="S2080" s="18"/>
      <c r="T2080" s="18">
        <v>0</v>
      </c>
      <c r="U2080" s="18"/>
      <c r="V2080" s="18">
        <f>+V2062+D2080+F2080+G2080+I2080+J2080+K2080+L2080+M2080+N2080+O2080+Q2080+R2080+T2080</f>
        <v>0</v>
      </c>
      <c r="W2080" s="18">
        <f>+W2062</f>
        <v>0</v>
      </c>
      <c r="X2080" s="18">
        <f>+V2080-W2080</f>
        <v>0</v>
      </c>
    </row>
    <row r="2081" spans="1:24" ht="15">
      <c r="A2081" s="4">
        <f>+A2080+1</f>
        <v>10</v>
      </c>
      <c r="B2081" s="24" t="s">
        <v>46</v>
      </c>
      <c r="C2081" s="11" t="s">
        <v>47</v>
      </c>
      <c r="D2081" s="18">
        <f>+D2073+D2074+D2079+D2080+D2075</f>
        <v>1380.77</v>
      </c>
      <c r="E2081" s="18"/>
      <c r="F2081" s="18">
        <f>+F2073+F2074+F2079+F2080+F2075</f>
        <v>53575.43</v>
      </c>
      <c r="G2081" s="18">
        <f>+G2073+G2074+G2079+G2080+G2075</f>
        <v>5222.460000000001</v>
      </c>
      <c r="I2081" s="18">
        <f aca="true" t="shared" si="255" ref="I2081:O2081">+I2073+I2074+I2079+I2080+I2075</f>
        <v>0</v>
      </c>
      <c r="J2081" s="18">
        <f t="shared" si="255"/>
        <v>0</v>
      </c>
      <c r="K2081" s="18">
        <f t="shared" si="255"/>
        <v>-263611.8900000001</v>
      </c>
      <c r="L2081" s="18">
        <f t="shared" si="255"/>
        <v>-7129</v>
      </c>
      <c r="M2081" s="18">
        <f t="shared" si="255"/>
        <v>-9497.16</v>
      </c>
      <c r="N2081" s="18">
        <f t="shared" si="255"/>
        <v>0</v>
      </c>
      <c r="O2081" s="18">
        <f t="shared" si="255"/>
        <v>-26234.879999999997</v>
      </c>
      <c r="P2081" s="42"/>
      <c r="Q2081" s="18">
        <f>+Q2073+Q2074+Q2079+Q2080+Q2075</f>
        <v>0</v>
      </c>
      <c r="R2081" s="18">
        <f>+R2073+R2074+R2079+R2080+R2075</f>
        <v>-5693.500000000002</v>
      </c>
      <c r="S2081" s="18"/>
      <c r="T2081" s="18">
        <f>+T2073+T2074+T2079+T2080+T2075</f>
        <v>-33021.39</v>
      </c>
      <c r="U2081" s="42"/>
      <c r="V2081" s="18">
        <f>+V2073+V2074+V2079+V2080+V2075</f>
        <v>20970506.270000003</v>
      </c>
      <c r="W2081" s="18">
        <f>+W2073+W2074+W2079+W2080+W2075</f>
        <v>12714667.79</v>
      </c>
      <c r="X2081" s="18">
        <f>+X2073+X2074+X2079+X2080+X2075</f>
        <v>8255838.480000006</v>
      </c>
    </row>
    <row r="2082" spans="1:24" ht="15">
      <c r="A2082" s="4"/>
      <c r="B2082" s="24"/>
      <c r="C2082" s="11"/>
      <c r="D2082" s="18"/>
      <c r="E2082" s="18"/>
      <c r="F2082" s="18"/>
      <c r="G2082" s="18"/>
      <c r="I2082" s="18"/>
      <c r="J2082" s="18"/>
      <c r="K2082" s="27" t="s">
        <v>0</v>
      </c>
      <c r="L2082" s="18"/>
      <c r="M2082" s="18"/>
      <c r="N2082" s="18"/>
      <c r="O2082" s="18"/>
      <c r="P2082" s="42"/>
      <c r="Q2082" s="18"/>
      <c r="R2082" s="18"/>
      <c r="S2082" s="18"/>
      <c r="T2082" s="18"/>
      <c r="U2082" s="42"/>
      <c r="V2082" s="18"/>
      <c r="W2082" s="18"/>
      <c r="X2082" s="18"/>
    </row>
    <row r="2083" spans="1:24" ht="15">
      <c r="A2083" s="4"/>
      <c r="B2083" s="24"/>
      <c r="C2083" s="11"/>
      <c r="D2083" s="18"/>
      <c r="E2083" s="18"/>
      <c r="F2083" s="18"/>
      <c r="G2083" s="18"/>
      <c r="I2083" s="18"/>
      <c r="J2083" s="18"/>
      <c r="K2083" s="27"/>
      <c r="L2083" s="18"/>
      <c r="M2083" s="18"/>
      <c r="N2083" s="18"/>
      <c r="O2083" s="18"/>
      <c r="P2083" s="42"/>
      <c r="Q2083" s="18"/>
      <c r="R2083" s="18"/>
      <c r="S2083" s="18"/>
      <c r="T2083" s="18"/>
      <c r="U2083" s="42"/>
      <c r="V2083" s="18"/>
      <c r="W2083" s="18"/>
      <c r="X2083" s="18"/>
    </row>
    <row r="2084" spans="1:24" ht="15">
      <c r="A2084" s="4"/>
      <c r="B2084" s="24"/>
      <c r="C2084" s="11"/>
      <c r="D2084" s="18"/>
      <c r="E2084" s="18"/>
      <c r="F2084" s="18"/>
      <c r="G2084" s="18"/>
      <c r="I2084" s="18"/>
      <c r="J2084" s="18"/>
      <c r="K2084" s="18"/>
      <c r="L2084" s="18"/>
      <c r="M2084" s="18"/>
      <c r="N2084" s="18"/>
      <c r="O2084" s="18"/>
      <c r="P2084" s="42"/>
      <c r="Q2084" s="18"/>
      <c r="R2084" s="18"/>
      <c r="S2084" s="18"/>
      <c r="T2084" s="18"/>
      <c r="U2084" s="42"/>
      <c r="V2084" s="18"/>
      <c r="W2084" s="18"/>
      <c r="X2084" s="18"/>
    </row>
    <row r="2085" spans="1:24" ht="15">
      <c r="A2085" s="4"/>
      <c r="B2085" s="24"/>
      <c r="C2085" s="11"/>
      <c r="D2085" s="10" t="s">
        <v>4</v>
      </c>
      <c r="E2085" s="10"/>
      <c r="F2085" s="10" t="s">
        <v>5</v>
      </c>
      <c r="G2085" s="10" t="s">
        <v>6</v>
      </c>
      <c r="H2085" s="10"/>
      <c r="I2085" s="10" t="s">
        <v>7</v>
      </c>
      <c r="J2085" s="10" t="s">
        <v>8</v>
      </c>
      <c r="K2085" s="10" t="s">
        <v>9</v>
      </c>
      <c r="L2085" s="10" t="s">
        <v>10</v>
      </c>
      <c r="M2085" s="10" t="s">
        <v>11</v>
      </c>
      <c r="N2085" s="10" t="s">
        <v>12</v>
      </c>
      <c r="O2085" s="10" t="s">
        <v>13</v>
      </c>
      <c r="P2085" s="10"/>
      <c r="Q2085" s="10" t="s">
        <v>14</v>
      </c>
      <c r="R2085" s="10" t="s">
        <v>15</v>
      </c>
      <c r="S2085" s="10"/>
      <c r="T2085" s="10" t="s">
        <v>16</v>
      </c>
      <c r="U2085" s="10"/>
      <c r="V2085" s="10" t="s">
        <v>17</v>
      </c>
      <c r="W2085" s="10" t="s">
        <v>18</v>
      </c>
      <c r="X2085" s="10" t="s">
        <v>19</v>
      </c>
    </row>
    <row r="2086" spans="1:23" ht="15">
      <c r="A2086" s="4"/>
      <c r="B2086" s="24"/>
      <c r="C2086" s="11"/>
      <c r="D2086" s="10" t="s">
        <v>20</v>
      </c>
      <c r="E2086" s="10"/>
      <c r="F2086" s="14" t="s">
        <v>21</v>
      </c>
      <c r="G2086" s="10"/>
      <c r="I2086" s="39" t="s">
        <v>110</v>
      </c>
      <c r="J2086" s="47" t="s">
        <v>111</v>
      </c>
      <c r="K2086" s="39"/>
      <c r="L2086" s="10" t="s">
        <v>20</v>
      </c>
      <c r="M2086" s="10" t="s">
        <v>20</v>
      </c>
      <c r="N2086" s="10" t="s">
        <v>20</v>
      </c>
      <c r="O2086" s="10" t="s">
        <v>20</v>
      </c>
      <c r="P2086" s="42"/>
      <c r="Q2086" s="10" t="s">
        <v>20</v>
      </c>
      <c r="R2086" s="10" t="s">
        <v>20</v>
      </c>
      <c r="S2086" s="48"/>
      <c r="T2086" s="10" t="s">
        <v>20</v>
      </c>
      <c r="U2086" s="42"/>
      <c r="W2086" s="39" t="s">
        <v>112</v>
      </c>
    </row>
    <row r="2087" spans="1:24" ht="15">
      <c r="A2087" s="4"/>
      <c r="B2087" s="87" t="s">
        <v>183</v>
      </c>
      <c r="C2087" s="11"/>
      <c r="D2087" s="8" t="s">
        <v>113</v>
      </c>
      <c r="E2087" s="6"/>
      <c r="F2087" s="6" t="s">
        <v>114</v>
      </c>
      <c r="G2087" s="49" t="s">
        <v>22</v>
      </c>
      <c r="I2087" s="8" t="s">
        <v>113</v>
      </c>
      <c r="J2087" s="6" t="s">
        <v>114</v>
      </c>
      <c r="K2087" s="49" t="s">
        <v>24</v>
      </c>
      <c r="L2087" s="13" t="s">
        <v>115</v>
      </c>
      <c r="M2087" s="13" t="s">
        <v>116</v>
      </c>
      <c r="N2087" s="13" t="s">
        <v>117</v>
      </c>
      <c r="O2087" s="13" t="s">
        <v>118</v>
      </c>
      <c r="P2087" s="42"/>
      <c r="Q2087" s="13" t="s">
        <v>119</v>
      </c>
      <c r="R2087" s="13" t="s">
        <v>120</v>
      </c>
      <c r="T2087" s="13" t="s">
        <v>121</v>
      </c>
      <c r="U2087" s="42"/>
      <c r="V2087" s="10" t="s">
        <v>20</v>
      </c>
      <c r="W2087" s="10" t="s">
        <v>21</v>
      </c>
      <c r="X2087" s="10" t="s">
        <v>22</v>
      </c>
    </row>
    <row r="2088" spans="1:24" ht="15">
      <c r="A2088" s="4"/>
      <c r="B2088" s="24"/>
      <c r="C2088" s="11"/>
      <c r="D2088" s="18"/>
      <c r="E2088" s="18"/>
      <c r="F2088" s="18"/>
      <c r="G2088" s="18"/>
      <c r="I2088" s="72" t="s">
        <v>0</v>
      </c>
      <c r="K2088" s="42"/>
      <c r="L2088" s="42"/>
      <c r="N2088" s="42"/>
      <c r="O2088" s="18"/>
      <c r="P2088" s="42"/>
      <c r="U2088" s="42"/>
      <c r="V2088" s="18"/>
      <c r="W2088" s="39" t="s">
        <v>122</v>
      </c>
      <c r="X2088" s="18"/>
    </row>
    <row r="2089" spans="1:24" ht="15">
      <c r="A2089" s="4">
        <f>+A2061+1</f>
        <v>19</v>
      </c>
      <c r="B2089" s="5" t="s">
        <v>36</v>
      </c>
      <c r="C2089" s="17" t="s">
        <v>37</v>
      </c>
      <c r="D2089" s="27">
        <f>873373.6+749512.47</f>
        <v>1622886.0699999998</v>
      </c>
      <c r="E2089" s="18" t="s">
        <v>0</v>
      </c>
      <c r="F2089" s="27">
        <v>127214.47</v>
      </c>
      <c r="G2089" s="18">
        <f>D2089-F2089</f>
        <v>1495671.5999999999</v>
      </c>
      <c r="I2089" s="27">
        <v>-510.82</v>
      </c>
      <c r="J2089" s="27">
        <v>-481.34</v>
      </c>
      <c r="K2089" s="36">
        <f>+I2089-J2089</f>
        <v>-29.480000000000018</v>
      </c>
      <c r="L2089" s="18">
        <v>0</v>
      </c>
      <c r="M2089" s="27">
        <v>334176.65</v>
      </c>
      <c r="N2089" s="27">
        <v>2061</v>
      </c>
      <c r="O2089" s="18">
        <v>0</v>
      </c>
      <c r="P2089" s="42"/>
      <c r="Q2089" s="31">
        <v>0</v>
      </c>
      <c r="R2089" s="18">
        <v>0</v>
      </c>
      <c r="S2089" s="18"/>
      <c r="T2089" s="18">
        <v>0</v>
      </c>
      <c r="U2089" s="42"/>
      <c r="V2089" s="31">
        <f>+D2089+I2089+L2089+M2089+N2089+O2089+Q2089+R2089+T2089</f>
        <v>1958612.9</v>
      </c>
      <c r="W2089" s="18">
        <f>+F2089+J2089</f>
        <v>126733.13</v>
      </c>
      <c r="X2089" s="18">
        <f>+V2089-W2089</f>
        <v>1831879.77</v>
      </c>
    </row>
    <row r="2090" spans="1:24" ht="15">
      <c r="A2090" s="4">
        <f>+A2089+1</f>
        <v>20</v>
      </c>
      <c r="B2090" s="5" t="s">
        <v>36</v>
      </c>
      <c r="C2090" s="22" t="s">
        <v>38</v>
      </c>
      <c r="D2090" s="27">
        <f>-875391.93+-748998.35</f>
        <v>-1624390.28</v>
      </c>
      <c r="E2090" s="18" t="s">
        <v>0</v>
      </c>
      <c r="F2090" s="27">
        <v>128578.89</v>
      </c>
      <c r="G2090" s="18">
        <f>D2090-F2090</f>
        <v>-1752969.17</v>
      </c>
      <c r="I2090" s="27">
        <v>-519.85</v>
      </c>
      <c r="J2090" s="31">
        <v>1330.72</v>
      </c>
      <c r="K2090" s="36">
        <f>+I2090-J2090</f>
        <v>-1850.5700000000002</v>
      </c>
      <c r="L2090" s="18">
        <v>0</v>
      </c>
      <c r="M2090" s="27">
        <v>334176.78</v>
      </c>
      <c r="N2090" s="27">
        <v>2061</v>
      </c>
      <c r="O2090" s="18">
        <v>0</v>
      </c>
      <c r="P2090" s="42"/>
      <c r="Q2090" s="31">
        <v>0</v>
      </c>
      <c r="R2090" s="18">
        <v>0</v>
      </c>
      <c r="S2090" s="18"/>
      <c r="T2090" s="18">
        <v>0</v>
      </c>
      <c r="U2090" s="42"/>
      <c r="V2090" s="31">
        <f>+D2090+I2090+L2090+M2090+N2090+O2090+Q2090+R2090+T2090</f>
        <v>-1288672.35</v>
      </c>
      <c r="W2090" s="18">
        <f>+F2090+J2090</f>
        <v>129909.61</v>
      </c>
      <c r="X2090" s="18">
        <f>+V2090-W2090</f>
        <v>-1418581.9600000002</v>
      </c>
    </row>
    <row r="2091" spans="1:24" ht="15">
      <c r="A2091" s="4">
        <f>+A2090+1</f>
        <v>21</v>
      </c>
      <c r="B2091" s="24" t="s">
        <v>46</v>
      </c>
      <c r="C2091" s="40" t="s">
        <v>78</v>
      </c>
      <c r="D2091" s="18">
        <f>+D2089-D2090</f>
        <v>3247276.3499999996</v>
      </c>
      <c r="E2091" s="18"/>
      <c r="F2091" s="18">
        <f>+F2089-F2090</f>
        <v>-1364.4199999999983</v>
      </c>
      <c r="G2091" s="18">
        <f>+G2089-G2090</f>
        <v>3248640.7699999996</v>
      </c>
      <c r="I2091" s="18">
        <f>+I2089-I2090</f>
        <v>9.03000000000003</v>
      </c>
      <c r="J2091" s="18">
        <f>+J2089-J2090</f>
        <v>-1812.06</v>
      </c>
      <c r="K2091" s="18">
        <f>K2089-K2090</f>
        <v>1821.0900000000001</v>
      </c>
      <c r="L2091" s="18">
        <f>+L2089-L2090</f>
        <v>0</v>
      </c>
      <c r="M2091" s="18">
        <f>+M2089-M2090</f>
        <v>-0.1300000000046566</v>
      </c>
      <c r="N2091" s="18">
        <f>+N2089-N2090</f>
        <v>0</v>
      </c>
      <c r="O2091" s="18">
        <f>+O2089-O2090</f>
        <v>0</v>
      </c>
      <c r="P2091" s="42"/>
      <c r="Q2091" s="18">
        <f>+Q2089-Q2090</f>
        <v>0</v>
      </c>
      <c r="R2091" s="18">
        <f>+R2089-R2090</f>
        <v>0</v>
      </c>
      <c r="S2091" s="18"/>
      <c r="T2091" s="18">
        <f>+T2089-T2090</f>
        <v>0</v>
      </c>
      <c r="U2091" s="42"/>
      <c r="V2091" s="31">
        <f>+V2089-V2090</f>
        <v>3247285.25</v>
      </c>
      <c r="W2091" s="31">
        <f>+W2089-W2090</f>
        <v>-3176.479999999996</v>
      </c>
      <c r="X2091" s="18">
        <f>+X2089-X2090</f>
        <v>3250461.7300000004</v>
      </c>
    </row>
    <row r="2092" spans="1:24" ht="28.5">
      <c r="A2092" s="4">
        <f>+A2091+1</f>
        <v>22</v>
      </c>
      <c r="B2092" s="88" t="s">
        <v>182</v>
      </c>
      <c r="C2092" s="11"/>
      <c r="D2092" s="18">
        <v>0</v>
      </c>
      <c r="E2092" s="18"/>
      <c r="F2092" s="18">
        <v>0</v>
      </c>
      <c r="G2092" s="18">
        <f>+D2092-F2092</f>
        <v>0</v>
      </c>
      <c r="I2092" s="18">
        <v>0</v>
      </c>
      <c r="J2092" s="18">
        <v>0</v>
      </c>
      <c r="K2092" s="18">
        <f>+I2092-J2092</f>
        <v>0</v>
      </c>
      <c r="L2092" s="18">
        <v>0</v>
      </c>
      <c r="M2092" s="18">
        <v>0</v>
      </c>
      <c r="N2092" s="18">
        <f>+L2092-M2092</f>
        <v>0</v>
      </c>
      <c r="O2092" s="18">
        <v>0</v>
      </c>
      <c r="P2092" s="42"/>
      <c r="Q2092" s="18">
        <v>0</v>
      </c>
      <c r="R2092" s="18">
        <v>0</v>
      </c>
      <c r="S2092" s="18"/>
      <c r="T2092" s="18">
        <v>0</v>
      </c>
      <c r="U2092" s="42"/>
      <c r="V2092" s="31">
        <f>+D2092+I2092+L2092+M2092+N2092+O2092+Q2092+R2092+T2092</f>
        <v>0</v>
      </c>
      <c r="W2092" s="18">
        <f>+F2092+J2092</f>
        <v>0</v>
      </c>
      <c r="X2092" s="18">
        <f>+V2092-W2092</f>
        <v>0</v>
      </c>
    </row>
    <row r="2093" spans="1:24" ht="24.75">
      <c r="A2093" s="4">
        <f>+A2092+1</f>
        <v>23</v>
      </c>
      <c r="B2093" s="89" t="s">
        <v>39</v>
      </c>
      <c r="C2093" s="40"/>
      <c r="D2093" s="55">
        <v>-3127532.87</v>
      </c>
      <c r="E2093" s="18" t="s">
        <v>0</v>
      </c>
      <c r="F2093" s="27">
        <v>1161731.61</v>
      </c>
      <c r="G2093" s="18">
        <f>D2093-F2093</f>
        <v>-4289264.48</v>
      </c>
      <c r="I2093" s="27">
        <v>-215.98</v>
      </c>
      <c r="J2093" s="27">
        <v>0</v>
      </c>
      <c r="K2093" s="18">
        <f>+I2093-J2093</f>
        <v>-215.98</v>
      </c>
      <c r="L2093" s="18">
        <v>2752.77</v>
      </c>
      <c r="M2093" s="27">
        <v>453950.2</v>
      </c>
      <c r="N2093" s="27">
        <v>37867.48</v>
      </c>
      <c r="O2093" s="27">
        <v>-11407.85</v>
      </c>
      <c r="P2093" s="42"/>
      <c r="Q2093" s="55">
        <v>0</v>
      </c>
      <c r="R2093" s="21">
        <v>0</v>
      </c>
      <c r="S2093" s="18"/>
      <c r="T2093" s="18">
        <v>0</v>
      </c>
      <c r="U2093" s="42"/>
      <c r="V2093" s="31">
        <f>+D2093+I2093+M2093+N2093+L2093+O2093+Q2093+R2093+T2093</f>
        <v>-2644586.25</v>
      </c>
      <c r="W2093" s="18">
        <f>+F2093+J2093</f>
        <v>1161731.61</v>
      </c>
      <c r="X2093" s="36">
        <f>+V2093-W2093</f>
        <v>-3806317.8600000003</v>
      </c>
    </row>
    <row r="2094" spans="1:24" ht="15">
      <c r="A2094" s="6" t="s">
        <v>41</v>
      </c>
      <c r="B2094" s="41"/>
      <c r="C2094" s="40"/>
      <c r="D2094" s="18"/>
      <c r="E2094" s="18"/>
      <c r="F2094" s="18" t="s">
        <v>0</v>
      </c>
      <c r="G2094" s="18"/>
      <c r="I2094" s="18"/>
      <c r="J2094" s="18"/>
      <c r="K2094" s="18"/>
      <c r="L2094" s="18"/>
      <c r="M2094" s="18"/>
      <c r="N2094" s="18"/>
      <c r="O2094" s="18"/>
      <c r="P2094" s="42"/>
      <c r="Q2094" s="18"/>
      <c r="R2094" s="18"/>
      <c r="S2094" s="18"/>
      <c r="T2094" s="18" t="s">
        <v>0</v>
      </c>
      <c r="U2094" s="42"/>
      <c r="V2094" s="30"/>
      <c r="W2094" s="30"/>
      <c r="X2094" s="36"/>
    </row>
    <row r="2095" spans="1:24" ht="15">
      <c r="A2095" s="4">
        <f>+A2093+1</f>
        <v>24</v>
      </c>
      <c r="B2095" s="5" t="s">
        <v>42</v>
      </c>
      <c r="C2095" s="22" t="s">
        <v>38</v>
      </c>
      <c r="D2095" s="27">
        <f>660957.7+764137.28</f>
        <v>1425094.98</v>
      </c>
      <c r="E2095" s="18" t="s">
        <v>0</v>
      </c>
      <c r="F2095" s="27">
        <v>139721.86</v>
      </c>
      <c r="G2095" s="18">
        <f>D2095-F2095</f>
        <v>1285373.12</v>
      </c>
      <c r="I2095" s="18">
        <v>1357.64</v>
      </c>
      <c r="J2095" s="26">
        <v>-226.64</v>
      </c>
      <c r="K2095" s="18">
        <f>+I2095-J2095</f>
        <v>1584.2800000000002</v>
      </c>
      <c r="L2095" s="27">
        <v>0</v>
      </c>
      <c r="M2095" s="27">
        <v>264017.57</v>
      </c>
      <c r="N2095" s="27">
        <v>2281.9</v>
      </c>
      <c r="O2095" s="18">
        <v>0</v>
      </c>
      <c r="P2095" s="42"/>
      <c r="Q2095" s="31">
        <v>0</v>
      </c>
      <c r="R2095" s="18">
        <v>0</v>
      </c>
      <c r="S2095" s="18" t="s">
        <v>0</v>
      </c>
      <c r="T2095" s="18">
        <v>0</v>
      </c>
      <c r="U2095" s="42"/>
      <c r="V2095" s="31">
        <f>+D2095+I2095+L2095+M2095+N2095+O2095+Q2095+R2095+T2095</f>
        <v>1692752.0899999999</v>
      </c>
      <c r="W2095" s="18">
        <f>+F2095+J2095</f>
        <v>139495.21999999997</v>
      </c>
      <c r="X2095" s="18">
        <f>+V2095-W2095</f>
        <v>1553256.8699999999</v>
      </c>
    </row>
    <row r="2096" spans="1:24" ht="15">
      <c r="A2096" s="4">
        <f>+A2095+1</f>
        <v>25</v>
      </c>
      <c r="B2096" s="5" t="s">
        <v>43</v>
      </c>
      <c r="C2096" s="11"/>
      <c r="D2096" s="18"/>
      <c r="E2096" s="18"/>
      <c r="F2096" s="18">
        <v>0</v>
      </c>
      <c r="G2096" s="18">
        <f>+D2096-F2096</f>
        <v>0</v>
      </c>
      <c r="I2096" s="18">
        <v>0</v>
      </c>
      <c r="J2096" s="18">
        <v>0</v>
      </c>
      <c r="K2096" s="18">
        <f>+I2096-J2096</f>
        <v>0</v>
      </c>
      <c r="L2096" s="18">
        <v>0</v>
      </c>
      <c r="M2096" s="18">
        <v>0</v>
      </c>
      <c r="N2096" s="18">
        <f>+L2096-M2096</f>
        <v>0</v>
      </c>
      <c r="O2096" s="18">
        <v>0</v>
      </c>
      <c r="P2096" s="42"/>
      <c r="Q2096" s="18">
        <v>0</v>
      </c>
      <c r="R2096" s="18">
        <v>0</v>
      </c>
      <c r="S2096" s="18"/>
      <c r="T2096" s="18">
        <v>0</v>
      </c>
      <c r="U2096" s="42"/>
      <c r="V2096" s="31">
        <f>+D2096+I2096+L2096+O2096+Q2096+R2096+T2096</f>
        <v>0</v>
      </c>
      <c r="W2096" s="18">
        <f>+F2096+J2096+M2096</f>
        <v>0</v>
      </c>
      <c r="X2096" s="18">
        <f>+V2096-W2096</f>
        <v>0</v>
      </c>
    </row>
    <row r="2097" spans="1:24" ht="26.25">
      <c r="A2097" s="4">
        <f>+A2096+1</f>
        <v>26</v>
      </c>
      <c r="B2097" s="24" t="s">
        <v>79</v>
      </c>
      <c r="C2097" s="11"/>
      <c r="D2097" s="18">
        <f>+D2095-D2096</f>
        <v>1425094.98</v>
      </c>
      <c r="E2097" s="18"/>
      <c r="F2097" s="18">
        <f>+F2095-F2096</f>
        <v>139721.86</v>
      </c>
      <c r="G2097" s="18">
        <f>+G2095-G2096</f>
        <v>1285373.12</v>
      </c>
      <c r="I2097" s="18">
        <f aca="true" t="shared" si="256" ref="I2097:N2097">+I2095-I2096</f>
        <v>1357.64</v>
      </c>
      <c r="J2097" s="18">
        <f t="shared" si="256"/>
        <v>-226.64</v>
      </c>
      <c r="K2097" s="18">
        <f t="shared" si="256"/>
        <v>1584.2800000000002</v>
      </c>
      <c r="L2097" s="18">
        <f t="shared" si="256"/>
        <v>0</v>
      </c>
      <c r="M2097" s="18">
        <f t="shared" si="256"/>
        <v>264017.57</v>
      </c>
      <c r="N2097" s="18">
        <f t="shared" si="256"/>
        <v>2281.9</v>
      </c>
      <c r="O2097" s="18">
        <v>0</v>
      </c>
      <c r="P2097" s="42"/>
      <c r="Q2097" s="18">
        <f>+Q2095-Q2096</f>
        <v>0</v>
      </c>
      <c r="R2097" s="18">
        <f>+R2095-R2096</f>
        <v>0</v>
      </c>
      <c r="S2097" s="18"/>
      <c r="T2097" s="18">
        <f>+T2095-T2096</f>
        <v>0</v>
      </c>
      <c r="U2097" s="42"/>
      <c r="V2097" s="27">
        <f>+V2095-V2096</f>
        <v>1692752.0899999999</v>
      </c>
      <c r="W2097" s="27">
        <f>+W2095-W2096</f>
        <v>139495.21999999997</v>
      </c>
      <c r="X2097" s="31">
        <f>+X2095-X2096</f>
        <v>1553256.8699999999</v>
      </c>
    </row>
    <row r="2098" spans="1:24" ht="28.5">
      <c r="A2098" s="4">
        <f>+A2097+1</f>
        <v>27</v>
      </c>
      <c r="B2098" s="88" t="s">
        <v>181</v>
      </c>
      <c r="C2098" s="11"/>
      <c r="D2098" s="18">
        <v>0</v>
      </c>
      <c r="E2098" s="18"/>
      <c r="F2098" s="18">
        <v>0</v>
      </c>
      <c r="G2098" s="18">
        <f>+D2098-F2098</f>
        <v>0</v>
      </c>
      <c r="I2098" s="18">
        <v>0</v>
      </c>
      <c r="J2098" s="18">
        <v>0</v>
      </c>
      <c r="K2098" s="18">
        <f>+I2098-J2098</f>
        <v>0</v>
      </c>
      <c r="L2098" s="18">
        <v>0</v>
      </c>
      <c r="M2098" s="18">
        <v>0</v>
      </c>
      <c r="N2098" s="18">
        <f>+L2098-M2098</f>
        <v>0</v>
      </c>
      <c r="O2098" s="18">
        <v>0</v>
      </c>
      <c r="P2098" s="42"/>
      <c r="Q2098" s="18">
        <v>0</v>
      </c>
      <c r="R2098" s="18">
        <v>0</v>
      </c>
      <c r="S2098" s="18"/>
      <c r="T2098" s="18">
        <v>0</v>
      </c>
      <c r="U2098" s="42"/>
      <c r="V2098" s="31">
        <f>+D2098+I2098+L2098+O2098+Q2098+R2098+T2098</f>
        <v>0</v>
      </c>
      <c r="W2098" s="18">
        <f>+F2098+J2098+M2098</f>
        <v>0</v>
      </c>
      <c r="X2098" s="18">
        <f>+V2098-W2098</f>
        <v>0</v>
      </c>
    </row>
    <row r="2099" spans="1:24" ht="15">
      <c r="A2099" s="4">
        <f>+A2098+1</f>
        <v>28</v>
      </c>
      <c r="B2099" s="24" t="s">
        <v>46</v>
      </c>
      <c r="C2099" s="11" t="s">
        <v>47</v>
      </c>
      <c r="D2099" s="51">
        <f>+D2091+D2092+D2097+D2098+D2093</f>
        <v>1544838.46</v>
      </c>
      <c r="E2099" s="18"/>
      <c r="F2099" s="52">
        <f>+F2091+F2092+F2097+F2098+F2093</f>
        <v>1300089.05</v>
      </c>
      <c r="G2099" s="18">
        <f>+G2091+G2092+G2097+G2098+G2093</f>
        <v>244749.40999999922</v>
      </c>
      <c r="I2099" s="51">
        <f aca="true" t="shared" si="257" ref="I2099:O2099">+I2091+I2092+I2097+I2098+I2093</f>
        <v>1150.69</v>
      </c>
      <c r="J2099" s="52">
        <f t="shared" si="257"/>
        <v>-2038.6999999999998</v>
      </c>
      <c r="K2099" s="18">
        <f t="shared" si="257"/>
        <v>3189.3900000000003</v>
      </c>
      <c r="L2099" s="18">
        <f t="shared" si="257"/>
        <v>2752.77</v>
      </c>
      <c r="M2099" s="18">
        <f t="shared" si="257"/>
        <v>717967.64</v>
      </c>
      <c r="N2099" s="18">
        <f t="shared" si="257"/>
        <v>40149.380000000005</v>
      </c>
      <c r="O2099" s="18">
        <f t="shared" si="257"/>
        <v>-11407.85</v>
      </c>
      <c r="P2099" s="42"/>
      <c r="Q2099" s="18">
        <f>+Q2091+Q2092+Q2097+Q2098+Q2093</f>
        <v>0</v>
      </c>
      <c r="R2099" s="18">
        <f>+R2091+R2092+R2097+R2098+R2093</f>
        <v>0</v>
      </c>
      <c r="S2099" s="18"/>
      <c r="T2099" s="18">
        <f>+T2091+T2092+T2097+T2098+T2093</f>
        <v>0</v>
      </c>
      <c r="U2099" s="42"/>
      <c r="V2099" s="18">
        <f>+V2091+V2092+V2097+V2098+V2093</f>
        <v>2295451.09</v>
      </c>
      <c r="W2099" s="18">
        <f>+W2091+W2092+W2097+W2098+W2093</f>
        <v>1298050.35</v>
      </c>
      <c r="X2099" s="18">
        <f>+X2091+X2092+X2097+X2098+X2093</f>
        <v>997400.7400000002</v>
      </c>
    </row>
    <row r="2100" spans="1:24" ht="15">
      <c r="A2100" s="4"/>
      <c r="B2100" s="24" t="s">
        <v>0</v>
      </c>
      <c r="C2100" s="11"/>
      <c r="D2100" s="27">
        <f>D2099+I2099</f>
        <v>1545989.15</v>
      </c>
      <c r="E2100" s="79" t="s">
        <v>0</v>
      </c>
      <c r="F2100" s="27">
        <f>-2349052+131464</f>
        <v>-2217588</v>
      </c>
      <c r="G2100" s="79" t="s">
        <v>0</v>
      </c>
      <c r="I2100" s="18"/>
      <c r="J2100" s="18"/>
      <c r="K2100" s="18"/>
      <c r="L2100" s="18"/>
      <c r="M2100" s="42"/>
      <c r="N2100" s="73" t="s">
        <v>0</v>
      </c>
      <c r="O2100" s="42"/>
      <c r="P2100" s="42"/>
      <c r="Q2100" s="42"/>
      <c r="U2100" s="42"/>
      <c r="V2100" s="18"/>
      <c r="W2100" s="18"/>
      <c r="X2100" s="18"/>
    </row>
    <row r="2101" spans="1:24" ht="15">
      <c r="A2101" s="4"/>
      <c r="B2101" s="92"/>
      <c r="C2101" s="79" t="s">
        <v>0</v>
      </c>
      <c r="D2101" s="6" t="s">
        <v>48</v>
      </c>
      <c r="E2101" s="6"/>
      <c r="F2101" s="10" t="s">
        <v>49</v>
      </c>
      <c r="G2101" s="10" t="s">
        <v>50</v>
      </c>
      <c r="I2101" s="10" t="s">
        <v>51</v>
      </c>
      <c r="J2101" s="10" t="s">
        <v>52</v>
      </c>
      <c r="K2101" s="10" t="s">
        <v>53</v>
      </c>
      <c r="L2101" s="10" t="s">
        <v>54</v>
      </c>
      <c r="M2101" s="10" t="s">
        <v>55</v>
      </c>
      <c r="N2101" s="10" t="s">
        <v>56</v>
      </c>
      <c r="O2101" s="10" t="s">
        <v>57</v>
      </c>
      <c r="P2101" s="18"/>
      <c r="Q2101" s="10" t="s">
        <v>58</v>
      </c>
      <c r="R2101" s="10" t="s">
        <v>59</v>
      </c>
      <c r="S2101" s="10"/>
      <c r="T2101" s="10" t="s">
        <v>60</v>
      </c>
      <c r="U2101" s="18"/>
      <c r="V2101" s="10" t="s">
        <v>61</v>
      </c>
      <c r="W2101" s="10" t="s">
        <v>62</v>
      </c>
      <c r="X2101" s="10" t="s">
        <v>63</v>
      </c>
    </row>
    <row r="2102" spans="1:24" ht="15">
      <c r="A2102" s="4"/>
      <c r="B2102" s="24"/>
      <c r="C2102" s="11"/>
      <c r="D2102" s="14" t="s">
        <v>20</v>
      </c>
      <c r="E2102" s="18"/>
      <c r="F2102" s="14" t="s">
        <v>20</v>
      </c>
      <c r="G2102" s="14" t="s">
        <v>20</v>
      </c>
      <c r="I2102" s="14" t="s">
        <v>20</v>
      </c>
      <c r="J2102" s="14" t="s">
        <v>21</v>
      </c>
      <c r="K2102" s="14" t="s">
        <v>21</v>
      </c>
      <c r="L2102" s="14" t="s">
        <v>21</v>
      </c>
      <c r="M2102" s="14" t="s">
        <v>21</v>
      </c>
      <c r="N2102" s="14" t="s">
        <v>21</v>
      </c>
      <c r="O2102" s="14" t="s">
        <v>21</v>
      </c>
      <c r="P2102" s="14"/>
      <c r="Q2102" s="14" t="s">
        <v>21</v>
      </c>
      <c r="R2102" s="14" t="s">
        <v>21</v>
      </c>
      <c r="T2102" s="14" t="s">
        <v>21</v>
      </c>
      <c r="U2102" s="42"/>
      <c r="V2102" s="18"/>
      <c r="W2102" s="39" t="s">
        <v>123</v>
      </c>
      <c r="X2102" s="18"/>
    </row>
    <row r="2103" spans="1:24" ht="15">
      <c r="A2103" s="4"/>
      <c r="B2103" s="87" t="s">
        <v>183</v>
      </c>
      <c r="C2103" s="11"/>
      <c r="D2103" s="53" t="s">
        <v>124</v>
      </c>
      <c r="E2103" s="18"/>
      <c r="F2103" s="53" t="s">
        <v>125</v>
      </c>
      <c r="G2103" s="53" t="s">
        <v>126</v>
      </c>
      <c r="I2103" s="53" t="s">
        <v>127</v>
      </c>
      <c r="J2103" s="53" t="s">
        <v>128</v>
      </c>
      <c r="K2103" s="53" t="s">
        <v>129</v>
      </c>
      <c r="L2103" s="53" t="s">
        <v>130</v>
      </c>
      <c r="M2103" s="53" t="s">
        <v>131</v>
      </c>
      <c r="N2103" s="24" t="s">
        <v>132</v>
      </c>
      <c r="O2103" s="24" t="s">
        <v>98</v>
      </c>
      <c r="P2103" s="24"/>
      <c r="Q2103" s="24" t="s">
        <v>99</v>
      </c>
      <c r="R2103" s="24" t="s">
        <v>133</v>
      </c>
      <c r="S2103" s="42"/>
      <c r="T2103" s="24" t="s">
        <v>134</v>
      </c>
      <c r="U2103" s="42"/>
      <c r="V2103" s="10" t="s">
        <v>20</v>
      </c>
      <c r="W2103" s="10" t="s">
        <v>21</v>
      </c>
      <c r="X2103" s="10" t="s">
        <v>22</v>
      </c>
    </row>
    <row r="2104" spans="1:24" ht="15">
      <c r="A2104" s="4"/>
      <c r="B2104" s="24"/>
      <c r="C2104" s="11"/>
      <c r="D2104" s="18"/>
      <c r="E2104" s="18"/>
      <c r="F2104" s="18"/>
      <c r="I2104" s="18"/>
      <c r="J2104" s="18"/>
      <c r="O2104" s="42"/>
      <c r="P2104" s="42"/>
      <c r="Q2104" s="42"/>
      <c r="R2104" s="42"/>
      <c r="S2104" s="42"/>
      <c r="T2104" s="42"/>
      <c r="U2104" s="42"/>
      <c r="V2104" s="18"/>
      <c r="W2104" s="39"/>
      <c r="X2104" s="18"/>
    </row>
    <row r="2105" spans="1:24" ht="15">
      <c r="A2105" s="4">
        <f>+A2099+1</f>
        <v>29</v>
      </c>
      <c r="B2105" s="5" t="s">
        <v>36</v>
      </c>
      <c r="C2105" s="17" t="s">
        <v>37</v>
      </c>
      <c r="D2105" s="18">
        <v>0</v>
      </c>
      <c r="E2105" s="18"/>
      <c r="F2105" s="18">
        <v>0</v>
      </c>
      <c r="G2105" s="18">
        <v>0</v>
      </c>
      <c r="I2105" s="18">
        <v>0</v>
      </c>
      <c r="J2105" s="18">
        <v>0</v>
      </c>
      <c r="K2105" s="18">
        <v>0</v>
      </c>
      <c r="L2105" s="18">
        <v>0</v>
      </c>
      <c r="M2105" s="18">
        <v>0</v>
      </c>
      <c r="N2105" s="18">
        <v>0</v>
      </c>
      <c r="O2105" s="18">
        <v>0</v>
      </c>
      <c r="P2105" s="18"/>
      <c r="Q2105" s="18">
        <v>0</v>
      </c>
      <c r="R2105" s="18">
        <v>0</v>
      </c>
      <c r="S2105" s="42"/>
      <c r="T2105" s="18">
        <v>0</v>
      </c>
      <c r="U2105" s="42"/>
      <c r="V2105" s="18">
        <f>+V2089+D2105+F2105+G2105+I2105</f>
        <v>1958612.9</v>
      </c>
      <c r="W2105" s="18">
        <f>+W2089+J2105+K2105+L2105+M2105+N2105+O2105+Q2105+R2105+T2105</f>
        <v>126733.13</v>
      </c>
      <c r="X2105" s="18">
        <f>+V2105-W2105</f>
        <v>1831879.77</v>
      </c>
    </row>
    <row r="2106" spans="1:24" ht="15">
      <c r="A2106" s="4">
        <f>+A2105+1</f>
        <v>30</v>
      </c>
      <c r="B2106" s="5" t="s">
        <v>36</v>
      </c>
      <c r="C2106" s="22" t="s">
        <v>38</v>
      </c>
      <c r="D2106" s="18">
        <v>0</v>
      </c>
      <c r="E2106" s="18"/>
      <c r="F2106" s="18">
        <v>0</v>
      </c>
      <c r="G2106" s="18">
        <v>0</v>
      </c>
      <c r="I2106" s="18">
        <v>0</v>
      </c>
      <c r="J2106" s="18">
        <v>0</v>
      </c>
      <c r="K2106" s="18">
        <v>0</v>
      </c>
      <c r="L2106" s="18">
        <v>0</v>
      </c>
      <c r="M2106" s="18">
        <v>0</v>
      </c>
      <c r="N2106" s="18">
        <v>0</v>
      </c>
      <c r="O2106" s="18">
        <v>0</v>
      </c>
      <c r="P2106" s="18"/>
      <c r="Q2106" s="18">
        <v>0</v>
      </c>
      <c r="R2106" s="18">
        <v>0</v>
      </c>
      <c r="S2106" s="42"/>
      <c r="T2106" s="18">
        <v>0</v>
      </c>
      <c r="U2106" s="42"/>
      <c r="V2106" s="18">
        <f>+V2090+D2106+F2106+G2106+I2106</f>
        <v>-1288672.35</v>
      </c>
      <c r="W2106" s="18">
        <f>+W2090+J2106+K2106+L2106+M2106+N2106+O2106+Q2106+R2106+T2106</f>
        <v>129909.61</v>
      </c>
      <c r="X2106" s="18">
        <f>+V2106-W2106</f>
        <v>-1418581.9600000002</v>
      </c>
    </row>
    <row r="2107" spans="1:24" ht="15">
      <c r="A2107" s="4">
        <f>+A2106+1</f>
        <v>31</v>
      </c>
      <c r="B2107" s="24" t="s">
        <v>46</v>
      </c>
      <c r="C2107" s="40" t="s">
        <v>78</v>
      </c>
      <c r="D2107" s="18">
        <f>+D2105-D2106</f>
        <v>0</v>
      </c>
      <c r="E2107" s="18"/>
      <c r="F2107" s="18">
        <f>+F2105-F2106</f>
        <v>0</v>
      </c>
      <c r="G2107" s="18">
        <f>+G2105-G2106</f>
        <v>0</v>
      </c>
      <c r="I2107" s="18">
        <f aca="true" t="shared" si="258" ref="I2107:O2107">+I2105-I2106</f>
        <v>0</v>
      </c>
      <c r="J2107" s="18">
        <f t="shared" si="258"/>
        <v>0</v>
      </c>
      <c r="K2107" s="18">
        <f t="shared" si="258"/>
        <v>0</v>
      </c>
      <c r="L2107" s="18">
        <f t="shared" si="258"/>
        <v>0</v>
      </c>
      <c r="M2107" s="18">
        <f t="shared" si="258"/>
        <v>0</v>
      </c>
      <c r="N2107" s="18">
        <f t="shared" si="258"/>
        <v>0</v>
      </c>
      <c r="O2107" s="18">
        <f t="shared" si="258"/>
        <v>0</v>
      </c>
      <c r="P2107" s="18"/>
      <c r="Q2107" s="18">
        <f>+Q2105-Q2106</f>
        <v>0</v>
      </c>
      <c r="R2107" s="18">
        <f>+R2105-R2106</f>
        <v>0</v>
      </c>
      <c r="S2107" s="42"/>
      <c r="T2107" s="18">
        <f>+T2105-T2106</f>
        <v>0</v>
      </c>
      <c r="U2107" s="42"/>
      <c r="V2107" s="27">
        <f>+V2105-V2106</f>
        <v>3247285.25</v>
      </c>
      <c r="W2107" s="27">
        <f>+W2105-W2106</f>
        <v>-3176.479999999996</v>
      </c>
      <c r="X2107" s="18">
        <f>+X2105-X2106</f>
        <v>3250461.7300000004</v>
      </c>
    </row>
    <row r="2108" spans="1:24" ht="28.5">
      <c r="A2108" s="4">
        <f>+A2107+1</f>
        <v>32</v>
      </c>
      <c r="B2108" s="88" t="s">
        <v>182</v>
      </c>
      <c r="C2108" s="11"/>
      <c r="D2108" s="18">
        <v>0</v>
      </c>
      <c r="E2108" s="18"/>
      <c r="F2108" s="18">
        <v>0</v>
      </c>
      <c r="G2108" s="18">
        <v>0</v>
      </c>
      <c r="I2108" s="18">
        <v>0</v>
      </c>
      <c r="J2108" s="18">
        <v>0</v>
      </c>
      <c r="K2108" s="18">
        <v>0</v>
      </c>
      <c r="L2108" s="18">
        <v>0</v>
      </c>
      <c r="M2108" s="18">
        <v>0</v>
      </c>
      <c r="N2108" s="18">
        <v>0</v>
      </c>
      <c r="O2108" s="18">
        <v>0</v>
      </c>
      <c r="P2108" s="18"/>
      <c r="Q2108" s="18">
        <v>0</v>
      </c>
      <c r="R2108" s="18">
        <v>0</v>
      </c>
      <c r="S2108" s="42"/>
      <c r="T2108" s="18">
        <v>0</v>
      </c>
      <c r="U2108" s="42"/>
      <c r="V2108" s="18">
        <f>+V2092+D2108+F2108+G2108+I2108</f>
        <v>0</v>
      </c>
      <c r="W2108" s="18">
        <f>+W2092+J2108+K2108+L2108+M2108+N2108+O2108+Q2108+R2108+T2108</f>
        <v>0</v>
      </c>
      <c r="X2108" s="18">
        <f>+V2108-W2108</f>
        <v>0</v>
      </c>
    </row>
    <row r="2109" spans="1:24" ht="24.75">
      <c r="A2109" s="4">
        <f>+A2108+1</f>
        <v>33</v>
      </c>
      <c r="B2109" s="89" t="s">
        <v>39</v>
      </c>
      <c r="C2109" s="40"/>
      <c r="D2109" s="27">
        <v>-218229.85</v>
      </c>
      <c r="E2109" s="27" t="s">
        <v>0</v>
      </c>
      <c r="F2109" s="27">
        <v>0</v>
      </c>
      <c r="G2109" s="27">
        <v>-3285.02</v>
      </c>
      <c r="H2109" t="s">
        <v>0</v>
      </c>
      <c r="I2109" s="27">
        <v>0</v>
      </c>
      <c r="J2109" s="27">
        <v>-34639.54</v>
      </c>
      <c r="K2109" s="27">
        <v>0</v>
      </c>
      <c r="L2109" s="27">
        <v>0</v>
      </c>
      <c r="M2109" s="18">
        <v>0</v>
      </c>
      <c r="N2109" s="18">
        <v>0</v>
      </c>
      <c r="O2109" s="18">
        <v>0</v>
      </c>
      <c r="P2109" s="18"/>
      <c r="Q2109" s="18">
        <v>0</v>
      </c>
      <c r="R2109" s="18">
        <v>0</v>
      </c>
      <c r="S2109" s="42"/>
      <c r="T2109" s="18">
        <v>8996.5</v>
      </c>
      <c r="U2109" s="42"/>
      <c r="V2109" s="18">
        <f>+V2093+D2109+F2109+G2109+I2109</f>
        <v>-2866101.12</v>
      </c>
      <c r="W2109" s="18">
        <f>+W2093+J2109+K2109+L2109+M2109+N2109+O2109+Q2109+R2109+T2109</f>
        <v>1136088.57</v>
      </c>
      <c r="X2109" s="36">
        <f>+V2109-W2109</f>
        <v>-4002189.6900000004</v>
      </c>
    </row>
    <row r="2110" spans="1:24" ht="15">
      <c r="A2110" s="6" t="s">
        <v>41</v>
      </c>
      <c r="B2110" s="41"/>
      <c r="C2110" s="40"/>
      <c r="D2110" s="18"/>
      <c r="E2110" s="18"/>
      <c r="F2110" s="18"/>
      <c r="G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8"/>
      <c r="S2110" s="42"/>
      <c r="T2110" s="18"/>
      <c r="U2110" s="42"/>
      <c r="V2110" s="18"/>
      <c r="W2110" s="54"/>
      <c r="X2110" s="36"/>
    </row>
    <row r="2111" spans="1:24" ht="15">
      <c r="A2111" s="4">
        <f>+A2109+1</f>
        <v>34</v>
      </c>
      <c r="B2111" s="5" t="s">
        <v>42</v>
      </c>
      <c r="C2111" s="22" t="s">
        <v>38</v>
      </c>
      <c r="D2111" s="18">
        <v>0</v>
      </c>
      <c r="E2111" s="18"/>
      <c r="F2111" s="18">
        <v>0</v>
      </c>
      <c r="G2111" s="18">
        <v>0</v>
      </c>
      <c r="I2111" s="18">
        <v>0</v>
      </c>
      <c r="J2111" s="18">
        <v>0</v>
      </c>
      <c r="K2111" s="18">
        <v>0</v>
      </c>
      <c r="L2111" s="18"/>
      <c r="M2111" s="18">
        <v>0</v>
      </c>
      <c r="N2111" s="18">
        <v>0</v>
      </c>
      <c r="O2111" s="18">
        <v>0</v>
      </c>
      <c r="P2111" s="18"/>
      <c r="Q2111" s="18">
        <v>0</v>
      </c>
      <c r="R2111" s="18">
        <v>0</v>
      </c>
      <c r="S2111" s="42"/>
      <c r="T2111" s="18">
        <v>0</v>
      </c>
      <c r="U2111" s="42"/>
      <c r="V2111" s="18">
        <f>+V2095+D2111+F2111+G2111+I2111</f>
        <v>1692752.0899999999</v>
      </c>
      <c r="W2111" s="18">
        <f>+W2095+J2111+K2111+L2111+M2111+N2111+O2111+Q2111+R2111+T2111</f>
        <v>139495.21999999997</v>
      </c>
      <c r="X2111" s="18">
        <f>+V2111-W2111</f>
        <v>1553256.8699999999</v>
      </c>
    </row>
    <row r="2112" spans="1:24" ht="15">
      <c r="A2112" s="4">
        <f>+A2111+1</f>
        <v>35</v>
      </c>
      <c r="B2112" s="5" t="s">
        <v>43</v>
      </c>
      <c r="C2112" s="11"/>
      <c r="D2112" s="18">
        <v>0</v>
      </c>
      <c r="E2112" s="18"/>
      <c r="F2112" s="18">
        <v>0</v>
      </c>
      <c r="G2112" s="18">
        <v>0</v>
      </c>
      <c r="I2112" s="18">
        <v>0</v>
      </c>
      <c r="J2112" s="18">
        <v>0</v>
      </c>
      <c r="K2112" s="18">
        <v>0</v>
      </c>
      <c r="L2112" s="18">
        <v>0</v>
      </c>
      <c r="M2112" s="18">
        <v>0</v>
      </c>
      <c r="N2112" s="18">
        <v>0</v>
      </c>
      <c r="O2112" s="18">
        <v>0</v>
      </c>
      <c r="P2112" s="18"/>
      <c r="Q2112" s="18">
        <v>0</v>
      </c>
      <c r="R2112" s="18">
        <v>0</v>
      </c>
      <c r="S2112" s="42"/>
      <c r="T2112" s="18">
        <v>0</v>
      </c>
      <c r="U2112" s="42"/>
      <c r="V2112" s="18">
        <f>+V2096+D2112+F2112+G2112+I2112</f>
        <v>0</v>
      </c>
      <c r="W2112" s="18">
        <f>+W2096+J2112+K2112+L2112+M2112+N2112+O2112+Q2112+R2112+T2112</f>
        <v>0</v>
      </c>
      <c r="X2112" s="18">
        <f>+V2112-W2112</f>
        <v>0</v>
      </c>
    </row>
    <row r="2113" spans="1:24" ht="26.25">
      <c r="A2113" s="4">
        <f>+A2112+1</f>
        <v>36</v>
      </c>
      <c r="B2113" s="24" t="s">
        <v>79</v>
      </c>
      <c r="C2113" s="11"/>
      <c r="D2113" s="18">
        <f>+D2111-D2112</f>
        <v>0</v>
      </c>
      <c r="E2113" s="18"/>
      <c r="F2113" s="18">
        <f>+F2111-F2112</f>
        <v>0</v>
      </c>
      <c r="G2113" s="18">
        <f>+G2111-G2112</f>
        <v>0</v>
      </c>
      <c r="I2113" s="18">
        <f aca="true" t="shared" si="259" ref="I2113:O2113">+I2111-I2112</f>
        <v>0</v>
      </c>
      <c r="J2113" s="18">
        <f t="shared" si="259"/>
        <v>0</v>
      </c>
      <c r="K2113" s="18">
        <f t="shared" si="259"/>
        <v>0</v>
      </c>
      <c r="L2113" s="18">
        <f t="shared" si="259"/>
        <v>0</v>
      </c>
      <c r="M2113" s="18">
        <f t="shared" si="259"/>
        <v>0</v>
      </c>
      <c r="N2113" s="18">
        <f t="shared" si="259"/>
        <v>0</v>
      </c>
      <c r="O2113" s="18">
        <f t="shared" si="259"/>
        <v>0</v>
      </c>
      <c r="P2113" s="18"/>
      <c r="Q2113" s="18">
        <f>+Q2111-Q2112</f>
        <v>0</v>
      </c>
      <c r="R2113" s="18">
        <f>+R2111-R2112</f>
        <v>0</v>
      </c>
      <c r="S2113" s="42"/>
      <c r="T2113" s="18">
        <f>+T2111-T2112</f>
        <v>0</v>
      </c>
      <c r="U2113" s="42"/>
      <c r="V2113" s="55">
        <f>+V2111-V2112</f>
        <v>1692752.0899999999</v>
      </c>
      <c r="W2113" s="55">
        <f>+W2111-W2112</f>
        <v>139495.21999999997</v>
      </c>
      <c r="X2113" s="31">
        <f>+X2111-X2112</f>
        <v>1553256.8699999999</v>
      </c>
    </row>
    <row r="2114" spans="1:24" ht="28.5">
      <c r="A2114" s="4">
        <f>+A2113+1</f>
        <v>37</v>
      </c>
      <c r="B2114" s="88" t="s">
        <v>181</v>
      </c>
      <c r="C2114" s="11"/>
      <c r="D2114" s="18">
        <v>0</v>
      </c>
      <c r="E2114" s="18"/>
      <c r="F2114" s="18">
        <v>0</v>
      </c>
      <c r="G2114" s="18">
        <v>0</v>
      </c>
      <c r="I2114" s="18">
        <v>0</v>
      </c>
      <c r="J2114" s="18">
        <v>0</v>
      </c>
      <c r="K2114" s="18">
        <v>0</v>
      </c>
      <c r="L2114" s="18">
        <v>0</v>
      </c>
      <c r="M2114" s="18">
        <v>0</v>
      </c>
      <c r="N2114" s="18">
        <v>0</v>
      </c>
      <c r="O2114" s="18">
        <v>0</v>
      </c>
      <c r="P2114" s="18"/>
      <c r="Q2114" s="18">
        <v>0</v>
      </c>
      <c r="R2114" s="18">
        <v>0</v>
      </c>
      <c r="S2114" s="42"/>
      <c r="T2114" s="18">
        <v>0</v>
      </c>
      <c r="U2114" s="42"/>
      <c r="V2114" s="18">
        <f>+V2098+D2114+F2114+G2114+I2114</f>
        <v>0</v>
      </c>
      <c r="W2114" s="18">
        <f>+W2098+J2114+K2114+L2114+M2114+N2114+O2114+Q2114+R2114+T2114</f>
        <v>0</v>
      </c>
      <c r="X2114" s="18">
        <f>+V2114-W2114</f>
        <v>0</v>
      </c>
    </row>
    <row r="2115" spans="1:24" ht="15">
      <c r="A2115" s="4">
        <f>+A2114+1</f>
        <v>38</v>
      </c>
      <c r="B2115" s="24" t="s">
        <v>46</v>
      </c>
      <c r="C2115" s="11" t="s">
        <v>47</v>
      </c>
      <c r="D2115" s="18">
        <f>+D2107+D2108+D2113+D2114+D2109</f>
        <v>-218229.85</v>
      </c>
      <c r="E2115" s="18"/>
      <c r="F2115" s="18">
        <f>+F2107+F2108+F2113+F2114+F2109</f>
        <v>0</v>
      </c>
      <c r="G2115" s="18">
        <f>+G2107+G2108+G2113+G2114+G2109</f>
        <v>-3285.02</v>
      </c>
      <c r="I2115" s="18">
        <f aca="true" t="shared" si="260" ref="I2115:O2115">+I2107+I2108+I2113+I2114+I2109</f>
        <v>0</v>
      </c>
      <c r="J2115" s="18">
        <f t="shared" si="260"/>
        <v>-34639.54</v>
      </c>
      <c r="K2115" s="18">
        <f t="shared" si="260"/>
        <v>0</v>
      </c>
      <c r="L2115" s="18">
        <f t="shared" si="260"/>
        <v>0</v>
      </c>
      <c r="M2115" s="18">
        <f t="shared" si="260"/>
        <v>0</v>
      </c>
      <c r="N2115" s="18">
        <f t="shared" si="260"/>
        <v>0</v>
      </c>
      <c r="O2115" s="18">
        <f t="shared" si="260"/>
        <v>0</v>
      </c>
      <c r="P2115" s="18"/>
      <c r="Q2115" s="18">
        <f>+Q2107+Q2108+Q2113+Q2114+Q2109</f>
        <v>0</v>
      </c>
      <c r="R2115" s="18">
        <f>+R2107+R2108+R2113+R2114+R2109</f>
        <v>0</v>
      </c>
      <c r="S2115" s="42"/>
      <c r="T2115" s="18">
        <f>+T2107+T2108+T2113+T2114+T2109</f>
        <v>8996.5</v>
      </c>
      <c r="U2115" s="42"/>
      <c r="V2115" s="18">
        <f>+V2107+V2108+V2113+V2114+V2109</f>
        <v>2073936.2199999997</v>
      </c>
      <c r="W2115" s="18">
        <f>+W2107+W2108+W2113+W2114+W2109</f>
        <v>1272407.31</v>
      </c>
      <c r="X2115" s="18">
        <f>+X2107+X2108+X2113+X2114+X2109</f>
        <v>801528.9100000001</v>
      </c>
    </row>
    <row r="2116" spans="1:24" ht="15">
      <c r="A2116" s="4"/>
      <c r="B2116" s="24"/>
      <c r="C2116" s="11"/>
      <c r="D2116" s="18"/>
      <c r="E2116" s="18"/>
      <c r="F2116" s="18"/>
      <c r="G2116" s="18"/>
      <c r="N2116" s="42"/>
      <c r="O2116" s="42"/>
      <c r="P2116" s="42"/>
      <c r="Q2116" s="42"/>
      <c r="R2116" s="42"/>
      <c r="S2116" s="42"/>
      <c r="T2116" s="42"/>
      <c r="U2116" s="42"/>
      <c r="V2116" s="18"/>
      <c r="W2116" s="18"/>
      <c r="X2116" s="18"/>
    </row>
    <row r="2117" spans="1:24" ht="15">
      <c r="A2117" s="4"/>
      <c r="B2117" s="24"/>
      <c r="C2117" s="11"/>
      <c r="D2117" s="18"/>
      <c r="E2117" s="18"/>
      <c r="F2117" s="18"/>
      <c r="G2117" s="18"/>
      <c r="L2117" s="42"/>
      <c r="M2117" s="42"/>
      <c r="N2117" s="42"/>
      <c r="O2117" s="42"/>
      <c r="P2117" s="42"/>
      <c r="Q2117" s="42"/>
      <c r="R2117" s="42"/>
      <c r="S2117" s="42"/>
      <c r="T2117" s="42"/>
      <c r="U2117" s="42"/>
      <c r="V2117" s="18"/>
      <c r="W2117" s="18"/>
      <c r="X2117" s="18"/>
    </row>
    <row r="2118" spans="1:24" ht="15">
      <c r="A2118" s="4"/>
      <c r="B2118" s="24"/>
      <c r="C2118" s="11"/>
      <c r="D2118" s="18"/>
      <c r="E2118" s="18"/>
      <c r="F2118" s="18"/>
      <c r="G2118" s="18"/>
      <c r="L2118" s="42"/>
      <c r="M2118" s="42"/>
      <c r="N2118" s="42"/>
      <c r="O2118" s="42"/>
      <c r="P2118" s="42"/>
      <c r="Q2118" s="42"/>
      <c r="R2118" s="42"/>
      <c r="S2118" s="42"/>
      <c r="T2118" s="42"/>
      <c r="U2118" s="42"/>
      <c r="V2118" s="18"/>
      <c r="W2118" s="18"/>
      <c r="X2118" s="18"/>
    </row>
    <row r="2119" spans="1:24" ht="15">
      <c r="A2119" s="4"/>
      <c r="B2119" s="24"/>
      <c r="C2119" s="11"/>
      <c r="D2119" s="18"/>
      <c r="E2119" s="18"/>
      <c r="F2119" s="18"/>
      <c r="G2119" s="18"/>
      <c r="H2119" s="56"/>
      <c r="L2119" s="42"/>
      <c r="M2119" s="42"/>
      <c r="N2119" s="42"/>
      <c r="O2119" s="42"/>
      <c r="P2119" s="42"/>
      <c r="Q2119" s="42"/>
      <c r="R2119" s="42"/>
      <c r="S2119" s="42"/>
      <c r="T2119" s="42"/>
      <c r="U2119" s="42"/>
      <c r="V2119" s="18"/>
      <c r="W2119" s="18"/>
      <c r="X2119" s="18"/>
    </row>
    <row r="2120" spans="1:24" ht="15">
      <c r="A2120" s="4"/>
      <c r="B2120" s="24"/>
      <c r="C2120" s="11"/>
      <c r="D2120" s="18"/>
      <c r="E2120" s="18"/>
      <c r="F2120" s="18"/>
      <c r="G2120" s="18"/>
      <c r="H2120" s="56"/>
      <c r="I2120" s="57" t="s">
        <v>135</v>
      </c>
      <c r="L2120" s="42"/>
      <c r="M2120" s="42"/>
      <c r="N2120" s="42"/>
      <c r="O2120" s="42"/>
      <c r="P2120" s="42"/>
      <c r="Q2120" s="42"/>
      <c r="R2120" s="42"/>
      <c r="S2120" s="42"/>
      <c r="T2120" s="42"/>
      <c r="U2120" s="42"/>
      <c r="V2120" s="18"/>
      <c r="W2120" s="18"/>
      <c r="X2120" s="18"/>
    </row>
    <row r="2121" spans="1:24" ht="15">
      <c r="A2121" s="4"/>
      <c r="B2121" s="24"/>
      <c r="C2121" s="11"/>
      <c r="D2121" s="18"/>
      <c r="E2121" s="18"/>
      <c r="F2121" s="18"/>
      <c r="G2121" s="18"/>
      <c r="H2121" s="56"/>
      <c r="I2121" s="58"/>
      <c r="L2121" s="42"/>
      <c r="T2121" s="42"/>
      <c r="U2121" s="42"/>
      <c r="V2121" s="18"/>
      <c r="W2121" s="18"/>
      <c r="X2121" s="18"/>
    </row>
    <row r="2122" spans="1:24" ht="15">
      <c r="A2122" s="4"/>
      <c r="B2122" s="24"/>
      <c r="C2122" s="11"/>
      <c r="D2122" s="18"/>
      <c r="E2122" s="18"/>
      <c r="F2122" s="18"/>
      <c r="G2122" s="18"/>
      <c r="H2122" s="56"/>
      <c r="I2122" s="59" t="s">
        <v>136</v>
      </c>
      <c r="L2122" s="75">
        <v>21772033.09</v>
      </c>
      <c r="T2122" s="42"/>
      <c r="U2122" s="42"/>
      <c r="V2122" s="18"/>
      <c r="W2122" s="18"/>
      <c r="X2122" s="18"/>
    </row>
    <row r="2123" spans="1:24" ht="15">
      <c r="A2123" s="4"/>
      <c r="B2123" s="24"/>
      <c r="C2123" s="11"/>
      <c r="D2123" s="18"/>
      <c r="E2123" s="18"/>
      <c r="F2123" s="18"/>
      <c r="G2123" s="18"/>
      <c r="H2123" s="56"/>
      <c r="I2123" s="59"/>
      <c r="L2123" s="18"/>
      <c r="T2123" s="42"/>
      <c r="U2123" s="42"/>
      <c r="V2123" s="18"/>
      <c r="W2123" s="18"/>
      <c r="X2123" s="18"/>
    </row>
    <row r="2124" spans="1:24" ht="15">
      <c r="A2124" s="4"/>
      <c r="B2124" s="24"/>
      <c r="C2124" s="11"/>
      <c r="D2124" s="44" t="s">
        <v>137</v>
      </c>
      <c r="E2124" s="18"/>
      <c r="F2124" s="10" t="s">
        <v>138</v>
      </c>
      <c r="G2124" s="44" t="s">
        <v>24</v>
      </c>
      <c r="H2124" s="56"/>
      <c r="I2124" s="59" t="s">
        <v>139</v>
      </c>
      <c r="L2124" s="27">
        <v>2</v>
      </c>
      <c r="N2124" s="6" t="s">
        <v>137</v>
      </c>
      <c r="O2124" s="6" t="s">
        <v>137</v>
      </c>
      <c r="P2124" s="42"/>
      <c r="Q2124" s="6" t="s">
        <v>138</v>
      </c>
      <c r="R2124" s="6" t="s">
        <v>138</v>
      </c>
      <c r="S2124" s="6"/>
      <c r="T2124" s="42"/>
      <c r="U2124" s="42"/>
      <c r="V2124" s="18"/>
      <c r="W2124" s="18"/>
      <c r="X2124" s="18"/>
    </row>
    <row r="2125" spans="1:24" ht="15">
      <c r="A2125" s="4"/>
      <c r="B2125" s="24"/>
      <c r="C2125" s="11"/>
      <c r="D2125" s="18"/>
      <c r="E2125" s="18"/>
      <c r="F2125" s="18"/>
      <c r="G2125" s="18"/>
      <c r="H2125" s="56"/>
      <c r="I2125" s="59"/>
      <c r="L2125" s="18"/>
      <c r="N2125" s="8" t="s">
        <v>140</v>
      </c>
      <c r="O2125" s="49" t="s">
        <v>141</v>
      </c>
      <c r="P2125" s="42"/>
      <c r="Q2125" s="8" t="s">
        <v>140</v>
      </c>
      <c r="R2125" s="49" t="s">
        <v>141</v>
      </c>
      <c r="S2125" s="49"/>
      <c r="T2125" s="42"/>
      <c r="U2125" s="42"/>
      <c r="V2125" s="18"/>
      <c r="W2125" s="18"/>
      <c r="X2125" s="18"/>
    </row>
    <row r="2126" spans="1:24" ht="15">
      <c r="A2126" s="4">
        <f>+A2114+1</f>
        <v>38</v>
      </c>
      <c r="B2126" s="5" t="s">
        <v>36</v>
      </c>
      <c r="C2126" s="17" t="s">
        <v>37</v>
      </c>
      <c r="D2126" s="31">
        <f>+V2071+V2105</f>
        <v>28931177.23</v>
      </c>
      <c r="E2126" s="18"/>
      <c r="F2126" s="31">
        <f>+W2071+W2105</f>
        <v>15587785.4</v>
      </c>
      <c r="G2126" s="18">
        <f>+D2126-F2126</f>
        <v>13343391.83</v>
      </c>
      <c r="H2126" s="56"/>
      <c r="I2126" s="59" t="s">
        <v>142</v>
      </c>
      <c r="J2126" s="18"/>
      <c r="K2126" s="18"/>
      <c r="L2126" s="36">
        <v>12714667</v>
      </c>
      <c r="N2126" s="60"/>
      <c r="O2126" s="6"/>
      <c r="P2126" s="42"/>
      <c r="Q2126" s="61"/>
      <c r="R2126" s="61"/>
      <c r="S2126" s="61"/>
      <c r="T2126" s="42"/>
      <c r="U2126" s="42"/>
      <c r="V2126" s="18"/>
      <c r="W2126" s="18"/>
      <c r="X2126" s="18"/>
    </row>
    <row r="2127" spans="1:21" ht="15">
      <c r="A2127" s="4">
        <f>+A2126+1</f>
        <v>39</v>
      </c>
      <c r="B2127" s="5" t="s">
        <v>36</v>
      </c>
      <c r="C2127" s="22" t="s">
        <v>38</v>
      </c>
      <c r="D2127" s="31">
        <f>+V2072+V2106</f>
        <v>26499712.939999998</v>
      </c>
      <c r="E2127" s="18"/>
      <c r="F2127" s="31">
        <f>+W2072+W2106</f>
        <v>15724202.579999998</v>
      </c>
      <c r="G2127" s="18">
        <f>+D2127-F2127</f>
        <v>10775510.36</v>
      </c>
      <c r="H2127" s="56"/>
      <c r="I2127" s="58"/>
      <c r="J2127" s="18"/>
      <c r="K2127" s="18"/>
      <c r="L2127" s="60"/>
      <c r="N2127" s="62">
        <f>+D2128</f>
        <v>2431464.290000003</v>
      </c>
      <c r="O2127" s="63">
        <f>+D2134</f>
        <v>23436709.330000002</v>
      </c>
      <c r="P2127" s="42"/>
      <c r="Q2127" s="31">
        <f>+F2038</f>
        <v>-133240.69999999925</v>
      </c>
      <c r="R2127" s="31">
        <f>+F2040</f>
        <v>0</v>
      </c>
      <c r="S2127" s="31"/>
      <c r="T2127" s="42"/>
      <c r="U2127" s="42"/>
    </row>
    <row r="2128" spans="1:24" ht="15">
      <c r="A2128" s="4">
        <f>+A2127+1</f>
        <v>40</v>
      </c>
      <c r="B2128" s="24" t="s">
        <v>46</v>
      </c>
      <c r="C2128" s="40" t="s">
        <v>78</v>
      </c>
      <c r="D2128" s="26">
        <f>+D2126-D2127</f>
        <v>2431464.290000003</v>
      </c>
      <c r="E2128" s="18"/>
      <c r="F2128" s="26">
        <f>+F2126-F2127</f>
        <v>-136417.17999999784</v>
      </c>
      <c r="G2128" s="18">
        <f>+G2126-G2127</f>
        <v>2567881.4700000007</v>
      </c>
      <c r="H2128" s="56"/>
      <c r="I2128" s="58" t="s">
        <v>143</v>
      </c>
      <c r="J2128" s="18"/>
      <c r="K2128" s="18"/>
      <c r="L2128">
        <v>0</v>
      </c>
      <c r="N2128" s="62">
        <f>+D2129</f>
        <v>0</v>
      </c>
      <c r="O2128" s="63">
        <f>+D2135</f>
        <v>0</v>
      </c>
      <c r="P2128" s="42"/>
      <c r="Q2128" s="31">
        <f>+F2039</f>
        <v>0</v>
      </c>
      <c r="R2128" s="31">
        <f>+F2044</f>
        <v>12847908.489999998</v>
      </c>
      <c r="S2128" s="31"/>
      <c r="U2128" s="18"/>
      <c r="V2128" s="10" t="s">
        <v>20</v>
      </c>
      <c r="W2128" s="10" t="s">
        <v>21</v>
      </c>
      <c r="X2128" s="10" t="s">
        <v>22</v>
      </c>
    </row>
    <row r="2129" spans="1:21" ht="28.5">
      <c r="A2129" s="4">
        <f>+A2128+1</f>
        <v>41</v>
      </c>
      <c r="B2129" s="88" t="s">
        <v>182</v>
      </c>
      <c r="C2129" s="11"/>
      <c r="D2129" s="26">
        <f>+V2074+V2108</f>
        <v>0</v>
      </c>
      <c r="E2129" s="26"/>
      <c r="F2129" s="26">
        <f>+W2074+W2108</f>
        <v>0</v>
      </c>
      <c r="G2129" s="18">
        <f>+D2129-F2129</f>
        <v>0</v>
      </c>
      <c r="H2129" s="56"/>
      <c r="I2129" s="58"/>
      <c r="J2129" s="18"/>
      <c r="K2129" s="18"/>
      <c r="L2129" s="60" t="s">
        <v>144</v>
      </c>
      <c r="N2129" s="62">
        <f>+F2128</f>
        <v>-136417.17999999784</v>
      </c>
      <c r="O2129" s="63">
        <f>+F2134</f>
        <v>12987403.709999999</v>
      </c>
      <c r="P2129" s="42"/>
      <c r="R2129" s="31">
        <f>+F2045</f>
        <v>0</v>
      </c>
      <c r="S2129" s="31"/>
      <c r="U2129" s="18"/>
    </row>
    <row r="2130" spans="1:24" ht="24.75">
      <c r="A2130" s="4">
        <f>+A2129+1</f>
        <v>42</v>
      </c>
      <c r="B2130" s="89" t="s">
        <v>39</v>
      </c>
      <c r="C2130" s="40"/>
      <c r="D2130" s="30">
        <f>+V2075+V2109</f>
        <v>-2823731.1300000004</v>
      </c>
      <c r="E2130" s="30"/>
      <c r="F2130" s="30">
        <f>+W2075+W2109</f>
        <v>1136088.57</v>
      </c>
      <c r="G2130" s="18">
        <f>+D2130-F2130</f>
        <v>-3959819.7</v>
      </c>
      <c r="H2130" s="56"/>
      <c r="I2130" s="64" t="s">
        <v>145</v>
      </c>
      <c r="J2130" s="18"/>
      <c r="K2130" s="18"/>
      <c r="L2130" s="31">
        <f>+L2122-L2124-L2126-L2128</f>
        <v>9057364.09</v>
      </c>
      <c r="N2130" s="62">
        <f>+F2129</f>
        <v>0</v>
      </c>
      <c r="O2130" s="63">
        <f>+F2135</f>
        <v>0</v>
      </c>
      <c r="P2130" s="42"/>
      <c r="Q2130" s="31"/>
      <c r="R2130" s="31"/>
      <c r="S2130" s="31"/>
      <c r="U2130" s="65"/>
      <c r="V2130" s="66"/>
      <c r="W2130" s="66"/>
      <c r="X2130" s="65"/>
    </row>
    <row r="2131" spans="1:24" ht="15">
      <c r="A2131" s="6" t="s">
        <v>41</v>
      </c>
      <c r="B2131" s="41"/>
      <c r="C2131" s="40"/>
      <c r="D2131" s="18"/>
      <c r="E2131" s="18"/>
      <c r="F2131" s="18"/>
      <c r="G2131" s="18"/>
      <c r="H2131" s="56"/>
      <c r="I2131" s="58"/>
      <c r="J2131" s="18"/>
      <c r="K2131" s="18"/>
      <c r="N2131" s="62">
        <f>+F2038</f>
        <v>-133240.69999999925</v>
      </c>
      <c r="O2131" s="63">
        <f>+F2044</f>
        <v>12847908.489999998</v>
      </c>
      <c r="P2131" s="42"/>
      <c r="Q2131" s="31"/>
      <c r="U2131" s="65"/>
      <c r="V2131" s="67"/>
      <c r="W2131" s="67"/>
      <c r="X2131" s="68"/>
    </row>
    <row r="2132" spans="1:25" ht="15">
      <c r="A2132" s="4">
        <f>+A2130+1</f>
        <v>43</v>
      </c>
      <c r="B2132" s="5" t="s">
        <v>42</v>
      </c>
      <c r="C2132" s="22" t="s">
        <v>38</v>
      </c>
      <c r="D2132" s="31">
        <f>+V2077+V2111</f>
        <v>23436709.330000002</v>
      </c>
      <c r="E2132" s="18"/>
      <c r="F2132" s="31">
        <f>+W2077+W2111</f>
        <v>12987403.709999999</v>
      </c>
      <c r="G2132" s="18">
        <f>+D2132-F2132</f>
        <v>10449305.620000003</v>
      </c>
      <c r="H2132" s="56"/>
      <c r="I2132" s="59" t="s">
        <v>22</v>
      </c>
      <c r="J2132" s="18"/>
      <c r="K2132" s="18"/>
      <c r="L2132" s="30">
        <f>+X2137</f>
        <v>9057367.390000002</v>
      </c>
      <c r="N2132" s="62"/>
      <c r="O2132" s="63">
        <f>+D2130</f>
        <v>-2823731.1300000004</v>
      </c>
      <c r="P2132" s="42"/>
      <c r="Q2132" s="31"/>
      <c r="R2132" s="31"/>
      <c r="S2132" s="31"/>
      <c r="T2132" s="69" t="s">
        <v>78</v>
      </c>
      <c r="U2132" s="65"/>
      <c r="V2132" s="26">
        <f>+D2128+D2129-F2128-F2129+F2038</f>
        <v>2434640.7700000014</v>
      </c>
      <c r="W2132" s="26">
        <f>+F2038+F2039</f>
        <v>-133240.69999999925</v>
      </c>
      <c r="X2132" s="26">
        <f>+V2132-W2132</f>
        <v>2567881.4700000007</v>
      </c>
      <c r="Y2132" s="18"/>
    </row>
    <row r="2133" spans="1:25" ht="15">
      <c r="A2133" s="4">
        <f>+A2132+1</f>
        <v>44</v>
      </c>
      <c r="B2133" s="5" t="s">
        <v>43</v>
      </c>
      <c r="C2133" s="11"/>
      <c r="D2133" s="31">
        <f>+V2078+V2112</f>
        <v>0</v>
      </c>
      <c r="E2133" s="18"/>
      <c r="F2133" s="31">
        <f>+W2078+W2112</f>
        <v>0</v>
      </c>
      <c r="G2133" s="18">
        <f>+D2133-F2133</f>
        <v>0</v>
      </c>
      <c r="H2133" s="56"/>
      <c r="I2133" s="59"/>
      <c r="J2133" s="18"/>
      <c r="K2133" s="18"/>
      <c r="L2133" s="60" t="s">
        <v>144</v>
      </c>
      <c r="O2133" s="63">
        <f>+F2130</f>
        <v>1136088.57</v>
      </c>
      <c r="P2133" s="42"/>
      <c r="Q2133" s="31"/>
      <c r="R2133" s="31"/>
      <c r="S2133" s="31"/>
      <c r="T2133" s="11" t="s">
        <v>146</v>
      </c>
      <c r="U2133" s="65"/>
      <c r="V2133" s="30">
        <f>+D2134+D2135-F2134-F2135+F2044+D2130-F2130+F2040</f>
        <v>19337394.41</v>
      </c>
      <c r="W2133" s="30">
        <f>+F2040+F2044+F2045</f>
        <v>12847908.489999998</v>
      </c>
      <c r="X2133" s="30">
        <f>+V2133-W2133</f>
        <v>6489485.920000002</v>
      </c>
      <c r="Y2133" s="18"/>
    </row>
    <row r="2134" spans="1:25" ht="26.25">
      <c r="A2134" s="4">
        <f>+A2133+1</f>
        <v>45</v>
      </c>
      <c r="B2134" s="24" t="s">
        <v>79</v>
      </c>
      <c r="C2134" s="11"/>
      <c r="D2134" s="30">
        <f>+D2132-D2133</f>
        <v>23436709.330000002</v>
      </c>
      <c r="E2134" s="18"/>
      <c r="F2134" s="30">
        <f>+F2132-F2133</f>
        <v>12987403.709999999</v>
      </c>
      <c r="G2134" s="18">
        <f>+G2132-G2133</f>
        <v>10449305.620000003</v>
      </c>
      <c r="H2134" s="56"/>
      <c r="I2134" s="58"/>
      <c r="J2134" s="18"/>
      <c r="K2134" s="18"/>
      <c r="N2134" s="62"/>
      <c r="O2134" s="63">
        <f>+F2040</f>
        <v>0</v>
      </c>
      <c r="P2134" s="42"/>
      <c r="Q2134" s="31"/>
      <c r="R2134" s="31"/>
      <c r="S2134" s="31"/>
      <c r="T2134" s="11"/>
      <c r="U2134" s="65"/>
      <c r="V2134" s="30"/>
      <c r="W2134" s="30"/>
      <c r="X2134" s="30"/>
      <c r="Y2134" s="65"/>
    </row>
    <row r="2135" spans="1:25" ht="28.5">
      <c r="A2135" s="4">
        <f>+A2134+1</f>
        <v>46</v>
      </c>
      <c r="B2135" s="88" t="s">
        <v>181</v>
      </c>
      <c r="C2135" s="11"/>
      <c r="D2135" s="30">
        <f>+V2080+V2114</f>
        <v>0</v>
      </c>
      <c r="E2135" s="30"/>
      <c r="F2135" s="30">
        <f>+W2080+W2114</f>
        <v>0</v>
      </c>
      <c r="G2135" s="18">
        <f>+D2135-F2135</f>
        <v>0</v>
      </c>
      <c r="H2135" s="56"/>
      <c r="N2135" s="62"/>
      <c r="O2135" s="62"/>
      <c r="P2135" s="42"/>
      <c r="Q2135" s="31"/>
      <c r="R2135" s="31"/>
      <c r="S2135" s="31"/>
      <c r="T2135" s="11"/>
      <c r="U2135" s="65"/>
      <c r="V2135" s="30"/>
      <c r="W2135" s="30"/>
      <c r="X2135" s="30"/>
      <c r="Y2135" s="65"/>
    </row>
    <row r="2136" spans="1:25" ht="15">
      <c r="A2136" s="4">
        <f>+A2135+1</f>
        <v>47</v>
      </c>
      <c r="B2136" s="24" t="s">
        <v>46</v>
      </c>
      <c r="C2136" s="11" t="s">
        <v>47</v>
      </c>
      <c r="D2136" s="18">
        <f>+D2128+D2129+D2134+D2135+D2130</f>
        <v>23044442.490000006</v>
      </c>
      <c r="E2136" s="18"/>
      <c r="F2136" s="18">
        <f>+F2128+F2129+F2134+F2135+F2130</f>
        <v>13987075.100000001</v>
      </c>
      <c r="G2136" s="18">
        <f>+G2128+G2129+G2134+G2135+G2130</f>
        <v>9057367.390000004</v>
      </c>
      <c r="H2136" s="56"/>
      <c r="I2136" s="59" t="s">
        <v>147</v>
      </c>
      <c r="J2136" s="18"/>
      <c r="K2136" s="18"/>
      <c r="L2136" s="36">
        <f>+L2130-L2132</f>
        <v>-3.300000002607703</v>
      </c>
      <c r="N2136" s="70">
        <f>+N2127+N2128-N2129-N2130+N2131</f>
        <v>2434640.7700000014</v>
      </c>
      <c r="O2136" s="71">
        <f>+O2127+O2128-O2129-O2130+O2131+O2132-O2133+O2134</f>
        <v>19337394.41</v>
      </c>
      <c r="P2136" s="42"/>
      <c r="Q2136" s="26">
        <f>SUM(Q2127:Q2128)</f>
        <v>-133240.69999999925</v>
      </c>
      <c r="R2136" s="30">
        <f>SUM(R2127:R2130)</f>
        <v>12847908.489999998</v>
      </c>
      <c r="S2136" s="30"/>
      <c r="T2136" s="11"/>
      <c r="U2136" s="65"/>
      <c r="V2136" s="30"/>
      <c r="W2136" s="30"/>
      <c r="X2136" s="30"/>
      <c r="Y2136" s="65"/>
    </row>
    <row r="2137" spans="1:25" ht="15">
      <c r="A2137" s="4"/>
      <c r="B2137" s="24"/>
      <c r="C2137" s="11"/>
      <c r="D2137" s="18"/>
      <c r="E2137" s="18"/>
      <c r="F2137" s="18"/>
      <c r="G2137" s="18"/>
      <c r="H2137" s="56"/>
      <c r="L2137" s="60" t="s">
        <v>148</v>
      </c>
      <c r="M2137" s="42"/>
      <c r="N2137" s="42"/>
      <c r="O2137" s="42"/>
      <c r="P2137" s="42"/>
      <c r="Q2137" s="42"/>
      <c r="R2137" s="42"/>
      <c r="S2137" s="42"/>
      <c r="T2137" s="10" t="s">
        <v>22</v>
      </c>
      <c r="U2137" s="65"/>
      <c r="V2137" s="36"/>
      <c r="W2137" s="36"/>
      <c r="X2137" s="36">
        <f>+X2132+X2133</f>
        <v>9057367.390000002</v>
      </c>
      <c r="Y2137" s="65"/>
    </row>
    <row r="2138" spans="1:25" ht="15">
      <c r="A2138" s="1"/>
      <c r="B2138" s="2"/>
      <c r="C2138" s="2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65"/>
    </row>
    <row r="2139" spans="1:6" ht="15">
      <c r="A2139" s="4"/>
      <c r="B2139"/>
      <c r="F2139"/>
    </row>
    <row r="2140" spans="1:6" ht="15">
      <c r="A2140" s="4"/>
      <c r="B2140"/>
      <c r="F2140"/>
    </row>
    <row r="2141" spans="1:25" ht="15">
      <c r="A2141" s="1"/>
      <c r="B2141" s="2"/>
      <c r="C2141" s="2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</row>
    <row r="2142" spans="1:6" ht="15">
      <c r="A2142" s="4" t="s">
        <v>0</v>
      </c>
      <c r="B2142" s="5"/>
      <c r="C2142" s="6" t="s">
        <v>1</v>
      </c>
      <c r="F2142"/>
    </row>
    <row r="2143" spans="1:6" ht="15">
      <c r="A2143" s="4"/>
      <c r="B2143" s="5"/>
      <c r="C2143" s="6" t="s">
        <v>2</v>
      </c>
      <c r="F2143"/>
    </row>
    <row r="2144" spans="1:6" ht="15">
      <c r="A2144" s="4"/>
      <c r="B2144" s="5"/>
      <c r="C2144" s="80" t="s">
        <v>168</v>
      </c>
      <c r="F2144"/>
    </row>
    <row r="2145" spans="1:6" ht="15">
      <c r="A2145" s="4"/>
      <c r="B2145" s="5"/>
      <c r="C2145" s="8"/>
      <c r="F2145"/>
    </row>
    <row r="2146" spans="1:25" ht="15">
      <c r="A2146" s="4"/>
      <c r="B2146" s="5"/>
      <c r="C2146" s="9"/>
      <c r="D2146" s="10" t="s">
        <v>4</v>
      </c>
      <c r="E2146" s="10"/>
      <c r="F2146" s="10" t="s">
        <v>5</v>
      </c>
      <c r="G2146" s="10" t="s">
        <v>6</v>
      </c>
      <c r="H2146" s="10"/>
      <c r="I2146" s="10" t="s">
        <v>7</v>
      </c>
      <c r="J2146" s="10" t="s">
        <v>8</v>
      </c>
      <c r="K2146" s="10" t="s">
        <v>9</v>
      </c>
      <c r="L2146" s="10" t="s">
        <v>10</v>
      </c>
      <c r="M2146" s="10" t="s">
        <v>11</v>
      </c>
      <c r="N2146" s="10" t="s">
        <v>12</v>
      </c>
      <c r="O2146" s="10" t="s">
        <v>13</v>
      </c>
      <c r="P2146" s="10"/>
      <c r="Q2146" s="10" t="s">
        <v>14</v>
      </c>
      <c r="R2146" s="10" t="s">
        <v>15</v>
      </c>
      <c r="S2146" s="10"/>
      <c r="T2146" s="10" t="s">
        <v>16</v>
      </c>
      <c r="U2146" s="10"/>
      <c r="V2146" s="10" t="s">
        <v>17</v>
      </c>
      <c r="W2146" s="10" t="s">
        <v>18</v>
      </c>
      <c r="X2146" s="10" t="s">
        <v>19</v>
      </c>
      <c r="Y2146" s="10"/>
    </row>
    <row r="2147" spans="1:24" ht="15">
      <c r="A2147" s="4"/>
      <c r="B2147" s="87" t="s">
        <v>174</v>
      </c>
      <c r="C2147" s="5"/>
      <c r="D2147" s="10" t="s">
        <v>20</v>
      </c>
      <c r="E2147" s="10"/>
      <c r="F2147" s="10" t="s">
        <v>21</v>
      </c>
      <c r="G2147" s="10" t="s">
        <v>22</v>
      </c>
      <c r="I2147" s="10" t="s">
        <v>20</v>
      </c>
      <c r="J2147" s="10" t="s">
        <v>20</v>
      </c>
      <c r="K2147" s="10" t="s">
        <v>20</v>
      </c>
      <c r="L2147" s="10" t="s">
        <v>20</v>
      </c>
      <c r="M2147" s="10" t="s">
        <v>20</v>
      </c>
      <c r="N2147" s="10" t="s">
        <v>20</v>
      </c>
      <c r="O2147" s="10" t="s">
        <v>20</v>
      </c>
      <c r="Q2147" s="10" t="s">
        <v>20</v>
      </c>
      <c r="R2147" s="10" t="s">
        <v>20</v>
      </c>
      <c r="S2147" s="10"/>
      <c r="T2147" s="10" t="s">
        <v>20</v>
      </c>
      <c r="V2147" s="10" t="s">
        <v>20</v>
      </c>
      <c r="W2147" s="10" t="s">
        <v>20</v>
      </c>
      <c r="X2147" s="10" t="s">
        <v>20</v>
      </c>
    </row>
    <row r="2148" spans="1:24" ht="42.75">
      <c r="A2148" s="4"/>
      <c r="B2148" s="5"/>
      <c r="C2148" s="11"/>
      <c r="D2148" s="12" t="s">
        <v>23</v>
      </c>
      <c r="E2148" s="13"/>
      <c r="F2148" s="12" t="s">
        <v>175</v>
      </c>
      <c r="G2148" s="13" t="s">
        <v>24</v>
      </c>
      <c r="I2148" s="13" t="s">
        <v>25</v>
      </c>
      <c r="J2148" s="8" t="s">
        <v>26</v>
      </c>
      <c r="K2148" s="13" t="s">
        <v>27</v>
      </c>
      <c r="L2148" s="13" t="s">
        <v>28</v>
      </c>
      <c r="M2148" s="13" t="s">
        <v>29</v>
      </c>
      <c r="N2148" s="13" t="s">
        <v>30</v>
      </c>
      <c r="O2148" s="13" t="s">
        <v>31</v>
      </c>
      <c r="Q2148" s="14">
        <v>4470115</v>
      </c>
      <c r="R2148" s="13" t="s">
        <v>32</v>
      </c>
      <c r="S2148" s="13"/>
      <c r="T2148" s="14">
        <v>4470119</v>
      </c>
      <c r="V2148" s="8" t="s">
        <v>33</v>
      </c>
      <c r="W2148" s="8" t="s">
        <v>34</v>
      </c>
      <c r="X2148" s="81" t="s">
        <v>35</v>
      </c>
    </row>
    <row r="2149" spans="1:23" ht="15">
      <c r="A2149" s="4"/>
      <c r="B2149" s="5"/>
      <c r="C2149" s="11"/>
      <c r="D2149" s="13"/>
      <c r="E2149" s="13"/>
      <c r="F2149" s="13"/>
      <c r="G2149" s="15"/>
      <c r="I2149" s="13"/>
      <c r="J2149" s="13"/>
      <c r="K2149" s="13"/>
      <c r="L2149" s="13"/>
      <c r="M2149" s="13"/>
      <c r="N2149" s="13"/>
      <c r="O2149" s="13"/>
      <c r="Q2149" s="14"/>
      <c r="R2149" s="13"/>
      <c r="S2149" s="14"/>
      <c r="T2149" s="16"/>
      <c r="V2149" s="14"/>
      <c r="W2149" s="13"/>
    </row>
    <row r="2150" spans="1:25" ht="15">
      <c r="A2150" s="4">
        <v>1</v>
      </c>
      <c r="B2150" s="5" t="s">
        <v>36</v>
      </c>
      <c r="C2150" s="17" t="s">
        <v>37</v>
      </c>
      <c r="D2150" s="78">
        <f>11715611.76+13155588.13</f>
        <v>24871199.89</v>
      </c>
      <c r="E2150" s="77"/>
      <c r="F2150" s="93">
        <f>1513250.98+11642337.15</f>
        <v>13155588.13</v>
      </c>
      <c r="G2150" s="21">
        <f>+D2150-F2150</f>
        <v>11715611.76</v>
      </c>
      <c r="H2150" s="18"/>
      <c r="I2150" s="18">
        <v>0</v>
      </c>
      <c r="J2150" s="18">
        <v>0</v>
      </c>
      <c r="K2150" s="18">
        <v>0</v>
      </c>
      <c r="L2150" s="18">
        <v>-908153.11</v>
      </c>
      <c r="M2150" s="18">
        <v>0</v>
      </c>
      <c r="N2150" s="18">
        <v>0</v>
      </c>
      <c r="O2150" s="18">
        <v>0</v>
      </c>
      <c r="P2150" s="18"/>
      <c r="Q2150" s="18">
        <v>0</v>
      </c>
      <c r="R2150" s="18">
        <v>0</v>
      </c>
      <c r="S2150" s="18"/>
      <c r="T2150" s="18">
        <v>0</v>
      </c>
      <c r="U2150" s="18"/>
      <c r="V2150" s="18">
        <v>0</v>
      </c>
      <c r="W2150" s="18">
        <v>0</v>
      </c>
      <c r="X2150" s="18">
        <v>-2123093.76</v>
      </c>
      <c r="Y2150" s="18"/>
    </row>
    <row r="2151" spans="1:25" ht="15">
      <c r="A2151" s="4">
        <f>+A2150+1</f>
        <v>2</v>
      </c>
      <c r="B2151" s="5" t="s">
        <v>36</v>
      </c>
      <c r="C2151" s="22" t="s">
        <v>38</v>
      </c>
      <c r="D2151" s="78">
        <f>12023228.69+12847908.49</f>
        <v>24871137.18</v>
      </c>
      <c r="E2151" s="19"/>
      <c r="F2151" s="23">
        <f>1473672.54+11374235.95</f>
        <v>12847908.489999998</v>
      </c>
      <c r="G2151" s="21">
        <f>+D2151-F2151</f>
        <v>12023228.690000001</v>
      </c>
      <c r="H2151" s="18"/>
      <c r="I2151" s="18">
        <v>0</v>
      </c>
      <c r="J2151" s="18">
        <v>0</v>
      </c>
      <c r="K2151" s="18">
        <v>0</v>
      </c>
      <c r="L2151" s="18">
        <v>-165604.21</v>
      </c>
      <c r="M2151" s="18">
        <v>0</v>
      </c>
      <c r="N2151" s="18">
        <v>0</v>
      </c>
      <c r="O2151" s="18">
        <v>0</v>
      </c>
      <c r="P2151" s="18"/>
      <c r="Q2151" s="18">
        <v>0</v>
      </c>
      <c r="R2151" s="18">
        <v>0</v>
      </c>
      <c r="S2151" s="18"/>
      <c r="T2151" s="18">
        <v>0</v>
      </c>
      <c r="U2151" s="18"/>
      <c r="V2151" s="18">
        <v>0</v>
      </c>
      <c r="W2151" s="18">
        <v>0</v>
      </c>
      <c r="X2151" s="18">
        <v>-2161912.41</v>
      </c>
      <c r="Y2151" s="18"/>
    </row>
    <row r="2152" spans="1:25" ht="22.5">
      <c r="A2152" s="4">
        <f>+A2151+1</f>
        <v>3</v>
      </c>
      <c r="B2152" s="24" t="s">
        <v>176</v>
      </c>
      <c r="C2152" s="25" t="s">
        <v>177</v>
      </c>
      <c r="D2152" s="18">
        <v>0</v>
      </c>
      <c r="E2152" s="19"/>
      <c r="F2152" s="26">
        <f>+F2150-F2151</f>
        <v>307679.64000000246</v>
      </c>
      <c r="G2152" s="18">
        <v>0</v>
      </c>
      <c r="H2152" s="18"/>
      <c r="I2152" s="18">
        <f aca="true" t="shared" si="261" ref="I2152:O2152">+I2150-I2151</f>
        <v>0</v>
      </c>
      <c r="J2152" s="18">
        <f t="shared" si="261"/>
        <v>0</v>
      </c>
      <c r="K2152" s="18">
        <f t="shared" si="261"/>
        <v>0</v>
      </c>
      <c r="L2152" s="18">
        <f>+L2150-L2151</f>
        <v>-742548.9</v>
      </c>
      <c r="M2152" s="18">
        <f t="shared" si="261"/>
        <v>0</v>
      </c>
      <c r="N2152" s="18">
        <f t="shared" si="261"/>
        <v>0</v>
      </c>
      <c r="O2152" s="18">
        <f t="shared" si="261"/>
        <v>0</v>
      </c>
      <c r="P2152" s="18"/>
      <c r="Q2152" s="18">
        <f>+Q2150-Q2151</f>
        <v>0</v>
      </c>
      <c r="R2152" s="18">
        <f>+R2150-R2151</f>
        <v>0</v>
      </c>
      <c r="S2152" s="18"/>
      <c r="T2152" s="18">
        <f>+T2150-T2151</f>
        <v>0</v>
      </c>
      <c r="U2152" s="18"/>
      <c r="V2152" s="18">
        <f>+V2150-V2151</f>
        <v>0</v>
      </c>
      <c r="W2152" s="18">
        <f>+W2150-W2151</f>
        <v>0</v>
      </c>
      <c r="X2152" s="18">
        <f>+X2150-X2151</f>
        <v>38818.65000000037</v>
      </c>
      <c r="Y2152" s="18"/>
    </row>
    <row r="2153" spans="1:25" ht="28.5">
      <c r="A2153" s="4">
        <f>+A2152+1</f>
        <v>4</v>
      </c>
      <c r="B2153" s="88" t="s">
        <v>178</v>
      </c>
      <c r="C2153" s="25" t="s">
        <v>179</v>
      </c>
      <c r="D2153" s="18">
        <v>0</v>
      </c>
      <c r="E2153" s="19"/>
      <c r="F2153" s="26">
        <v>0</v>
      </c>
      <c r="G2153" s="18">
        <f>+D2153-F2153</f>
        <v>0</v>
      </c>
      <c r="H2153" s="18"/>
      <c r="I2153" s="27">
        <v>0</v>
      </c>
      <c r="J2153" s="18">
        <v>0</v>
      </c>
      <c r="K2153" s="18">
        <v>0</v>
      </c>
      <c r="L2153" s="18">
        <v>0</v>
      </c>
      <c r="M2153" s="18">
        <v>0</v>
      </c>
      <c r="N2153" s="18">
        <v>0</v>
      </c>
      <c r="O2153" s="18">
        <v>0</v>
      </c>
      <c r="P2153" s="18"/>
      <c r="Q2153" s="18">
        <v>0</v>
      </c>
      <c r="R2153" s="18">
        <v>0</v>
      </c>
      <c r="S2153" s="18"/>
      <c r="T2153" s="18">
        <v>0</v>
      </c>
      <c r="U2153" s="18"/>
      <c r="V2153" s="18">
        <v>0</v>
      </c>
      <c r="W2153" s="18">
        <v>0</v>
      </c>
      <c r="X2153" s="18">
        <v>0</v>
      </c>
      <c r="Y2153" s="18"/>
    </row>
    <row r="2154" spans="1:25" ht="24.75">
      <c r="A2154" s="4">
        <f>+A2153+1</f>
        <v>5</v>
      </c>
      <c r="B2154" s="89" t="s">
        <v>39</v>
      </c>
      <c r="C2154" s="28" t="s">
        <v>40</v>
      </c>
      <c r="D2154" s="27">
        <v>186577.63</v>
      </c>
      <c r="E2154" s="29"/>
      <c r="F2154" s="30">
        <v>0</v>
      </c>
      <c r="G2154" s="31">
        <f>+D2154-F2154</f>
        <v>186577.63</v>
      </c>
      <c r="H2154" s="18"/>
      <c r="I2154" s="27">
        <v>0</v>
      </c>
      <c r="J2154" s="27">
        <v>0</v>
      </c>
      <c r="K2154" s="27">
        <v>0</v>
      </c>
      <c r="L2154" s="27">
        <f>28371.83+542277.03</f>
        <v>570648.86</v>
      </c>
      <c r="M2154" s="27">
        <v>8958.69</v>
      </c>
      <c r="N2154" s="27">
        <v>0</v>
      </c>
      <c r="O2154" s="27">
        <v>-2161.16</v>
      </c>
      <c r="P2154" s="18"/>
      <c r="Q2154" s="27">
        <v>-2555.02</v>
      </c>
      <c r="R2154" s="27">
        <v>0</v>
      </c>
      <c r="S2154" s="27"/>
      <c r="T2154" s="27">
        <v>0</v>
      </c>
      <c r="U2154" s="27"/>
      <c r="V2154" s="27">
        <v>-0.34</v>
      </c>
      <c r="W2154" s="27">
        <v>0</v>
      </c>
      <c r="X2154" s="27">
        <v>56533.05</v>
      </c>
      <c r="Y2154" s="18"/>
    </row>
    <row r="2155" spans="1:25" ht="15">
      <c r="A2155" s="6" t="s">
        <v>41</v>
      </c>
      <c r="B2155" s="90"/>
      <c r="C2155" s="11"/>
      <c r="D2155" s="18"/>
      <c r="E2155" s="19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 t="s">
        <v>0</v>
      </c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</row>
    <row r="2156" spans="1:25" ht="15">
      <c r="A2156" s="4">
        <f>+A2154+1</f>
        <v>6</v>
      </c>
      <c r="B2156" s="5" t="s">
        <v>42</v>
      </c>
      <c r="C2156" s="22" t="s">
        <v>38</v>
      </c>
      <c r="D2156" s="27">
        <f>9742764.03+16064147.81</f>
        <v>25806911.84</v>
      </c>
      <c r="E2156" s="19"/>
      <c r="F2156" s="23">
        <f>933093.94+15131053.87</f>
        <v>16064147.809999999</v>
      </c>
      <c r="G2156" s="18">
        <f>+D2156-F2156</f>
        <v>9742764.030000001</v>
      </c>
      <c r="H2156" s="18"/>
      <c r="I2156" s="18">
        <v>0</v>
      </c>
      <c r="J2156" s="18">
        <v>0</v>
      </c>
      <c r="K2156" s="18">
        <v>0</v>
      </c>
      <c r="L2156" s="18">
        <v>-55747.08</v>
      </c>
      <c r="M2156" s="18">
        <v>0</v>
      </c>
      <c r="N2156" s="18">
        <v>0</v>
      </c>
      <c r="O2156" s="18">
        <v>0</v>
      </c>
      <c r="P2156" s="18"/>
      <c r="Q2156" s="18">
        <v>0</v>
      </c>
      <c r="R2156" s="18">
        <v>0</v>
      </c>
      <c r="S2156" s="18"/>
      <c r="T2156" s="18">
        <v>0</v>
      </c>
      <c r="U2156" s="18"/>
      <c r="V2156" s="18">
        <v>0</v>
      </c>
      <c r="W2156" s="18">
        <v>0</v>
      </c>
      <c r="X2156" s="18">
        <v>-419348.93</v>
      </c>
      <c r="Y2156" s="18"/>
    </row>
    <row r="2157" spans="1:25" ht="15">
      <c r="A2157" s="4">
        <f>+A2156+1</f>
        <v>7</v>
      </c>
      <c r="B2157" s="5" t="s">
        <v>43</v>
      </c>
      <c r="C2157" s="11"/>
      <c r="E2157" s="19"/>
      <c r="F2157" s="23">
        <v>0</v>
      </c>
      <c r="G2157" s="18">
        <f>+D2156-F2157</f>
        <v>25806911.84</v>
      </c>
      <c r="H2157" s="18"/>
      <c r="I2157" s="18">
        <v>0</v>
      </c>
      <c r="J2157" s="18">
        <v>0</v>
      </c>
      <c r="K2157" s="18">
        <v>0</v>
      </c>
      <c r="L2157" s="18">
        <v>0</v>
      </c>
      <c r="M2157" s="18">
        <v>0</v>
      </c>
      <c r="N2157" s="18">
        <v>0</v>
      </c>
      <c r="O2157" s="31">
        <v>0</v>
      </c>
      <c r="P2157" s="18"/>
      <c r="Q2157" s="18">
        <v>0</v>
      </c>
      <c r="R2157" s="18">
        <v>0</v>
      </c>
      <c r="S2157" s="18"/>
      <c r="T2157" s="18">
        <v>0</v>
      </c>
      <c r="U2157" s="18"/>
      <c r="V2157" s="18">
        <v>0</v>
      </c>
      <c r="W2157" s="18">
        <v>0</v>
      </c>
      <c r="X2157" s="18">
        <v>0</v>
      </c>
      <c r="Y2157" s="18"/>
    </row>
    <row r="2158" spans="1:25" ht="35.25">
      <c r="A2158" s="4">
        <f>+A2157+1</f>
        <v>8</v>
      </c>
      <c r="B2158" s="24" t="s">
        <v>180</v>
      </c>
      <c r="C2158" s="32" t="s">
        <v>44</v>
      </c>
      <c r="D2158" s="33">
        <v>25806911.84</v>
      </c>
      <c r="E2158" s="34"/>
      <c r="F2158" s="91">
        <f>+F2156-F2157</f>
        <v>16064147.809999999</v>
      </c>
      <c r="G2158" s="18">
        <f>+G2156-G2157</f>
        <v>-16064147.809999999</v>
      </c>
      <c r="H2158" s="18"/>
      <c r="I2158" s="18">
        <f aca="true" t="shared" si="262" ref="I2158:O2158">+I2156-I2157</f>
        <v>0</v>
      </c>
      <c r="J2158" s="18">
        <f t="shared" si="262"/>
        <v>0</v>
      </c>
      <c r="K2158" s="18">
        <f t="shared" si="262"/>
        <v>0</v>
      </c>
      <c r="L2158" s="18">
        <f t="shared" si="262"/>
        <v>-55747.08</v>
      </c>
      <c r="M2158" s="18">
        <f t="shared" si="262"/>
        <v>0</v>
      </c>
      <c r="N2158" s="18">
        <f t="shared" si="262"/>
        <v>0</v>
      </c>
      <c r="O2158" s="18">
        <f t="shared" si="262"/>
        <v>0</v>
      </c>
      <c r="P2158" s="18"/>
      <c r="Q2158" s="18">
        <f>+Q2156-Q2157</f>
        <v>0</v>
      </c>
      <c r="R2158" s="18">
        <f>+R2156-R2157</f>
        <v>0</v>
      </c>
      <c r="S2158" s="18"/>
      <c r="T2158" s="18">
        <f>+T2156-T2157</f>
        <v>0</v>
      </c>
      <c r="U2158" s="18"/>
      <c r="V2158" s="18">
        <f>+V2156-V2157</f>
        <v>0</v>
      </c>
      <c r="W2158" s="18">
        <f>+W2156-W2157</f>
        <v>0</v>
      </c>
      <c r="X2158" s="18">
        <f>+X2156-X2157</f>
        <v>-419348.93</v>
      </c>
      <c r="Y2158" s="18"/>
    </row>
    <row r="2159" spans="1:25" ht="28.5">
      <c r="A2159" s="4">
        <f>+A2158+1</f>
        <v>9</v>
      </c>
      <c r="B2159" s="88" t="s">
        <v>181</v>
      </c>
      <c r="C2159" s="35" t="s">
        <v>45</v>
      </c>
      <c r="D2159" s="18">
        <v>0</v>
      </c>
      <c r="E2159" s="19"/>
      <c r="F2159" s="31">
        <v>0</v>
      </c>
      <c r="G2159" s="31">
        <f>+D2159-F2159</f>
        <v>0</v>
      </c>
      <c r="H2159" s="18"/>
      <c r="I2159" s="18">
        <v>0</v>
      </c>
      <c r="J2159" s="18">
        <v>0</v>
      </c>
      <c r="K2159" s="18">
        <v>0</v>
      </c>
      <c r="L2159" s="18">
        <v>0</v>
      </c>
      <c r="M2159" s="18">
        <v>0</v>
      </c>
      <c r="N2159" s="18">
        <v>0</v>
      </c>
      <c r="O2159" s="31">
        <v>0</v>
      </c>
      <c r="P2159" s="18"/>
      <c r="Q2159" s="18">
        <v>0</v>
      </c>
      <c r="R2159" s="18">
        <v>0</v>
      </c>
      <c r="S2159" s="18"/>
      <c r="T2159" s="18">
        <v>0</v>
      </c>
      <c r="U2159" s="18"/>
      <c r="V2159" s="18">
        <v>0</v>
      </c>
      <c r="W2159" s="18">
        <v>0</v>
      </c>
      <c r="X2159" s="18">
        <v>0</v>
      </c>
      <c r="Y2159" s="18"/>
    </row>
    <row r="2160" spans="1:25" ht="15">
      <c r="A2160" s="4">
        <f>+A2159+1</f>
        <v>10</v>
      </c>
      <c r="B2160" s="24" t="s">
        <v>46</v>
      </c>
      <c r="C2160" s="11" t="s">
        <v>47</v>
      </c>
      <c r="D2160" s="36">
        <f>+D2152+D2153+D2154+D2158+D2159</f>
        <v>25993489.47</v>
      </c>
      <c r="E2160" s="19"/>
      <c r="F2160" s="36">
        <f>+F2152+F2153+F2154+F2158+F2159</f>
        <v>16371827.450000001</v>
      </c>
      <c r="G2160" s="18">
        <f>+G2152+G2153+G2158+G2159+G2154</f>
        <v>-15877570.179999998</v>
      </c>
      <c r="H2160" s="18"/>
      <c r="I2160" s="18">
        <f aca="true" t="shared" si="263" ref="I2160:O2160">+I2152+I2153+I2158+I2159+I2154</f>
        <v>0</v>
      </c>
      <c r="J2160" s="21">
        <f t="shared" si="263"/>
        <v>0</v>
      </c>
      <c r="K2160" s="18">
        <f t="shared" si="263"/>
        <v>0</v>
      </c>
      <c r="L2160" s="18">
        <f t="shared" si="263"/>
        <v>-227647.12</v>
      </c>
      <c r="M2160" s="18">
        <f t="shared" si="263"/>
        <v>8958.69</v>
      </c>
      <c r="N2160" s="18">
        <f t="shared" si="263"/>
        <v>0</v>
      </c>
      <c r="O2160" s="18">
        <f t="shared" si="263"/>
        <v>-2161.16</v>
      </c>
      <c r="P2160" s="18"/>
      <c r="Q2160" s="18">
        <f>+Q2152+Q2153+Q2158+Q2159+Q2154</f>
        <v>-2555.02</v>
      </c>
      <c r="R2160" s="18">
        <f>+R2152+R2153+R2158+R2159+R2154</f>
        <v>0</v>
      </c>
      <c r="S2160" s="18"/>
      <c r="T2160" s="18">
        <f>+T2152+T2153+T2158+T2159+T2154</f>
        <v>0</v>
      </c>
      <c r="U2160" s="18"/>
      <c r="V2160" s="18">
        <f>+V2152+V2153+V2158+V2159+V2154</f>
        <v>-0.34</v>
      </c>
      <c r="W2160" s="18">
        <f>+W2152+W2153+W2158+W2159+W2154</f>
        <v>0</v>
      </c>
      <c r="X2160" s="18">
        <f>+X2152+X2153+X2158+X2159+X2154</f>
        <v>-323997.22999999963</v>
      </c>
      <c r="Y2160" s="18"/>
    </row>
    <row r="2161" spans="1:25" ht="15">
      <c r="A2161" s="4"/>
      <c r="B2161" s="24"/>
      <c r="C2161" s="11" t="s">
        <v>0</v>
      </c>
      <c r="D2161" s="27" t="s">
        <v>0</v>
      </c>
      <c r="E2161" s="18"/>
      <c r="F2161" s="36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</row>
    <row r="2162" spans="1:25" ht="15">
      <c r="A2162" s="4"/>
      <c r="B2162" s="94" t="s">
        <v>0</v>
      </c>
      <c r="C2162" s="37" t="s">
        <v>0</v>
      </c>
      <c r="D2162" s="27"/>
      <c r="E2162" s="18"/>
      <c r="F2162" s="92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  <c r="Y2162" s="18"/>
    </row>
    <row r="2163" spans="1:25" ht="15">
      <c r="A2163" s="4"/>
      <c r="B2163" s="24"/>
      <c r="C2163" s="11"/>
      <c r="D2163" s="6" t="s">
        <v>48</v>
      </c>
      <c r="E2163" s="6"/>
      <c r="F2163" s="10" t="s">
        <v>49</v>
      </c>
      <c r="G2163" s="10" t="s">
        <v>50</v>
      </c>
      <c r="I2163" s="10" t="s">
        <v>51</v>
      </c>
      <c r="J2163" s="10" t="s">
        <v>52</v>
      </c>
      <c r="K2163" s="10" t="s">
        <v>53</v>
      </c>
      <c r="L2163" s="10" t="s">
        <v>54</v>
      </c>
      <c r="M2163" s="10" t="s">
        <v>55</v>
      </c>
      <c r="N2163" s="10" t="s">
        <v>56</v>
      </c>
      <c r="O2163" s="10" t="s">
        <v>57</v>
      </c>
      <c r="P2163" s="18"/>
      <c r="Q2163" s="10" t="s">
        <v>58</v>
      </c>
      <c r="R2163" s="10" t="s">
        <v>59</v>
      </c>
      <c r="S2163" s="10"/>
      <c r="T2163" s="10" t="s">
        <v>60</v>
      </c>
      <c r="U2163" s="18"/>
      <c r="V2163" s="10" t="s">
        <v>61</v>
      </c>
      <c r="W2163" s="10" t="s">
        <v>62</v>
      </c>
      <c r="X2163" s="10" t="s">
        <v>63</v>
      </c>
      <c r="Y2163" s="18"/>
    </row>
    <row r="2164" spans="1:25" ht="15">
      <c r="A2164" s="4"/>
      <c r="B2164"/>
      <c r="C2164" s="11"/>
      <c r="D2164" s="10" t="s">
        <v>20</v>
      </c>
      <c r="E2164" s="38"/>
      <c r="F2164" s="10" t="s">
        <v>20</v>
      </c>
      <c r="G2164" s="10" t="s">
        <v>20</v>
      </c>
      <c r="I2164" s="10" t="s">
        <v>20</v>
      </c>
      <c r="J2164" s="10" t="s">
        <v>20</v>
      </c>
      <c r="K2164" s="10" t="s">
        <v>20</v>
      </c>
      <c r="L2164" s="10" t="s">
        <v>20</v>
      </c>
      <c r="M2164" s="10" t="s">
        <v>20</v>
      </c>
      <c r="N2164" s="10" t="s">
        <v>20</v>
      </c>
      <c r="O2164" s="10" t="s">
        <v>20</v>
      </c>
      <c r="P2164" s="18"/>
      <c r="Q2164" s="10" t="s">
        <v>20</v>
      </c>
      <c r="R2164" s="10" t="s">
        <v>20</v>
      </c>
      <c r="S2164" s="14"/>
      <c r="T2164" s="10" t="s">
        <v>20</v>
      </c>
      <c r="U2164" s="18"/>
      <c r="W2164" s="39" t="s">
        <v>64</v>
      </c>
      <c r="Y2164" s="18"/>
    </row>
    <row r="2165" spans="1:25" ht="15">
      <c r="A2165" s="4"/>
      <c r="B2165" s="87" t="s">
        <v>174</v>
      </c>
      <c r="C2165" s="11"/>
      <c r="D2165" s="8" t="s">
        <v>155</v>
      </c>
      <c r="E2165" s="6"/>
      <c r="F2165" s="8" t="s">
        <v>66</v>
      </c>
      <c r="G2165" s="8" t="s">
        <v>67</v>
      </c>
      <c r="H2165" s="19"/>
      <c r="I2165" s="8" t="s">
        <v>68</v>
      </c>
      <c r="J2165" s="8" t="s">
        <v>69</v>
      </c>
      <c r="K2165" s="8" t="s">
        <v>70</v>
      </c>
      <c r="L2165" s="8" t="s">
        <v>71</v>
      </c>
      <c r="M2165" s="8" t="s">
        <v>72</v>
      </c>
      <c r="N2165" s="8" t="s">
        <v>73</v>
      </c>
      <c r="O2165" s="8" t="s">
        <v>74</v>
      </c>
      <c r="P2165" s="6"/>
      <c r="Q2165" s="8" t="s">
        <v>75</v>
      </c>
      <c r="R2165" s="8" t="s">
        <v>76</v>
      </c>
      <c r="S2165" s="8"/>
      <c r="T2165" s="8" t="s">
        <v>77</v>
      </c>
      <c r="U2165" s="18"/>
      <c r="V2165" s="10" t="s">
        <v>20</v>
      </c>
      <c r="W2165" s="14" t="s">
        <v>21</v>
      </c>
      <c r="X2165" s="10" t="s">
        <v>22</v>
      </c>
      <c r="Y2165" s="18"/>
    </row>
    <row r="2166" spans="1:8" ht="15">
      <c r="A2166" s="4"/>
      <c r="B2166" s="24"/>
      <c r="C2166" s="11"/>
      <c r="E2166" s="14"/>
      <c r="F2166"/>
      <c r="H2166" s="18"/>
    </row>
    <row r="2167" spans="1:24" ht="15">
      <c r="A2167" s="4">
        <f>+A2160+1</f>
        <v>11</v>
      </c>
      <c r="B2167" s="5" t="s">
        <v>36</v>
      </c>
      <c r="C2167" s="17" t="s">
        <v>37</v>
      </c>
      <c r="D2167" s="18">
        <v>812.02</v>
      </c>
      <c r="E2167" s="18"/>
      <c r="F2167" s="18">
        <v>0</v>
      </c>
      <c r="G2167" s="18">
        <v>0</v>
      </c>
      <c r="I2167" s="27">
        <v>295599.07</v>
      </c>
      <c r="J2167" s="18">
        <v>0</v>
      </c>
      <c r="K2167" s="18">
        <v>0</v>
      </c>
      <c r="L2167" s="18">
        <v>0</v>
      </c>
      <c r="M2167" s="18">
        <v>184328.32</v>
      </c>
      <c r="N2167" s="18">
        <v>-962043.29</v>
      </c>
      <c r="O2167" s="18">
        <v>4.99</v>
      </c>
      <c r="Q2167" s="18">
        <v>0</v>
      </c>
      <c r="R2167" s="18">
        <v>0</v>
      </c>
      <c r="S2167" s="18"/>
      <c r="T2167" s="18">
        <v>0</v>
      </c>
      <c r="V2167" s="18">
        <f>+D2150+I2150+J2150+K2150+L2150+M2150+N2150+O2150+Q2150+R2150+T2150+V2150+W2150+X2150+D2167+F2167+G2167+I2167+J2167+K2167+L2167+M2167+N2167+O2167+Q2167+R2167+T2167</f>
        <v>21358654.130000003</v>
      </c>
      <c r="W2167" s="18">
        <f>+F2150</f>
        <v>13155588.13</v>
      </c>
      <c r="X2167" s="18">
        <f>+V2167-W2167</f>
        <v>8203066.000000002</v>
      </c>
    </row>
    <row r="2168" spans="1:24" ht="15">
      <c r="A2168" s="4">
        <f>+A2167+1</f>
        <v>12</v>
      </c>
      <c r="B2168" s="5" t="s">
        <v>36</v>
      </c>
      <c r="C2168" s="22" t="s">
        <v>38</v>
      </c>
      <c r="D2168" s="18">
        <v>0</v>
      </c>
      <c r="E2168" s="18"/>
      <c r="F2168" s="18">
        <v>0</v>
      </c>
      <c r="G2168" s="18">
        <v>0</v>
      </c>
      <c r="I2168" s="27">
        <v>296655.66</v>
      </c>
      <c r="J2168" s="18">
        <v>0</v>
      </c>
      <c r="K2168" s="18">
        <v>0</v>
      </c>
      <c r="L2168" s="18">
        <v>0</v>
      </c>
      <c r="M2168" s="18">
        <v>188996.8</v>
      </c>
      <c r="N2168" s="18">
        <v>-975249.11</v>
      </c>
      <c r="O2168" s="18">
        <v>4.99</v>
      </c>
      <c r="Q2168" s="18">
        <v>0</v>
      </c>
      <c r="R2168" s="18">
        <v>0</v>
      </c>
      <c r="S2168" s="18"/>
      <c r="T2168" s="18">
        <v>0</v>
      </c>
      <c r="V2168" s="18">
        <f>+D2151+I2151+J2151+K2151+L2151+M2151+N2151+O2151+Q2151+R2151+T2151+V2151+W2151+X2151+D2168+F2168+G2168+I2168+J2168+K2168+L2168+M2168+N2168+O2168+Q2168+R2168+T2168</f>
        <v>22054028.9</v>
      </c>
      <c r="W2168" s="18">
        <f>+F2151</f>
        <v>12847908.489999998</v>
      </c>
      <c r="X2168" s="18">
        <f>+V2168-W2168</f>
        <v>9206120.41</v>
      </c>
    </row>
    <row r="2169" spans="1:24" ht="15">
      <c r="A2169" s="4">
        <f>+A2168+1</f>
        <v>13</v>
      </c>
      <c r="B2169" s="24" t="s">
        <v>46</v>
      </c>
      <c r="C2169" s="40" t="s">
        <v>78</v>
      </c>
      <c r="D2169" s="18">
        <f>+D2167-D2168</f>
        <v>812.02</v>
      </c>
      <c r="E2169" s="18"/>
      <c r="F2169" s="18">
        <f>+F2167-F2168</f>
        <v>0</v>
      </c>
      <c r="G2169" s="18">
        <f>+G2167-G2168</f>
        <v>0</v>
      </c>
      <c r="I2169" s="18">
        <f>+I2167-I2168</f>
        <v>-1056.5899999999674</v>
      </c>
      <c r="J2169" s="18">
        <f>+J2167-J2168</f>
        <v>0</v>
      </c>
      <c r="K2169" s="18">
        <f>+K2167-K2168</f>
        <v>0</v>
      </c>
      <c r="L2169" s="18">
        <f>+L2167-L2168</f>
        <v>0</v>
      </c>
      <c r="M2169" s="18">
        <f>+M2167-M2168</f>
        <v>-4668.479999999981</v>
      </c>
      <c r="N2169" s="18">
        <f>+N2167-N2168</f>
        <v>13205.819999999949</v>
      </c>
      <c r="O2169" s="18">
        <f>+O2167-O2168</f>
        <v>0</v>
      </c>
      <c r="Q2169" s="18">
        <f>+Q2167-Q2168</f>
        <v>0</v>
      </c>
      <c r="R2169" s="18">
        <f>+R2167-R2168</f>
        <v>0</v>
      </c>
      <c r="S2169" s="18"/>
      <c r="T2169" s="18">
        <f>+T2167-T2168</f>
        <v>0</v>
      </c>
      <c r="V2169" s="27">
        <f>+V2167-V2168</f>
        <v>-695374.7699999958</v>
      </c>
      <c r="W2169" s="27">
        <f>+W2167-W2168</f>
        <v>307679.64000000246</v>
      </c>
      <c r="X2169" s="18">
        <f>+X2167-X2168</f>
        <v>-1003054.4099999983</v>
      </c>
    </row>
    <row r="2170" spans="1:24" ht="28.5">
      <c r="A2170" s="4">
        <f>+A2169+1</f>
        <v>14</v>
      </c>
      <c r="B2170" s="88" t="s">
        <v>182</v>
      </c>
      <c r="C2170" s="11"/>
      <c r="D2170" s="18">
        <v>0</v>
      </c>
      <c r="E2170" s="18"/>
      <c r="F2170" s="18">
        <v>0</v>
      </c>
      <c r="G2170" s="18">
        <v>0</v>
      </c>
      <c r="I2170" s="18">
        <v>0</v>
      </c>
      <c r="J2170" s="18">
        <v>0</v>
      </c>
      <c r="K2170" s="18">
        <v>0</v>
      </c>
      <c r="L2170" s="18">
        <v>0</v>
      </c>
      <c r="M2170" s="18">
        <v>0</v>
      </c>
      <c r="N2170" s="18">
        <v>0</v>
      </c>
      <c r="O2170" s="18">
        <v>0</v>
      </c>
      <c r="Q2170" s="18">
        <v>0</v>
      </c>
      <c r="R2170" s="18">
        <v>0</v>
      </c>
      <c r="S2170" s="18"/>
      <c r="T2170" s="18">
        <v>0</v>
      </c>
      <c r="V2170" s="18">
        <f>+D2153+I2153+J2153+K2153+L2153+M2153+N2153+O2153+Q2153+R2153+T2153+V2153+W2153+X2153+D2170+F2170+G2170+I2170+J2170+K2170+L2170+M2170+N2170+O2170+Q2170+R2170+T2170</f>
        <v>0</v>
      </c>
      <c r="W2170" s="18">
        <f>+F2153</f>
        <v>0</v>
      </c>
      <c r="X2170" s="18">
        <f>+V2170-W2170</f>
        <v>0</v>
      </c>
    </row>
    <row r="2171" spans="1:24" ht="24.75">
      <c r="A2171" s="4">
        <f>+A2170+1</f>
        <v>15</v>
      </c>
      <c r="B2171" s="89" t="s">
        <v>39</v>
      </c>
      <c r="C2171" s="40"/>
      <c r="D2171" s="27">
        <v>0</v>
      </c>
      <c r="E2171" s="18" t="s">
        <v>0</v>
      </c>
      <c r="F2171" s="27">
        <v>0</v>
      </c>
      <c r="G2171" s="27">
        <v>0</v>
      </c>
      <c r="H2171" t="s">
        <v>0</v>
      </c>
      <c r="I2171" s="27">
        <v>0</v>
      </c>
      <c r="J2171" s="27">
        <v>0</v>
      </c>
      <c r="K2171" s="27">
        <v>-0.04</v>
      </c>
      <c r="L2171" s="27">
        <v>0</v>
      </c>
      <c r="M2171" s="27">
        <v>0</v>
      </c>
      <c r="N2171" s="27">
        <v>-6262.4</v>
      </c>
      <c r="O2171" s="27">
        <v>0</v>
      </c>
      <c r="Q2171" s="27">
        <v>0</v>
      </c>
      <c r="R2171" s="27">
        <v>0</v>
      </c>
      <c r="S2171" s="27"/>
      <c r="T2171" s="27">
        <v>0</v>
      </c>
      <c r="V2171" s="18">
        <f>+D2154+I2154+J2154+K2154+L2154+M2154+N2154+O2154+Q2154+R2154+T2154+V2154+W2154+X2154+D2171+F2171+G2171+I2171+J2171+K2171+L2171+M2171+N2171+O2171+Q2171+R2171+T2171</f>
        <v>811739.2699999999</v>
      </c>
      <c r="W2171" s="18">
        <f>+F2154</f>
        <v>0</v>
      </c>
      <c r="X2171" s="18">
        <f>+V2171-W2171</f>
        <v>811739.2699999999</v>
      </c>
    </row>
    <row r="2172" spans="1:24" ht="15">
      <c r="A2172" s="6" t="s">
        <v>41</v>
      </c>
      <c r="B2172" s="41"/>
      <c r="C2172" s="40"/>
      <c r="D2172" s="18"/>
      <c r="E2172" s="18"/>
      <c r="F2172" s="18"/>
      <c r="G2172" s="18"/>
      <c r="I2172" s="18"/>
      <c r="J2172" s="18"/>
      <c r="K2172" s="18"/>
      <c r="L2172" s="18"/>
      <c r="M2172" s="18"/>
      <c r="N2172" s="18"/>
      <c r="O2172" s="18"/>
      <c r="Q2172" s="18"/>
      <c r="R2172" s="18"/>
      <c r="S2172" s="18"/>
      <c r="T2172" s="18"/>
      <c r="V2172" s="18"/>
      <c r="W2172" s="18"/>
      <c r="X2172" s="18"/>
    </row>
    <row r="2173" spans="1:24" ht="15">
      <c r="A2173" s="4">
        <f>+A2171+1</f>
        <v>16</v>
      </c>
      <c r="B2173" s="5" t="s">
        <v>42</v>
      </c>
      <c r="C2173" s="22" t="s">
        <v>38</v>
      </c>
      <c r="D2173" s="18">
        <v>424.93</v>
      </c>
      <c r="E2173" s="18"/>
      <c r="F2173" s="18">
        <v>0</v>
      </c>
      <c r="G2173" s="18">
        <v>0</v>
      </c>
      <c r="I2173" s="27">
        <v>244495.36</v>
      </c>
      <c r="J2173" s="18">
        <v>0</v>
      </c>
      <c r="K2173" s="18">
        <v>0</v>
      </c>
      <c r="L2173" s="18">
        <v>0</v>
      </c>
      <c r="M2173" s="18">
        <v>37477.92</v>
      </c>
      <c r="N2173" s="18">
        <v>-644699.86</v>
      </c>
      <c r="O2173" s="18">
        <v>0</v>
      </c>
      <c r="P2173" s="18"/>
      <c r="Q2173" s="18">
        <v>0</v>
      </c>
      <c r="R2173" s="18">
        <v>0</v>
      </c>
      <c r="S2173" s="18"/>
      <c r="T2173" s="18">
        <v>0</v>
      </c>
      <c r="U2173" s="18"/>
      <c r="V2173" s="18">
        <f>+D2156+I2156+J2156+K2156+L2156+M2156+N2156+O2156+Q2156+R2156+T2156+V2156+W2156+X2156+D2173+F2173+G2173+I2173+J2173+K2173+L2173+M2173+N2173+O2173+Q2173+R2173+T2173</f>
        <v>24969514.180000003</v>
      </c>
      <c r="W2173" s="18">
        <f>+F2156</f>
        <v>16064147.809999999</v>
      </c>
      <c r="X2173" s="18">
        <f>+V2173-W2173</f>
        <v>8905366.370000005</v>
      </c>
    </row>
    <row r="2174" spans="1:24" ht="15">
      <c r="A2174" s="4">
        <f>+A2173+1</f>
        <v>17</v>
      </c>
      <c r="B2174" s="5" t="s">
        <v>43</v>
      </c>
      <c r="C2174" s="11"/>
      <c r="D2174" s="18">
        <v>0</v>
      </c>
      <c r="E2174" s="18"/>
      <c r="F2174" s="18">
        <v>0</v>
      </c>
      <c r="G2174" s="18">
        <v>0</v>
      </c>
      <c r="I2174" s="27">
        <v>0</v>
      </c>
      <c r="J2174" s="18">
        <v>0</v>
      </c>
      <c r="K2174" s="18">
        <v>0</v>
      </c>
      <c r="L2174" s="18">
        <v>0</v>
      </c>
      <c r="M2174" s="18">
        <v>0</v>
      </c>
      <c r="N2174" s="18">
        <v>0</v>
      </c>
      <c r="O2174" s="18">
        <v>0</v>
      </c>
      <c r="P2174" s="18"/>
      <c r="Q2174" s="18">
        <v>0</v>
      </c>
      <c r="R2174" s="18">
        <v>0</v>
      </c>
      <c r="S2174" s="18"/>
      <c r="T2174" s="18">
        <v>0</v>
      </c>
      <c r="U2174" s="18"/>
      <c r="V2174" s="18">
        <f>+D2157+I2157+J2157+K2157+L2157+M2157+N2157+O2157+Q2157+R2157+T2157+V2157+W2157+X2157+D2174+F2174+G2174+I2174+J2174+K2174+L2174+M2174+N2174+O2174+Q2174+R2174+T2174</f>
        <v>0</v>
      </c>
      <c r="W2174" s="18">
        <f>+F2157</f>
        <v>0</v>
      </c>
      <c r="X2174" s="18">
        <f>+V2174-W2174</f>
        <v>0</v>
      </c>
    </row>
    <row r="2175" spans="1:24" ht="26.25">
      <c r="A2175" s="4">
        <f>+A2174+1</f>
        <v>18</v>
      </c>
      <c r="B2175" s="24" t="s">
        <v>79</v>
      </c>
      <c r="C2175" s="11"/>
      <c r="D2175" s="18">
        <f>+D2173-D2174</f>
        <v>424.93</v>
      </c>
      <c r="E2175" s="18"/>
      <c r="F2175" s="18">
        <f>+F2173-F2174</f>
        <v>0</v>
      </c>
      <c r="G2175" s="18">
        <f>+G2173-G2174</f>
        <v>0</v>
      </c>
      <c r="I2175" s="18">
        <f aca="true" t="shared" si="264" ref="I2175:O2175">+I2173-I2174</f>
        <v>244495.36</v>
      </c>
      <c r="J2175" s="18">
        <f t="shared" si="264"/>
        <v>0</v>
      </c>
      <c r="K2175" s="18">
        <f t="shared" si="264"/>
        <v>0</v>
      </c>
      <c r="L2175" s="18">
        <f t="shared" si="264"/>
        <v>0</v>
      </c>
      <c r="M2175" s="18">
        <f t="shared" si="264"/>
        <v>37477.92</v>
      </c>
      <c r="N2175" s="18">
        <f t="shared" si="264"/>
        <v>-644699.86</v>
      </c>
      <c r="O2175" s="18">
        <f t="shared" si="264"/>
        <v>0</v>
      </c>
      <c r="P2175" s="18"/>
      <c r="Q2175" s="18">
        <f>+Q2173-Q2174</f>
        <v>0</v>
      </c>
      <c r="R2175" s="18">
        <f>+R2173-R2174</f>
        <v>0</v>
      </c>
      <c r="S2175" s="18"/>
      <c r="T2175" s="18">
        <f>+T2173-T2174</f>
        <v>0</v>
      </c>
      <c r="U2175" s="18"/>
      <c r="V2175" s="27">
        <f>+V2173-V2174</f>
        <v>24969514.180000003</v>
      </c>
      <c r="W2175" s="27">
        <f>+W2173-W2174</f>
        <v>16064147.809999999</v>
      </c>
      <c r="X2175" s="18">
        <f>+X2173-X2174</f>
        <v>8905366.370000005</v>
      </c>
    </row>
    <row r="2176" spans="1:24" ht="28.5">
      <c r="A2176" s="4">
        <f>+A2175+1</f>
        <v>19</v>
      </c>
      <c r="B2176" s="88" t="s">
        <v>181</v>
      </c>
      <c r="C2176" s="11"/>
      <c r="D2176" s="18">
        <v>0</v>
      </c>
      <c r="E2176" s="18"/>
      <c r="F2176" s="18">
        <v>0</v>
      </c>
      <c r="G2176" s="18">
        <v>0</v>
      </c>
      <c r="I2176" s="18">
        <v>0</v>
      </c>
      <c r="J2176" s="18">
        <v>0</v>
      </c>
      <c r="K2176" s="18">
        <v>0</v>
      </c>
      <c r="L2176" s="18">
        <v>0</v>
      </c>
      <c r="M2176" s="18">
        <v>0</v>
      </c>
      <c r="N2176" s="18">
        <v>0</v>
      </c>
      <c r="O2176" s="18">
        <v>0</v>
      </c>
      <c r="P2176" s="18"/>
      <c r="Q2176" s="18">
        <v>0</v>
      </c>
      <c r="R2176" s="18">
        <v>0</v>
      </c>
      <c r="S2176" s="18"/>
      <c r="T2176" s="18">
        <v>0</v>
      </c>
      <c r="U2176" s="18"/>
      <c r="V2176" s="18">
        <f>+D2159+I2159+J2159+K2159+L2159+M2159+N2159+O2159+Q2159+R2159+T2159+V2159+W2159+X2159+D2176+F2176+G2176+I2176+J2176+K2176+L2176+M2176+N2176+O2176+Q2176+R2176+T2176</f>
        <v>0</v>
      </c>
      <c r="W2176" s="18">
        <f>+F2159+K2176+L2176+M2176+N2176+O2176+Q2176+R2176+T2176</f>
        <v>0</v>
      </c>
      <c r="X2176" s="18">
        <f>+V2176-W2176</f>
        <v>0</v>
      </c>
    </row>
    <row r="2177" spans="1:24" ht="15">
      <c r="A2177" s="4">
        <f>+A2176+1</f>
        <v>20</v>
      </c>
      <c r="B2177" s="24" t="s">
        <v>46</v>
      </c>
      <c r="C2177" s="11" t="s">
        <v>47</v>
      </c>
      <c r="D2177" s="18">
        <f>+D2169+D2170+D2175+D2176+D2171</f>
        <v>1236.95</v>
      </c>
      <c r="E2177" s="18"/>
      <c r="F2177" s="18">
        <f>+F2169+F2170+F2175+F2176+F2171</f>
        <v>0</v>
      </c>
      <c r="G2177" s="18">
        <f>+G2169+G2170+G2175+G2176+G2171</f>
        <v>0</v>
      </c>
      <c r="I2177" s="18">
        <f aca="true" t="shared" si="265" ref="I2177:O2177">+I2169+I2170+I2175+I2176+I2171</f>
        <v>243438.77000000002</v>
      </c>
      <c r="J2177" s="18">
        <f t="shared" si="265"/>
        <v>0</v>
      </c>
      <c r="K2177" s="18">
        <f t="shared" si="265"/>
        <v>-0.04</v>
      </c>
      <c r="L2177" s="18">
        <f t="shared" si="265"/>
        <v>0</v>
      </c>
      <c r="M2177" s="18">
        <f t="shared" si="265"/>
        <v>32809.44000000002</v>
      </c>
      <c r="N2177" s="18">
        <f t="shared" si="265"/>
        <v>-637756.4400000001</v>
      </c>
      <c r="O2177" s="18">
        <f t="shared" si="265"/>
        <v>0</v>
      </c>
      <c r="P2177" s="42"/>
      <c r="Q2177" s="18">
        <f>+Q2169+Q2170+Q2175+Q2176+Q2171</f>
        <v>0</v>
      </c>
      <c r="R2177" s="18">
        <f>+R2169+R2170+R2175+R2176+R2171</f>
        <v>0</v>
      </c>
      <c r="S2177" s="18"/>
      <c r="T2177" s="18">
        <f>+T2169+T2170+T2175+T2176+T2171</f>
        <v>0</v>
      </c>
      <c r="U2177" s="42"/>
      <c r="V2177" s="18">
        <f>SUM(V2169,V2171,V2175,V2176)</f>
        <v>25085878.680000007</v>
      </c>
      <c r="W2177" s="18">
        <f>+W2169+W2170+W2175+W2176+W2171</f>
        <v>16371827.450000001</v>
      </c>
      <c r="X2177" s="18">
        <f>+X2169+X2170+X2175+X2176+X2171</f>
        <v>8714051.230000006</v>
      </c>
    </row>
    <row r="2178" spans="1:24" ht="15">
      <c r="A2178" s="4"/>
      <c r="B2178" s="24"/>
      <c r="C2178" s="11"/>
      <c r="D2178" s="18"/>
      <c r="E2178" s="18"/>
      <c r="F2178" s="18"/>
      <c r="G2178" s="18"/>
      <c r="I2178" s="18"/>
      <c r="J2178" s="18"/>
      <c r="K2178" s="18"/>
      <c r="L2178" s="18"/>
      <c r="M2178" s="18"/>
      <c r="N2178" s="18"/>
      <c r="O2178" s="18"/>
      <c r="P2178" s="42"/>
      <c r="Q2178" s="18"/>
      <c r="R2178" s="18"/>
      <c r="S2178" s="18"/>
      <c r="T2178" s="18"/>
      <c r="U2178" s="42"/>
      <c r="V2178" s="18"/>
      <c r="W2178" s="18"/>
      <c r="X2178" s="18"/>
    </row>
    <row r="2179" spans="1:24" ht="15">
      <c r="A2179" s="4"/>
      <c r="B2179" s="24"/>
      <c r="C2179" s="11"/>
      <c r="D2179" s="18"/>
      <c r="E2179" s="18"/>
      <c r="F2179" s="18"/>
      <c r="G2179" s="18"/>
      <c r="I2179" s="18"/>
      <c r="J2179" s="18"/>
      <c r="K2179" s="18"/>
      <c r="L2179" s="18"/>
      <c r="M2179" s="18"/>
      <c r="N2179" s="18"/>
      <c r="O2179" s="18"/>
      <c r="P2179" s="42"/>
      <c r="Q2179" s="18"/>
      <c r="R2179" s="18"/>
      <c r="S2179" s="18"/>
      <c r="T2179" s="18"/>
      <c r="U2179" s="42"/>
      <c r="V2179" s="18"/>
      <c r="W2179" s="18"/>
      <c r="X2179" s="18"/>
    </row>
    <row r="2180" spans="1:24" ht="15">
      <c r="A2180" s="4"/>
      <c r="B2180" s="24"/>
      <c r="C2180" s="11"/>
      <c r="D2180" s="18"/>
      <c r="E2180" s="18"/>
      <c r="F2180" s="18"/>
      <c r="G2180" s="18"/>
      <c r="I2180" s="18"/>
      <c r="J2180" s="18"/>
      <c r="K2180" s="18"/>
      <c r="L2180" s="18"/>
      <c r="M2180" s="18"/>
      <c r="N2180" s="18"/>
      <c r="O2180" s="18"/>
      <c r="P2180" s="42"/>
      <c r="Q2180" s="18"/>
      <c r="R2180" s="18"/>
      <c r="S2180" s="18"/>
      <c r="T2180" s="18"/>
      <c r="U2180" s="42"/>
      <c r="V2180" s="18"/>
      <c r="W2180" s="18"/>
      <c r="X2180" s="18"/>
    </row>
    <row r="2181" spans="1:25" ht="15">
      <c r="A2181" s="4"/>
      <c r="B2181" s="24"/>
      <c r="C2181" s="11"/>
      <c r="D2181" s="10" t="s">
        <v>80</v>
      </c>
      <c r="E2181" s="10"/>
      <c r="F2181" s="10" t="s">
        <v>81</v>
      </c>
      <c r="G2181" s="10" t="s">
        <v>82</v>
      </c>
      <c r="I2181" s="10" t="s">
        <v>83</v>
      </c>
      <c r="J2181" s="10" t="s">
        <v>84</v>
      </c>
      <c r="K2181" s="10" t="s">
        <v>85</v>
      </c>
      <c r="L2181" s="10" t="s">
        <v>86</v>
      </c>
      <c r="M2181" s="43" t="s">
        <v>87</v>
      </c>
      <c r="N2181" s="43" t="s">
        <v>88</v>
      </c>
      <c r="O2181" s="44" t="s">
        <v>89</v>
      </c>
      <c r="P2181" s="42"/>
      <c r="Q2181" s="43" t="s">
        <v>90</v>
      </c>
      <c r="R2181" s="43" t="s">
        <v>91</v>
      </c>
      <c r="S2181" s="43"/>
      <c r="T2181" s="43" t="s">
        <v>92</v>
      </c>
      <c r="U2181" s="42"/>
      <c r="V2181" s="43" t="s">
        <v>93</v>
      </c>
      <c r="W2181" s="43" t="s">
        <v>94</v>
      </c>
      <c r="X2181" s="43" t="s">
        <v>95</v>
      </c>
      <c r="Y2181" s="18"/>
    </row>
    <row r="2182" spans="1:25" ht="15">
      <c r="A2182" s="4"/>
      <c r="B2182"/>
      <c r="C2182" s="11"/>
      <c r="D2182" s="10" t="s">
        <v>20</v>
      </c>
      <c r="E2182" s="38"/>
      <c r="F2182" s="10" t="s">
        <v>20</v>
      </c>
      <c r="G2182" s="10" t="s">
        <v>20</v>
      </c>
      <c r="I2182" s="10" t="s">
        <v>20</v>
      </c>
      <c r="J2182" s="10" t="s">
        <v>20</v>
      </c>
      <c r="K2182" s="10" t="s">
        <v>20</v>
      </c>
      <c r="L2182" s="10" t="s">
        <v>20</v>
      </c>
      <c r="M2182" s="10" t="s">
        <v>20</v>
      </c>
      <c r="N2182" s="10" t="s">
        <v>20</v>
      </c>
      <c r="O2182" s="10" t="s">
        <v>20</v>
      </c>
      <c r="P2182" s="18"/>
      <c r="Q2182" s="10" t="s">
        <v>20</v>
      </c>
      <c r="R2182" s="10" t="s">
        <v>20</v>
      </c>
      <c r="S2182" s="14"/>
      <c r="T2182" s="10" t="s">
        <v>20</v>
      </c>
      <c r="U2182" s="18"/>
      <c r="W2182" s="39" t="s">
        <v>96</v>
      </c>
      <c r="Y2182" s="18"/>
    </row>
    <row r="2183" spans="1:25" ht="15">
      <c r="A2183" s="4"/>
      <c r="B2183" s="87" t="s">
        <v>174</v>
      </c>
      <c r="C2183" s="11"/>
      <c r="D2183" s="8" t="s">
        <v>156</v>
      </c>
      <c r="E2183" s="6"/>
      <c r="F2183" s="8" t="s">
        <v>157</v>
      </c>
      <c r="G2183" s="45" t="s">
        <v>99</v>
      </c>
      <c r="H2183" s="19"/>
      <c r="I2183" s="45" t="s">
        <v>100</v>
      </c>
      <c r="J2183" s="45" t="s">
        <v>101</v>
      </c>
      <c r="K2183" s="82" t="s">
        <v>102</v>
      </c>
      <c r="L2183" s="45" t="s">
        <v>103</v>
      </c>
      <c r="M2183" s="45" t="s">
        <v>104</v>
      </c>
      <c r="N2183" s="45" t="s">
        <v>105</v>
      </c>
      <c r="O2183" s="45" t="s">
        <v>106</v>
      </c>
      <c r="P2183" s="6"/>
      <c r="Q2183" s="45" t="s">
        <v>107</v>
      </c>
      <c r="R2183" s="45" t="s">
        <v>108</v>
      </c>
      <c r="S2183" s="45"/>
      <c r="T2183" s="45" t="s">
        <v>109</v>
      </c>
      <c r="U2183" s="18"/>
      <c r="V2183" s="10" t="s">
        <v>20</v>
      </c>
      <c r="W2183" s="10" t="s">
        <v>21</v>
      </c>
      <c r="X2183" s="10" t="s">
        <v>22</v>
      </c>
      <c r="Y2183" s="18"/>
    </row>
    <row r="2184" spans="1:9" ht="15">
      <c r="A2184" s="4"/>
      <c r="B2184" s="24"/>
      <c r="C2184" s="11"/>
      <c r="E2184" s="14"/>
      <c r="F2184"/>
      <c r="H2184" s="18"/>
      <c r="I2184" s="16"/>
    </row>
    <row r="2185" spans="1:24" ht="15">
      <c r="A2185" s="4">
        <f>+A2178+1</f>
        <v>1</v>
      </c>
      <c r="B2185" s="5" t="s">
        <v>36</v>
      </c>
      <c r="C2185" s="17" t="s">
        <v>37</v>
      </c>
      <c r="D2185" s="18">
        <v>42.03</v>
      </c>
      <c r="E2185" s="18"/>
      <c r="F2185" s="18">
        <v>54541.71</v>
      </c>
      <c r="G2185" s="18">
        <v>9704.54</v>
      </c>
      <c r="I2185" s="18">
        <v>0</v>
      </c>
      <c r="J2185" s="18">
        <v>0</v>
      </c>
      <c r="K2185" s="46">
        <f>24522.76-420925.25+141.37+99638.98</f>
        <v>-296622.14</v>
      </c>
      <c r="L2185" s="27">
        <v>-7129</v>
      </c>
      <c r="M2185" s="18">
        <f>-159.03+-1227.6+-8110.53</f>
        <v>-9497.16</v>
      </c>
      <c r="N2185" s="18">
        <v>0</v>
      </c>
      <c r="O2185" s="18">
        <v>-36319.51</v>
      </c>
      <c r="Q2185" s="18">
        <v>-2417.32</v>
      </c>
      <c r="R2185" s="18">
        <v>-8473.85</v>
      </c>
      <c r="S2185" s="18"/>
      <c r="T2185" s="18">
        <v>-40174.97</v>
      </c>
      <c r="V2185" s="18">
        <f>+V2167+D2185+F2185+G2185+I2185+J2185+K2185+L2185+M2185+N2185+O2185+Q2185+R2185+T2185</f>
        <v>21022308.46</v>
      </c>
      <c r="W2185" s="18">
        <f>+W2167</f>
        <v>13155588.13</v>
      </c>
      <c r="X2185" s="18">
        <f>+V2185-W2185</f>
        <v>7866720.33</v>
      </c>
    </row>
    <row r="2186" spans="1:24" ht="15">
      <c r="A2186" s="4">
        <f>+A2185+1</f>
        <v>2</v>
      </c>
      <c r="B2186" s="5" t="s">
        <v>36</v>
      </c>
      <c r="C2186" s="22" t="s">
        <v>38</v>
      </c>
      <c r="D2186" s="18">
        <v>1380.77</v>
      </c>
      <c r="E2186" s="18"/>
      <c r="F2186" s="18">
        <v>52668.11</v>
      </c>
      <c r="G2186" s="18">
        <v>11348.7</v>
      </c>
      <c r="I2186" s="18">
        <v>0</v>
      </c>
      <c r="J2186" s="18">
        <v>0</v>
      </c>
      <c r="K2186" s="46">
        <f>-1245.58-420925.25+72.29+99710.23</f>
        <v>-322388.31000000006</v>
      </c>
      <c r="L2186" s="27">
        <v>-7129</v>
      </c>
      <c r="M2186" s="18">
        <f>-159.03-1227.6-8110.53</f>
        <v>-9497.16</v>
      </c>
      <c r="N2186" s="18">
        <v>0</v>
      </c>
      <c r="O2186" s="18">
        <v>-29444.04</v>
      </c>
      <c r="Q2186" s="18">
        <v>0</v>
      </c>
      <c r="R2186" s="18">
        <v>-7617.18</v>
      </c>
      <c r="S2186" s="18"/>
      <c r="T2186" s="18">
        <v>-35842.15</v>
      </c>
      <c r="V2186" s="18">
        <f>+V2168+D2186+F2186+G2186+I2186+J2186+K2186+L2186+M2186+N2186+O2186+Q2186+R2186+T2186</f>
        <v>21707508.64</v>
      </c>
      <c r="W2186" s="18">
        <f>+W2168</f>
        <v>12847908.489999998</v>
      </c>
      <c r="X2186" s="18">
        <f>+V2186-W2186</f>
        <v>8859600.150000002</v>
      </c>
    </row>
    <row r="2187" spans="1:24" ht="15">
      <c r="A2187" s="4">
        <f>+A2186+1</f>
        <v>3</v>
      </c>
      <c r="B2187" s="24" t="s">
        <v>46</v>
      </c>
      <c r="C2187" s="40" t="s">
        <v>78</v>
      </c>
      <c r="D2187" s="18">
        <f>+D2185-D2186</f>
        <v>-1338.74</v>
      </c>
      <c r="E2187" s="18"/>
      <c r="F2187" s="18">
        <f>+F2185-F2186</f>
        <v>1873.5999999999985</v>
      </c>
      <c r="G2187" s="18">
        <f>+G2185-G2186</f>
        <v>-1644.1599999999999</v>
      </c>
      <c r="I2187" s="18">
        <f aca="true" t="shared" si="266" ref="I2187:N2187">+I2185-I2186</f>
        <v>0</v>
      </c>
      <c r="J2187" s="18">
        <f t="shared" si="266"/>
        <v>0</v>
      </c>
      <c r="K2187" s="18">
        <f>+K2185-K2186</f>
        <v>25766.170000000042</v>
      </c>
      <c r="L2187" s="18">
        <f t="shared" si="266"/>
        <v>0</v>
      </c>
      <c r="M2187" s="18">
        <f>+M2185-M2186</f>
        <v>0</v>
      </c>
      <c r="N2187" s="18">
        <f t="shared" si="266"/>
        <v>0</v>
      </c>
      <c r="O2187" s="18">
        <f>+O2185-O2186</f>
        <v>-6875.470000000001</v>
      </c>
      <c r="Q2187" s="18">
        <f>+Q2185-Q2186</f>
        <v>-2417.32</v>
      </c>
      <c r="R2187" s="18">
        <f>+R2185-R2186</f>
        <v>-856.6700000000001</v>
      </c>
      <c r="S2187" s="18"/>
      <c r="T2187" s="18">
        <f>+T2185-T2186</f>
        <v>-4332.82</v>
      </c>
      <c r="V2187" s="27">
        <f>+V2185-V2186</f>
        <v>-685200.1799999997</v>
      </c>
      <c r="W2187" s="27">
        <f>+W2185-W2186</f>
        <v>307679.64000000246</v>
      </c>
      <c r="X2187" s="18">
        <f>+X2185-X2186</f>
        <v>-992879.8200000022</v>
      </c>
    </row>
    <row r="2188" spans="1:24" ht="28.5">
      <c r="A2188" s="4">
        <f>+A2187+1</f>
        <v>4</v>
      </c>
      <c r="B2188" s="88" t="s">
        <v>182</v>
      </c>
      <c r="C2188" s="11"/>
      <c r="D2188" s="18">
        <v>0</v>
      </c>
      <c r="E2188" s="18"/>
      <c r="F2188" s="18">
        <v>0</v>
      </c>
      <c r="G2188" s="18">
        <v>0</v>
      </c>
      <c r="I2188" s="18">
        <v>0</v>
      </c>
      <c r="J2188" s="27">
        <v>0</v>
      </c>
      <c r="K2188" s="18">
        <v>0</v>
      </c>
      <c r="L2188" s="18">
        <v>0</v>
      </c>
      <c r="M2188" s="18">
        <v>0</v>
      </c>
      <c r="N2188" s="18">
        <v>0</v>
      </c>
      <c r="O2188" s="18">
        <v>0</v>
      </c>
      <c r="Q2188" s="18">
        <v>0</v>
      </c>
      <c r="R2188" s="18">
        <v>0</v>
      </c>
      <c r="S2188" s="18"/>
      <c r="T2188" s="18">
        <v>0</v>
      </c>
      <c r="V2188" s="18">
        <f>+V2170+D2188+F2188+G2188+I2188+J2188+K2188+L2188+M2188+N2188+O2188+Q2188+R2188+T2188</f>
        <v>0</v>
      </c>
      <c r="W2188" s="18">
        <f>+W2170</f>
        <v>0</v>
      </c>
      <c r="X2188" s="18">
        <f>+V2188-W2188</f>
        <v>0</v>
      </c>
    </row>
    <row r="2189" spans="1:24" ht="24.75">
      <c r="A2189" s="4">
        <f>+A2188+1</f>
        <v>5</v>
      </c>
      <c r="B2189" s="89" t="s">
        <v>39</v>
      </c>
      <c r="C2189" s="40"/>
      <c r="D2189" s="27">
        <v>0</v>
      </c>
      <c r="E2189" s="18"/>
      <c r="F2189" s="27">
        <v>0</v>
      </c>
      <c r="G2189" s="27">
        <v>-34.32</v>
      </c>
      <c r="I2189" s="27">
        <v>0</v>
      </c>
      <c r="J2189" s="27">
        <v>0</v>
      </c>
      <c r="K2189" s="55">
        <f>8164.74-46.94-6222.76-36453.77+12043.55</f>
        <v>-22515.179999999997</v>
      </c>
      <c r="L2189" s="27">
        <v>0</v>
      </c>
      <c r="M2189" s="27">
        <v>0</v>
      </c>
      <c r="N2189" s="27">
        <v>0</v>
      </c>
      <c r="O2189" s="27">
        <v>0</v>
      </c>
      <c r="Q2189" s="27"/>
      <c r="R2189" s="27">
        <v>0</v>
      </c>
      <c r="S2189" s="27"/>
      <c r="T2189" s="27">
        <v>0</v>
      </c>
      <c r="V2189" s="18">
        <f>+V2171+D2189+F2189+G2189+I2189+J2189+K2189+L2189+M2189+N2189+O2189+Q2189+R2189+T2189</f>
        <v>789189.7699999999</v>
      </c>
      <c r="W2189" s="18">
        <f>+W2171</f>
        <v>0</v>
      </c>
      <c r="X2189" s="18">
        <f>+V2189-W2189</f>
        <v>789189.7699999999</v>
      </c>
    </row>
    <row r="2190" spans="1:24" ht="15">
      <c r="A2190" s="6" t="s">
        <v>41</v>
      </c>
      <c r="B2190" s="41"/>
      <c r="C2190" s="40"/>
      <c r="D2190" s="18"/>
      <c r="E2190" s="18"/>
      <c r="F2190" s="18"/>
      <c r="G2190" s="18"/>
      <c r="I2190" s="18"/>
      <c r="J2190" s="18"/>
      <c r="K2190" s="27"/>
      <c r="L2190" s="18"/>
      <c r="M2190" s="18"/>
      <c r="N2190" s="18"/>
      <c r="O2190" s="18"/>
      <c r="Q2190" s="18"/>
      <c r="R2190" s="18"/>
      <c r="S2190" s="18"/>
      <c r="T2190" s="18"/>
      <c r="V2190" s="18"/>
      <c r="W2190" s="18"/>
      <c r="X2190" s="18"/>
    </row>
    <row r="2191" spans="1:24" ht="15">
      <c r="A2191" s="4">
        <f>+A2189+1</f>
        <v>6</v>
      </c>
      <c r="B2191" s="5" t="s">
        <v>42</v>
      </c>
      <c r="C2191" s="22" t="s">
        <v>38</v>
      </c>
      <c r="D2191" s="18">
        <v>2730.61</v>
      </c>
      <c r="E2191" s="18"/>
      <c r="F2191" s="18">
        <v>50827.2</v>
      </c>
      <c r="G2191" s="18">
        <v>274.74</v>
      </c>
      <c r="I2191" s="18">
        <v>0</v>
      </c>
      <c r="J2191" s="18">
        <v>0</v>
      </c>
      <c r="K2191" s="46">
        <f>-21501.04-210803.56+56.68</f>
        <v>-232247.92</v>
      </c>
      <c r="L2191" s="27">
        <v>-7129</v>
      </c>
      <c r="M2191" s="18">
        <f>-6875.4-973.5-153.9-1188</f>
        <v>-9190.8</v>
      </c>
      <c r="N2191" s="18">
        <v>0</v>
      </c>
      <c r="O2191" s="18">
        <v>-36652.94</v>
      </c>
      <c r="P2191" s="18"/>
      <c r="Q2191" s="18">
        <v>0</v>
      </c>
      <c r="R2191" s="18">
        <v>-9139.31</v>
      </c>
      <c r="S2191" s="18"/>
      <c r="T2191" s="18">
        <v>-45736.24</v>
      </c>
      <c r="U2191" s="18"/>
      <c r="V2191" s="18">
        <f>+V2173+D2191+F2191+G2191+I2191+J2191+K2191+L2191+M2191+N2191+O2191+Q2191+R2191+T2191</f>
        <v>24683250.52</v>
      </c>
      <c r="W2191" s="18">
        <f>+W2173</f>
        <v>16064147.809999999</v>
      </c>
      <c r="X2191" s="18">
        <f>+V2191-W2191</f>
        <v>8619102.71</v>
      </c>
    </row>
    <row r="2192" spans="1:24" ht="15">
      <c r="A2192" s="4">
        <f>+A2191+1</f>
        <v>7</v>
      </c>
      <c r="B2192" s="5" t="s">
        <v>43</v>
      </c>
      <c r="C2192" s="11"/>
      <c r="D2192" s="18">
        <v>0</v>
      </c>
      <c r="E2192" s="18"/>
      <c r="F2192" s="18">
        <v>0</v>
      </c>
      <c r="G2192" s="18">
        <v>0</v>
      </c>
      <c r="I2192" s="18">
        <v>0</v>
      </c>
      <c r="J2192" s="18">
        <v>0</v>
      </c>
      <c r="K2192" s="18">
        <v>0</v>
      </c>
      <c r="L2192" s="18">
        <v>0</v>
      </c>
      <c r="M2192" s="18">
        <v>0</v>
      </c>
      <c r="N2192" s="18">
        <v>0</v>
      </c>
      <c r="O2192" s="18">
        <v>0</v>
      </c>
      <c r="P2192" s="18"/>
      <c r="Q2192" s="18">
        <v>0</v>
      </c>
      <c r="R2192" s="18">
        <v>0</v>
      </c>
      <c r="S2192" s="18"/>
      <c r="T2192" s="18">
        <v>0</v>
      </c>
      <c r="U2192" s="18"/>
      <c r="V2192" s="18">
        <f>+V2174+D2192+F2192+G2192+I2192+J2192+K2192+L2192+M2192+N2192+O2192+Q2192+R2192+T2192</f>
        <v>0</v>
      </c>
      <c r="W2192" s="18">
        <f>+W2174</f>
        <v>0</v>
      </c>
      <c r="X2192" s="18">
        <f>+V2192-W2192</f>
        <v>0</v>
      </c>
    </row>
    <row r="2193" spans="1:24" ht="26.25">
      <c r="A2193" s="4">
        <f>+A2192+1</f>
        <v>8</v>
      </c>
      <c r="B2193" s="24" t="s">
        <v>79</v>
      </c>
      <c r="C2193" s="11"/>
      <c r="D2193" s="18">
        <f>+D2191-D2192</f>
        <v>2730.61</v>
      </c>
      <c r="E2193" s="18"/>
      <c r="F2193" s="18">
        <f>+F2191-F2192</f>
        <v>50827.2</v>
      </c>
      <c r="G2193" s="18">
        <f>+G2191-G2192</f>
        <v>274.74</v>
      </c>
      <c r="I2193" s="18">
        <f aca="true" t="shared" si="267" ref="I2193:O2193">+I2191-I2192</f>
        <v>0</v>
      </c>
      <c r="J2193" s="18">
        <f t="shared" si="267"/>
        <v>0</v>
      </c>
      <c r="K2193" s="18">
        <f t="shared" si="267"/>
        <v>-232247.92</v>
      </c>
      <c r="L2193" s="18">
        <f t="shared" si="267"/>
        <v>-7129</v>
      </c>
      <c r="M2193" s="18">
        <f t="shared" si="267"/>
        <v>-9190.8</v>
      </c>
      <c r="N2193" s="18">
        <f t="shared" si="267"/>
        <v>0</v>
      </c>
      <c r="O2193" s="18">
        <f t="shared" si="267"/>
        <v>-36652.94</v>
      </c>
      <c r="P2193" s="18"/>
      <c r="Q2193" s="18">
        <f>+Q2191-Q2192</f>
        <v>0</v>
      </c>
      <c r="R2193" s="18">
        <f>+R2191-R2192</f>
        <v>-9139.31</v>
      </c>
      <c r="S2193" s="18"/>
      <c r="T2193" s="18">
        <f>+T2191-T2192</f>
        <v>-45736.24</v>
      </c>
      <c r="U2193" s="18"/>
      <c r="V2193" s="27">
        <f>+V2191-V2192</f>
        <v>24683250.52</v>
      </c>
      <c r="W2193" s="27">
        <f>+W2191-W2192</f>
        <v>16064147.809999999</v>
      </c>
      <c r="X2193" s="18">
        <f>+X2191-X2192</f>
        <v>8619102.71</v>
      </c>
    </row>
    <row r="2194" spans="1:24" ht="28.5">
      <c r="A2194" s="4">
        <f>+A2193+1</f>
        <v>9</v>
      </c>
      <c r="B2194" s="88" t="s">
        <v>181</v>
      </c>
      <c r="C2194" s="11"/>
      <c r="D2194" s="18">
        <v>0</v>
      </c>
      <c r="E2194" s="18"/>
      <c r="F2194" s="18">
        <v>0</v>
      </c>
      <c r="G2194" s="18">
        <v>0</v>
      </c>
      <c r="I2194" s="18">
        <v>0</v>
      </c>
      <c r="J2194" s="18">
        <v>0</v>
      </c>
      <c r="K2194" s="18">
        <v>0</v>
      </c>
      <c r="L2194" s="18">
        <v>0</v>
      </c>
      <c r="M2194" s="18">
        <v>0</v>
      </c>
      <c r="N2194" s="18">
        <v>0</v>
      </c>
      <c r="O2194" s="18">
        <v>0</v>
      </c>
      <c r="P2194" s="18"/>
      <c r="Q2194" s="18">
        <v>0</v>
      </c>
      <c r="R2194" s="18">
        <v>0</v>
      </c>
      <c r="S2194" s="18"/>
      <c r="T2194" s="18">
        <v>0</v>
      </c>
      <c r="U2194" s="18"/>
      <c r="V2194" s="18">
        <f>+V2176+D2194+F2194+G2194+I2194+J2194+K2194+L2194+M2194+N2194+O2194+Q2194+R2194+T2194</f>
        <v>0</v>
      </c>
      <c r="W2194" s="18">
        <f>+W2176</f>
        <v>0</v>
      </c>
      <c r="X2194" s="18">
        <f>+V2194-W2194</f>
        <v>0</v>
      </c>
    </row>
    <row r="2195" spans="1:24" ht="15">
      <c r="A2195" s="4">
        <f>+A2194+1</f>
        <v>10</v>
      </c>
      <c r="B2195" s="24" t="s">
        <v>46</v>
      </c>
      <c r="C2195" s="11" t="s">
        <v>47</v>
      </c>
      <c r="D2195" s="18">
        <f>+D2187+D2188+D2193+D2194+D2189</f>
        <v>1391.8700000000001</v>
      </c>
      <c r="E2195" s="18"/>
      <c r="F2195" s="18">
        <f>+F2187+F2188+F2193+F2194+F2189</f>
        <v>52700.799999999996</v>
      </c>
      <c r="G2195" s="18">
        <f>+G2187+G2188+G2193+G2194+G2189</f>
        <v>-1403.7399999999998</v>
      </c>
      <c r="I2195" s="18">
        <f aca="true" t="shared" si="268" ref="I2195:O2195">+I2187+I2188+I2193+I2194+I2189</f>
        <v>0</v>
      </c>
      <c r="J2195" s="18">
        <f t="shared" si="268"/>
        <v>0</v>
      </c>
      <c r="K2195" s="18">
        <f t="shared" si="268"/>
        <v>-228996.92999999996</v>
      </c>
      <c r="L2195" s="18">
        <f t="shared" si="268"/>
        <v>-7129</v>
      </c>
      <c r="M2195" s="18">
        <f t="shared" si="268"/>
        <v>-9190.8</v>
      </c>
      <c r="N2195" s="18">
        <f t="shared" si="268"/>
        <v>0</v>
      </c>
      <c r="O2195" s="18">
        <f t="shared" si="268"/>
        <v>-43528.41</v>
      </c>
      <c r="P2195" s="42"/>
      <c r="Q2195" s="18">
        <f>+Q2187+Q2188+Q2193+Q2194+Q2189</f>
        <v>-2417.32</v>
      </c>
      <c r="R2195" s="18">
        <f>+R2187+R2188+R2193+R2194+R2189</f>
        <v>-9995.98</v>
      </c>
      <c r="S2195" s="18"/>
      <c r="T2195" s="18">
        <f>+T2187+T2188+T2193+T2194+T2189</f>
        <v>-50069.06</v>
      </c>
      <c r="U2195" s="42"/>
      <c r="V2195" s="18">
        <f>+V2187+V2188+V2193+V2194+V2189</f>
        <v>24787240.11</v>
      </c>
      <c r="W2195" s="18">
        <f>+W2187+W2188+W2193+W2194+W2189</f>
        <v>16371827.450000001</v>
      </c>
      <c r="X2195" s="18">
        <f>+X2187+X2188+X2193+X2194+X2189</f>
        <v>8415412.659999998</v>
      </c>
    </row>
    <row r="2196" spans="1:24" ht="15">
      <c r="A2196" s="4"/>
      <c r="B2196" s="24"/>
      <c r="C2196" s="11"/>
      <c r="D2196" s="18"/>
      <c r="E2196" s="18"/>
      <c r="F2196" s="18"/>
      <c r="G2196" s="18"/>
      <c r="I2196" s="18"/>
      <c r="J2196" s="18"/>
      <c r="K2196" s="27" t="s">
        <v>0</v>
      </c>
      <c r="L2196" s="18"/>
      <c r="M2196" s="18"/>
      <c r="N2196" s="18"/>
      <c r="O2196" s="18"/>
      <c r="P2196" s="42"/>
      <c r="Q2196" s="18"/>
      <c r="R2196" s="18"/>
      <c r="S2196" s="18"/>
      <c r="T2196" s="18"/>
      <c r="U2196" s="42"/>
      <c r="V2196" s="18"/>
      <c r="W2196" s="18"/>
      <c r="X2196" s="18"/>
    </row>
    <row r="2197" spans="1:24" ht="15">
      <c r="A2197" s="4"/>
      <c r="B2197" s="24"/>
      <c r="C2197" s="11"/>
      <c r="D2197" s="18"/>
      <c r="E2197" s="18"/>
      <c r="F2197" s="18"/>
      <c r="G2197" s="18"/>
      <c r="I2197" s="18"/>
      <c r="J2197" s="18"/>
      <c r="K2197" s="27"/>
      <c r="L2197" s="18"/>
      <c r="M2197" s="18"/>
      <c r="N2197" s="18"/>
      <c r="O2197" s="18"/>
      <c r="P2197" s="42"/>
      <c r="Q2197" s="18"/>
      <c r="R2197" s="18"/>
      <c r="S2197" s="18"/>
      <c r="T2197" s="18"/>
      <c r="U2197" s="42"/>
      <c r="V2197" s="18"/>
      <c r="W2197" s="18"/>
      <c r="X2197" s="18"/>
    </row>
    <row r="2198" spans="1:24" ht="15">
      <c r="A2198" s="4"/>
      <c r="B2198" s="24"/>
      <c r="C2198" s="11"/>
      <c r="D2198" s="18"/>
      <c r="E2198" s="18"/>
      <c r="F2198" s="18"/>
      <c r="G2198" s="18"/>
      <c r="I2198" s="18"/>
      <c r="J2198" s="18"/>
      <c r="K2198" s="18"/>
      <c r="L2198" s="18"/>
      <c r="M2198" s="18"/>
      <c r="N2198" s="18"/>
      <c r="O2198" s="18"/>
      <c r="P2198" s="42"/>
      <c r="Q2198" s="18"/>
      <c r="R2198" s="18"/>
      <c r="S2198" s="18"/>
      <c r="T2198" s="18"/>
      <c r="U2198" s="42"/>
      <c r="V2198" s="18"/>
      <c r="W2198" s="18"/>
      <c r="X2198" s="18"/>
    </row>
    <row r="2199" spans="1:24" ht="15">
      <c r="A2199" s="4"/>
      <c r="B2199" s="24"/>
      <c r="C2199" s="11"/>
      <c r="D2199" s="10" t="s">
        <v>4</v>
      </c>
      <c r="E2199" s="10"/>
      <c r="F2199" s="10" t="s">
        <v>5</v>
      </c>
      <c r="G2199" s="10" t="s">
        <v>6</v>
      </c>
      <c r="H2199" s="10"/>
      <c r="I2199" s="10" t="s">
        <v>7</v>
      </c>
      <c r="J2199" s="10" t="s">
        <v>8</v>
      </c>
      <c r="K2199" s="10" t="s">
        <v>9</v>
      </c>
      <c r="L2199" s="10" t="s">
        <v>10</v>
      </c>
      <c r="M2199" s="10" t="s">
        <v>11</v>
      </c>
      <c r="N2199" s="10" t="s">
        <v>12</v>
      </c>
      <c r="O2199" s="10" t="s">
        <v>13</v>
      </c>
      <c r="P2199" s="10"/>
      <c r="Q2199" s="10" t="s">
        <v>14</v>
      </c>
      <c r="R2199" s="10" t="s">
        <v>15</v>
      </c>
      <c r="S2199" s="10"/>
      <c r="T2199" s="10" t="s">
        <v>16</v>
      </c>
      <c r="U2199" s="10"/>
      <c r="V2199" s="10" t="s">
        <v>17</v>
      </c>
      <c r="W2199" s="10" t="s">
        <v>18</v>
      </c>
      <c r="X2199" s="10" t="s">
        <v>19</v>
      </c>
    </row>
    <row r="2200" spans="1:23" ht="15">
      <c r="A2200" s="4"/>
      <c r="B2200" s="24"/>
      <c r="C2200" s="11"/>
      <c r="D2200" s="10" t="s">
        <v>20</v>
      </c>
      <c r="E2200" s="10"/>
      <c r="F2200" s="14" t="s">
        <v>21</v>
      </c>
      <c r="G2200" s="10"/>
      <c r="I2200" s="39" t="s">
        <v>110</v>
      </c>
      <c r="J2200" s="47" t="s">
        <v>111</v>
      </c>
      <c r="K2200" s="39"/>
      <c r="L2200" s="10" t="s">
        <v>20</v>
      </c>
      <c r="M2200" s="10" t="s">
        <v>20</v>
      </c>
      <c r="N2200" s="10" t="s">
        <v>20</v>
      </c>
      <c r="O2200" s="10" t="s">
        <v>20</v>
      </c>
      <c r="P2200" s="42"/>
      <c r="Q2200" s="10" t="s">
        <v>20</v>
      </c>
      <c r="R2200" s="10" t="s">
        <v>20</v>
      </c>
      <c r="S2200" s="48"/>
      <c r="T2200" s="10" t="s">
        <v>20</v>
      </c>
      <c r="U2200" s="42"/>
      <c r="W2200" s="39" t="s">
        <v>112</v>
      </c>
    </row>
    <row r="2201" spans="1:24" ht="15">
      <c r="A2201" s="4"/>
      <c r="B2201" s="87" t="s">
        <v>183</v>
      </c>
      <c r="C2201" s="11"/>
      <c r="D2201" s="8" t="s">
        <v>113</v>
      </c>
      <c r="E2201" s="6"/>
      <c r="F2201" s="6" t="s">
        <v>114</v>
      </c>
      <c r="G2201" s="49" t="s">
        <v>22</v>
      </c>
      <c r="I2201" s="8" t="s">
        <v>113</v>
      </c>
      <c r="J2201" s="6" t="s">
        <v>114</v>
      </c>
      <c r="K2201" s="49" t="s">
        <v>24</v>
      </c>
      <c r="L2201" s="13" t="s">
        <v>115</v>
      </c>
      <c r="M2201" s="13" t="s">
        <v>116</v>
      </c>
      <c r="N2201" s="13" t="s">
        <v>117</v>
      </c>
      <c r="O2201" s="13" t="s">
        <v>118</v>
      </c>
      <c r="P2201" s="42"/>
      <c r="Q2201" s="13" t="s">
        <v>119</v>
      </c>
      <c r="R2201" s="13" t="s">
        <v>120</v>
      </c>
      <c r="T2201" s="13" t="s">
        <v>121</v>
      </c>
      <c r="U2201" s="42"/>
      <c r="V2201" s="10" t="s">
        <v>20</v>
      </c>
      <c r="W2201" s="10" t="s">
        <v>21</v>
      </c>
      <c r="X2201" s="10" t="s">
        <v>22</v>
      </c>
    </row>
    <row r="2202" spans="1:24" ht="15">
      <c r="A2202" s="4"/>
      <c r="B2202" s="24"/>
      <c r="C2202" s="11"/>
      <c r="D2202" s="18"/>
      <c r="E2202" s="18"/>
      <c r="F2202" s="18"/>
      <c r="G2202" s="18"/>
      <c r="I2202" s="72" t="s">
        <v>0</v>
      </c>
      <c r="K2202" s="42"/>
      <c r="L2202" s="42"/>
      <c r="N2202" s="42"/>
      <c r="O2202" s="18"/>
      <c r="P2202" s="42"/>
      <c r="U2202" s="42"/>
      <c r="V2202" s="18"/>
      <c r="W2202" s="39" t="s">
        <v>122</v>
      </c>
      <c r="X2202" s="18"/>
    </row>
    <row r="2203" spans="1:24" ht="15">
      <c r="A2203" s="4">
        <f>+A2175+1</f>
        <v>19</v>
      </c>
      <c r="B2203" s="5" t="s">
        <v>36</v>
      </c>
      <c r="C2203" s="17" t="s">
        <v>37</v>
      </c>
      <c r="D2203" s="27">
        <f>660957.69+786889.35</f>
        <v>1447847.04</v>
      </c>
      <c r="E2203" s="18" t="s">
        <v>0</v>
      </c>
      <c r="F2203" s="27">
        <v>139721.86</v>
      </c>
      <c r="G2203" s="18">
        <f>D2203-F2203</f>
        <v>1308125.1800000002</v>
      </c>
      <c r="I2203" s="27">
        <v>-519.98</v>
      </c>
      <c r="J2203" s="27">
        <v>-226.64</v>
      </c>
      <c r="K2203" s="36">
        <f>+I2203-J2203</f>
        <v>-293.34000000000003</v>
      </c>
      <c r="L2203" s="18">
        <v>0</v>
      </c>
      <c r="M2203" s="27">
        <v>264126.67</v>
      </c>
      <c r="N2203" s="27">
        <v>2281.9</v>
      </c>
      <c r="O2203" s="18">
        <v>0</v>
      </c>
      <c r="P2203" s="42"/>
      <c r="Q2203" s="31">
        <v>0</v>
      </c>
      <c r="R2203" s="18">
        <v>0</v>
      </c>
      <c r="S2203" s="18"/>
      <c r="T2203" s="18">
        <v>0</v>
      </c>
      <c r="U2203" s="42"/>
      <c r="V2203" s="31">
        <f>+D2203+I2203+L2203+M2203+N2203+O2203+Q2203+R2203+T2203</f>
        <v>1713735.63</v>
      </c>
      <c r="W2203" s="18">
        <f>+F2203+J2203</f>
        <v>139495.21999999997</v>
      </c>
      <c r="X2203" s="18">
        <f>+V2203-W2203</f>
        <v>1574240.41</v>
      </c>
    </row>
    <row r="2204" spans="1:24" ht="15">
      <c r="A2204" s="4">
        <f>+A2203+1</f>
        <v>20</v>
      </c>
      <c r="B2204" s="5" t="s">
        <v>36</v>
      </c>
      <c r="C2204" s="22" t="s">
        <v>38</v>
      </c>
      <c r="D2204" s="27">
        <f>660957.7+764137.28</f>
        <v>1425094.98</v>
      </c>
      <c r="E2204" s="18" t="s">
        <v>0</v>
      </c>
      <c r="F2204" s="27">
        <v>139721.86</v>
      </c>
      <c r="G2204" s="18">
        <f>D2204-F2204</f>
        <v>1285373.12</v>
      </c>
      <c r="I2204" s="27">
        <v>177.18</v>
      </c>
      <c r="J2204" s="31">
        <v>226.64</v>
      </c>
      <c r="K2204" s="36">
        <f>+I2204-J2204</f>
        <v>-49.45999999999998</v>
      </c>
      <c r="L2204" s="18">
        <v>0</v>
      </c>
      <c r="M2204" s="27">
        <v>264017.57</v>
      </c>
      <c r="N2204" s="27">
        <v>2281.9</v>
      </c>
      <c r="O2204" s="18">
        <v>0</v>
      </c>
      <c r="P2204" s="42"/>
      <c r="Q2204" s="31">
        <v>0</v>
      </c>
      <c r="R2204" s="18">
        <v>0</v>
      </c>
      <c r="S2204" s="18"/>
      <c r="T2204" s="18">
        <v>0</v>
      </c>
      <c r="U2204" s="42"/>
      <c r="V2204" s="31">
        <f>+D2204+I2204+L2204+M2204+N2204+O2204+Q2204+R2204+T2204</f>
        <v>1691571.63</v>
      </c>
      <c r="W2204" s="18">
        <f>+F2204+J2204</f>
        <v>139948.5</v>
      </c>
      <c r="X2204" s="18">
        <f>+V2204-W2204</f>
        <v>1551623.13</v>
      </c>
    </row>
    <row r="2205" spans="1:24" ht="15">
      <c r="A2205" s="4">
        <f>+A2204+1</f>
        <v>21</v>
      </c>
      <c r="B2205" s="24" t="s">
        <v>46</v>
      </c>
      <c r="C2205" s="40" t="s">
        <v>78</v>
      </c>
      <c r="D2205" s="18">
        <f>+D2203-D2204</f>
        <v>22752.060000000056</v>
      </c>
      <c r="E2205" s="18"/>
      <c r="F2205" s="18">
        <f>+F2203-F2204</f>
        <v>0</v>
      </c>
      <c r="G2205" s="18">
        <f>+G2203-G2204</f>
        <v>22752.060000000056</v>
      </c>
      <c r="I2205" s="18">
        <f>+I2203-I2204</f>
        <v>-697.1600000000001</v>
      </c>
      <c r="J2205" s="18">
        <f>+J2203-J2204</f>
        <v>-453.28</v>
      </c>
      <c r="K2205" s="18">
        <f>K2203-K2204</f>
        <v>-243.88000000000005</v>
      </c>
      <c r="L2205" s="18">
        <f>+L2203-L2204</f>
        <v>0</v>
      </c>
      <c r="M2205" s="18">
        <f>+M2203-M2204</f>
        <v>109.09999999997672</v>
      </c>
      <c r="N2205" s="18">
        <f>+N2203-N2204</f>
        <v>0</v>
      </c>
      <c r="O2205" s="18">
        <f>+O2203-O2204</f>
        <v>0</v>
      </c>
      <c r="P2205" s="42"/>
      <c r="Q2205" s="18">
        <f>+Q2203-Q2204</f>
        <v>0</v>
      </c>
      <c r="R2205" s="18">
        <f>+R2203-R2204</f>
        <v>0</v>
      </c>
      <c r="S2205" s="18"/>
      <c r="T2205" s="18">
        <f>+T2203-T2204</f>
        <v>0</v>
      </c>
      <c r="U2205" s="42"/>
      <c r="V2205" s="31">
        <f>+V2203-V2204</f>
        <v>22164</v>
      </c>
      <c r="W2205" s="31">
        <f>+W2203-W2204</f>
        <v>-453.28000000002794</v>
      </c>
      <c r="X2205" s="18">
        <f>+X2203-X2204</f>
        <v>22617.280000000028</v>
      </c>
    </row>
    <row r="2206" spans="1:24" ht="28.5">
      <c r="A2206" s="4">
        <f>+A2205+1</f>
        <v>22</v>
      </c>
      <c r="B2206" s="88" t="s">
        <v>182</v>
      </c>
      <c r="C2206" s="11"/>
      <c r="D2206" s="18">
        <v>0</v>
      </c>
      <c r="E2206" s="18"/>
      <c r="F2206" s="18">
        <v>0</v>
      </c>
      <c r="G2206" s="18">
        <f>+D2206-F2206</f>
        <v>0</v>
      </c>
      <c r="I2206" s="18">
        <v>0</v>
      </c>
      <c r="J2206" s="18">
        <v>0</v>
      </c>
      <c r="K2206" s="18">
        <f>+I2206-J2206</f>
        <v>0</v>
      </c>
      <c r="L2206" s="18">
        <v>0</v>
      </c>
      <c r="M2206" s="18">
        <v>0</v>
      </c>
      <c r="N2206" s="18">
        <f>+L2206-M2206</f>
        <v>0</v>
      </c>
      <c r="O2206" s="18">
        <v>0</v>
      </c>
      <c r="P2206" s="42"/>
      <c r="Q2206" s="18">
        <v>0</v>
      </c>
      <c r="R2206" s="18">
        <v>0</v>
      </c>
      <c r="S2206" s="18"/>
      <c r="T2206" s="18">
        <v>0</v>
      </c>
      <c r="U2206" s="42"/>
      <c r="V2206" s="31">
        <f>+D2206+I2206+L2206+M2206+N2206+O2206+Q2206+R2206+T2206</f>
        <v>0</v>
      </c>
      <c r="W2206" s="18">
        <f>+F2206+J2206</f>
        <v>0</v>
      </c>
      <c r="X2206" s="18">
        <f>+V2206-W2206</f>
        <v>0</v>
      </c>
    </row>
    <row r="2207" spans="1:24" ht="24.75">
      <c r="A2207" s="4">
        <f>+A2206+1</f>
        <v>23</v>
      </c>
      <c r="B2207" s="89" t="s">
        <v>39</v>
      </c>
      <c r="C2207" s="40"/>
      <c r="D2207" s="55">
        <f>163485.65-215.98</f>
        <v>163269.66999999998</v>
      </c>
      <c r="E2207" s="18" t="s">
        <v>0</v>
      </c>
      <c r="F2207" s="27">
        <v>1005508.98</v>
      </c>
      <c r="G2207" s="18">
        <f>D2207-F2207</f>
        <v>-842239.31</v>
      </c>
      <c r="I2207" s="27">
        <v>0</v>
      </c>
      <c r="J2207" s="27">
        <v>0</v>
      </c>
      <c r="K2207" s="18">
        <f>+I2207-J2207</f>
        <v>0</v>
      </c>
      <c r="L2207" s="18">
        <v>2831.79</v>
      </c>
      <c r="M2207" s="27">
        <f>-23360.07-8164.74-128786.92+152855.88+25939.21</f>
        <v>18483.360000000022</v>
      </c>
      <c r="N2207" s="27">
        <f>35536.5+37799.27-37799.27</f>
        <v>35536.49999999999</v>
      </c>
      <c r="O2207" s="27">
        <v>-2154.4</v>
      </c>
      <c r="P2207" s="42"/>
      <c r="Q2207" s="55">
        <v>0</v>
      </c>
      <c r="R2207" s="21">
        <v>4943</v>
      </c>
      <c r="S2207" s="18"/>
      <c r="T2207" s="18">
        <v>0</v>
      </c>
      <c r="U2207" s="42"/>
      <c r="V2207" s="31">
        <f>+D2207+I2207+M2207+N2207+L2207+O2207+Q2207+R2207+T2207</f>
        <v>222909.92</v>
      </c>
      <c r="W2207" s="18">
        <f>+F2207+J2207</f>
        <v>1005508.98</v>
      </c>
      <c r="X2207" s="36">
        <f>+V2207-W2207</f>
        <v>-782599.0599999999</v>
      </c>
    </row>
    <row r="2208" spans="1:24" ht="15">
      <c r="A2208" s="6" t="s">
        <v>41</v>
      </c>
      <c r="B2208" s="41"/>
      <c r="C2208" s="40"/>
      <c r="D2208" s="18"/>
      <c r="E2208" s="18"/>
      <c r="F2208" s="18" t="s">
        <v>0</v>
      </c>
      <c r="G2208" s="18"/>
      <c r="I2208" s="18"/>
      <c r="J2208" s="18"/>
      <c r="K2208" s="18"/>
      <c r="L2208" s="18"/>
      <c r="M2208" s="18"/>
      <c r="N2208" s="18"/>
      <c r="O2208" s="18"/>
      <c r="P2208" s="42"/>
      <c r="Q2208" s="18"/>
      <c r="R2208" s="18"/>
      <c r="S2208" s="18"/>
      <c r="T2208" s="18" t="s">
        <v>0</v>
      </c>
      <c r="U2208" s="42"/>
      <c r="V2208" s="30"/>
      <c r="W2208" s="30"/>
      <c r="X2208" s="36"/>
    </row>
    <row r="2209" spans="1:24" ht="15">
      <c r="A2209" s="4">
        <f>+A2207+1</f>
        <v>24</v>
      </c>
      <c r="B2209" s="5" t="s">
        <v>42</v>
      </c>
      <c r="C2209" s="22" t="s">
        <v>38</v>
      </c>
      <c r="D2209" s="27">
        <f>668147.06+594425.43</f>
        <v>1262572.4900000002</v>
      </c>
      <c r="E2209" s="18" t="s">
        <v>0</v>
      </c>
      <c r="F2209" s="27">
        <v>200862.83</v>
      </c>
      <c r="G2209" s="18">
        <f>D2209-F2209</f>
        <v>1061709.6600000001</v>
      </c>
      <c r="I2209" s="18">
        <v>-241.56</v>
      </c>
      <c r="J2209" s="26">
        <v>-193.88</v>
      </c>
      <c r="K2209" s="18">
        <f>+I2209-J2209</f>
        <v>-47.68000000000001</v>
      </c>
      <c r="L2209" s="27">
        <v>0</v>
      </c>
      <c r="M2209" s="27">
        <v>-88479.36</v>
      </c>
      <c r="N2209" s="27">
        <v>2208.3</v>
      </c>
      <c r="O2209" s="18">
        <v>0</v>
      </c>
      <c r="P2209" s="42"/>
      <c r="Q2209" s="31">
        <v>0</v>
      </c>
      <c r="R2209" s="18"/>
      <c r="S2209" s="18" t="s">
        <v>0</v>
      </c>
      <c r="T2209" s="18">
        <v>0</v>
      </c>
      <c r="U2209" s="42"/>
      <c r="V2209" s="31">
        <f>+D2209+I2209+L2209+M2209+N2209+O2209+Q2209+R2209+T2209</f>
        <v>1176059.87</v>
      </c>
      <c r="W2209" s="18">
        <f>+F2209+J2209</f>
        <v>200668.94999999998</v>
      </c>
      <c r="X2209" s="18">
        <f>+V2209-W2209</f>
        <v>975390.9200000002</v>
      </c>
    </row>
    <row r="2210" spans="1:24" ht="15">
      <c r="A2210" s="4">
        <f>+A2209+1</f>
        <v>25</v>
      </c>
      <c r="B2210" s="5" t="s">
        <v>43</v>
      </c>
      <c r="C2210" s="11"/>
      <c r="D2210" s="18"/>
      <c r="E2210" s="18"/>
      <c r="F2210" s="18">
        <v>0</v>
      </c>
      <c r="G2210" s="18">
        <f>+D2210-F2210</f>
        <v>0</v>
      </c>
      <c r="I2210" s="18">
        <v>0</v>
      </c>
      <c r="J2210" s="18">
        <v>0</v>
      </c>
      <c r="K2210" s="18">
        <f>+I2210-J2210</f>
        <v>0</v>
      </c>
      <c r="L2210" s="18">
        <v>0</v>
      </c>
      <c r="M2210" s="18">
        <v>0</v>
      </c>
      <c r="N2210" s="18">
        <f>+L2210-M2210</f>
        <v>0</v>
      </c>
      <c r="O2210" s="18">
        <v>0</v>
      </c>
      <c r="P2210" s="42"/>
      <c r="Q2210" s="18">
        <v>0</v>
      </c>
      <c r="R2210" s="18">
        <v>0</v>
      </c>
      <c r="S2210" s="18"/>
      <c r="T2210" s="18">
        <v>0</v>
      </c>
      <c r="U2210" s="42"/>
      <c r="V2210" s="31">
        <f>+D2210+I2210+L2210+O2210+Q2210+R2210+T2210</f>
        <v>0</v>
      </c>
      <c r="W2210" s="18">
        <f>+F2210+J2210+M2210</f>
        <v>0</v>
      </c>
      <c r="X2210" s="18">
        <f>+V2210-W2210</f>
        <v>0</v>
      </c>
    </row>
    <row r="2211" spans="1:24" ht="26.25">
      <c r="A2211" s="4">
        <f>+A2210+1</f>
        <v>26</v>
      </c>
      <c r="B2211" s="24" t="s">
        <v>79</v>
      </c>
      <c r="C2211" s="11"/>
      <c r="D2211" s="18">
        <f>+D2209-D2210</f>
        <v>1262572.4900000002</v>
      </c>
      <c r="E2211" s="18"/>
      <c r="F2211" s="18">
        <f>+F2209-F2210</f>
        <v>200862.83</v>
      </c>
      <c r="G2211" s="18">
        <f>+G2209-G2210</f>
        <v>1061709.6600000001</v>
      </c>
      <c r="I2211" s="18">
        <f aca="true" t="shared" si="269" ref="I2211:N2211">+I2209-I2210</f>
        <v>-241.56</v>
      </c>
      <c r="J2211" s="18">
        <f t="shared" si="269"/>
        <v>-193.88</v>
      </c>
      <c r="K2211" s="18">
        <f t="shared" si="269"/>
        <v>-47.68000000000001</v>
      </c>
      <c r="L2211" s="18">
        <f t="shared" si="269"/>
        <v>0</v>
      </c>
      <c r="M2211" s="18">
        <f t="shared" si="269"/>
        <v>-88479.36</v>
      </c>
      <c r="N2211" s="18">
        <f t="shared" si="269"/>
        <v>2208.3</v>
      </c>
      <c r="O2211" s="18">
        <v>0</v>
      </c>
      <c r="P2211" s="42"/>
      <c r="Q2211" s="18">
        <f>+Q2209-Q2210</f>
        <v>0</v>
      </c>
      <c r="R2211" s="18">
        <f>+R2209-R2210</f>
        <v>0</v>
      </c>
      <c r="S2211" s="18"/>
      <c r="T2211" s="18">
        <f>+T2209-T2210</f>
        <v>0</v>
      </c>
      <c r="U2211" s="42"/>
      <c r="V2211" s="27">
        <f>+V2209-V2210</f>
        <v>1176059.87</v>
      </c>
      <c r="W2211" s="27">
        <f>+W2209-W2210</f>
        <v>200668.94999999998</v>
      </c>
      <c r="X2211" s="31">
        <f>+X2209-X2210</f>
        <v>975390.9200000002</v>
      </c>
    </row>
    <row r="2212" spans="1:24" ht="28.5">
      <c r="A2212" s="4">
        <f>+A2211+1</f>
        <v>27</v>
      </c>
      <c r="B2212" s="88" t="s">
        <v>181</v>
      </c>
      <c r="C2212" s="11"/>
      <c r="D2212" s="18">
        <v>0</v>
      </c>
      <c r="E2212" s="18"/>
      <c r="F2212" s="18">
        <v>0</v>
      </c>
      <c r="G2212" s="18">
        <f>+D2212-F2212</f>
        <v>0</v>
      </c>
      <c r="I2212" s="18">
        <v>0</v>
      </c>
      <c r="J2212" s="18">
        <v>0</v>
      </c>
      <c r="K2212" s="18">
        <f>+I2212-J2212</f>
        <v>0</v>
      </c>
      <c r="L2212" s="18">
        <v>0</v>
      </c>
      <c r="M2212" s="18">
        <v>0</v>
      </c>
      <c r="N2212" s="18">
        <f>+L2212-M2212</f>
        <v>0</v>
      </c>
      <c r="O2212" s="18">
        <v>0</v>
      </c>
      <c r="P2212" s="42"/>
      <c r="Q2212" s="18">
        <v>0</v>
      </c>
      <c r="R2212" s="18">
        <v>0</v>
      </c>
      <c r="S2212" s="18"/>
      <c r="T2212" s="18">
        <v>0</v>
      </c>
      <c r="U2212" s="42"/>
      <c r="V2212" s="31">
        <f>+D2212+I2212+L2212+O2212+Q2212+R2212+T2212</f>
        <v>0</v>
      </c>
      <c r="W2212" s="18">
        <f>+F2212+J2212+M2212</f>
        <v>0</v>
      </c>
      <c r="X2212" s="18">
        <f>+V2212-W2212</f>
        <v>0</v>
      </c>
    </row>
    <row r="2213" spans="1:24" ht="15">
      <c r="A2213" s="4">
        <f>+A2212+1</f>
        <v>28</v>
      </c>
      <c r="B2213" s="24" t="s">
        <v>46</v>
      </c>
      <c r="C2213" s="11" t="s">
        <v>47</v>
      </c>
      <c r="D2213" s="51">
        <f>+D2205+D2206+D2211+D2212+D2207</f>
        <v>1448594.2200000002</v>
      </c>
      <c r="E2213" s="18"/>
      <c r="F2213" s="52">
        <f>+F2205+F2206+F2211+F2212+F2207</f>
        <v>1206371.81</v>
      </c>
      <c r="G2213" s="18">
        <f>+G2205+G2206+G2211+G2212+G2207</f>
        <v>242222.41000000015</v>
      </c>
      <c r="I2213" s="51">
        <f aca="true" t="shared" si="270" ref="I2213:O2213">+I2205+I2206+I2211+I2212+I2207</f>
        <v>-938.72</v>
      </c>
      <c r="J2213" s="52">
        <f t="shared" si="270"/>
        <v>-647.16</v>
      </c>
      <c r="K2213" s="18">
        <f t="shared" si="270"/>
        <v>-291.56000000000006</v>
      </c>
      <c r="L2213" s="18">
        <f t="shared" si="270"/>
        <v>2831.79</v>
      </c>
      <c r="M2213" s="18">
        <f t="shared" si="270"/>
        <v>-69886.9</v>
      </c>
      <c r="N2213" s="18">
        <f t="shared" si="270"/>
        <v>37744.799999999996</v>
      </c>
      <c r="O2213" s="18">
        <f t="shared" si="270"/>
        <v>-2154.4</v>
      </c>
      <c r="P2213" s="42"/>
      <c r="Q2213" s="18">
        <f>+Q2205+Q2206+Q2211+Q2212+Q2207</f>
        <v>0</v>
      </c>
      <c r="R2213" s="18">
        <f>+R2205+R2206+R2211+R2212+R2207</f>
        <v>4943</v>
      </c>
      <c r="S2213" s="18"/>
      <c r="T2213" s="18">
        <f>+T2205+T2206+T2211+T2212+T2207</f>
        <v>0</v>
      </c>
      <c r="U2213" s="42"/>
      <c r="V2213" s="18">
        <f>+V2205+V2206+V2211+V2212+V2207</f>
        <v>1421133.79</v>
      </c>
      <c r="W2213" s="18">
        <f>+W2205+W2206+W2211+W2212+W2207</f>
        <v>1205724.65</v>
      </c>
      <c r="X2213" s="18">
        <f>+X2205+X2206+X2211+X2212+X2207</f>
        <v>215409.14000000025</v>
      </c>
    </row>
    <row r="2214" spans="1:24" ht="15">
      <c r="A2214" s="4"/>
      <c r="B2214" s="24" t="s">
        <v>0</v>
      </c>
      <c r="C2214" s="11"/>
      <c r="D2214" s="27">
        <f>D2213+I2213</f>
        <v>1447655.5000000002</v>
      </c>
      <c r="E2214" s="79" t="s">
        <v>0</v>
      </c>
      <c r="F2214" s="27">
        <f>F2213+J2213</f>
        <v>1205724.6500000001</v>
      </c>
      <c r="G2214" s="79" t="s">
        <v>0</v>
      </c>
      <c r="I2214" s="18"/>
      <c r="J2214" s="18"/>
      <c r="K2214" s="18"/>
      <c r="L2214" s="18"/>
      <c r="M2214" s="42"/>
      <c r="N2214" s="73" t="s">
        <v>0</v>
      </c>
      <c r="O2214" s="42"/>
      <c r="P2214" s="42"/>
      <c r="Q2214" s="42"/>
      <c r="U2214" s="42"/>
      <c r="V2214" s="18"/>
      <c r="W2214" s="18"/>
      <c r="X2214" s="18"/>
    </row>
    <row r="2215" spans="1:24" ht="15">
      <c r="A2215" s="4"/>
      <c r="B2215" s="92"/>
      <c r="C2215" s="79" t="s">
        <v>0</v>
      </c>
      <c r="D2215" s="6" t="s">
        <v>48</v>
      </c>
      <c r="E2215" s="6"/>
      <c r="F2215" s="10" t="s">
        <v>49</v>
      </c>
      <c r="G2215" s="10" t="s">
        <v>50</v>
      </c>
      <c r="I2215" s="10" t="s">
        <v>51</v>
      </c>
      <c r="J2215" s="10" t="s">
        <v>52</v>
      </c>
      <c r="K2215" s="10" t="s">
        <v>53</v>
      </c>
      <c r="L2215" s="10" t="s">
        <v>54</v>
      </c>
      <c r="M2215" s="10" t="s">
        <v>55</v>
      </c>
      <c r="N2215" s="10" t="s">
        <v>56</v>
      </c>
      <c r="O2215" s="10" t="s">
        <v>57</v>
      </c>
      <c r="P2215" s="18"/>
      <c r="Q2215" s="10" t="s">
        <v>58</v>
      </c>
      <c r="R2215" s="10" t="s">
        <v>59</v>
      </c>
      <c r="S2215" s="10"/>
      <c r="T2215" s="10" t="s">
        <v>60</v>
      </c>
      <c r="U2215" s="18"/>
      <c r="V2215" s="10" t="s">
        <v>61</v>
      </c>
      <c r="W2215" s="10" t="s">
        <v>62</v>
      </c>
      <c r="X2215" s="10" t="s">
        <v>63</v>
      </c>
    </row>
    <row r="2216" spans="1:24" ht="15">
      <c r="A2216" s="4"/>
      <c r="B2216" s="24"/>
      <c r="C2216" s="11"/>
      <c r="D2216" s="14" t="s">
        <v>20</v>
      </c>
      <c r="E2216" s="18"/>
      <c r="F2216" s="14" t="s">
        <v>20</v>
      </c>
      <c r="G2216" s="14" t="s">
        <v>20</v>
      </c>
      <c r="I2216" s="14" t="s">
        <v>20</v>
      </c>
      <c r="J2216" s="14" t="s">
        <v>21</v>
      </c>
      <c r="K2216" s="14" t="s">
        <v>21</v>
      </c>
      <c r="L2216" s="14" t="s">
        <v>21</v>
      </c>
      <c r="M2216" s="14" t="s">
        <v>21</v>
      </c>
      <c r="N2216" s="14" t="s">
        <v>21</v>
      </c>
      <c r="O2216" s="14" t="s">
        <v>21</v>
      </c>
      <c r="P2216" s="14"/>
      <c r="Q2216" s="14" t="s">
        <v>21</v>
      </c>
      <c r="R2216" s="14" t="s">
        <v>21</v>
      </c>
      <c r="T2216" s="14" t="s">
        <v>21</v>
      </c>
      <c r="U2216" s="42"/>
      <c r="V2216" s="18"/>
      <c r="W2216" s="39" t="s">
        <v>123</v>
      </c>
      <c r="X2216" s="18"/>
    </row>
    <row r="2217" spans="1:24" ht="15">
      <c r="A2217" s="4"/>
      <c r="B2217" s="87" t="s">
        <v>183</v>
      </c>
      <c r="C2217" s="11"/>
      <c r="D2217" s="53" t="s">
        <v>124</v>
      </c>
      <c r="E2217" s="18"/>
      <c r="F2217" s="53" t="s">
        <v>125</v>
      </c>
      <c r="G2217" s="53" t="s">
        <v>126</v>
      </c>
      <c r="I2217" s="53" t="s">
        <v>127</v>
      </c>
      <c r="J2217" s="53" t="s">
        <v>128</v>
      </c>
      <c r="K2217" s="53" t="s">
        <v>129</v>
      </c>
      <c r="L2217" s="53" t="s">
        <v>130</v>
      </c>
      <c r="M2217" s="53" t="s">
        <v>131</v>
      </c>
      <c r="N2217" s="24" t="s">
        <v>132</v>
      </c>
      <c r="O2217" s="24" t="s">
        <v>98</v>
      </c>
      <c r="P2217" s="24"/>
      <c r="Q2217" s="24" t="s">
        <v>99</v>
      </c>
      <c r="R2217" s="24" t="s">
        <v>133</v>
      </c>
      <c r="S2217" s="42"/>
      <c r="T2217" s="24" t="s">
        <v>134</v>
      </c>
      <c r="U2217" s="42"/>
      <c r="V2217" s="10" t="s">
        <v>20</v>
      </c>
      <c r="W2217" s="10" t="s">
        <v>21</v>
      </c>
      <c r="X2217" s="10" t="s">
        <v>22</v>
      </c>
    </row>
    <row r="2218" spans="1:24" ht="15">
      <c r="A2218" s="4"/>
      <c r="B2218" s="24"/>
      <c r="C2218" s="11"/>
      <c r="D2218" s="18"/>
      <c r="E2218" s="18"/>
      <c r="F2218" s="18"/>
      <c r="I2218" s="18"/>
      <c r="J2218" s="18"/>
      <c r="O2218" s="42"/>
      <c r="P2218" s="42"/>
      <c r="Q2218" s="42"/>
      <c r="R2218" s="42"/>
      <c r="S2218" s="42"/>
      <c r="T2218" s="42"/>
      <c r="U2218" s="42"/>
      <c r="V2218" s="18"/>
      <c r="W2218" s="39"/>
      <c r="X2218" s="18"/>
    </row>
    <row r="2219" spans="1:24" ht="15">
      <c r="A2219" s="4">
        <f>+A2213+1</f>
        <v>29</v>
      </c>
      <c r="B2219" s="5" t="s">
        <v>36</v>
      </c>
      <c r="C2219" s="17" t="s">
        <v>37</v>
      </c>
      <c r="D2219" s="18">
        <v>0</v>
      </c>
      <c r="E2219" s="18"/>
      <c r="F2219" s="18">
        <v>0</v>
      </c>
      <c r="G2219" s="18">
        <v>0</v>
      </c>
      <c r="I2219" s="18">
        <v>0</v>
      </c>
      <c r="J2219" s="18">
        <v>-265.05</v>
      </c>
      <c r="K2219" s="18">
        <v>0</v>
      </c>
      <c r="L2219" s="18">
        <v>0</v>
      </c>
      <c r="M2219" s="18">
        <v>0</v>
      </c>
      <c r="N2219" s="18">
        <v>0</v>
      </c>
      <c r="O2219" s="18">
        <v>0</v>
      </c>
      <c r="P2219" s="18"/>
      <c r="Q2219" s="18">
        <v>0</v>
      </c>
      <c r="R2219" s="18">
        <v>0</v>
      </c>
      <c r="S2219" s="42"/>
      <c r="T2219" s="18">
        <v>0</v>
      </c>
      <c r="U2219" s="42"/>
      <c r="V2219" s="18">
        <f>+V2203+D2219+F2219+G2219+I2219</f>
        <v>1713735.63</v>
      </c>
      <c r="W2219" s="18">
        <f>+W2203+J2219+K2219+L2219+M2219+N2219+O2219+Q2219+R2219+T2219</f>
        <v>139230.16999999998</v>
      </c>
      <c r="X2219" s="18">
        <f>+V2219-W2219</f>
        <v>1574505.46</v>
      </c>
    </row>
    <row r="2220" spans="1:24" ht="15">
      <c r="A2220" s="4">
        <f>+A2219+1</f>
        <v>30</v>
      </c>
      <c r="B2220" s="5" t="s">
        <v>36</v>
      </c>
      <c r="C2220" s="22" t="s">
        <v>38</v>
      </c>
      <c r="D2220" s="18">
        <v>0</v>
      </c>
      <c r="E2220" s="18"/>
      <c r="F2220" s="18">
        <v>0</v>
      </c>
      <c r="G2220" s="18">
        <v>0</v>
      </c>
      <c r="I2220" s="18">
        <v>0</v>
      </c>
      <c r="J2220" s="18">
        <v>0</v>
      </c>
      <c r="K2220" s="18">
        <v>0</v>
      </c>
      <c r="L2220" s="18">
        <v>0</v>
      </c>
      <c r="M2220" s="18">
        <v>0</v>
      </c>
      <c r="N2220" s="18">
        <v>0</v>
      </c>
      <c r="O2220" s="18">
        <v>0</v>
      </c>
      <c r="P2220" s="18"/>
      <c r="Q2220" s="18">
        <v>0</v>
      </c>
      <c r="R2220" s="18">
        <v>0</v>
      </c>
      <c r="S2220" s="42"/>
      <c r="T2220" s="18">
        <v>0</v>
      </c>
      <c r="U2220" s="42"/>
      <c r="V2220" s="18">
        <f>+V2204+D2220+F2220+G2220+I2220</f>
        <v>1691571.63</v>
      </c>
      <c r="W2220" s="18">
        <f>+W2204+J2220+K2220+L2220+M2220+N2220+O2220+Q2220+R2220+T2220</f>
        <v>139948.5</v>
      </c>
      <c r="X2220" s="18">
        <f>+V2220-W2220</f>
        <v>1551623.13</v>
      </c>
    </row>
    <row r="2221" spans="1:24" ht="15">
      <c r="A2221" s="4">
        <f>+A2220+1</f>
        <v>31</v>
      </c>
      <c r="B2221" s="24" t="s">
        <v>46</v>
      </c>
      <c r="C2221" s="40" t="s">
        <v>78</v>
      </c>
      <c r="D2221" s="18">
        <f>+D2219-D2220</f>
        <v>0</v>
      </c>
      <c r="E2221" s="18"/>
      <c r="F2221" s="18">
        <f>+F2219-F2220</f>
        <v>0</v>
      </c>
      <c r="G2221" s="18">
        <f>+G2219-G2220</f>
        <v>0</v>
      </c>
      <c r="I2221" s="18">
        <f aca="true" t="shared" si="271" ref="I2221:O2221">+I2219-I2220</f>
        <v>0</v>
      </c>
      <c r="J2221" s="18">
        <f t="shared" si="271"/>
        <v>-265.05</v>
      </c>
      <c r="K2221" s="18">
        <f t="shared" si="271"/>
        <v>0</v>
      </c>
      <c r="L2221" s="18">
        <f t="shared" si="271"/>
        <v>0</v>
      </c>
      <c r="M2221" s="18">
        <f t="shared" si="271"/>
        <v>0</v>
      </c>
      <c r="N2221" s="18">
        <f t="shared" si="271"/>
        <v>0</v>
      </c>
      <c r="O2221" s="18">
        <f t="shared" si="271"/>
        <v>0</v>
      </c>
      <c r="P2221" s="18"/>
      <c r="Q2221" s="18">
        <f>+Q2219-Q2220</f>
        <v>0</v>
      </c>
      <c r="R2221" s="18">
        <f>+R2219-R2220</f>
        <v>0</v>
      </c>
      <c r="S2221" s="42"/>
      <c r="T2221" s="18">
        <f>+T2219-T2220</f>
        <v>0</v>
      </c>
      <c r="U2221" s="42"/>
      <c r="V2221" s="27">
        <f>+V2219-V2220</f>
        <v>22164</v>
      </c>
      <c r="W2221" s="27">
        <f>+W2219-W2220</f>
        <v>-718.3300000000163</v>
      </c>
      <c r="X2221" s="18">
        <f>+X2219-X2220</f>
        <v>22882.330000000075</v>
      </c>
    </row>
    <row r="2222" spans="1:24" ht="28.5">
      <c r="A2222" s="4">
        <f>+A2221+1</f>
        <v>32</v>
      </c>
      <c r="B2222" s="88" t="s">
        <v>182</v>
      </c>
      <c r="C2222" s="11"/>
      <c r="D2222" s="18">
        <v>0</v>
      </c>
      <c r="E2222" s="18"/>
      <c r="F2222" s="18">
        <v>0</v>
      </c>
      <c r="G2222" s="18">
        <v>0</v>
      </c>
      <c r="I2222" s="18">
        <v>0</v>
      </c>
      <c r="J2222" s="18">
        <v>0</v>
      </c>
      <c r="K2222" s="18">
        <v>0</v>
      </c>
      <c r="L2222" s="18">
        <v>0</v>
      </c>
      <c r="M2222" s="18">
        <v>0</v>
      </c>
      <c r="N2222" s="18">
        <v>0</v>
      </c>
      <c r="O2222" s="18">
        <v>0</v>
      </c>
      <c r="P2222" s="18"/>
      <c r="Q2222" s="18">
        <v>0</v>
      </c>
      <c r="R2222" s="18">
        <v>0</v>
      </c>
      <c r="S2222" s="42"/>
      <c r="T2222" s="18">
        <v>0</v>
      </c>
      <c r="U2222" s="42"/>
      <c r="V2222" s="18">
        <f>+V2206+D2222+F2222+G2222+I2222</f>
        <v>0</v>
      </c>
      <c r="W2222" s="18">
        <f>+W2206+J2222+K2222+L2222+M2222+N2222+O2222+Q2222+R2222+T2222</f>
        <v>0</v>
      </c>
      <c r="X2222" s="18">
        <f>+V2222-W2222</f>
        <v>0</v>
      </c>
    </row>
    <row r="2223" spans="1:24" ht="24.75">
      <c r="A2223" s="4">
        <f>+A2222+1</f>
        <v>33</v>
      </c>
      <c r="B2223" s="89" t="s">
        <v>39</v>
      </c>
      <c r="C2223" s="40"/>
      <c r="D2223" s="27">
        <v>-2760.52</v>
      </c>
      <c r="E2223" s="27" t="s">
        <v>0</v>
      </c>
      <c r="F2223" s="27">
        <v>0</v>
      </c>
      <c r="G2223" s="27">
        <v>0</v>
      </c>
      <c r="H2223" t="s">
        <v>0</v>
      </c>
      <c r="I2223" s="27">
        <v>0</v>
      </c>
      <c r="J2223" s="27">
        <v>0.01</v>
      </c>
      <c r="K2223" s="27">
        <v>0</v>
      </c>
      <c r="L2223" s="27">
        <v>0</v>
      </c>
      <c r="M2223" s="18">
        <v>0</v>
      </c>
      <c r="N2223" s="18">
        <v>0</v>
      </c>
      <c r="O2223" s="18">
        <v>0</v>
      </c>
      <c r="P2223" s="18"/>
      <c r="Q2223" s="18">
        <v>0</v>
      </c>
      <c r="R2223" s="18">
        <v>0</v>
      </c>
      <c r="S2223" s="42"/>
      <c r="T2223" s="18">
        <v>0</v>
      </c>
      <c r="U2223" s="42"/>
      <c r="V2223" s="18">
        <f>+V2207+D2223+F2223+G2223+I2223</f>
        <v>220149.40000000002</v>
      </c>
      <c r="W2223" s="18">
        <f>+W2207+J2223+K2223+L2223+M2223+N2223+O2223+Q2223+R2223+T2223</f>
        <v>1005508.99</v>
      </c>
      <c r="X2223" s="36">
        <f>+V2223-W2223</f>
        <v>-785359.59</v>
      </c>
    </row>
    <row r="2224" spans="1:24" ht="15">
      <c r="A2224" s="6" t="s">
        <v>41</v>
      </c>
      <c r="B2224" s="41"/>
      <c r="C2224" s="40"/>
      <c r="D2224" s="18"/>
      <c r="E2224" s="18"/>
      <c r="F2224" s="18"/>
      <c r="G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42"/>
      <c r="T2224" s="18"/>
      <c r="U2224" s="42"/>
      <c r="V2224" s="18"/>
      <c r="W2224" s="54"/>
      <c r="X2224" s="36"/>
    </row>
    <row r="2225" spans="1:24" ht="15">
      <c r="A2225" s="4">
        <f>+A2223+1</f>
        <v>34</v>
      </c>
      <c r="B2225" s="5" t="s">
        <v>42</v>
      </c>
      <c r="C2225" s="22" t="s">
        <v>38</v>
      </c>
      <c r="D2225" s="18">
        <v>0</v>
      </c>
      <c r="E2225" s="18"/>
      <c r="F2225" s="18">
        <v>0</v>
      </c>
      <c r="G2225" s="18">
        <v>0</v>
      </c>
      <c r="I2225" s="18">
        <v>0</v>
      </c>
      <c r="J2225" s="18">
        <v>0</v>
      </c>
      <c r="K2225" s="18">
        <v>0</v>
      </c>
      <c r="L2225" s="18"/>
      <c r="M2225" s="18">
        <v>0</v>
      </c>
      <c r="N2225" s="18">
        <v>0</v>
      </c>
      <c r="O2225" s="18">
        <v>0</v>
      </c>
      <c r="P2225" s="18"/>
      <c r="Q2225" s="18">
        <v>0</v>
      </c>
      <c r="R2225" s="18">
        <v>0</v>
      </c>
      <c r="S2225" s="42"/>
      <c r="T2225" s="18">
        <v>0</v>
      </c>
      <c r="U2225" s="42"/>
      <c r="V2225" s="18">
        <f>+V2209+D2225+F2225+G2225+I2225</f>
        <v>1176059.87</v>
      </c>
      <c r="W2225" s="18">
        <f>+W2209+J2225+K2225+L2225+M2225+N2225+O2225+Q2225+R2225+T2225</f>
        <v>200668.94999999998</v>
      </c>
      <c r="X2225" s="18">
        <f>+V2225-W2225</f>
        <v>975390.9200000002</v>
      </c>
    </row>
    <row r="2226" spans="1:24" ht="15">
      <c r="A2226" s="4">
        <f>+A2225+1</f>
        <v>35</v>
      </c>
      <c r="B2226" s="5" t="s">
        <v>43</v>
      </c>
      <c r="C2226" s="11"/>
      <c r="D2226" s="18">
        <v>0</v>
      </c>
      <c r="E2226" s="18"/>
      <c r="F2226" s="18">
        <v>0</v>
      </c>
      <c r="G2226" s="18">
        <v>0</v>
      </c>
      <c r="I2226" s="18">
        <v>0</v>
      </c>
      <c r="J2226" s="18">
        <v>0</v>
      </c>
      <c r="K2226" s="18">
        <v>0</v>
      </c>
      <c r="L2226" s="18">
        <v>0</v>
      </c>
      <c r="M2226" s="18">
        <v>0</v>
      </c>
      <c r="N2226" s="18">
        <v>0</v>
      </c>
      <c r="O2226" s="18">
        <v>0</v>
      </c>
      <c r="P2226" s="18"/>
      <c r="Q2226" s="18">
        <v>0</v>
      </c>
      <c r="R2226" s="18">
        <v>0</v>
      </c>
      <c r="S2226" s="42"/>
      <c r="T2226" s="18">
        <v>0</v>
      </c>
      <c r="U2226" s="42"/>
      <c r="V2226" s="18">
        <f>+V2210+D2226+F2226+G2226+I2226</f>
        <v>0</v>
      </c>
      <c r="W2226" s="18">
        <f>+W2210+J2226+K2226+L2226+M2226+N2226+O2226+Q2226+R2226+T2226</f>
        <v>0</v>
      </c>
      <c r="X2226" s="18">
        <f>+V2226-W2226</f>
        <v>0</v>
      </c>
    </row>
    <row r="2227" spans="1:24" ht="26.25">
      <c r="A2227" s="4">
        <f>+A2226+1</f>
        <v>36</v>
      </c>
      <c r="B2227" s="24" t="s">
        <v>79</v>
      </c>
      <c r="C2227" s="11"/>
      <c r="D2227" s="18">
        <f>+D2225-D2226</f>
        <v>0</v>
      </c>
      <c r="E2227" s="18"/>
      <c r="F2227" s="18">
        <f>+F2225-F2226</f>
        <v>0</v>
      </c>
      <c r="G2227" s="18">
        <f>+G2225-G2226</f>
        <v>0</v>
      </c>
      <c r="I2227" s="18">
        <f aca="true" t="shared" si="272" ref="I2227:O2227">+I2225-I2226</f>
        <v>0</v>
      </c>
      <c r="J2227" s="18">
        <f t="shared" si="272"/>
        <v>0</v>
      </c>
      <c r="K2227" s="18">
        <f t="shared" si="272"/>
        <v>0</v>
      </c>
      <c r="L2227" s="18">
        <f t="shared" si="272"/>
        <v>0</v>
      </c>
      <c r="M2227" s="18">
        <f t="shared" si="272"/>
        <v>0</v>
      </c>
      <c r="N2227" s="18">
        <f t="shared" si="272"/>
        <v>0</v>
      </c>
      <c r="O2227" s="18">
        <f t="shared" si="272"/>
        <v>0</v>
      </c>
      <c r="P2227" s="18"/>
      <c r="Q2227" s="18">
        <f>+Q2225-Q2226</f>
        <v>0</v>
      </c>
      <c r="R2227" s="18">
        <f>+R2225-R2226</f>
        <v>0</v>
      </c>
      <c r="S2227" s="42"/>
      <c r="T2227" s="18">
        <f>+T2225-T2226</f>
        <v>0</v>
      </c>
      <c r="U2227" s="42"/>
      <c r="V2227" s="55">
        <f>+V2225-V2226</f>
        <v>1176059.87</v>
      </c>
      <c r="W2227" s="55">
        <f>+W2225-W2226</f>
        <v>200668.94999999998</v>
      </c>
      <c r="X2227" s="31">
        <f>+X2225-X2226</f>
        <v>975390.9200000002</v>
      </c>
    </row>
    <row r="2228" spans="1:24" ht="28.5">
      <c r="A2228" s="4">
        <f>+A2227+1</f>
        <v>37</v>
      </c>
      <c r="B2228" s="88" t="s">
        <v>181</v>
      </c>
      <c r="C2228" s="11"/>
      <c r="D2228" s="18">
        <v>0</v>
      </c>
      <c r="E2228" s="18"/>
      <c r="F2228" s="18">
        <v>0</v>
      </c>
      <c r="G2228" s="18">
        <v>0</v>
      </c>
      <c r="I2228" s="18">
        <v>0</v>
      </c>
      <c r="J2228" s="18">
        <v>0</v>
      </c>
      <c r="K2228" s="18">
        <v>0</v>
      </c>
      <c r="L2228" s="18">
        <v>0</v>
      </c>
      <c r="M2228" s="18">
        <v>0</v>
      </c>
      <c r="N2228" s="18">
        <v>0</v>
      </c>
      <c r="O2228" s="18">
        <v>0</v>
      </c>
      <c r="P2228" s="18"/>
      <c r="Q2228" s="18">
        <v>0</v>
      </c>
      <c r="R2228" s="18">
        <v>0</v>
      </c>
      <c r="S2228" s="42"/>
      <c r="T2228" s="18">
        <v>0</v>
      </c>
      <c r="U2228" s="42"/>
      <c r="V2228" s="18">
        <f>+V2212+D2228+F2228+G2228+I2228</f>
        <v>0</v>
      </c>
      <c r="W2228" s="18">
        <f>+W2212+J2228+K2228+L2228+M2228+N2228+O2228+Q2228+R2228+T2228</f>
        <v>0</v>
      </c>
      <c r="X2228" s="18">
        <f>+V2228-W2228</f>
        <v>0</v>
      </c>
    </row>
    <row r="2229" spans="1:24" ht="15">
      <c r="A2229" s="4">
        <f>+A2228+1</f>
        <v>38</v>
      </c>
      <c r="B2229" s="24" t="s">
        <v>46</v>
      </c>
      <c r="C2229" s="11" t="s">
        <v>47</v>
      </c>
      <c r="D2229" s="18">
        <f>+D2221+D2222+D2227+D2228+D2223</f>
        <v>-2760.52</v>
      </c>
      <c r="E2229" s="18"/>
      <c r="F2229" s="18">
        <f>+F2221+F2222+F2227+F2228+F2223</f>
        <v>0</v>
      </c>
      <c r="G2229" s="18">
        <f>+G2221+G2222+G2227+G2228+G2223</f>
        <v>0</v>
      </c>
      <c r="I2229" s="18">
        <f aca="true" t="shared" si="273" ref="I2229:O2229">+I2221+I2222+I2227+I2228+I2223</f>
        <v>0</v>
      </c>
      <c r="J2229" s="18">
        <f t="shared" si="273"/>
        <v>-265.04</v>
      </c>
      <c r="K2229" s="18">
        <f t="shared" si="273"/>
        <v>0</v>
      </c>
      <c r="L2229" s="18">
        <f t="shared" si="273"/>
        <v>0</v>
      </c>
      <c r="M2229" s="18">
        <f t="shared" si="273"/>
        <v>0</v>
      </c>
      <c r="N2229" s="18">
        <f t="shared" si="273"/>
        <v>0</v>
      </c>
      <c r="O2229" s="18">
        <f t="shared" si="273"/>
        <v>0</v>
      </c>
      <c r="P2229" s="18"/>
      <c r="Q2229" s="18">
        <f>+Q2221+Q2222+Q2227+Q2228+Q2223</f>
        <v>0</v>
      </c>
      <c r="R2229" s="18">
        <f>+R2221+R2222+R2227+R2228+R2223</f>
        <v>0</v>
      </c>
      <c r="S2229" s="42"/>
      <c r="T2229" s="18">
        <v>0</v>
      </c>
      <c r="U2229" s="42"/>
      <c r="V2229" s="18">
        <f>+V2221+V2222+V2227+V2228+V2223</f>
        <v>1418373.27</v>
      </c>
      <c r="W2229" s="18">
        <f>+W2221+W2222+W2227+W2228+W2223</f>
        <v>1205459.6099999999</v>
      </c>
      <c r="X2229" s="18">
        <f>+X2221+X2222+X2227+X2228+X2223</f>
        <v>212913.66000000027</v>
      </c>
    </row>
    <row r="2230" spans="1:24" ht="15">
      <c r="A2230" s="4"/>
      <c r="B2230" s="24"/>
      <c r="C2230" s="11"/>
      <c r="D2230" s="18"/>
      <c r="E2230" s="18"/>
      <c r="F2230" s="18"/>
      <c r="G2230" s="18"/>
      <c r="N2230" s="42"/>
      <c r="O2230" s="42"/>
      <c r="P2230" s="42"/>
      <c r="Q2230" s="42"/>
      <c r="R2230" s="42"/>
      <c r="S2230" s="42"/>
      <c r="T2230" s="42"/>
      <c r="U2230" s="42"/>
      <c r="V2230" s="18"/>
      <c r="W2230" s="18"/>
      <c r="X2230" s="18"/>
    </row>
    <row r="2231" spans="1:24" ht="15">
      <c r="A2231" s="4"/>
      <c r="B2231" s="24"/>
      <c r="C2231" s="11"/>
      <c r="D2231" s="18"/>
      <c r="E2231" s="18"/>
      <c r="F2231" s="18"/>
      <c r="G2231" s="18"/>
      <c r="L2231" s="42"/>
      <c r="M2231" s="42"/>
      <c r="N2231" s="42"/>
      <c r="O2231" s="42"/>
      <c r="P2231" s="42"/>
      <c r="Q2231" s="42"/>
      <c r="R2231" s="42"/>
      <c r="S2231" s="42"/>
      <c r="T2231" s="42"/>
      <c r="U2231" s="42"/>
      <c r="V2231" s="18"/>
      <c r="W2231" s="18"/>
      <c r="X2231" s="18"/>
    </row>
    <row r="2232" spans="1:24" ht="15">
      <c r="A2232" s="4"/>
      <c r="B2232" s="24"/>
      <c r="C2232" s="11"/>
      <c r="D2232" s="18"/>
      <c r="E2232" s="18"/>
      <c r="F2232" s="18"/>
      <c r="G2232" s="18"/>
      <c r="L2232" s="42"/>
      <c r="M2232" s="42"/>
      <c r="N2232" s="42"/>
      <c r="O2232" s="42"/>
      <c r="P2232" s="42"/>
      <c r="Q2232" s="42"/>
      <c r="R2232" s="42"/>
      <c r="S2232" s="42"/>
      <c r="T2232" s="42"/>
      <c r="U2232" s="42"/>
      <c r="V2232" s="18"/>
      <c r="W2232" s="18"/>
      <c r="X2232" s="18"/>
    </row>
    <row r="2233" spans="1:24" ht="15">
      <c r="A2233" s="4"/>
      <c r="B2233" s="24"/>
      <c r="C2233" s="11"/>
      <c r="D2233" s="18"/>
      <c r="E2233" s="18"/>
      <c r="F2233" s="18"/>
      <c r="G2233" s="18"/>
      <c r="H2233" s="56"/>
      <c r="L2233" s="42"/>
      <c r="M2233" s="42"/>
      <c r="N2233" s="42"/>
      <c r="O2233" s="42"/>
      <c r="P2233" s="42"/>
      <c r="Q2233" s="42"/>
      <c r="R2233" s="42"/>
      <c r="S2233" s="42"/>
      <c r="T2233" s="42"/>
      <c r="U2233" s="42"/>
      <c r="V2233" s="18"/>
      <c r="W2233" s="18"/>
      <c r="X2233" s="18"/>
    </row>
    <row r="2234" spans="1:24" ht="15">
      <c r="A2234" s="4"/>
      <c r="B2234" s="24"/>
      <c r="C2234" s="11"/>
      <c r="D2234" s="18"/>
      <c r="E2234" s="18"/>
      <c r="F2234" s="18"/>
      <c r="G2234" s="18"/>
      <c r="H2234" s="56"/>
      <c r="I2234" s="57" t="s">
        <v>135</v>
      </c>
      <c r="L2234" s="42"/>
      <c r="M2234" s="42"/>
      <c r="N2234" s="42"/>
      <c r="O2234" s="42"/>
      <c r="P2234" s="42"/>
      <c r="Q2234" s="42"/>
      <c r="R2234" s="42"/>
      <c r="S2234" s="42"/>
      <c r="T2234" s="42"/>
      <c r="U2234" s="42"/>
      <c r="V2234" s="18"/>
      <c r="W2234" s="18"/>
      <c r="X2234" s="18"/>
    </row>
    <row r="2235" spans="1:24" ht="15">
      <c r="A2235" s="4"/>
      <c r="B2235" s="24"/>
      <c r="C2235" s="11"/>
      <c r="D2235" s="18"/>
      <c r="E2235" s="18"/>
      <c r="F2235" s="18"/>
      <c r="G2235" s="18"/>
      <c r="H2235" s="56"/>
      <c r="I2235" s="58"/>
      <c r="L2235" s="42"/>
      <c r="T2235" s="42"/>
      <c r="U2235" s="42"/>
      <c r="V2235" s="18"/>
      <c r="W2235" s="18"/>
      <c r="X2235" s="18"/>
    </row>
    <row r="2236" spans="1:24" ht="15">
      <c r="A2236" s="4"/>
      <c r="B2236" s="24"/>
      <c r="C2236" s="11"/>
      <c r="D2236" s="18"/>
      <c r="E2236" s="18"/>
      <c r="F2236" s="18"/>
      <c r="G2236" s="18"/>
      <c r="H2236" s="56"/>
      <c r="I2236" s="59" t="s">
        <v>136</v>
      </c>
      <c r="L2236" s="75">
        <v>24912291.54</v>
      </c>
      <c r="T2236" s="42"/>
      <c r="U2236" s="42"/>
      <c r="V2236" s="18"/>
      <c r="W2236" s="18"/>
      <c r="X2236" s="18"/>
    </row>
    <row r="2237" spans="1:24" ht="15">
      <c r="A2237" s="4"/>
      <c r="B2237" s="24"/>
      <c r="C2237" s="11"/>
      <c r="D2237" s="18"/>
      <c r="E2237" s="18"/>
      <c r="F2237" s="18"/>
      <c r="G2237" s="18"/>
      <c r="H2237" s="56"/>
      <c r="I2237" s="59"/>
      <c r="L2237" s="18"/>
      <c r="T2237" s="42"/>
      <c r="U2237" s="42"/>
      <c r="V2237" s="18"/>
      <c r="W2237" s="18"/>
      <c r="X2237" s="18"/>
    </row>
    <row r="2238" spans="1:24" ht="15">
      <c r="A2238" s="4"/>
      <c r="B2238" s="24"/>
      <c r="C2238" s="11"/>
      <c r="D2238" s="44" t="s">
        <v>137</v>
      </c>
      <c r="E2238" s="18"/>
      <c r="F2238" s="10" t="s">
        <v>138</v>
      </c>
      <c r="G2238" s="44" t="s">
        <v>24</v>
      </c>
      <c r="H2238" s="56"/>
      <c r="I2238" s="59" t="s">
        <v>139</v>
      </c>
      <c r="L2238" s="27">
        <v>-87862.74</v>
      </c>
      <c r="N2238" s="6" t="s">
        <v>137</v>
      </c>
      <c r="O2238" s="6" t="s">
        <v>137</v>
      </c>
      <c r="P2238" s="42"/>
      <c r="Q2238" s="6" t="s">
        <v>138</v>
      </c>
      <c r="R2238" s="6" t="s">
        <v>138</v>
      </c>
      <c r="S2238" s="6"/>
      <c r="T2238" s="42"/>
      <c r="U2238" s="42"/>
      <c r="V2238" s="18"/>
      <c r="W2238" s="18"/>
      <c r="X2238" s="18"/>
    </row>
    <row r="2239" spans="1:24" ht="15">
      <c r="A2239" s="4"/>
      <c r="B2239" s="24"/>
      <c r="C2239" s="11"/>
      <c r="D2239" s="18"/>
      <c r="E2239" s="18"/>
      <c r="F2239" s="18"/>
      <c r="G2239" s="18"/>
      <c r="H2239" s="56"/>
      <c r="I2239" s="59"/>
      <c r="L2239" s="18"/>
      <c r="N2239" s="8" t="s">
        <v>140</v>
      </c>
      <c r="O2239" s="49" t="s">
        <v>141</v>
      </c>
      <c r="P2239" s="42"/>
      <c r="Q2239" s="8" t="s">
        <v>140</v>
      </c>
      <c r="R2239" s="49" t="s">
        <v>141</v>
      </c>
      <c r="S2239" s="49"/>
      <c r="T2239" s="42"/>
      <c r="U2239" s="42"/>
      <c r="V2239" s="18"/>
      <c r="W2239" s="18"/>
      <c r="X2239" s="18"/>
    </row>
    <row r="2240" spans="1:24" ht="15">
      <c r="A2240" s="4">
        <f>+A2228+1</f>
        <v>38</v>
      </c>
      <c r="B2240" s="5" t="s">
        <v>36</v>
      </c>
      <c r="C2240" s="17" t="s">
        <v>37</v>
      </c>
      <c r="D2240" s="31">
        <f>+V2185+V2219</f>
        <v>22736044.09</v>
      </c>
      <c r="E2240" s="18"/>
      <c r="F2240" s="31">
        <f>+W2185+W2219</f>
        <v>13294818.3</v>
      </c>
      <c r="G2240" s="18">
        <f>+D2240-F2240</f>
        <v>9441225.79</v>
      </c>
      <c r="H2240" s="56"/>
      <c r="I2240" s="59" t="s">
        <v>142</v>
      </c>
      <c r="J2240" s="18"/>
      <c r="K2240" s="18"/>
      <c r="L2240" s="36">
        <v>16371827</v>
      </c>
      <c r="N2240" s="60"/>
      <c r="O2240" s="6"/>
      <c r="P2240" s="42"/>
      <c r="Q2240" s="61"/>
      <c r="R2240" s="61"/>
      <c r="S2240" s="61"/>
      <c r="T2240" s="42"/>
      <c r="U2240" s="42"/>
      <c r="V2240" s="18"/>
      <c r="W2240" s="18"/>
      <c r="X2240" s="18"/>
    </row>
    <row r="2241" spans="1:21" ht="15">
      <c r="A2241" s="4">
        <f>+A2240+1</f>
        <v>39</v>
      </c>
      <c r="B2241" s="5" t="s">
        <v>36</v>
      </c>
      <c r="C2241" s="22" t="s">
        <v>38</v>
      </c>
      <c r="D2241" s="31">
        <f>+V2186+V2220</f>
        <v>23399080.27</v>
      </c>
      <c r="E2241" s="18"/>
      <c r="F2241" s="31">
        <f>+W2186+W2220</f>
        <v>12987856.989999998</v>
      </c>
      <c r="G2241" s="18">
        <f>+D2241-F2241</f>
        <v>10411223.280000001</v>
      </c>
      <c r="H2241" s="56"/>
      <c r="I2241" s="58"/>
      <c r="J2241" s="18"/>
      <c r="K2241" s="18"/>
      <c r="L2241" s="60"/>
      <c r="N2241" s="62">
        <f>+D2242</f>
        <v>-663036.1799999997</v>
      </c>
      <c r="O2241" s="63">
        <f>+D2248</f>
        <v>25859310.39</v>
      </c>
      <c r="P2241" s="42"/>
      <c r="Q2241" s="31">
        <f>+F2152</f>
        <v>307679.64000000246</v>
      </c>
      <c r="R2241" s="31">
        <f>+F2154</f>
        <v>0</v>
      </c>
      <c r="S2241" s="31"/>
      <c r="T2241" s="42"/>
      <c r="U2241" s="42"/>
    </row>
    <row r="2242" spans="1:24" ht="15">
      <c r="A2242" s="4">
        <f>+A2241+1</f>
        <v>40</v>
      </c>
      <c r="B2242" s="24" t="s">
        <v>46</v>
      </c>
      <c r="C2242" s="40" t="s">
        <v>78</v>
      </c>
      <c r="D2242" s="26">
        <f>+D2240-D2241</f>
        <v>-663036.1799999997</v>
      </c>
      <c r="E2242" s="18"/>
      <c r="F2242" s="26">
        <f>+F2240-F2241</f>
        <v>306961.3100000024</v>
      </c>
      <c r="G2242" s="18">
        <f>+G2240-G2241</f>
        <v>-969997.4900000021</v>
      </c>
      <c r="H2242" s="56"/>
      <c r="I2242" s="58" t="s">
        <v>143</v>
      </c>
      <c r="J2242" s="18"/>
      <c r="K2242" s="18"/>
      <c r="L2242">
        <v>0</v>
      </c>
      <c r="N2242" s="62">
        <f>+D2243</f>
        <v>0</v>
      </c>
      <c r="O2242" s="63">
        <f>+D2249</f>
        <v>0</v>
      </c>
      <c r="P2242" s="42"/>
      <c r="Q2242" s="31">
        <f>+F2153</f>
        <v>0</v>
      </c>
      <c r="R2242" s="31">
        <f>+F2158</f>
        <v>16064147.809999999</v>
      </c>
      <c r="S2242" s="31"/>
      <c r="U2242" s="18"/>
      <c r="V2242" s="10" t="s">
        <v>20</v>
      </c>
      <c r="W2242" s="10" t="s">
        <v>21</v>
      </c>
      <c r="X2242" s="10" t="s">
        <v>22</v>
      </c>
    </row>
    <row r="2243" spans="1:21" ht="28.5">
      <c r="A2243" s="4">
        <f>+A2242+1</f>
        <v>41</v>
      </c>
      <c r="B2243" s="88" t="s">
        <v>182</v>
      </c>
      <c r="C2243" s="11"/>
      <c r="D2243" s="26">
        <f>+V2188+V2222</f>
        <v>0</v>
      </c>
      <c r="E2243" s="26"/>
      <c r="F2243" s="26">
        <f>+W2188+W2222</f>
        <v>0</v>
      </c>
      <c r="G2243" s="18">
        <f>+D2243-F2243</f>
        <v>0</v>
      </c>
      <c r="H2243" s="56"/>
      <c r="I2243" s="58"/>
      <c r="J2243" s="18"/>
      <c r="K2243" s="18"/>
      <c r="L2243" s="60" t="s">
        <v>144</v>
      </c>
      <c r="N2243" s="62">
        <f>+F2242</f>
        <v>306961.3100000024</v>
      </c>
      <c r="O2243" s="63">
        <f>+F2248</f>
        <v>16264816.759999998</v>
      </c>
      <c r="P2243" s="42"/>
      <c r="R2243" s="31">
        <f>+F2159</f>
        <v>0</v>
      </c>
      <c r="S2243" s="31"/>
      <c r="U2243" s="18"/>
    </row>
    <row r="2244" spans="1:24" ht="24.75">
      <c r="A2244" s="4">
        <f>+A2243+1</f>
        <v>42</v>
      </c>
      <c r="B2244" s="89" t="s">
        <v>39</v>
      </c>
      <c r="C2244" s="40"/>
      <c r="D2244" s="30">
        <f>+V2189+V2223</f>
        <v>1009339.1699999999</v>
      </c>
      <c r="E2244" s="30"/>
      <c r="F2244" s="30">
        <f>+W2189+W2223</f>
        <v>1005508.99</v>
      </c>
      <c r="G2244" s="18">
        <f>+D2244-F2244</f>
        <v>3830.179999999935</v>
      </c>
      <c r="H2244" s="56"/>
      <c r="I2244" s="64" t="s">
        <v>145</v>
      </c>
      <c r="J2244" s="18"/>
      <c r="K2244" s="18"/>
      <c r="L2244" s="83">
        <f>+L2236-L2238-L2240-L2242</f>
        <v>8628327.279999997</v>
      </c>
      <c r="N2244" s="62">
        <f>+F2243</f>
        <v>0</v>
      </c>
      <c r="O2244" s="63">
        <f>+F2249</f>
        <v>0</v>
      </c>
      <c r="P2244" s="42"/>
      <c r="Q2244" s="31"/>
      <c r="R2244" s="31"/>
      <c r="S2244" s="31"/>
      <c r="U2244" s="65"/>
      <c r="V2244" s="66"/>
      <c r="W2244" s="66"/>
      <c r="X2244" s="65"/>
    </row>
    <row r="2245" spans="1:24" ht="15">
      <c r="A2245" s="6" t="s">
        <v>41</v>
      </c>
      <c r="B2245" s="41"/>
      <c r="C2245" s="40"/>
      <c r="D2245" s="18"/>
      <c r="E2245" s="18"/>
      <c r="F2245" s="18"/>
      <c r="G2245" s="18"/>
      <c r="H2245" s="56"/>
      <c r="I2245" s="58"/>
      <c r="J2245" s="18"/>
      <c r="K2245" s="18"/>
      <c r="N2245" s="62">
        <f>+F2152</f>
        <v>307679.64000000246</v>
      </c>
      <c r="O2245" s="63">
        <f>+F2158</f>
        <v>16064147.809999999</v>
      </c>
      <c r="P2245" s="42"/>
      <c r="Q2245" s="31"/>
      <c r="U2245" s="65"/>
      <c r="V2245" s="67"/>
      <c r="W2245" s="67"/>
      <c r="X2245" s="68"/>
    </row>
    <row r="2246" spans="1:25" ht="15">
      <c r="A2246" s="4">
        <f>+A2244+1</f>
        <v>43</v>
      </c>
      <c r="B2246" s="5" t="s">
        <v>42</v>
      </c>
      <c r="C2246" s="22" t="s">
        <v>38</v>
      </c>
      <c r="D2246" s="31">
        <f>+V2191+V2225</f>
        <v>25859310.39</v>
      </c>
      <c r="E2246" s="18"/>
      <c r="F2246" s="31">
        <f>+W2191+W2225</f>
        <v>16264816.759999998</v>
      </c>
      <c r="G2246" s="18">
        <f>+D2246-F2246</f>
        <v>9594493.630000003</v>
      </c>
      <c r="H2246" s="56"/>
      <c r="I2246" s="59" t="s">
        <v>22</v>
      </c>
      <c r="J2246" s="18"/>
      <c r="K2246" s="18"/>
      <c r="L2246" s="30">
        <f>+X2251</f>
        <v>8628326.32</v>
      </c>
      <c r="N2246" s="62"/>
      <c r="O2246" s="63">
        <f>+D2244</f>
        <v>1009339.1699999999</v>
      </c>
      <c r="P2246" s="42"/>
      <c r="Q2246" s="31"/>
      <c r="R2246" s="31"/>
      <c r="S2246" s="31"/>
      <c r="T2246" s="69" t="s">
        <v>78</v>
      </c>
      <c r="U2246" s="65"/>
      <c r="V2246" s="26">
        <f>+D2242+D2243-F2242-F2243+F2152</f>
        <v>-662317.8499999996</v>
      </c>
      <c r="W2246" s="26">
        <f>+F2152+F2153</f>
        <v>307679.64000000246</v>
      </c>
      <c r="X2246" s="26">
        <f>+V2246-W2246</f>
        <v>-969997.4900000021</v>
      </c>
      <c r="Y2246" s="18"/>
    </row>
    <row r="2247" spans="1:25" ht="15">
      <c r="A2247" s="4">
        <f>+A2246+1</f>
        <v>44</v>
      </c>
      <c r="B2247" s="5" t="s">
        <v>43</v>
      </c>
      <c r="C2247" s="11"/>
      <c r="D2247" s="31">
        <f>+V2192+V2226</f>
        <v>0</v>
      </c>
      <c r="E2247" s="18"/>
      <c r="F2247" s="31">
        <f>+W2192+W2226</f>
        <v>0</v>
      </c>
      <c r="G2247" s="18">
        <f>+D2247-F2247</f>
        <v>0</v>
      </c>
      <c r="H2247" s="56"/>
      <c r="I2247" s="59"/>
      <c r="J2247" s="18"/>
      <c r="K2247" s="18"/>
      <c r="L2247" s="60" t="s">
        <v>144</v>
      </c>
      <c r="O2247" s="63">
        <f>+F2244</f>
        <v>1005508.99</v>
      </c>
      <c r="P2247" s="42"/>
      <c r="Q2247" s="31"/>
      <c r="R2247" s="31"/>
      <c r="S2247" s="31"/>
      <c r="T2247" s="11" t="s">
        <v>146</v>
      </c>
      <c r="U2247" s="65"/>
      <c r="V2247" s="30">
        <f>+D2248+D2249-F2248-F2249+F2158+D2244-F2244+F2154</f>
        <v>25662471.62</v>
      </c>
      <c r="W2247" s="30">
        <f>+F2154+F2158+F2159</f>
        <v>16064147.809999999</v>
      </c>
      <c r="X2247" s="30">
        <f>+V2247-W2247</f>
        <v>9598323.810000002</v>
      </c>
      <c r="Y2247" s="18"/>
    </row>
    <row r="2248" spans="1:25" ht="26.25">
      <c r="A2248" s="4">
        <f>+A2247+1</f>
        <v>45</v>
      </c>
      <c r="B2248" s="24" t="s">
        <v>79</v>
      </c>
      <c r="C2248" s="11"/>
      <c r="D2248" s="30">
        <f>+D2246-D2247</f>
        <v>25859310.39</v>
      </c>
      <c r="E2248" s="18"/>
      <c r="F2248" s="30">
        <f>+F2246-F2247</f>
        <v>16264816.759999998</v>
      </c>
      <c r="G2248" s="18">
        <f>+G2246-G2247</f>
        <v>9594493.630000003</v>
      </c>
      <c r="H2248" s="56"/>
      <c r="I2248" s="58"/>
      <c r="J2248" s="18"/>
      <c r="K2248" s="18"/>
      <c r="N2248" s="62"/>
      <c r="O2248" s="63">
        <f>+F2154</f>
        <v>0</v>
      </c>
      <c r="P2248" s="42"/>
      <c r="Q2248" s="31"/>
      <c r="R2248" s="31"/>
      <c r="S2248" s="31"/>
      <c r="T2248" s="11"/>
      <c r="U2248" s="65"/>
      <c r="V2248" s="30"/>
      <c r="W2248" s="30"/>
      <c r="X2248" s="30"/>
      <c r="Y2248" s="65"/>
    </row>
    <row r="2249" spans="1:25" ht="28.5">
      <c r="A2249" s="4">
        <f>+A2248+1</f>
        <v>46</v>
      </c>
      <c r="B2249" s="88" t="s">
        <v>181</v>
      </c>
      <c r="C2249" s="11"/>
      <c r="D2249" s="30">
        <f>+V2194+V2228</f>
        <v>0</v>
      </c>
      <c r="E2249" s="30"/>
      <c r="F2249" s="30">
        <f>+W2194+W2228</f>
        <v>0</v>
      </c>
      <c r="G2249" s="18">
        <f>+D2249-F2249</f>
        <v>0</v>
      </c>
      <c r="H2249" s="56"/>
      <c r="N2249" s="62"/>
      <c r="O2249" s="62"/>
      <c r="P2249" s="42"/>
      <c r="Q2249" s="31"/>
      <c r="R2249" s="31"/>
      <c r="S2249" s="31"/>
      <c r="T2249" s="11"/>
      <c r="U2249" s="65"/>
      <c r="V2249" s="30"/>
      <c r="W2249" s="30"/>
      <c r="X2249" s="30"/>
      <c r="Y2249" s="65"/>
    </row>
    <row r="2250" spans="1:25" ht="15">
      <c r="A2250" s="4">
        <f>+A2249+1</f>
        <v>47</v>
      </c>
      <c r="B2250" s="24" t="s">
        <v>46</v>
      </c>
      <c r="C2250" s="11" t="s">
        <v>47</v>
      </c>
      <c r="D2250" s="18">
        <f>+D2242+D2243+D2248+D2249+D2244</f>
        <v>26205613.380000003</v>
      </c>
      <c r="E2250" s="18"/>
      <c r="F2250" s="18">
        <f>+F2242+F2243+F2248+F2249+F2244</f>
        <v>17577287.06</v>
      </c>
      <c r="G2250" s="18">
        <f>+G2242+G2243+G2248+G2249+G2244</f>
        <v>8628326.32</v>
      </c>
      <c r="H2250" s="56"/>
      <c r="I2250" s="59" t="s">
        <v>147</v>
      </c>
      <c r="J2250" s="18"/>
      <c r="K2250" s="18"/>
      <c r="L2250" s="36">
        <f>+L2244-L2246</f>
        <v>0.9599999971687794</v>
      </c>
      <c r="N2250" s="70">
        <f>+N2241+N2242-N2243-N2244+N2245</f>
        <v>-662317.8499999996</v>
      </c>
      <c r="O2250" s="71">
        <f>+O2241+O2242-O2243-O2244+O2245+O2246-O2247+O2248</f>
        <v>25662471.62</v>
      </c>
      <c r="P2250" s="42"/>
      <c r="Q2250" s="26">
        <f>SUM(Q2241:Q2242)</f>
        <v>307679.64000000246</v>
      </c>
      <c r="R2250" s="30">
        <f>SUM(R2241:R2244)</f>
        <v>16064147.809999999</v>
      </c>
      <c r="S2250" s="30"/>
      <c r="T2250" s="11"/>
      <c r="U2250" s="65"/>
      <c r="V2250" s="30"/>
      <c r="W2250" s="30"/>
      <c r="X2250" s="30"/>
      <c r="Y2250" s="65"/>
    </row>
    <row r="2251" spans="1:25" ht="15">
      <c r="A2251" s="4"/>
      <c r="B2251" s="24"/>
      <c r="C2251" s="11"/>
      <c r="D2251" s="18"/>
      <c r="E2251" s="18"/>
      <c r="F2251" s="18"/>
      <c r="G2251" s="18"/>
      <c r="H2251" s="56"/>
      <c r="L2251" s="60" t="s">
        <v>148</v>
      </c>
      <c r="M2251" s="42"/>
      <c r="N2251" s="42"/>
      <c r="O2251" s="42"/>
      <c r="P2251" s="42"/>
      <c r="Q2251" s="42"/>
      <c r="R2251" s="42"/>
      <c r="S2251" s="42"/>
      <c r="T2251" s="10" t="s">
        <v>22</v>
      </c>
      <c r="U2251" s="65"/>
      <c r="V2251" s="36"/>
      <c r="W2251" s="36"/>
      <c r="X2251" s="36">
        <f>+X2246+X2247</f>
        <v>8628326.32</v>
      </c>
      <c r="Y2251" s="65"/>
    </row>
    <row r="2252" spans="1:25" ht="15">
      <c r="A2252" s="1"/>
      <c r="B2252" s="2"/>
      <c r="C2252" s="2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65"/>
    </row>
    <row r="2253" spans="1:6" ht="15">
      <c r="A2253" s="4"/>
      <c r="B2253"/>
      <c r="F2253"/>
    </row>
    <row r="2254" spans="1:6" ht="15">
      <c r="A2254" s="4" t="s">
        <v>0</v>
      </c>
      <c r="B2254" s="5"/>
      <c r="C2254" s="6" t="s">
        <v>1</v>
      </c>
      <c r="F2254"/>
    </row>
    <row r="2255" spans="1:6" ht="15">
      <c r="A2255" s="4"/>
      <c r="B2255" s="5"/>
      <c r="C2255" s="6" t="s">
        <v>2</v>
      </c>
      <c r="F2255"/>
    </row>
    <row r="2256" spans="1:6" ht="15">
      <c r="A2256" s="4"/>
      <c r="B2256" s="5"/>
      <c r="C2256" s="80" t="s">
        <v>169</v>
      </c>
      <c r="F2256"/>
    </row>
    <row r="2257" spans="1:6" ht="15">
      <c r="A2257" s="4"/>
      <c r="B2257" s="5"/>
      <c r="C2257" s="8"/>
      <c r="F2257"/>
    </row>
    <row r="2258" spans="1:25" ht="15">
      <c r="A2258" s="4"/>
      <c r="B2258" s="5"/>
      <c r="C2258" s="9"/>
      <c r="D2258" s="10" t="s">
        <v>4</v>
      </c>
      <c r="E2258" s="10"/>
      <c r="F2258" s="10" t="s">
        <v>5</v>
      </c>
      <c r="G2258" s="10" t="s">
        <v>6</v>
      </c>
      <c r="H2258" s="10"/>
      <c r="I2258" s="10" t="s">
        <v>7</v>
      </c>
      <c r="J2258" s="10" t="s">
        <v>8</v>
      </c>
      <c r="K2258" s="10" t="s">
        <v>9</v>
      </c>
      <c r="L2258" s="10" t="s">
        <v>10</v>
      </c>
      <c r="M2258" s="10" t="s">
        <v>11</v>
      </c>
      <c r="N2258" s="10" t="s">
        <v>12</v>
      </c>
      <c r="O2258" s="10" t="s">
        <v>13</v>
      </c>
      <c r="P2258" s="10"/>
      <c r="Q2258" s="10" t="s">
        <v>14</v>
      </c>
      <c r="R2258" s="10" t="s">
        <v>15</v>
      </c>
      <c r="S2258" s="10"/>
      <c r="T2258" s="10" t="s">
        <v>16</v>
      </c>
      <c r="U2258" s="10"/>
      <c r="V2258" s="10" t="s">
        <v>17</v>
      </c>
      <c r="W2258" s="10" t="s">
        <v>18</v>
      </c>
      <c r="X2258" s="10" t="s">
        <v>19</v>
      </c>
      <c r="Y2258" s="10"/>
    </row>
    <row r="2259" spans="1:24" ht="15">
      <c r="A2259" s="4"/>
      <c r="B2259" s="87" t="s">
        <v>174</v>
      </c>
      <c r="C2259" s="5"/>
      <c r="D2259" s="10" t="s">
        <v>20</v>
      </c>
      <c r="E2259" s="10"/>
      <c r="F2259" s="10" t="s">
        <v>21</v>
      </c>
      <c r="G2259" s="10" t="s">
        <v>22</v>
      </c>
      <c r="I2259" s="10" t="s">
        <v>20</v>
      </c>
      <c r="J2259" s="10" t="s">
        <v>20</v>
      </c>
      <c r="K2259" s="10" t="s">
        <v>20</v>
      </c>
      <c r="L2259" s="10" t="s">
        <v>20</v>
      </c>
      <c r="M2259" s="10" t="s">
        <v>20</v>
      </c>
      <c r="N2259" s="10" t="s">
        <v>20</v>
      </c>
      <c r="O2259" s="10" t="s">
        <v>20</v>
      </c>
      <c r="Q2259" s="10" t="s">
        <v>20</v>
      </c>
      <c r="R2259" s="10" t="s">
        <v>20</v>
      </c>
      <c r="S2259" s="10"/>
      <c r="T2259" s="10" t="s">
        <v>20</v>
      </c>
      <c r="V2259" s="10" t="s">
        <v>20</v>
      </c>
      <c r="W2259" s="10" t="s">
        <v>20</v>
      </c>
      <c r="X2259" s="10" t="s">
        <v>20</v>
      </c>
    </row>
    <row r="2260" spans="1:24" ht="42.75">
      <c r="A2260" s="4"/>
      <c r="B2260" s="5"/>
      <c r="C2260" s="11"/>
      <c r="D2260" s="12" t="s">
        <v>23</v>
      </c>
      <c r="E2260" s="13"/>
      <c r="F2260" s="12" t="s">
        <v>175</v>
      </c>
      <c r="G2260" s="13" t="s">
        <v>24</v>
      </c>
      <c r="I2260" s="13" t="s">
        <v>25</v>
      </c>
      <c r="J2260" s="8" t="s">
        <v>26</v>
      </c>
      <c r="K2260" s="13" t="s">
        <v>27</v>
      </c>
      <c r="L2260" s="13" t="s">
        <v>28</v>
      </c>
      <c r="M2260" s="13" t="s">
        <v>29</v>
      </c>
      <c r="N2260" s="13" t="s">
        <v>30</v>
      </c>
      <c r="O2260" s="13" t="s">
        <v>31</v>
      </c>
      <c r="Q2260" s="14">
        <v>4470115</v>
      </c>
      <c r="R2260" s="13" t="s">
        <v>32</v>
      </c>
      <c r="S2260" s="13"/>
      <c r="T2260" s="14">
        <v>4470119</v>
      </c>
      <c r="V2260" s="8" t="s">
        <v>33</v>
      </c>
      <c r="W2260" s="8" t="s">
        <v>34</v>
      </c>
      <c r="X2260" s="81" t="s">
        <v>35</v>
      </c>
    </row>
    <row r="2261" spans="1:23" ht="15">
      <c r="A2261" s="4"/>
      <c r="B2261" s="5"/>
      <c r="C2261" s="11"/>
      <c r="D2261" s="13"/>
      <c r="E2261" s="13"/>
      <c r="F2261" s="13"/>
      <c r="G2261" s="15"/>
      <c r="I2261" s="13"/>
      <c r="J2261" s="13"/>
      <c r="K2261" s="13"/>
      <c r="L2261" s="13"/>
      <c r="M2261" s="13"/>
      <c r="N2261" s="13"/>
      <c r="O2261" s="13"/>
      <c r="Q2261" s="14"/>
      <c r="R2261" s="13"/>
      <c r="S2261" s="14"/>
      <c r="T2261" s="16"/>
      <c r="V2261" s="14"/>
      <c r="W2261" s="13"/>
    </row>
    <row r="2262" spans="1:25" ht="15">
      <c r="A2262" s="4">
        <v>1</v>
      </c>
      <c r="B2262" s="5" t="s">
        <v>36</v>
      </c>
      <c r="C2262" s="17" t="s">
        <v>37</v>
      </c>
      <c r="D2262" s="78">
        <f>16365646.56+9469480.12</f>
        <v>25835126.68</v>
      </c>
      <c r="E2262" s="77"/>
      <c r="F2262" s="93">
        <v>16365646.56</v>
      </c>
      <c r="G2262" s="21">
        <f>+D2262-F2262</f>
        <v>9469480.12</v>
      </c>
      <c r="H2262" s="18"/>
      <c r="I2262" s="18">
        <v>0</v>
      </c>
      <c r="J2262" s="18">
        <v>0</v>
      </c>
      <c r="K2262" s="18">
        <v>0</v>
      </c>
      <c r="L2262" s="18">
        <v>-102277.52</v>
      </c>
      <c r="M2262" s="18">
        <v>0</v>
      </c>
      <c r="N2262" s="18">
        <v>0</v>
      </c>
      <c r="O2262" s="18">
        <v>-1849.15</v>
      </c>
      <c r="P2262" s="18"/>
      <c r="Q2262" s="18">
        <v>-32.61</v>
      </c>
      <c r="R2262" s="18">
        <v>0</v>
      </c>
      <c r="S2262" s="18"/>
      <c r="T2262" s="18">
        <v>0</v>
      </c>
      <c r="U2262" s="18"/>
      <c r="V2262" s="18">
        <v>0</v>
      </c>
      <c r="W2262" s="18">
        <v>0</v>
      </c>
      <c r="X2262" s="18">
        <v>-627912.67</v>
      </c>
      <c r="Y2262" s="18"/>
    </row>
    <row r="2263" spans="1:25" ht="15">
      <c r="A2263" s="4">
        <f>+A2262+1</f>
        <v>2</v>
      </c>
      <c r="B2263" s="5" t="s">
        <v>36</v>
      </c>
      <c r="C2263" s="22" t="s">
        <v>38</v>
      </c>
      <c r="D2263" s="78">
        <f>9742764.03+16064147.81</f>
        <v>25806911.84</v>
      </c>
      <c r="E2263" s="19"/>
      <c r="F2263" s="23">
        <v>16064147.81</v>
      </c>
      <c r="G2263" s="21">
        <f>+D2263-F2263</f>
        <v>9742764.03</v>
      </c>
      <c r="H2263" s="18"/>
      <c r="I2263" s="18">
        <v>0</v>
      </c>
      <c r="J2263" s="18">
        <v>0</v>
      </c>
      <c r="K2263" s="18">
        <v>0</v>
      </c>
      <c r="L2263" s="18">
        <v>-55747.08</v>
      </c>
      <c r="M2263" s="18">
        <v>0</v>
      </c>
      <c r="N2263" s="18">
        <v>0</v>
      </c>
      <c r="O2263" s="18">
        <v>0</v>
      </c>
      <c r="P2263" s="18"/>
      <c r="Q2263" s="18">
        <v>0</v>
      </c>
      <c r="R2263" s="18">
        <v>0</v>
      </c>
      <c r="S2263" s="18"/>
      <c r="T2263" s="18">
        <v>0</v>
      </c>
      <c r="U2263" s="18"/>
      <c r="V2263" s="18">
        <v>0</v>
      </c>
      <c r="W2263" s="18">
        <v>0</v>
      </c>
      <c r="X2263" s="18">
        <v>-419348.93</v>
      </c>
      <c r="Y2263" s="18"/>
    </row>
    <row r="2264" spans="1:25" ht="22.5">
      <c r="A2264" s="4">
        <f>+A2263+1</f>
        <v>3</v>
      </c>
      <c r="B2264" s="24" t="s">
        <v>176</v>
      </c>
      <c r="C2264" s="25" t="s">
        <v>177</v>
      </c>
      <c r="D2264" s="18">
        <v>0</v>
      </c>
      <c r="E2264" s="19"/>
      <c r="F2264" s="26">
        <f>+F2262-F2263</f>
        <v>301498.75</v>
      </c>
      <c r="G2264" s="18">
        <v>0</v>
      </c>
      <c r="H2264" s="18"/>
      <c r="I2264" s="18">
        <f>+I2262-I2263</f>
        <v>0</v>
      </c>
      <c r="J2264" s="18">
        <f>+J2262-J2263</f>
        <v>0</v>
      </c>
      <c r="K2264" s="18">
        <f>+K2262-K2263</f>
        <v>0</v>
      </c>
      <c r="L2264" s="18">
        <f>+L2262-L2263</f>
        <v>-46530.44</v>
      </c>
      <c r="M2264" s="18">
        <f>+M2262-M2263</f>
        <v>0</v>
      </c>
      <c r="N2264" s="18">
        <f>+N2262-N2263</f>
        <v>0</v>
      </c>
      <c r="O2264" s="18">
        <f>+O2262-O2263</f>
        <v>-1849.15</v>
      </c>
      <c r="P2264" s="18"/>
      <c r="Q2264" s="18">
        <f>+Q2262-Q2263</f>
        <v>-32.61</v>
      </c>
      <c r="R2264" s="18">
        <f>+R2262-R2263</f>
        <v>0</v>
      </c>
      <c r="S2264" s="18"/>
      <c r="T2264" s="18">
        <f>+T2262-T2263</f>
        <v>0</v>
      </c>
      <c r="U2264" s="18"/>
      <c r="V2264" s="18">
        <f>+V2262-V2263</f>
        <v>0</v>
      </c>
      <c r="W2264" s="18">
        <f>+W2262-W2263</f>
        <v>0</v>
      </c>
      <c r="X2264" s="18">
        <f>+X2262-X2263</f>
        <v>-208563.74000000005</v>
      </c>
      <c r="Y2264" s="18"/>
    </row>
    <row r="2265" spans="1:25" ht="28.5">
      <c r="A2265" s="4">
        <f>+A2264+1</f>
        <v>4</v>
      </c>
      <c r="B2265" s="88" t="s">
        <v>178</v>
      </c>
      <c r="C2265" s="25" t="s">
        <v>179</v>
      </c>
      <c r="D2265" s="18">
        <v>0</v>
      </c>
      <c r="E2265" s="19"/>
      <c r="F2265" s="26">
        <v>0</v>
      </c>
      <c r="G2265" s="18">
        <f>+D2265-F2265</f>
        <v>0</v>
      </c>
      <c r="H2265" s="18"/>
      <c r="I2265" s="27">
        <v>0</v>
      </c>
      <c r="J2265" s="18">
        <v>0</v>
      </c>
      <c r="K2265" s="18">
        <v>0</v>
      </c>
      <c r="L2265" s="18">
        <v>0</v>
      </c>
      <c r="M2265" s="18">
        <v>0</v>
      </c>
      <c r="N2265" s="18">
        <v>0</v>
      </c>
      <c r="O2265" s="18">
        <v>0</v>
      </c>
      <c r="P2265" s="18"/>
      <c r="Q2265" s="18">
        <v>0</v>
      </c>
      <c r="R2265" s="18">
        <v>0</v>
      </c>
      <c r="S2265" s="18"/>
      <c r="T2265" s="18">
        <v>0</v>
      </c>
      <c r="U2265" s="18"/>
      <c r="V2265" s="18">
        <v>0</v>
      </c>
      <c r="W2265" s="18">
        <v>0</v>
      </c>
      <c r="X2265" s="18">
        <v>0</v>
      </c>
      <c r="Y2265" s="18"/>
    </row>
    <row r="2266" spans="1:25" ht="24.75">
      <c r="A2266" s="4">
        <f>+A2265+1</f>
        <v>5</v>
      </c>
      <c r="B2266" s="89" t="s">
        <v>39</v>
      </c>
      <c r="C2266" s="28" t="s">
        <v>40</v>
      </c>
      <c r="D2266" s="27">
        <f>-29052.05</f>
        <v>-29052.05</v>
      </c>
      <c r="E2266" s="29"/>
      <c r="F2266" s="30">
        <v>0</v>
      </c>
      <c r="G2266" s="31">
        <f>+D2266-F2266</f>
        <v>-29052.05</v>
      </c>
      <c r="H2266" s="18"/>
      <c r="I2266" s="27">
        <v>0</v>
      </c>
      <c r="J2266" s="27">
        <v>0</v>
      </c>
      <c r="K2266" s="27">
        <v>0</v>
      </c>
      <c r="L2266" s="27">
        <f>-9659.48-3185.56</f>
        <v>-12845.039999999999</v>
      </c>
      <c r="M2266" s="27">
        <v>50555.79</v>
      </c>
      <c r="N2266" s="27">
        <v>0</v>
      </c>
      <c r="O2266" s="27">
        <f>-0.14-0.01</f>
        <v>-0.15000000000000002</v>
      </c>
      <c r="P2266" s="18"/>
      <c r="Q2266" s="27">
        <v>6678.42</v>
      </c>
      <c r="R2266" s="27">
        <v>0</v>
      </c>
      <c r="S2266" s="27"/>
      <c r="T2266" s="27">
        <v>0</v>
      </c>
      <c r="U2266" s="27"/>
      <c r="V2266" s="27">
        <v>0.28</v>
      </c>
      <c r="W2266" s="27">
        <v>0</v>
      </c>
      <c r="X2266" s="27">
        <f>-3630118.84-873.28-2912.93</f>
        <v>-3633905.05</v>
      </c>
      <c r="Y2266" s="18"/>
    </row>
    <row r="2267" spans="1:25" ht="15">
      <c r="A2267" s="6" t="s">
        <v>41</v>
      </c>
      <c r="B2267" s="90"/>
      <c r="C2267" s="11"/>
      <c r="D2267" s="18"/>
      <c r="E2267" s="19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 t="s">
        <v>0</v>
      </c>
      <c r="P2267" s="18"/>
      <c r="Q2267" s="18"/>
      <c r="R2267" s="18"/>
      <c r="S2267" s="18"/>
      <c r="T2267" s="18"/>
      <c r="U2267" s="18"/>
      <c r="V2267" s="18"/>
      <c r="W2267" s="18"/>
      <c r="X2267" s="18"/>
      <c r="Y2267" s="18"/>
    </row>
    <row r="2268" spans="1:25" ht="15">
      <c r="A2268" s="4">
        <f>+A2266+1</f>
        <v>6</v>
      </c>
      <c r="B2268" s="5" t="s">
        <v>42</v>
      </c>
      <c r="C2268" s="22" t="s">
        <v>38</v>
      </c>
      <c r="D2268" s="27">
        <f>5643899.52+11838929.59</f>
        <v>17482829.11</v>
      </c>
      <c r="E2268" s="19"/>
      <c r="F2268" s="23">
        <f>962604.18+10876325.41</f>
        <v>11838929.59</v>
      </c>
      <c r="G2268" s="18">
        <f>+D2268-F2268</f>
        <v>5643899.52</v>
      </c>
      <c r="H2268" s="18"/>
      <c r="I2268" s="18">
        <v>0</v>
      </c>
      <c r="J2268" s="18">
        <v>0</v>
      </c>
      <c r="K2268" s="18">
        <v>0</v>
      </c>
      <c r="L2268" s="18">
        <v>-101428.65</v>
      </c>
      <c r="M2268" s="18">
        <v>0</v>
      </c>
      <c r="N2268" s="18">
        <v>0</v>
      </c>
      <c r="O2268" s="18">
        <v>0</v>
      </c>
      <c r="P2268" s="18"/>
      <c r="Q2268" s="18">
        <v>0</v>
      </c>
      <c r="R2268" s="18">
        <v>0</v>
      </c>
      <c r="S2268" s="18"/>
      <c r="T2268" s="18">
        <v>0</v>
      </c>
      <c r="U2268" s="18"/>
      <c r="V2268" s="18">
        <v>0</v>
      </c>
      <c r="W2268" s="18">
        <v>0</v>
      </c>
      <c r="X2268" s="18">
        <v>-338213.01</v>
      </c>
      <c r="Y2268" s="18"/>
    </row>
    <row r="2269" spans="1:25" ht="15">
      <c r="A2269" s="4">
        <f>+A2268+1</f>
        <v>7</v>
      </c>
      <c r="B2269" s="5" t="s">
        <v>43</v>
      </c>
      <c r="C2269" s="11"/>
      <c r="E2269" s="19"/>
      <c r="F2269" s="23">
        <v>0</v>
      </c>
      <c r="G2269" s="18">
        <f>+D2268-F2269</f>
        <v>17482829.11</v>
      </c>
      <c r="H2269" s="18"/>
      <c r="I2269" s="18">
        <v>0</v>
      </c>
      <c r="J2269" s="18">
        <v>0</v>
      </c>
      <c r="K2269" s="18">
        <v>0</v>
      </c>
      <c r="L2269" s="18">
        <v>0</v>
      </c>
      <c r="M2269" s="18">
        <v>0</v>
      </c>
      <c r="N2269" s="18">
        <v>0</v>
      </c>
      <c r="O2269" s="31">
        <v>0</v>
      </c>
      <c r="P2269" s="18"/>
      <c r="Q2269" s="18">
        <v>0</v>
      </c>
      <c r="R2269" s="18">
        <v>0</v>
      </c>
      <c r="S2269" s="18"/>
      <c r="T2269" s="18">
        <v>0</v>
      </c>
      <c r="U2269" s="18"/>
      <c r="V2269" s="18">
        <v>0</v>
      </c>
      <c r="W2269" s="18">
        <v>0</v>
      </c>
      <c r="X2269" s="18">
        <v>0</v>
      </c>
      <c r="Y2269" s="18"/>
    </row>
    <row r="2270" spans="1:25" ht="35.25">
      <c r="A2270" s="4">
        <f>+A2269+1</f>
        <v>8</v>
      </c>
      <c r="B2270" s="24" t="s">
        <v>180</v>
      </c>
      <c r="C2270" s="32" t="s">
        <v>44</v>
      </c>
      <c r="D2270" s="33">
        <v>17482829.11</v>
      </c>
      <c r="E2270" s="34"/>
      <c r="F2270" s="91">
        <f>+F2268-F2269</f>
        <v>11838929.59</v>
      </c>
      <c r="G2270" s="18">
        <f>+G2268-G2269</f>
        <v>-11838929.59</v>
      </c>
      <c r="H2270" s="18"/>
      <c r="I2270" s="18">
        <f aca="true" t="shared" si="274" ref="I2270:O2270">+I2268-I2269</f>
        <v>0</v>
      </c>
      <c r="J2270" s="18">
        <f t="shared" si="274"/>
        <v>0</v>
      </c>
      <c r="K2270" s="18">
        <f t="shared" si="274"/>
        <v>0</v>
      </c>
      <c r="L2270" s="18">
        <f t="shared" si="274"/>
        <v>-101428.65</v>
      </c>
      <c r="M2270" s="18">
        <f t="shared" si="274"/>
        <v>0</v>
      </c>
      <c r="N2270" s="18">
        <f t="shared" si="274"/>
        <v>0</v>
      </c>
      <c r="O2270" s="18">
        <f t="shared" si="274"/>
        <v>0</v>
      </c>
      <c r="P2270" s="18"/>
      <c r="Q2270" s="18">
        <f>+Q2268-Q2269</f>
        <v>0</v>
      </c>
      <c r="R2270" s="18">
        <f>+R2268-R2269</f>
        <v>0</v>
      </c>
      <c r="S2270" s="18"/>
      <c r="T2270" s="18">
        <f>+T2268-T2269</f>
        <v>0</v>
      </c>
      <c r="U2270" s="18"/>
      <c r="V2270" s="18">
        <f>+V2268-V2269</f>
        <v>0</v>
      </c>
      <c r="W2270" s="18">
        <f>+W2268-W2269</f>
        <v>0</v>
      </c>
      <c r="X2270" s="18">
        <f>+X2268-X2269</f>
        <v>-338213.01</v>
      </c>
      <c r="Y2270" s="18"/>
    </row>
    <row r="2271" spans="1:25" ht="28.5">
      <c r="A2271" s="4">
        <f>+A2270+1</f>
        <v>9</v>
      </c>
      <c r="B2271" s="88" t="s">
        <v>181</v>
      </c>
      <c r="C2271" s="35" t="s">
        <v>45</v>
      </c>
      <c r="D2271" s="18">
        <v>0</v>
      </c>
      <c r="E2271" s="19"/>
      <c r="F2271" s="31">
        <v>0</v>
      </c>
      <c r="G2271" s="31">
        <f>+D2271-F2271</f>
        <v>0</v>
      </c>
      <c r="H2271" s="18"/>
      <c r="I2271" s="18">
        <v>0</v>
      </c>
      <c r="J2271" s="18">
        <v>0</v>
      </c>
      <c r="K2271" s="18">
        <v>0</v>
      </c>
      <c r="L2271" s="18">
        <v>0</v>
      </c>
      <c r="M2271" s="18">
        <v>0</v>
      </c>
      <c r="N2271" s="18">
        <v>0</v>
      </c>
      <c r="O2271" s="31">
        <v>0</v>
      </c>
      <c r="P2271" s="18"/>
      <c r="Q2271" s="18">
        <v>0</v>
      </c>
      <c r="R2271" s="18">
        <v>0</v>
      </c>
      <c r="S2271" s="18"/>
      <c r="T2271" s="18">
        <v>0</v>
      </c>
      <c r="U2271" s="18"/>
      <c r="V2271" s="18">
        <v>0</v>
      </c>
      <c r="W2271" s="18">
        <v>0</v>
      </c>
      <c r="X2271" s="18">
        <v>0</v>
      </c>
      <c r="Y2271" s="18"/>
    </row>
    <row r="2272" spans="1:25" ht="15">
      <c r="A2272" s="4">
        <f>+A2271+1</f>
        <v>10</v>
      </c>
      <c r="B2272" s="24" t="s">
        <v>46</v>
      </c>
      <c r="C2272" s="11" t="s">
        <v>47</v>
      </c>
      <c r="D2272" s="36">
        <f>+D2264+D2265+D2266+D2270+D2271</f>
        <v>17453777.06</v>
      </c>
      <c r="E2272" s="19"/>
      <c r="F2272" s="36">
        <f>+F2264+F2265+F2266+F2270+F2271</f>
        <v>12140428.34</v>
      </c>
      <c r="G2272" s="18">
        <f>+G2264+G2265+G2270+G2271+G2266</f>
        <v>-11867981.64</v>
      </c>
      <c r="H2272" s="18"/>
      <c r="I2272" s="18">
        <f aca="true" t="shared" si="275" ref="I2272:O2272">+I2264+I2265+I2270+I2271+I2266</f>
        <v>0</v>
      </c>
      <c r="J2272" s="21">
        <f t="shared" si="275"/>
        <v>0</v>
      </c>
      <c r="K2272" s="18">
        <f t="shared" si="275"/>
        <v>0</v>
      </c>
      <c r="L2272" s="18">
        <f>+L2264+L2265+L2270+L2271+L2266</f>
        <v>-160804.13</v>
      </c>
      <c r="M2272" s="18">
        <f t="shared" si="275"/>
        <v>50555.79</v>
      </c>
      <c r="N2272" s="18">
        <f t="shared" si="275"/>
        <v>0</v>
      </c>
      <c r="O2272" s="18">
        <f t="shared" si="275"/>
        <v>-1849.3000000000002</v>
      </c>
      <c r="P2272" s="18"/>
      <c r="Q2272" s="18">
        <f>+Q2264+Q2265+Q2270+Q2271+Q2266</f>
        <v>6645.81</v>
      </c>
      <c r="R2272" s="18">
        <f>+R2264+R2265+R2270+R2271+R2266</f>
        <v>0</v>
      </c>
      <c r="S2272" s="18"/>
      <c r="T2272" s="18">
        <f>+T2264+T2265+T2270+T2271+T2266</f>
        <v>0</v>
      </c>
      <c r="U2272" s="18"/>
      <c r="V2272" s="18">
        <f>+V2264+V2265+V2270+V2271+V2266</f>
        <v>0.28</v>
      </c>
      <c r="W2272" s="18">
        <f>+W2264+W2265+W2270+W2271+W2266</f>
        <v>0</v>
      </c>
      <c r="X2272" s="18">
        <f>+X2264+X2265+X2270+X2271+X2266</f>
        <v>-4180681.8</v>
      </c>
      <c r="Y2272" s="18"/>
    </row>
    <row r="2273" spans="1:25" ht="15">
      <c r="A2273" s="4"/>
      <c r="B2273" s="24"/>
      <c r="C2273" s="11" t="s">
        <v>0</v>
      </c>
      <c r="D2273" s="27"/>
      <c r="E2273" s="18"/>
      <c r="F2273" s="36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</row>
    <row r="2274" spans="1:25" ht="15">
      <c r="A2274" s="4"/>
      <c r="B2274" s="94" t="s">
        <v>0</v>
      </c>
      <c r="C2274" s="37" t="s">
        <v>0</v>
      </c>
      <c r="D2274" s="27"/>
      <c r="E2274" s="18"/>
      <c r="F2274" s="92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8"/>
      <c r="Y2274" s="18"/>
    </row>
    <row r="2275" spans="1:25" ht="15">
      <c r="A2275" s="4"/>
      <c r="B2275" s="24"/>
      <c r="C2275" s="11"/>
      <c r="D2275" s="6" t="s">
        <v>48</v>
      </c>
      <c r="E2275" s="6"/>
      <c r="F2275" s="10" t="s">
        <v>49</v>
      </c>
      <c r="G2275" s="10" t="s">
        <v>50</v>
      </c>
      <c r="I2275" s="10" t="s">
        <v>51</v>
      </c>
      <c r="J2275" s="10" t="s">
        <v>52</v>
      </c>
      <c r="K2275" s="10" t="s">
        <v>53</v>
      </c>
      <c r="L2275" s="10" t="s">
        <v>54</v>
      </c>
      <c r="M2275" s="10" t="s">
        <v>55</v>
      </c>
      <c r="N2275" s="10" t="s">
        <v>56</v>
      </c>
      <c r="O2275" s="10" t="s">
        <v>57</v>
      </c>
      <c r="P2275" s="18"/>
      <c r="Q2275" s="10" t="s">
        <v>58</v>
      </c>
      <c r="R2275" s="10" t="s">
        <v>59</v>
      </c>
      <c r="S2275" s="10"/>
      <c r="T2275" s="10" t="s">
        <v>60</v>
      </c>
      <c r="U2275" s="18"/>
      <c r="V2275" s="10" t="s">
        <v>61</v>
      </c>
      <c r="W2275" s="10" t="s">
        <v>62</v>
      </c>
      <c r="X2275" s="10" t="s">
        <v>63</v>
      </c>
      <c r="Y2275" s="18"/>
    </row>
    <row r="2276" spans="1:25" ht="15">
      <c r="A2276" s="4"/>
      <c r="B2276"/>
      <c r="C2276" s="11"/>
      <c r="D2276" s="10" t="s">
        <v>20</v>
      </c>
      <c r="E2276" s="38"/>
      <c r="F2276" s="10" t="s">
        <v>20</v>
      </c>
      <c r="G2276" s="10" t="s">
        <v>20</v>
      </c>
      <c r="I2276" s="10" t="s">
        <v>20</v>
      </c>
      <c r="J2276" s="10" t="s">
        <v>20</v>
      </c>
      <c r="K2276" s="10" t="s">
        <v>20</v>
      </c>
      <c r="L2276" s="10" t="s">
        <v>20</v>
      </c>
      <c r="M2276" s="10" t="s">
        <v>20</v>
      </c>
      <c r="N2276" s="10" t="s">
        <v>20</v>
      </c>
      <c r="O2276" s="10" t="s">
        <v>20</v>
      </c>
      <c r="P2276" s="18"/>
      <c r="Q2276" s="10" t="s">
        <v>20</v>
      </c>
      <c r="R2276" s="10" t="s">
        <v>20</v>
      </c>
      <c r="S2276" s="14"/>
      <c r="T2276" s="10" t="s">
        <v>20</v>
      </c>
      <c r="U2276" s="18"/>
      <c r="W2276" s="39" t="s">
        <v>64</v>
      </c>
      <c r="Y2276" s="18"/>
    </row>
    <row r="2277" spans="1:25" ht="15">
      <c r="A2277" s="4"/>
      <c r="B2277" s="87" t="s">
        <v>174</v>
      </c>
      <c r="C2277" s="11"/>
      <c r="D2277" s="8" t="s">
        <v>155</v>
      </c>
      <c r="E2277" s="6"/>
      <c r="F2277" s="8" t="s">
        <v>66</v>
      </c>
      <c r="G2277" s="8" t="s">
        <v>67</v>
      </c>
      <c r="H2277" s="19"/>
      <c r="I2277" s="8" t="s">
        <v>68</v>
      </c>
      <c r="J2277" s="8" t="s">
        <v>69</v>
      </c>
      <c r="K2277" s="8" t="s">
        <v>70</v>
      </c>
      <c r="L2277" s="8" t="s">
        <v>71</v>
      </c>
      <c r="M2277" s="8" t="s">
        <v>72</v>
      </c>
      <c r="N2277" s="8" t="s">
        <v>73</v>
      </c>
      <c r="O2277" s="8" t="s">
        <v>74</v>
      </c>
      <c r="P2277" s="6"/>
      <c r="Q2277" s="8" t="s">
        <v>75</v>
      </c>
      <c r="R2277" s="8" t="s">
        <v>76</v>
      </c>
      <c r="S2277" s="8"/>
      <c r="T2277" s="8" t="s">
        <v>77</v>
      </c>
      <c r="U2277" s="18"/>
      <c r="V2277" s="10" t="s">
        <v>20</v>
      </c>
      <c r="W2277" s="14" t="s">
        <v>21</v>
      </c>
      <c r="X2277" s="10" t="s">
        <v>22</v>
      </c>
      <c r="Y2277" s="18"/>
    </row>
    <row r="2278" spans="1:8" ht="15">
      <c r="A2278" s="4"/>
      <c r="B2278" s="24"/>
      <c r="C2278" s="11"/>
      <c r="E2278" s="14"/>
      <c r="F2278"/>
      <c r="H2278" s="18"/>
    </row>
    <row r="2279" spans="1:24" ht="15">
      <c r="A2279" s="4">
        <f>+A2272+1</f>
        <v>11</v>
      </c>
      <c r="B2279" s="5" t="s">
        <v>36</v>
      </c>
      <c r="C2279" s="17" t="s">
        <v>37</v>
      </c>
      <c r="D2279" s="18">
        <v>424.93</v>
      </c>
      <c r="E2279" s="18"/>
      <c r="F2279" s="18">
        <v>0</v>
      </c>
      <c r="G2279" s="18">
        <v>0</v>
      </c>
      <c r="I2279" s="27">
        <v>242948.37</v>
      </c>
      <c r="J2279" s="18">
        <v>0</v>
      </c>
      <c r="K2279" s="18">
        <v>0</v>
      </c>
      <c r="L2279" s="18">
        <v>0</v>
      </c>
      <c r="M2279" s="18">
        <v>67693.02</v>
      </c>
      <c r="N2279" s="18">
        <v>-1138291.23</v>
      </c>
      <c r="O2279" s="18">
        <v>0</v>
      </c>
      <c r="Q2279" s="18">
        <v>0</v>
      </c>
      <c r="R2279" s="18">
        <v>0</v>
      </c>
      <c r="S2279" s="18"/>
      <c r="T2279" s="18">
        <v>0</v>
      </c>
      <c r="V2279" s="18">
        <f>+D2262+I2262+J2262+K2262+L2262+M2262+N2262+O2262+Q2262+R2262+T2262+V2262+W2262+X2262+D2279+F2279+G2279+I2279+J2279+K2279+L2279+M2279+N2279+O2279+Q2279+R2279+T2279</f>
        <v>24275829.82</v>
      </c>
      <c r="W2279" s="18">
        <f>+F2262</f>
        <v>16365646.56</v>
      </c>
      <c r="X2279" s="18">
        <f>+V2279-W2279</f>
        <v>7910183.26</v>
      </c>
    </row>
    <row r="2280" spans="1:24" ht="15">
      <c r="A2280" s="4">
        <f>+A2279+1</f>
        <v>12</v>
      </c>
      <c r="B2280" s="5" t="s">
        <v>36</v>
      </c>
      <c r="C2280" s="22" t="s">
        <v>38</v>
      </c>
      <c r="D2280" s="18">
        <v>424.93</v>
      </c>
      <c r="E2280" s="18"/>
      <c r="F2280" s="18">
        <v>0</v>
      </c>
      <c r="G2280" s="18">
        <v>0</v>
      </c>
      <c r="I2280" s="27">
        <v>244495.36</v>
      </c>
      <c r="J2280" s="18">
        <v>0</v>
      </c>
      <c r="K2280" s="18">
        <v>0</v>
      </c>
      <c r="L2280" s="18">
        <v>0</v>
      </c>
      <c r="M2280" s="18">
        <v>37477.92</v>
      </c>
      <c r="N2280" s="18">
        <v>-644699.86</v>
      </c>
      <c r="O2280" s="18">
        <v>0</v>
      </c>
      <c r="Q2280" s="18">
        <v>0</v>
      </c>
      <c r="R2280" s="18">
        <v>0</v>
      </c>
      <c r="S2280" s="18"/>
      <c r="T2280" s="18">
        <v>0</v>
      </c>
      <c r="V2280" s="18">
        <f>+D2263+I2263+J2263+K2263+L2263+M2263+N2263+O2263+Q2263+R2263+T2263+V2263+W2263+X2263+D2280+F2280+G2280+I2280+J2280+K2280+L2280+M2280+N2280+O2280+Q2280+R2280+T2280</f>
        <v>24969514.180000003</v>
      </c>
      <c r="W2280" s="18">
        <f>+F2263</f>
        <v>16064147.81</v>
      </c>
      <c r="X2280" s="18">
        <f>+V2280-W2280</f>
        <v>8905366.370000003</v>
      </c>
    </row>
    <row r="2281" spans="1:24" ht="15">
      <c r="A2281" s="4">
        <f>+A2280+1</f>
        <v>13</v>
      </c>
      <c r="B2281" s="24" t="s">
        <v>46</v>
      </c>
      <c r="C2281" s="40" t="s">
        <v>78</v>
      </c>
      <c r="D2281" s="18">
        <f>+D2279-D2280</f>
        <v>0</v>
      </c>
      <c r="E2281" s="18"/>
      <c r="F2281" s="18">
        <f>+F2279-F2280</f>
        <v>0</v>
      </c>
      <c r="G2281" s="18">
        <f>+G2279-G2280</f>
        <v>0</v>
      </c>
      <c r="I2281" s="18">
        <f>+I2279-I2280</f>
        <v>-1546.9899999999907</v>
      </c>
      <c r="J2281" s="18">
        <f>+J2279-J2280</f>
        <v>0</v>
      </c>
      <c r="K2281" s="18">
        <f>+K2279-K2280</f>
        <v>0</v>
      </c>
      <c r="L2281" s="18">
        <f>+L2279-L2280</f>
        <v>0</v>
      </c>
      <c r="M2281" s="18">
        <f>+M2279-M2280</f>
        <v>30215.100000000006</v>
      </c>
      <c r="N2281" s="18">
        <f>+N2279-N2280</f>
        <v>-493591.37</v>
      </c>
      <c r="O2281" s="18">
        <f>+O2279-O2280</f>
        <v>0</v>
      </c>
      <c r="Q2281" s="18">
        <f>+Q2279-Q2280</f>
        <v>0</v>
      </c>
      <c r="R2281" s="18">
        <f>+R2279-R2280</f>
        <v>0</v>
      </c>
      <c r="S2281" s="18"/>
      <c r="T2281" s="18">
        <f>+T2279-T2280</f>
        <v>0</v>
      </c>
      <c r="V2281" s="27">
        <f>+V2279-V2280</f>
        <v>-693684.3600000031</v>
      </c>
      <c r="W2281" s="27">
        <f>+W2279-W2280</f>
        <v>301498.75</v>
      </c>
      <c r="X2281" s="18">
        <f>+X2279-X2280</f>
        <v>-995183.1100000031</v>
      </c>
    </row>
    <row r="2282" spans="1:24" ht="28.5">
      <c r="A2282" s="4">
        <f>+A2281+1</f>
        <v>14</v>
      </c>
      <c r="B2282" s="88" t="s">
        <v>182</v>
      </c>
      <c r="C2282" s="11"/>
      <c r="D2282" s="18">
        <v>0</v>
      </c>
      <c r="E2282" s="18"/>
      <c r="F2282" s="18">
        <v>0</v>
      </c>
      <c r="G2282" s="18">
        <v>0</v>
      </c>
      <c r="I2282" s="18">
        <v>0</v>
      </c>
      <c r="J2282" s="18">
        <v>0</v>
      </c>
      <c r="K2282" s="18">
        <v>0</v>
      </c>
      <c r="L2282" s="18">
        <v>0</v>
      </c>
      <c r="M2282" s="18">
        <v>0</v>
      </c>
      <c r="N2282" s="18">
        <v>0</v>
      </c>
      <c r="O2282" s="18">
        <v>0</v>
      </c>
      <c r="Q2282" s="18">
        <v>0</v>
      </c>
      <c r="R2282" s="18">
        <v>0</v>
      </c>
      <c r="S2282" s="18"/>
      <c r="T2282" s="18">
        <v>0</v>
      </c>
      <c r="V2282" s="18">
        <f>+D2265+I2265+J2265+K2265+L2265+M2265+N2265+O2265+Q2265+R2265+T2265+V2265+W2265+X2265+D2282+F2282+G2282+I2282+J2282+K2282+L2282+M2282+N2282+O2282+Q2282+R2282+T2282</f>
        <v>0</v>
      </c>
      <c r="W2282" s="18">
        <f>+F2265</f>
        <v>0</v>
      </c>
      <c r="X2282" s="18">
        <f>+V2282-W2282</f>
        <v>0</v>
      </c>
    </row>
    <row r="2283" spans="1:24" ht="24.75">
      <c r="A2283" s="4">
        <f>+A2282+1</f>
        <v>15</v>
      </c>
      <c r="B2283" s="89" t="s">
        <v>39</v>
      </c>
      <c r="C2283" s="40"/>
      <c r="D2283" s="27">
        <v>0</v>
      </c>
      <c r="E2283" s="18" t="s">
        <v>0</v>
      </c>
      <c r="F2283" s="27">
        <v>0</v>
      </c>
      <c r="G2283" s="27">
        <v>0</v>
      </c>
      <c r="H2283" t="s">
        <v>0</v>
      </c>
      <c r="I2283" s="27">
        <v>0</v>
      </c>
      <c r="J2283" s="27">
        <v>0</v>
      </c>
      <c r="K2283" s="27">
        <v>-0.04</v>
      </c>
      <c r="L2283" s="27">
        <v>0</v>
      </c>
      <c r="M2283" s="27">
        <v>161324.71</v>
      </c>
      <c r="N2283" s="27">
        <f>-778504.89-1845.62-1473.14</f>
        <v>-781823.65</v>
      </c>
      <c r="O2283" s="27">
        <v>1.2</v>
      </c>
      <c r="Q2283" s="27">
        <v>0</v>
      </c>
      <c r="R2283" s="27">
        <v>0</v>
      </c>
      <c r="S2283" s="27"/>
      <c r="T2283" s="27">
        <v>0</v>
      </c>
      <c r="V2283" s="18">
        <f>+D2266+I2266+J2266+K2266+L2266+M2266+N2266+O2266+Q2266+R2266+T2266+V2266+W2266+X2266+D2283+F2283+G2283+I2283+J2283+K2283+L2283+M2283+N2283+O2283+Q2283+R2283+T2283</f>
        <v>-4239065.58</v>
      </c>
      <c r="W2283" s="18">
        <f>+F2266</f>
        <v>0</v>
      </c>
      <c r="X2283" s="18">
        <f>+V2283-W2283</f>
        <v>-4239065.58</v>
      </c>
    </row>
    <row r="2284" spans="1:24" ht="15">
      <c r="A2284" s="6" t="s">
        <v>41</v>
      </c>
      <c r="B2284" s="41"/>
      <c r="C2284" s="40"/>
      <c r="D2284" s="18"/>
      <c r="E2284" s="18"/>
      <c r="F2284" s="18"/>
      <c r="G2284" s="18"/>
      <c r="I2284" s="18"/>
      <c r="J2284" s="18"/>
      <c r="K2284" s="18"/>
      <c r="L2284" s="18"/>
      <c r="M2284" s="18"/>
      <c r="N2284" s="18"/>
      <c r="O2284" s="18"/>
      <c r="Q2284" s="18"/>
      <c r="R2284" s="18"/>
      <c r="S2284" s="18"/>
      <c r="T2284" s="18"/>
      <c r="V2284" s="18"/>
      <c r="W2284" s="18"/>
      <c r="X2284" s="18"/>
    </row>
    <row r="2285" spans="1:24" ht="15">
      <c r="A2285" s="4">
        <f>+A2283+1</f>
        <v>16</v>
      </c>
      <c r="B2285" s="5" t="s">
        <v>42</v>
      </c>
      <c r="C2285" s="22" t="s">
        <v>38</v>
      </c>
      <c r="D2285" s="18">
        <v>0</v>
      </c>
      <c r="E2285" s="18"/>
      <c r="F2285" s="18">
        <v>0</v>
      </c>
      <c r="G2285" s="18">
        <v>0</v>
      </c>
      <c r="I2285" s="27">
        <v>257247.81</v>
      </c>
      <c r="J2285" s="18">
        <v>0</v>
      </c>
      <c r="K2285" s="18">
        <v>0</v>
      </c>
      <c r="L2285" s="18">
        <v>0</v>
      </c>
      <c r="M2285" s="18">
        <v>48986.05</v>
      </c>
      <c r="N2285" s="18">
        <v>-548586.82</v>
      </c>
      <c r="O2285" s="18">
        <v>0</v>
      </c>
      <c r="P2285" s="18"/>
      <c r="Q2285" s="18">
        <v>0</v>
      </c>
      <c r="R2285" s="18">
        <v>0</v>
      </c>
      <c r="S2285" s="18"/>
      <c r="T2285" s="18">
        <v>0</v>
      </c>
      <c r="U2285" s="18"/>
      <c r="V2285" s="18">
        <f>+D2268+I2268+J2268+K2268+L2268+M2268+N2268+O2268+Q2268+R2268+T2268+V2268+W2268+X2268+D2285+F2285+G2285+I2285+J2285+K2285+L2285+M2285+N2285+O2285+Q2285+R2285+T2285</f>
        <v>16800834.49</v>
      </c>
      <c r="W2285" s="18">
        <f>+F2268</f>
        <v>11838929.59</v>
      </c>
      <c r="X2285" s="18">
        <f>+V2285-W2285</f>
        <v>4961904.8999999985</v>
      </c>
    </row>
    <row r="2286" spans="1:24" ht="15">
      <c r="A2286" s="4">
        <f>+A2285+1</f>
        <v>17</v>
      </c>
      <c r="B2286" s="5" t="s">
        <v>43</v>
      </c>
      <c r="C2286" s="11"/>
      <c r="D2286" s="18">
        <v>0</v>
      </c>
      <c r="E2286" s="18"/>
      <c r="F2286" s="18">
        <v>0</v>
      </c>
      <c r="G2286" s="18">
        <v>0</v>
      </c>
      <c r="I2286" s="27">
        <v>0</v>
      </c>
      <c r="J2286" s="18">
        <v>0</v>
      </c>
      <c r="K2286" s="18">
        <v>0</v>
      </c>
      <c r="L2286" s="18">
        <v>0</v>
      </c>
      <c r="M2286" s="18">
        <v>0</v>
      </c>
      <c r="N2286" s="18">
        <v>0</v>
      </c>
      <c r="O2286" s="18">
        <v>0</v>
      </c>
      <c r="P2286" s="18"/>
      <c r="Q2286" s="18">
        <v>0</v>
      </c>
      <c r="R2286" s="18">
        <v>0</v>
      </c>
      <c r="S2286" s="18"/>
      <c r="T2286" s="18">
        <v>0</v>
      </c>
      <c r="U2286" s="18"/>
      <c r="V2286" s="18">
        <f>+D2269+I2269+J2269+K2269+L2269+M2269+N2269+O2269+Q2269+R2269+T2269+V2269+W2269+X2269+D2286+F2286+G2286+I2286+J2286+K2286+L2286+M2286+N2286+O2286+Q2286+R2286+T2286</f>
        <v>0</v>
      </c>
      <c r="W2286" s="18">
        <f>+F2269</f>
        <v>0</v>
      </c>
      <c r="X2286" s="18">
        <f>+V2286-W2286</f>
        <v>0</v>
      </c>
    </row>
    <row r="2287" spans="1:24" ht="26.25">
      <c r="A2287" s="4">
        <f>+A2286+1</f>
        <v>18</v>
      </c>
      <c r="B2287" s="24" t="s">
        <v>79</v>
      </c>
      <c r="C2287" s="11"/>
      <c r="D2287" s="18">
        <f>+D2285-D2286</f>
        <v>0</v>
      </c>
      <c r="E2287" s="18"/>
      <c r="F2287" s="18">
        <f>+F2285-F2286</f>
        <v>0</v>
      </c>
      <c r="G2287" s="18">
        <f>+G2285-G2286</f>
        <v>0</v>
      </c>
      <c r="I2287" s="18">
        <f aca="true" t="shared" si="276" ref="I2287:O2287">+I2285-I2286</f>
        <v>257247.81</v>
      </c>
      <c r="J2287" s="18">
        <f t="shared" si="276"/>
        <v>0</v>
      </c>
      <c r="K2287" s="18">
        <f t="shared" si="276"/>
        <v>0</v>
      </c>
      <c r="L2287" s="18">
        <f t="shared" si="276"/>
        <v>0</v>
      </c>
      <c r="M2287" s="18">
        <f t="shared" si="276"/>
        <v>48986.05</v>
      </c>
      <c r="N2287" s="18">
        <f t="shared" si="276"/>
        <v>-548586.82</v>
      </c>
      <c r="O2287" s="18">
        <f t="shared" si="276"/>
        <v>0</v>
      </c>
      <c r="P2287" s="18"/>
      <c r="Q2287" s="18">
        <f>+Q2285-Q2286</f>
        <v>0</v>
      </c>
      <c r="R2287" s="18">
        <f>+R2285-R2286</f>
        <v>0</v>
      </c>
      <c r="S2287" s="18"/>
      <c r="T2287" s="18">
        <f>+T2285-T2286</f>
        <v>0</v>
      </c>
      <c r="U2287" s="18"/>
      <c r="V2287" s="27">
        <f>+V2285-V2286</f>
        <v>16800834.49</v>
      </c>
      <c r="W2287" s="27">
        <f>+W2285-W2286</f>
        <v>11838929.59</v>
      </c>
      <c r="X2287" s="18">
        <f>+X2285-X2286</f>
        <v>4961904.8999999985</v>
      </c>
    </row>
    <row r="2288" spans="1:24" ht="28.5">
      <c r="A2288" s="4">
        <f>+A2287+1</f>
        <v>19</v>
      </c>
      <c r="B2288" s="88" t="s">
        <v>181</v>
      </c>
      <c r="C2288" s="11"/>
      <c r="D2288" s="18">
        <v>0</v>
      </c>
      <c r="E2288" s="18"/>
      <c r="F2288" s="18">
        <v>0</v>
      </c>
      <c r="G2288" s="18">
        <v>0</v>
      </c>
      <c r="I2288" s="18">
        <v>0</v>
      </c>
      <c r="J2288" s="18">
        <v>0</v>
      </c>
      <c r="K2288" s="18">
        <v>0</v>
      </c>
      <c r="L2288" s="18">
        <v>0</v>
      </c>
      <c r="M2288" s="18">
        <v>0</v>
      </c>
      <c r="N2288" s="18">
        <v>0</v>
      </c>
      <c r="O2288" s="18">
        <v>0</v>
      </c>
      <c r="P2288" s="18"/>
      <c r="Q2288" s="18">
        <v>0</v>
      </c>
      <c r="R2288" s="18">
        <v>0</v>
      </c>
      <c r="S2288" s="18"/>
      <c r="T2288" s="18">
        <v>0</v>
      </c>
      <c r="U2288" s="18"/>
      <c r="V2288" s="18">
        <f>+D2271+I2271+J2271+K2271+L2271+M2271+N2271+O2271+Q2271+R2271+T2271+V2271+W2271+X2271+D2288+F2288+G2288+I2288+J2288+K2288+L2288+M2288+N2288+O2288+Q2288+R2288+T2288</f>
        <v>0</v>
      </c>
      <c r="W2288" s="18">
        <f>+F2271+K2288+L2288+M2288+N2288+O2288+Q2288+R2288+T2288</f>
        <v>0</v>
      </c>
      <c r="X2288" s="18">
        <f>+V2288-W2288</f>
        <v>0</v>
      </c>
    </row>
    <row r="2289" spans="1:24" ht="15">
      <c r="A2289" s="4">
        <f>+A2288+1</f>
        <v>20</v>
      </c>
      <c r="B2289" s="24" t="s">
        <v>46</v>
      </c>
      <c r="C2289" s="11" t="s">
        <v>47</v>
      </c>
      <c r="D2289" s="18">
        <f>+D2281+D2282+D2287+D2288+D2283</f>
        <v>0</v>
      </c>
      <c r="E2289" s="18"/>
      <c r="F2289" s="18">
        <f>+F2281+F2282+F2287+F2288+F2283</f>
        <v>0</v>
      </c>
      <c r="G2289" s="18">
        <f>+G2281+G2282+G2287+G2288+G2283</f>
        <v>0</v>
      </c>
      <c r="I2289" s="18">
        <f aca="true" t="shared" si="277" ref="I2289:O2289">+I2281+I2282+I2287+I2288+I2283</f>
        <v>255700.82</v>
      </c>
      <c r="J2289" s="18">
        <f t="shared" si="277"/>
        <v>0</v>
      </c>
      <c r="K2289" s="18">
        <f t="shared" si="277"/>
        <v>-0.04</v>
      </c>
      <c r="L2289" s="18">
        <f t="shared" si="277"/>
        <v>0</v>
      </c>
      <c r="M2289" s="18">
        <f t="shared" si="277"/>
        <v>240525.86</v>
      </c>
      <c r="N2289" s="18">
        <f t="shared" si="277"/>
        <v>-1824001.8399999999</v>
      </c>
      <c r="O2289" s="18">
        <f t="shared" si="277"/>
        <v>1.2</v>
      </c>
      <c r="P2289" s="42"/>
      <c r="Q2289" s="18">
        <f>+Q2281+Q2282+Q2287+Q2288+Q2283</f>
        <v>0</v>
      </c>
      <c r="R2289" s="18">
        <f>+R2281+R2282+R2287+R2288+R2283</f>
        <v>0</v>
      </c>
      <c r="S2289" s="18"/>
      <c r="T2289" s="18">
        <f>+T2281+T2282+T2287+T2288+T2283</f>
        <v>0</v>
      </c>
      <c r="U2289" s="42"/>
      <c r="V2289" s="18">
        <f>SUM(V2281,V2283,V2287,V2288)</f>
        <v>11868084.549999995</v>
      </c>
      <c r="W2289" s="18">
        <f>+W2281+W2282+W2287+W2288+W2283</f>
        <v>12140428.34</v>
      </c>
      <c r="X2289" s="18">
        <f>+X2281+X2282+X2287+X2288+X2283</f>
        <v>-272343.7900000047</v>
      </c>
    </row>
    <row r="2290" spans="1:24" ht="15">
      <c r="A2290" s="4"/>
      <c r="B2290" s="24"/>
      <c r="C2290" s="11"/>
      <c r="D2290" s="18"/>
      <c r="E2290" s="18"/>
      <c r="F2290" s="18"/>
      <c r="G2290" s="18"/>
      <c r="I2290" s="18"/>
      <c r="J2290" s="18"/>
      <c r="K2290" s="18"/>
      <c r="L2290" s="18"/>
      <c r="M2290" s="18"/>
      <c r="N2290" s="18"/>
      <c r="O2290" s="18"/>
      <c r="P2290" s="42"/>
      <c r="Q2290" s="18"/>
      <c r="R2290" s="18"/>
      <c r="S2290" s="18"/>
      <c r="T2290" s="18"/>
      <c r="U2290" s="42"/>
      <c r="V2290" s="18"/>
      <c r="W2290" s="18"/>
      <c r="X2290" s="18"/>
    </row>
    <row r="2291" spans="1:24" ht="15">
      <c r="A2291" s="4"/>
      <c r="B2291" s="24"/>
      <c r="C2291" s="11"/>
      <c r="D2291" s="18"/>
      <c r="E2291" s="18"/>
      <c r="F2291" s="18"/>
      <c r="G2291" s="18"/>
      <c r="I2291" s="18"/>
      <c r="J2291" s="18"/>
      <c r="K2291" s="18"/>
      <c r="L2291" s="18"/>
      <c r="M2291" s="18"/>
      <c r="N2291" s="18"/>
      <c r="O2291" s="18"/>
      <c r="P2291" s="42"/>
      <c r="Q2291" s="18"/>
      <c r="R2291" s="18"/>
      <c r="S2291" s="18"/>
      <c r="T2291" s="18"/>
      <c r="U2291" s="42"/>
      <c r="V2291" s="18"/>
      <c r="W2291" s="18"/>
      <c r="X2291" s="18"/>
    </row>
    <row r="2292" spans="1:24" ht="15">
      <c r="A2292" s="4"/>
      <c r="B2292" s="24"/>
      <c r="C2292" s="11"/>
      <c r="D2292" s="18"/>
      <c r="E2292" s="18"/>
      <c r="F2292" s="18"/>
      <c r="G2292" s="18"/>
      <c r="I2292" s="18"/>
      <c r="J2292" s="18"/>
      <c r="K2292" s="18"/>
      <c r="L2292" s="18"/>
      <c r="M2292" s="18"/>
      <c r="N2292" s="18"/>
      <c r="O2292" s="18"/>
      <c r="P2292" s="42"/>
      <c r="Q2292" s="18"/>
      <c r="R2292" s="18"/>
      <c r="S2292" s="18"/>
      <c r="T2292" s="18"/>
      <c r="U2292" s="42"/>
      <c r="V2292" s="18"/>
      <c r="W2292" s="18"/>
      <c r="X2292" s="18"/>
    </row>
    <row r="2293" spans="1:25" ht="15">
      <c r="A2293" s="4"/>
      <c r="B2293" s="24"/>
      <c r="C2293" s="11"/>
      <c r="D2293" s="10" t="s">
        <v>80</v>
      </c>
      <c r="E2293" s="10"/>
      <c r="F2293" s="10" t="s">
        <v>81</v>
      </c>
      <c r="G2293" s="10" t="s">
        <v>82</v>
      </c>
      <c r="I2293" s="10" t="s">
        <v>83</v>
      </c>
      <c r="J2293" s="10" t="s">
        <v>84</v>
      </c>
      <c r="K2293" s="10" t="s">
        <v>85</v>
      </c>
      <c r="L2293" s="10" t="s">
        <v>86</v>
      </c>
      <c r="M2293" s="43" t="s">
        <v>87</v>
      </c>
      <c r="N2293" s="43" t="s">
        <v>88</v>
      </c>
      <c r="O2293" s="44" t="s">
        <v>89</v>
      </c>
      <c r="P2293" s="42"/>
      <c r="Q2293" s="43" t="s">
        <v>90</v>
      </c>
      <c r="R2293" s="43" t="s">
        <v>91</v>
      </c>
      <c r="S2293" s="43"/>
      <c r="T2293" s="43" t="s">
        <v>92</v>
      </c>
      <c r="U2293" s="42"/>
      <c r="V2293" s="43" t="s">
        <v>93</v>
      </c>
      <c r="W2293" s="43" t="s">
        <v>94</v>
      </c>
      <c r="X2293" s="43" t="s">
        <v>95</v>
      </c>
      <c r="Y2293" s="18"/>
    </row>
    <row r="2294" spans="1:25" ht="15">
      <c r="A2294" s="4"/>
      <c r="B2294"/>
      <c r="C2294" s="11"/>
      <c r="D2294" s="10" t="s">
        <v>20</v>
      </c>
      <c r="E2294" s="38"/>
      <c r="F2294" s="10" t="s">
        <v>20</v>
      </c>
      <c r="G2294" s="10" t="s">
        <v>20</v>
      </c>
      <c r="I2294" s="10" t="s">
        <v>20</v>
      </c>
      <c r="J2294" s="10" t="s">
        <v>20</v>
      </c>
      <c r="K2294" s="10" t="s">
        <v>20</v>
      </c>
      <c r="L2294" s="10" t="s">
        <v>20</v>
      </c>
      <c r="M2294" s="10" t="s">
        <v>20</v>
      </c>
      <c r="N2294" s="10" t="s">
        <v>20</v>
      </c>
      <c r="O2294" s="10" t="s">
        <v>20</v>
      </c>
      <c r="P2294" s="18"/>
      <c r="Q2294" s="10" t="s">
        <v>20</v>
      </c>
      <c r="R2294" s="10" t="s">
        <v>20</v>
      </c>
      <c r="S2294" s="14"/>
      <c r="T2294" s="10" t="s">
        <v>20</v>
      </c>
      <c r="U2294" s="18"/>
      <c r="W2294" s="39" t="s">
        <v>96</v>
      </c>
      <c r="Y2294" s="18"/>
    </row>
    <row r="2295" spans="1:25" ht="15">
      <c r="A2295" s="4"/>
      <c r="B2295" s="87" t="s">
        <v>174</v>
      </c>
      <c r="C2295" s="11"/>
      <c r="D2295" s="8" t="s">
        <v>156</v>
      </c>
      <c r="E2295" s="6"/>
      <c r="F2295" s="8" t="s">
        <v>157</v>
      </c>
      <c r="G2295" s="45" t="s">
        <v>99</v>
      </c>
      <c r="H2295" s="19"/>
      <c r="I2295" s="45" t="s">
        <v>100</v>
      </c>
      <c r="J2295" s="45" t="s">
        <v>101</v>
      </c>
      <c r="K2295" s="82" t="s">
        <v>102</v>
      </c>
      <c r="L2295" s="45" t="s">
        <v>103</v>
      </c>
      <c r="M2295" s="45" t="s">
        <v>104</v>
      </c>
      <c r="N2295" s="45" t="s">
        <v>105</v>
      </c>
      <c r="O2295" s="45" t="s">
        <v>106</v>
      </c>
      <c r="P2295" s="6"/>
      <c r="Q2295" s="45" t="s">
        <v>107</v>
      </c>
      <c r="R2295" s="45" t="s">
        <v>108</v>
      </c>
      <c r="S2295" s="45"/>
      <c r="T2295" s="45" t="s">
        <v>109</v>
      </c>
      <c r="U2295" s="18"/>
      <c r="V2295" s="10" t="s">
        <v>20</v>
      </c>
      <c r="W2295" s="10" t="s">
        <v>21</v>
      </c>
      <c r="X2295" s="10" t="s">
        <v>22</v>
      </c>
      <c r="Y2295" s="18"/>
    </row>
    <row r="2296" spans="1:9" ht="15">
      <c r="A2296" s="4"/>
      <c r="B2296" s="24"/>
      <c r="C2296" s="11"/>
      <c r="E2296" s="14"/>
      <c r="F2296"/>
      <c r="H2296" s="18"/>
      <c r="I2296" s="16"/>
    </row>
    <row r="2297" spans="1:24" ht="15">
      <c r="A2297" s="4">
        <f>+A2290+1</f>
        <v>1</v>
      </c>
      <c r="B2297" s="5" t="s">
        <v>36</v>
      </c>
      <c r="C2297" s="17" t="s">
        <v>37</v>
      </c>
      <c r="D2297" s="18">
        <v>2367.96</v>
      </c>
      <c r="E2297" s="18"/>
      <c r="F2297" s="18">
        <f>51566.4</f>
        <v>51566.4</v>
      </c>
      <c r="G2297" s="18">
        <f>800.26</f>
        <v>800.26</v>
      </c>
      <c r="I2297" s="18">
        <v>0</v>
      </c>
      <c r="J2297" s="18">
        <v>0</v>
      </c>
      <c r="K2297" s="46">
        <f>50.77-4390.33-210803.56+24.39+12047</f>
        <v>-203071.72999999998</v>
      </c>
      <c r="L2297" s="27">
        <v>-7129</v>
      </c>
      <c r="M2297" s="18">
        <f>-1188+-6875.4+-973.5+-153.9</f>
        <v>-9190.8</v>
      </c>
      <c r="N2297" s="18">
        <v>0</v>
      </c>
      <c r="O2297" s="18">
        <v>-46328.59</v>
      </c>
      <c r="Q2297" s="18">
        <v>0</v>
      </c>
      <c r="R2297" s="18">
        <v>-10127.1</v>
      </c>
      <c r="S2297" s="18"/>
      <c r="T2297" s="18">
        <v>-51912.73</v>
      </c>
      <c r="V2297" s="18">
        <f>+V2279+D2297+F2297+G2297+I2297+J2297+K2297+L2297+M2297+N2297+O2297+Q2297+R2297+T2297</f>
        <v>24002804.49</v>
      </c>
      <c r="W2297" s="18">
        <f>+W2279</f>
        <v>16365646.56</v>
      </c>
      <c r="X2297" s="18">
        <f>+V2297-W2297</f>
        <v>7637157.929999998</v>
      </c>
    </row>
    <row r="2298" spans="1:24" ht="15">
      <c r="A2298" s="4">
        <f>+A2297+1</f>
        <v>2</v>
      </c>
      <c r="B2298" s="5" t="s">
        <v>36</v>
      </c>
      <c r="C2298" s="22" t="s">
        <v>38</v>
      </c>
      <c r="D2298" s="18">
        <v>2730.61</v>
      </c>
      <c r="E2298" s="18"/>
      <c r="F2298" s="18">
        <f>50827.2</f>
        <v>50827.2</v>
      </c>
      <c r="G2298" s="18">
        <f>274.74</f>
        <v>274.74</v>
      </c>
      <c r="I2298" s="18">
        <v>0</v>
      </c>
      <c r="J2298" s="18">
        <v>0</v>
      </c>
      <c r="K2298" s="46">
        <f>24.1-210803.56-21468.46+12043.55</f>
        <v>-220204.37</v>
      </c>
      <c r="L2298" s="27">
        <v>-7129</v>
      </c>
      <c r="M2298" s="18">
        <f>-1188+-6875.4+-973.5+-153.9</f>
        <v>-9190.8</v>
      </c>
      <c r="N2298" s="18">
        <v>0</v>
      </c>
      <c r="O2298" s="18">
        <v>-36652.94</v>
      </c>
      <c r="Q2298" s="18">
        <v>0</v>
      </c>
      <c r="R2298" s="18">
        <v>-9139.31</v>
      </c>
      <c r="S2298" s="18"/>
      <c r="T2298" s="18">
        <v>-45736.24</v>
      </c>
      <c r="V2298" s="18">
        <f>+V2280+D2298+F2298+G2298+I2298+J2298+K2298+L2298+M2298+N2298+O2298+Q2298+R2298+T2298</f>
        <v>24695294.07</v>
      </c>
      <c r="W2298" s="18">
        <f>+W2280</f>
        <v>16064147.81</v>
      </c>
      <c r="X2298" s="18">
        <f>+V2298-W2298</f>
        <v>8631146.26</v>
      </c>
    </row>
    <row r="2299" spans="1:24" ht="15">
      <c r="A2299" s="4">
        <f>+A2298+1</f>
        <v>3</v>
      </c>
      <c r="B2299" s="24" t="s">
        <v>46</v>
      </c>
      <c r="C2299" s="40" t="s">
        <v>78</v>
      </c>
      <c r="D2299" s="18">
        <f>+D2297-D2298</f>
        <v>-362.6500000000001</v>
      </c>
      <c r="E2299" s="18"/>
      <c r="F2299" s="18">
        <f>+F2297-F2298</f>
        <v>739.2000000000044</v>
      </c>
      <c r="G2299" s="18">
        <f>+G2297-G2298</f>
        <v>525.52</v>
      </c>
      <c r="I2299" s="18">
        <f>+I2297-I2298</f>
        <v>0</v>
      </c>
      <c r="J2299" s="18">
        <f>+J2297-J2298</f>
        <v>0</v>
      </c>
      <c r="K2299" s="18">
        <f>+K2297-K2298</f>
        <v>17132.640000000014</v>
      </c>
      <c r="L2299" s="18">
        <f>+L2297-L2298</f>
        <v>0</v>
      </c>
      <c r="M2299" s="18">
        <f>+M2297-M2298</f>
        <v>0</v>
      </c>
      <c r="N2299" s="18">
        <f>+N2297-N2298</f>
        <v>0</v>
      </c>
      <c r="O2299" s="18">
        <f>+O2297-O2298</f>
        <v>-9675.649999999994</v>
      </c>
      <c r="Q2299" s="18">
        <f>+Q2297-Q2298</f>
        <v>0</v>
      </c>
      <c r="R2299" s="18">
        <f>+R2297-R2298</f>
        <v>-987.7900000000009</v>
      </c>
      <c r="S2299" s="18"/>
      <c r="T2299" s="18">
        <f>+T2297-T2298</f>
        <v>-6176.490000000005</v>
      </c>
      <c r="V2299" s="27">
        <f>+V2297-V2298</f>
        <v>-692489.5800000019</v>
      </c>
      <c r="W2299" s="27">
        <f>+W2297-W2298</f>
        <v>301498.75</v>
      </c>
      <c r="X2299" s="18">
        <f>+X2297-X2298</f>
        <v>-993988.3300000019</v>
      </c>
    </row>
    <row r="2300" spans="1:24" ht="28.5">
      <c r="A2300" s="4">
        <f>+A2299+1</f>
        <v>4</v>
      </c>
      <c r="B2300" s="88" t="s">
        <v>182</v>
      </c>
      <c r="C2300" s="11"/>
      <c r="D2300" s="18">
        <v>0</v>
      </c>
      <c r="E2300" s="18"/>
      <c r="F2300" s="18">
        <v>0</v>
      </c>
      <c r="G2300" s="18">
        <v>0</v>
      </c>
      <c r="I2300" s="18">
        <v>0</v>
      </c>
      <c r="J2300" s="27">
        <v>0</v>
      </c>
      <c r="K2300" s="18">
        <v>0</v>
      </c>
      <c r="L2300" s="18">
        <v>0</v>
      </c>
      <c r="M2300" s="18">
        <v>0</v>
      </c>
      <c r="N2300" s="18">
        <v>0</v>
      </c>
      <c r="O2300" s="18">
        <v>0</v>
      </c>
      <c r="Q2300" s="18">
        <v>0</v>
      </c>
      <c r="R2300" s="18">
        <v>0</v>
      </c>
      <c r="S2300" s="18"/>
      <c r="T2300" s="18">
        <v>0</v>
      </c>
      <c r="V2300" s="18">
        <f>+V2282+D2300+F2300+G2300+I2300+J2300+K2300+L2300+M2300+N2300+O2300+Q2300+R2300+T2300</f>
        <v>0</v>
      </c>
      <c r="W2300" s="18">
        <f>+W2282</f>
        <v>0</v>
      </c>
      <c r="X2300" s="18">
        <f>+V2300-W2300</f>
        <v>0</v>
      </c>
    </row>
    <row r="2301" spans="1:24" ht="24.75">
      <c r="A2301" s="4">
        <f>+A2300+1</f>
        <v>5</v>
      </c>
      <c r="B2301" s="89" t="s">
        <v>39</v>
      </c>
      <c r="C2301" s="40"/>
      <c r="D2301" s="27">
        <v>0</v>
      </c>
      <c r="E2301" s="18"/>
      <c r="F2301" s="27">
        <v>-21.74</v>
      </c>
      <c r="G2301" s="27">
        <f>33.36</f>
        <v>33.36</v>
      </c>
      <c r="I2301" s="27">
        <v>0</v>
      </c>
      <c r="J2301" s="27">
        <v>0</v>
      </c>
      <c r="K2301" s="55">
        <f>-6074.56+32.55+11543.76</f>
        <v>5501.75</v>
      </c>
      <c r="L2301" s="27">
        <v>0</v>
      </c>
      <c r="M2301" s="27">
        <v>0</v>
      </c>
      <c r="N2301" s="27">
        <v>0</v>
      </c>
      <c r="O2301" s="27">
        <v>0</v>
      </c>
      <c r="Q2301" s="27"/>
      <c r="R2301" s="27">
        <v>0</v>
      </c>
      <c r="S2301" s="27"/>
      <c r="T2301" s="27">
        <v>0.06</v>
      </c>
      <c r="V2301" s="18">
        <f>+V2283+D2301+F2301+G2301+I2301+J2301+K2301+L2301+M2301+N2301+O2301+Q2301+R2301+T2301</f>
        <v>-4233552.15</v>
      </c>
      <c r="W2301" s="18">
        <f>+W2283</f>
        <v>0</v>
      </c>
      <c r="X2301" s="18">
        <f>+V2301-W2301</f>
        <v>-4233552.15</v>
      </c>
    </row>
    <row r="2302" spans="1:24" ht="15">
      <c r="A2302" s="6" t="s">
        <v>41</v>
      </c>
      <c r="B2302" s="41"/>
      <c r="C2302" s="40"/>
      <c r="D2302" s="18"/>
      <c r="E2302" s="18"/>
      <c r="F2302" s="18"/>
      <c r="G2302" s="18"/>
      <c r="I2302" s="18"/>
      <c r="J2302" s="18"/>
      <c r="K2302" s="27"/>
      <c r="L2302" s="18"/>
      <c r="M2302" s="18"/>
      <c r="N2302" s="18"/>
      <c r="O2302" s="18"/>
      <c r="Q2302" s="18"/>
      <c r="R2302" s="18"/>
      <c r="S2302" s="18"/>
      <c r="T2302" s="18"/>
      <c r="V2302" s="18"/>
      <c r="W2302" s="18"/>
      <c r="X2302" s="18"/>
    </row>
    <row r="2303" spans="1:24" ht="15">
      <c r="A2303" s="4">
        <f>+A2301+1</f>
        <v>6</v>
      </c>
      <c r="B2303" s="5" t="s">
        <v>42</v>
      </c>
      <c r="C2303" s="22" t="s">
        <v>38</v>
      </c>
      <c r="D2303" s="18">
        <v>0</v>
      </c>
      <c r="E2303" s="18"/>
      <c r="F2303" s="18">
        <f>49343.01</f>
        <v>49343.01</v>
      </c>
      <c r="G2303" s="18">
        <f>-132.14</f>
        <v>-132.14</v>
      </c>
      <c r="I2303" s="18">
        <v>0</v>
      </c>
      <c r="J2303" s="18">
        <v>0</v>
      </c>
      <c r="K2303" s="46">
        <f>-2208.99-221043.58+21.89+12043.55</f>
        <v>-211187.12999999998</v>
      </c>
      <c r="L2303" s="27">
        <v>-7129</v>
      </c>
      <c r="M2303" s="18">
        <f>-6646.22-1089.82-1148.4</f>
        <v>-8884.44</v>
      </c>
      <c r="N2303" s="18">
        <v>0</v>
      </c>
      <c r="O2303" s="18">
        <v>-28897.22</v>
      </c>
      <c r="P2303" s="18"/>
      <c r="Q2303" s="18">
        <v>0</v>
      </c>
      <c r="R2303" s="18">
        <v>-6839.22</v>
      </c>
      <c r="S2303" s="18"/>
      <c r="T2303" s="18">
        <v>-31647.46</v>
      </c>
      <c r="U2303" s="18"/>
      <c r="V2303" s="18">
        <f>+V2285+D2303+F2303+G2303+I2303+J2303+K2303+L2303+M2303+N2303+O2303+Q2303+R2303+T2303</f>
        <v>16555460.889999997</v>
      </c>
      <c r="W2303" s="18">
        <f>+W2285</f>
        <v>11838929.59</v>
      </c>
      <c r="X2303" s="18">
        <f>+V2303-W2303</f>
        <v>4716531.299999997</v>
      </c>
    </row>
    <row r="2304" spans="1:24" ht="15">
      <c r="A2304" s="4">
        <f>+A2303+1</f>
        <v>7</v>
      </c>
      <c r="B2304" s="5" t="s">
        <v>43</v>
      </c>
      <c r="C2304" s="11"/>
      <c r="D2304" s="18">
        <v>0</v>
      </c>
      <c r="E2304" s="18"/>
      <c r="F2304" s="18">
        <v>0</v>
      </c>
      <c r="G2304" s="18">
        <v>0</v>
      </c>
      <c r="I2304" s="18">
        <v>0</v>
      </c>
      <c r="J2304" s="18">
        <v>0</v>
      </c>
      <c r="K2304" s="18">
        <v>0</v>
      </c>
      <c r="L2304" s="18">
        <v>0</v>
      </c>
      <c r="M2304" s="18">
        <v>0</v>
      </c>
      <c r="N2304" s="18">
        <v>0</v>
      </c>
      <c r="O2304" s="18">
        <v>0</v>
      </c>
      <c r="P2304" s="18"/>
      <c r="Q2304" s="18">
        <v>0</v>
      </c>
      <c r="R2304" s="18">
        <v>0</v>
      </c>
      <c r="S2304" s="18"/>
      <c r="T2304" s="18">
        <v>0</v>
      </c>
      <c r="U2304" s="18"/>
      <c r="V2304" s="18">
        <f>+V2286+D2304+F2304+G2304+I2304+J2304+K2304+L2304+M2304+N2304+O2304+Q2304+R2304+T2304</f>
        <v>0</v>
      </c>
      <c r="W2304" s="18">
        <f>+W2286</f>
        <v>0</v>
      </c>
      <c r="X2304" s="18">
        <f>+V2304-W2304</f>
        <v>0</v>
      </c>
    </row>
    <row r="2305" spans="1:24" ht="26.25">
      <c r="A2305" s="4">
        <f>+A2304+1</f>
        <v>8</v>
      </c>
      <c r="B2305" s="24" t="s">
        <v>79</v>
      </c>
      <c r="C2305" s="11"/>
      <c r="D2305" s="18">
        <f>+D2303-D2304</f>
        <v>0</v>
      </c>
      <c r="E2305" s="18"/>
      <c r="F2305" s="18">
        <f>+F2303-F2304</f>
        <v>49343.01</v>
      </c>
      <c r="G2305" s="18">
        <f>+G2303-G2304</f>
        <v>-132.14</v>
      </c>
      <c r="I2305" s="18">
        <f aca="true" t="shared" si="278" ref="I2305:O2305">+I2303-I2304</f>
        <v>0</v>
      </c>
      <c r="J2305" s="18">
        <f t="shared" si="278"/>
        <v>0</v>
      </c>
      <c r="K2305" s="18">
        <f t="shared" si="278"/>
        <v>-211187.12999999998</v>
      </c>
      <c r="L2305" s="18">
        <f t="shared" si="278"/>
        <v>-7129</v>
      </c>
      <c r="M2305" s="18">
        <f t="shared" si="278"/>
        <v>-8884.44</v>
      </c>
      <c r="N2305" s="18">
        <f t="shared" si="278"/>
        <v>0</v>
      </c>
      <c r="O2305" s="18">
        <f t="shared" si="278"/>
        <v>-28897.22</v>
      </c>
      <c r="P2305" s="18"/>
      <c r="Q2305" s="18">
        <f>+Q2303-Q2304</f>
        <v>0</v>
      </c>
      <c r="R2305" s="18">
        <f>+R2303-R2304</f>
        <v>-6839.22</v>
      </c>
      <c r="S2305" s="18"/>
      <c r="T2305" s="18">
        <f>+T2303-T2304</f>
        <v>-31647.46</v>
      </c>
      <c r="U2305" s="18"/>
      <c r="V2305" s="27">
        <f>+V2303-V2304</f>
        <v>16555460.889999997</v>
      </c>
      <c r="W2305" s="27">
        <f>+W2303-W2304</f>
        <v>11838929.59</v>
      </c>
      <c r="X2305" s="18">
        <f>+X2303-X2304</f>
        <v>4716531.299999997</v>
      </c>
    </row>
    <row r="2306" spans="1:24" ht="28.5">
      <c r="A2306" s="4">
        <f>+A2305+1</f>
        <v>9</v>
      </c>
      <c r="B2306" s="88" t="s">
        <v>181</v>
      </c>
      <c r="C2306" s="11"/>
      <c r="D2306" s="18">
        <v>0</v>
      </c>
      <c r="E2306" s="18"/>
      <c r="F2306" s="18">
        <v>0</v>
      </c>
      <c r="G2306" s="18">
        <v>0</v>
      </c>
      <c r="I2306" s="18">
        <v>0</v>
      </c>
      <c r="J2306" s="18">
        <v>0</v>
      </c>
      <c r="K2306" s="18">
        <v>0</v>
      </c>
      <c r="L2306" s="18">
        <v>0</v>
      </c>
      <c r="M2306" s="18">
        <v>0</v>
      </c>
      <c r="N2306" s="18">
        <v>0</v>
      </c>
      <c r="O2306" s="18">
        <v>0</v>
      </c>
      <c r="P2306" s="18"/>
      <c r="Q2306" s="18">
        <v>0</v>
      </c>
      <c r="R2306" s="18">
        <v>0</v>
      </c>
      <c r="S2306" s="18"/>
      <c r="T2306" s="18">
        <v>0</v>
      </c>
      <c r="U2306" s="18"/>
      <c r="V2306" s="18">
        <f>+V2288+D2306+F2306+G2306+I2306+J2306+K2306+L2306+M2306+N2306+O2306+Q2306+R2306+T2306</f>
        <v>0</v>
      </c>
      <c r="W2306" s="18">
        <f>+W2288</f>
        <v>0</v>
      </c>
      <c r="X2306" s="18">
        <f>+V2306-W2306</f>
        <v>0</v>
      </c>
    </row>
    <row r="2307" spans="1:24" ht="15">
      <c r="A2307" s="4">
        <f>+A2306+1</f>
        <v>10</v>
      </c>
      <c r="B2307" s="24" t="s">
        <v>46</v>
      </c>
      <c r="C2307" s="11" t="s">
        <v>47</v>
      </c>
      <c r="D2307" s="18">
        <f>+D2299+D2300+D2305+D2306+D2301</f>
        <v>-362.6500000000001</v>
      </c>
      <c r="E2307" s="18"/>
      <c r="F2307" s="18">
        <f>+F2299+F2300+F2305+F2306+F2301</f>
        <v>50060.47000000001</v>
      </c>
      <c r="G2307" s="18">
        <f>+G2299+G2300+G2305+G2306+G2301</f>
        <v>426.74</v>
      </c>
      <c r="I2307" s="18">
        <f aca="true" t="shared" si="279" ref="I2307:O2307">+I2299+I2300+I2305+I2306+I2301</f>
        <v>0</v>
      </c>
      <c r="J2307" s="18">
        <f t="shared" si="279"/>
        <v>0</v>
      </c>
      <c r="K2307" s="18">
        <f t="shared" si="279"/>
        <v>-188552.73999999996</v>
      </c>
      <c r="L2307" s="18">
        <f t="shared" si="279"/>
        <v>-7129</v>
      </c>
      <c r="M2307" s="18">
        <f t="shared" si="279"/>
        <v>-8884.44</v>
      </c>
      <c r="N2307" s="18">
        <f t="shared" si="279"/>
        <v>0</v>
      </c>
      <c r="O2307" s="18">
        <f t="shared" si="279"/>
        <v>-38572.869999999995</v>
      </c>
      <c r="P2307" s="42"/>
      <c r="Q2307" s="18">
        <f>+Q2299+Q2300+Q2305+Q2306+Q2301</f>
        <v>0</v>
      </c>
      <c r="R2307" s="18">
        <f>+R2299+R2300+R2305+R2306+R2301</f>
        <v>-7827.010000000001</v>
      </c>
      <c r="S2307" s="18"/>
      <c r="T2307" s="18">
        <f>+T2299+T2300+T2305+T2306+T2301</f>
        <v>-37823.89000000001</v>
      </c>
      <c r="U2307" s="42"/>
      <c r="V2307" s="18">
        <f>+V2299+V2300+V2305+V2306+V2301</f>
        <v>11629419.159999995</v>
      </c>
      <c r="W2307" s="18">
        <f>+W2299+W2300+W2305+W2306+W2301</f>
        <v>12140428.34</v>
      </c>
      <c r="X2307" s="18">
        <f>+X2299+X2300+X2305+X2306+X2301</f>
        <v>-511009.1800000053</v>
      </c>
    </row>
    <row r="2308" spans="1:24" ht="15">
      <c r="A2308" s="4"/>
      <c r="B2308" s="24"/>
      <c r="C2308" s="11"/>
      <c r="D2308" s="18"/>
      <c r="E2308" s="18"/>
      <c r="F2308" s="18"/>
      <c r="G2308" s="18"/>
      <c r="I2308" s="18"/>
      <c r="J2308" s="18"/>
      <c r="K2308" s="27" t="s">
        <v>0</v>
      </c>
      <c r="L2308" s="18"/>
      <c r="M2308" s="18"/>
      <c r="N2308" s="18"/>
      <c r="O2308" s="18"/>
      <c r="P2308" s="42"/>
      <c r="Q2308" s="18"/>
      <c r="R2308" s="18"/>
      <c r="S2308" s="18"/>
      <c r="T2308" s="18"/>
      <c r="U2308" s="42"/>
      <c r="V2308" s="18"/>
      <c r="W2308" s="18"/>
      <c r="X2308" s="18"/>
    </row>
    <row r="2309" spans="1:24" ht="15">
      <c r="A2309" s="4"/>
      <c r="B2309" s="24"/>
      <c r="C2309" s="11"/>
      <c r="D2309" s="18"/>
      <c r="E2309" s="18"/>
      <c r="F2309" s="18"/>
      <c r="G2309" s="18"/>
      <c r="I2309" s="18"/>
      <c r="J2309" s="18"/>
      <c r="K2309" s="27"/>
      <c r="L2309" s="18"/>
      <c r="M2309" s="18"/>
      <c r="N2309" s="18"/>
      <c r="O2309" s="18"/>
      <c r="P2309" s="42"/>
      <c r="Q2309" s="18"/>
      <c r="R2309" s="18"/>
      <c r="S2309" s="18"/>
      <c r="T2309" s="18"/>
      <c r="U2309" s="42"/>
      <c r="V2309" s="18"/>
      <c r="W2309" s="18"/>
      <c r="X2309" s="18"/>
    </row>
    <row r="2310" spans="1:24" ht="15">
      <c r="A2310" s="4"/>
      <c r="B2310" s="24"/>
      <c r="C2310" s="11"/>
      <c r="D2310" s="18"/>
      <c r="E2310" s="18"/>
      <c r="F2310" s="18"/>
      <c r="G2310" s="18"/>
      <c r="I2310" s="18"/>
      <c r="J2310" s="18"/>
      <c r="K2310" s="18"/>
      <c r="L2310" s="18"/>
      <c r="M2310" s="18"/>
      <c r="N2310" s="18"/>
      <c r="O2310" s="18"/>
      <c r="P2310" s="42"/>
      <c r="Q2310" s="18"/>
      <c r="R2310" s="18"/>
      <c r="S2310" s="18"/>
      <c r="T2310" s="18"/>
      <c r="U2310" s="42"/>
      <c r="V2310" s="18"/>
      <c r="W2310" s="18"/>
      <c r="X2310" s="18"/>
    </row>
    <row r="2311" spans="1:24" ht="15">
      <c r="A2311" s="4"/>
      <c r="B2311" s="24"/>
      <c r="C2311" s="11"/>
      <c r="D2311" s="10" t="s">
        <v>4</v>
      </c>
      <c r="E2311" s="10"/>
      <c r="F2311" s="10" t="s">
        <v>5</v>
      </c>
      <c r="G2311" s="10" t="s">
        <v>6</v>
      </c>
      <c r="H2311" s="10"/>
      <c r="I2311" s="10" t="s">
        <v>7</v>
      </c>
      <c r="J2311" s="10" t="s">
        <v>8</v>
      </c>
      <c r="K2311" s="10" t="s">
        <v>9</v>
      </c>
      <c r="L2311" s="10" t="s">
        <v>10</v>
      </c>
      <c r="M2311" s="10" t="s">
        <v>11</v>
      </c>
      <c r="N2311" s="10" t="s">
        <v>12</v>
      </c>
      <c r="O2311" s="10" t="s">
        <v>13</v>
      </c>
      <c r="P2311" s="10"/>
      <c r="Q2311" s="10" t="s">
        <v>14</v>
      </c>
      <c r="R2311" s="10" t="s">
        <v>15</v>
      </c>
      <c r="S2311" s="10"/>
      <c r="T2311" s="10" t="s">
        <v>16</v>
      </c>
      <c r="U2311" s="10"/>
      <c r="V2311" s="10" t="s">
        <v>17</v>
      </c>
      <c r="W2311" s="10" t="s">
        <v>18</v>
      </c>
      <c r="X2311" s="10" t="s">
        <v>19</v>
      </c>
    </row>
    <row r="2312" spans="1:23" ht="15">
      <c r="A2312" s="4"/>
      <c r="B2312" s="24"/>
      <c r="C2312" s="11"/>
      <c r="D2312" s="10" t="s">
        <v>20</v>
      </c>
      <c r="E2312" s="10"/>
      <c r="F2312" s="14" t="s">
        <v>21</v>
      </c>
      <c r="G2312" s="10"/>
      <c r="I2312" s="39" t="s">
        <v>110</v>
      </c>
      <c r="J2312" s="47" t="s">
        <v>111</v>
      </c>
      <c r="K2312" s="39"/>
      <c r="L2312" s="10" t="s">
        <v>20</v>
      </c>
      <c r="M2312" s="10" t="s">
        <v>20</v>
      </c>
      <c r="N2312" s="10" t="s">
        <v>20</v>
      </c>
      <c r="O2312" s="10" t="s">
        <v>20</v>
      </c>
      <c r="P2312" s="42"/>
      <c r="Q2312" s="10" t="s">
        <v>20</v>
      </c>
      <c r="R2312" s="10" t="s">
        <v>20</v>
      </c>
      <c r="S2312" s="48"/>
      <c r="T2312" s="10" t="s">
        <v>20</v>
      </c>
      <c r="U2312" s="42"/>
      <c r="W2312" s="39" t="s">
        <v>112</v>
      </c>
    </row>
    <row r="2313" spans="1:24" ht="15">
      <c r="A2313" s="4"/>
      <c r="B2313" s="87" t="s">
        <v>183</v>
      </c>
      <c r="C2313" s="11"/>
      <c r="D2313" s="8" t="s">
        <v>113</v>
      </c>
      <c r="E2313" s="6"/>
      <c r="F2313" s="6" t="s">
        <v>114</v>
      </c>
      <c r="G2313" s="49" t="s">
        <v>22</v>
      </c>
      <c r="I2313" s="8" t="s">
        <v>113</v>
      </c>
      <c r="J2313" s="6" t="s">
        <v>114</v>
      </c>
      <c r="K2313" s="49" t="s">
        <v>24</v>
      </c>
      <c r="L2313" s="13" t="s">
        <v>115</v>
      </c>
      <c r="M2313" s="13" t="s">
        <v>116</v>
      </c>
      <c r="N2313" s="13" t="s">
        <v>117</v>
      </c>
      <c r="O2313" s="13" t="s">
        <v>118</v>
      </c>
      <c r="P2313" s="42"/>
      <c r="Q2313" s="13" t="s">
        <v>119</v>
      </c>
      <c r="R2313" s="13" t="s">
        <v>120</v>
      </c>
      <c r="T2313" s="13" t="s">
        <v>121</v>
      </c>
      <c r="U2313" s="42"/>
      <c r="V2313" s="10" t="s">
        <v>20</v>
      </c>
      <c r="W2313" s="10" t="s">
        <v>21</v>
      </c>
      <c r="X2313" s="10" t="s">
        <v>22</v>
      </c>
    </row>
    <row r="2314" spans="1:24" ht="15">
      <c r="A2314" s="4"/>
      <c r="B2314" s="24"/>
      <c r="C2314" s="11"/>
      <c r="D2314" s="18"/>
      <c r="E2314" s="18"/>
      <c r="F2314" s="18"/>
      <c r="G2314" s="18"/>
      <c r="I2314" s="72" t="s">
        <v>0</v>
      </c>
      <c r="K2314" s="42"/>
      <c r="L2314" s="42"/>
      <c r="N2314" s="42"/>
      <c r="O2314" s="18"/>
      <c r="P2314" s="42"/>
      <c r="U2314" s="42"/>
      <c r="V2314" s="18"/>
      <c r="W2314" s="39" t="s">
        <v>122</v>
      </c>
      <c r="X2314" s="18"/>
    </row>
    <row r="2315" spans="1:24" ht="15">
      <c r="A2315" s="4">
        <f>+A2287+1</f>
        <v>19</v>
      </c>
      <c r="B2315" s="5" t="s">
        <v>36</v>
      </c>
      <c r="C2315" s="17" t="s">
        <v>37</v>
      </c>
      <c r="D2315" s="27">
        <v>1436635.57</v>
      </c>
      <c r="E2315" s="18" t="s">
        <v>0</v>
      </c>
      <c r="F2315" s="27">
        <v>200053.89</v>
      </c>
      <c r="G2315" s="18">
        <f>D2315-F2315</f>
        <v>1236581.6800000002</v>
      </c>
      <c r="I2315" s="27">
        <v>-177.18</v>
      </c>
      <c r="J2315" s="27">
        <v>193.88</v>
      </c>
      <c r="K2315" s="36">
        <f>+I2315-J2315</f>
        <v>-371.06</v>
      </c>
      <c r="L2315" s="18">
        <v>0</v>
      </c>
      <c r="M2315" s="27">
        <f>-88407.01</f>
        <v>-88407.01</v>
      </c>
      <c r="N2315" s="27">
        <f>2208.3+72116.4</f>
        <v>74324.7</v>
      </c>
      <c r="O2315" s="18">
        <v>0</v>
      </c>
      <c r="P2315" s="42"/>
      <c r="Q2315" s="31">
        <v>0</v>
      </c>
      <c r="R2315" s="18">
        <v>4943.27</v>
      </c>
      <c r="S2315" s="18"/>
      <c r="T2315" s="18">
        <v>0</v>
      </c>
      <c r="U2315" s="42"/>
      <c r="V2315" s="31">
        <f>+D2315+I2315+L2315+M2315+N2315+O2315+Q2315+R2315+T2315</f>
        <v>1427319.35</v>
      </c>
      <c r="W2315" s="18">
        <f>+F2315+J2315</f>
        <v>200247.77000000002</v>
      </c>
      <c r="X2315" s="18">
        <f>+V2315-W2315</f>
        <v>1227071.58</v>
      </c>
    </row>
    <row r="2316" spans="1:24" ht="15">
      <c r="A2316" s="4">
        <f>+A2315+1</f>
        <v>20</v>
      </c>
      <c r="B2316" s="5" t="s">
        <v>36</v>
      </c>
      <c r="C2316" s="22" t="s">
        <v>38</v>
      </c>
      <c r="D2316" s="27">
        <v>1416616.73</v>
      </c>
      <c r="E2316" s="18" t="s">
        <v>0</v>
      </c>
      <c r="F2316" s="27">
        <v>200862.83</v>
      </c>
      <c r="G2316" s="18">
        <f>D2316-F2316</f>
        <v>1215753.9</v>
      </c>
      <c r="I2316" s="27">
        <v>-177.18</v>
      </c>
      <c r="J2316" s="31">
        <v>193.8</v>
      </c>
      <c r="K2316" s="36">
        <f>+I2316-J2316</f>
        <v>-370.98</v>
      </c>
      <c r="L2316" s="18">
        <v>0</v>
      </c>
      <c r="M2316" s="27">
        <v>-88479.36</v>
      </c>
      <c r="N2316" s="27">
        <f>2208.3+35536.5</f>
        <v>37744.8</v>
      </c>
      <c r="O2316" s="18">
        <v>0</v>
      </c>
      <c r="P2316" s="42"/>
      <c r="Q2316" s="31">
        <v>0</v>
      </c>
      <c r="R2316" s="18"/>
      <c r="S2316" s="18"/>
      <c r="T2316" s="18">
        <v>0</v>
      </c>
      <c r="U2316" s="42"/>
      <c r="V2316" s="31">
        <f>+D2316+I2316+L2316+M2316+N2316+O2316+Q2316+R2316+T2316</f>
        <v>1365704.99</v>
      </c>
      <c r="W2316" s="18">
        <f>+F2316+J2316</f>
        <v>201056.62999999998</v>
      </c>
      <c r="X2316" s="18">
        <f>+V2316-W2316</f>
        <v>1164648.36</v>
      </c>
    </row>
    <row r="2317" spans="1:24" ht="15">
      <c r="A2317" s="4">
        <f>+A2316+1</f>
        <v>21</v>
      </c>
      <c r="B2317" s="24" t="s">
        <v>46</v>
      </c>
      <c r="C2317" s="40" t="s">
        <v>78</v>
      </c>
      <c r="D2317" s="18">
        <f>+D2315-D2316</f>
        <v>20018.840000000084</v>
      </c>
      <c r="E2317" s="18"/>
      <c r="F2317" s="18">
        <f>+F2315-F2316</f>
        <v>-808.9399999999732</v>
      </c>
      <c r="G2317" s="18">
        <f>+G2315-G2316</f>
        <v>20827.78000000026</v>
      </c>
      <c r="I2317" s="18">
        <f>+I2315-I2316</f>
        <v>0</v>
      </c>
      <c r="J2317" s="18">
        <f>+J2315-J2316</f>
        <v>0.07999999999998408</v>
      </c>
      <c r="K2317" s="18">
        <f>K2315-K2316</f>
        <v>-0.07999999999998408</v>
      </c>
      <c r="L2317" s="18">
        <f>+L2315-L2316</f>
        <v>0</v>
      </c>
      <c r="M2317" s="18">
        <f>+M2315-M2316</f>
        <v>72.35000000000582</v>
      </c>
      <c r="N2317" s="18">
        <f>+N2315-N2316</f>
        <v>36579.899999999994</v>
      </c>
      <c r="O2317" s="18">
        <f>+O2315-O2316</f>
        <v>0</v>
      </c>
      <c r="P2317" s="42"/>
      <c r="Q2317" s="18">
        <f>+Q2315-Q2316</f>
        <v>0</v>
      </c>
      <c r="R2317" s="18">
        <f>+R2315-R2316</f>
        <v>4943.27</v>
      </c>
      <c r="S2317" s="18"/>
      <c r="T2317" s="18">
        <f>+T2315-T2316</f>
        <v>0</v>
      </c>
      <c r="U2317" s="42"/>
      <c r="V2317" s="31">
        <f>+V2315-V2316</f>
        <v>61614.3600000001</v>
      </c>
      <c r="W2317" s="31">
        <f>+W2315-W2316</f>
        <v>-808.8599999999569</v>
      </c>
      <c r="X2317" s="18">
        <f>+X2315-X2316</f>
        <v>62423.21999999997</v>
      </c>
    </row>
    <row r="2318" spans="1:24" ht="28.5">
      <c r="A2318" s="4">
        <f>+A2317+1</f>
        <v>22</v>
      </c>
      <c r="B2318" s="88" t="s">
        <v>182</v>
      </c>
      <c r="C2318" s="11"/>
      <c r="D2318" s="18">
        <v>0</v>
      </c>
      <c r="E2318" s="18"/>
      <c r="F2318" s="18">
        <v>0</v>
      </c>
      <c r="G2318" s="18">
        <f>+D2318-F2318</f>
        <v>0</v>
      </c>
      <c r="I2318" s="18">
        <v>0</v>
      </c>
      <c r="J2318" s="18">
        <v>0</v>
      </c>
      <c r="K2318" s="18">
        <f>+I2318-J2318</f>
        <v>0</v>
      </c>
      <c r="L2318" s="18">
        <v>0</v>
      </c>
      <c r="M2318" s="18">
        <v>0</v>
      </c>
      <c r="N2318" s="18">
        <f>+L2318-M2318</f>
        <v>0</v>
      </c>
      <c r="O2318" s="18">
        <v>0</v>
      </c>
      <c r="P2318" s="42"/>
      <c r="Q2318" s="18">
        <v>0</v>
      </c>
      <c r="R2318" s="18">
        <v>0</v>
      </c>
      <c r="S2318" s="18"/>
      <c r="T2318" s="18">
        <v>0</v>
      </c>
      <c r="U2318" s="42"/>
      <c r="V2318" s="31">
        <f>+D2318+I2318+L2318+M2318+N2318+O2318+Q2318+R2318+T2318</f>
        <v>0</v>
      </c>
      <c r="W2318" s="18">
        <f>+F2318+J2318</f>
        <v>0</v>
      </c>
      <c r="X2318" s="18">
        <f>+V2318-W2318</f>
        <v>0</v>
      </c>
    </row>
    <row r="2319" spans="1:24" ht="24.75">
      <c r="A2319" s="4">
        <f>+A2318+1</f>
        <v>23</v>
      </c>
      <c r="B2319" s="89" t="s">
        <v>39</v>
      </c>
      <c r="C2319" s="40"/>
      <c r="D2319" s="55">
        <v>-368.24</v>
      </c>
      <c r="E2319" s="18" t="s">
        <v>0</v>
      </c>
      <c r="F2319" s="27">
        <v>1127900.72</v>
      </c>
      <c r="G2319" s="18">
        <f>D2319-F2319</f>
        <v>-1128268.96</v>
      </c>
      <c r="I2319" s="27">
        <v>0</v>
      </c>
      <c r="J2319" s="27"/>
      <c r="K2319" s="18">
        <f>+I2319-J2319</f>
        <v>0</v>
      </c>
      <c r="L2319" s="18">
        <v>2742.31</v>
      </c>
      <c r="M2319" s="27">
        <v>-8214.75</v>
      </c>
      <c r="N2319" s="27">
        <f>-35609.76+967.74</f>
        <v>-34642.020000000004</v>
      </c>
      <c r="O2319" s="27">
        <v>14243.45</v>
      </c>
      <c r="P2319" s="42"/>
      <c r="Q2319" s="55">
        <v>0</v>
      </c>
      <c r="R2319" s="21"/>
      <c r="S2319" s="18"/>
      <c r="T2319" s="18">
        <v>0</v>
      </c>
      <c r="U2319" s="42"/>
      <c r="V2319" s="31">
        <f>+D2319+I2319+M2319+N2319+L2319+O2319+Q2319+R2319+T2319</f>
        <v>-26239.250000000004</v>
      </c>
      <c r="W2319" s="18">
        <f>+F2319+J2319</f>
        <v>1127900.72</v>
      </c>
      <c r="X2319" s="36">
        <f>+V2319-W2319</f>
        <v>-1154139.97</v>
      </c>
    </row>
    <row r="2320" spans="1:24" ht="15">
      <c r="A2320" s="6" t="s">
        <v>41</v>
      </c>
      <c r="B2320" s="41"/>
      <c r="C2320" s="40"/>
      <c r="D2320" s="18"/>
      <c r="E2320" s="18"/>
      <c r="F2320" s="18" t="s">
        <v>0</v>
      </c>
      <c r="G2320" s="18"/>
      <c r="I2320" s="18"/>
      <c r="J2320" s="18"/>
      <c r="K2320" s="18"/>
      <c r="L2320" s="18"/>
      <c r="M2320" s="18"/>
      <c r="N2320" s="18"/>
      <c r="O2320" s="18"/>
      <c r="P2320" s="42"/>
      <c r="Q2320" s="18"/>
      <c r="R2320" s="18"/>
      <c r="S2320" s="18"/>
      <c r="T2320" s="18" t="s">
        <v>0</v>
      </c>
      <c r="U2320" s="42"/>
      <c r="V2320" s="30"/>
      <c r="W2320" s="30"/>
      <c r="X2320" s="36"/>
    </row>
    <row r="2321" spans="1:24" ht="15">
      <c r="A2321" s="4">
        <f>+A2319+1</f>
        <v>24</v>
      </c>
      <c r="B2321" s="5" t="s">
        <v>42</v>
      </c>
      <c r="C2321" s="22" t="s">
        <v>38</v>
      </c>
      <c r="D2321" s="27">
        <v>1411636.96</v>
      </c>
      <c r="E2321" s="18" t="s">
        <v>0</v>
      </c>
      <c r="F2321" s="27">
        <v>82129.13</v>
      </c>
      <c r="G2321" s="18">
        <f>D2321-F2321</f>
        <v>1329507.83</v>
      </c>
      <c r="I2321" s="18">
        <v>-143.17</v>
      </c>
      <c r="J2321" s="26">
        <v>163.81</v>
      </c>
      <c r="K2321" s="18">
        <f>+I2321-J2321</f>
        <v>-306.98</v>
      </c>
      <c r="L2321" s="27">
        <v>0</v>
      </c>
      <c r="M2321" s="27">
        <v>-88479.36</v>
      </c>
      <c r="N2321" s="27">
        <f>2281.9+36755.83</f>
        <v>39037.73</v>
      </c>
      <c r="O2321" s="18">
        <v>0</v>
      </c>
      <c r="P2321" s="42"/>
      <c r="Q2321" s="31">
        <v>0</v>
      </c>
      <c r="R2321" s="18">
        <v>-4943</v>
      </c>
      <c r="S2321" s="18" t="s">
        <v>0</v>
      </c>
      <c r="T2321" s="18">
        <v>0</v>
      </c>
      <c r="U2321" s="42"/>
      <c r="V2321" s="31">
        <f>+D2321+I2321+L2321+M2321+N2321+O2321+Q2321+R2321+T2321</f>
        <v>1357109.16</v>
      </c>
      <c r="W2321" s="18">
        <f>+F2321+J2321</f>
        <v>82292.94</v>
      </c>
      <c r="X2321" s="18">
        <f>+V2321-W2321</f>
        <v>1274816.22</v>
      </c>
    </row>
    <row r="2322" spans="1:24" ht="15">
      <c r="A2322" s="4">
        <f>+A2321+1</f>
        <v>25</v>
      </c>
      <c r="B2322" s="5" t="s">
        <v>43</v>
      </c>
      <c r="C2322" s="11"/>
      <c r="D2322" s="18"/>
      <c r="E2322" s="18"/>
      <c r="F2322" s="18">
        <v>0</v>
      </c>
      <c r="G2322" s="18">
        <f>+D2322-F2322</f>
        <v>0</v>
      </c>
      <c r="I2322" s="18">
        <v>0</v>
      </c>
      <c r="J2322" s="18">
        <v>0</v>
      </c>
      <c r="K2322" s="18">
        <f>+I2322-J2322</f>
        <v>0</v>
      </c>
      <c r="L2322" s="18">
        <v>0</v>
      </c>
      <c r="M2322" s="18">
        <v>0</v>
      </c>
      <c r="N2322" s="18">
        <f>+L2322-M2322</f>
        <v>0</v>
      </c>
      <c r="O2322" s="18">
        <v>0</v>
      </c>
      <c r="P2322" s="42"/>
      <c r="Q2322" s="18">
        <v>0</v>
      </c>
      <c r="R2322" s="18">
        <v>0</v>
      </c>
      <c r="S2322" s="18"/>
      <c r="T2322" s="18">
        <v>0</v>
      </c>
      <c r="U2322" s="42"/>
      <c r="V2322" s="31">
        <f>+D2322+I2322+L2322+O2322+Q2322+R2322+T2322</f>
        <v>0</v>
      </c>
      <c r="W2322" s="18">
        <f>+F2322+J2322+M2322</f>
        <v>0</v>
      </c>
      <c r="X2322" s="18">
        <f>+V2322-W2322</f>
        <v>0</v>
      </c>
    </row>
    <row r="2323" spans="1:24" ht="26.25">
      <c r="A2323" s="4">
        <f>+A2322+1</f>
        <v>26</v>
      </c>
      <c r="B2323" s="24" t="s">
        <v>79</v>
      </c>
      <c r="C2323" s="11"/>
      <c r="D2323" s="18">
        <f>+D2321-D2322</f>
        <v>1411636.96</v>
      </c>
      <c r="E2323" s="18"/>
      <c r="F2323" s="18">
        <f>+F2321-F2322</f>
        <v>82129.13</v>
      </c>
      <c r="G2323" s="18">
        <f>+G2321-G2322</f>
        <v>1329507.83</v>
      </c>
      <c r="I2323" s="18">
        <f aca="true" t="shared" si="280" ref="I2323:N2323">+I2321-I2322</f>
        <v>-143.17</v>
      </c>
      <c r="J2323" s="18">
        <f>+J2321-J2322</f>
        <v>163.81</v>
      </c>
      <c r="K2323" s="18">
        <f t="shared" si="280"/>
        <v>-306.98</v>
      </c>
      <c r="L2323" s="18">
        <f t="shared" si="280"/>
        <v>0</v>
      </c>
      <c r="M2323" s="18">
        <f t="shared" si="280"/>
        <v>-88479.36</v>
      </c>
      <c r="N2323" s="18">
        <f t="shared" si="280"/>
        <v>39037.73</v>
      </c>
      <c r="O2323" s="18">
        <v>0</v>
      </c>
      <c r="P2323" s="42"/>
      <c r="Q2323" s="18">
        <f>+Q2321-Q2322</f>
        <v>0</v>
      </c>
      <c r="R2323" s="18">
        <f>+R2321-R2322</f>
        <v>-4943</v>
      </c>
      <c r="S2323" s="18"/>
      <c r="T2323" s="18">
        <f>+T2321-T2322</f>
        <v>0</v>
      </c>
      <c r="U2323" s="42"/>
      <c r="V2323" s="27">
        <f>+V2321-V2322</f>
        <v>1357109.16</v>
      </c>
      <c r="W2323" s="27">
        <f>+W2321-W2322</f>
        <v>82292.94</v>
      </c>
      <c r="X2323" s="31">
        <f>+X2321-X2322</f>
        <v>1274816.22</v>
      </c>
    </row>
    <row r="2324" spans="1:24" ht="28.5">
      <c r="A2324" s="4">
        <f>+A2323+1</f>
        <v>27</v>
      </c>
      <c r="B2324" s="88" t="s">
        <v>181</v>
      </c>
      <c r="C2324" s="11"/>
      <c r="D2324" s="18">
        <v>0</v>
      </c>
      <c r="E2324" s="18"/>
      <c r="F2324" s="18">
        <v>0</v>
      </c>
      <c r="G2324" s="18">
        <f>+D2324-F2324</f>
        <v>0</v>
      </c>
      <c r="I2324" s="18">
        <v>0</v>
      </c>
      <c r="J2324" s="18">
        <v>0</v>
      </c>
      <c r="K2324" s="18">
        <f>+I2324-J2324</f>
        <v>0</v>
      </c>
      <c r="L2324" s="18">
        <v>0</v>
      </c>
      <c r="M2324" s="18">
        <v>0</v>
      </c>
      <c r="N2324" s="18">
        <f>+L2324-M2324</f>
        <v>0</v>
      </c>
      <c r="O2324" s="18">
        <v>0</v>
      </c>
      <c r="P2324" s="42"/>
      <c r="Q2324" s="18">
        <v>0</v>
      </c>
      <c r="R2324" s="18">
        <v>0</v>
      </c>
      <c r="S2324" s="18"/>
      <c r="T2324" s="18">
        <v>0</v>
      </c>
      <c r="U2324" s="42"/>
      <c r="V2324" s="31">
        <f>+D2324+I2324+L2324+O2324+Q2324+R2324+T2324</f>
        <v>0</v>
      </c>
      <c r="W2324" s="18">
        <f>+F2324+J2324+M2324</f>
        <v>0</v>
      </c>
      <c r="X2324" s="18">
        <f>+V2324-W2324</f>
        <v>0</v>
      </c>
    </row>
    <row r="2325" spans="1:24" ht="15">
      <c r="A2325" s="4">
        <f>+A2324+1</f>
        <v>28</v>
      </c>
      <c r="B2325" s="24" t="s">
        <v>46</v>
      </c>
      <c r="C2325" s="11" t="s">
        <v>47</v>
      </c>
      <c r="D2325" s="51">
        <f>+D2317+D2318+D2323+D2324+D2319</f>
        <v>1431287.56</v>
      </c>
      <c r="E2325" s="18"/>
      <c r="F2325" s="52">
        <f>+F2317+F2318+F2323+F2324+F2319</f>
        <v>1209220.91</v>
      </c>
      <c r="G2325" s="18">
        <f>+G2317+G2318+G2323+G2324+G2319</f>
        <v>222066.65000000037</v>
      </c>
      <c r="I2325" s="51">
        <f aca="true" t="shared" si="281" ref="I2325:O2325">+I2317+I2318+I2323+I2324+I2319</f>
        <v>-143.17</v>
      </c>
      <c r="J2325" s="52">
        <f>+J2317+J2318+J2323+J2324+J2319</f>
        <v>163.89</v>
      </c>
      <c r="K2325" s="18">
        <f t="shared" si="281"/>
        <v>-307.06</v>
      </c>
      <c r="L2325" s="18">
        <f t="shared" si="281"/>
        <v>2742.31</v>
      </c>
      <c r="M2325" s="18">
        <f>+M2317+M2318+M2323+M2324+M2319</f>
        <v>-96621.76</v>
      </c>
      <c r="N2325" s="18">
        <f t="shared" si="281"/>
        <v>40975.61</v>
      </c>
      <c r="O2325" s="18">
        <f t="shared" si="281"/>
        <v>14243.45</v>
      </c>
      <c r="P2325" s="42"/>
      <c r="Q2325" s="18">
        <f>+Q2317+Q2318+Q2323+Q2324+Q2319</f>
        <v>0</v>
      </c>
      <c r="R2325" s="18">
        <f>+R2317+R2318+R2323+R2324+R2319</f>
        <v>0.27000000000043656</v>
      </c>
      <c r="S2325" s="18"/>
      <c r="T2325" s="18">
        <f>+T2317+T2318+T2323+T2324+T2319</f>
        <v>0</v>
      </c>
      <c r="U2325" s="42"/>
      <c r="V2325" s="18">
        <f>+V2317+V2318+V2323+V2324+V2319</f>
        <v>1392484.27</v>
      </c>
      <c r="W2325" s="18">
        <f>+W2317+W2318+W2323+W2324+W2319</f>
        <v>1209384.8</v>
      </c>
      <c r="X2325" s="18">
        <f>+X2317+X2318+X2323+X2324+X2319</f>
        <v>183099.46999999997</v>
      </c>
    </row>
    <row r="2326" spans="1:24" ht="15">
      <c r="A2326" s="4"/>
      <c r="B2326" s="24" t="s">
        <v>0</v>
      </c>
      <c r="C2326" s="11"/>
      <c r="D2326" s="27">
        <f>D2325+I2325</f>
        <v>1431144.3900000001</v>
      </c>
      <c r="E2326" s="79" t="s">
        <v>0</v>
      </c>
      <c r="F2326" s="27">
        <f>F2325+J2325</f>
        <v>1209384.7999999998</v>
      </c>
      <c r="G2326" s="79" t="s">
        <v>0</v>
      </c>
      <c r="I2326" s="18"/>
      <c r="J2326" s="18"/>
      <c r="K2326" s="18"/>
      <c r="L2326" s="18"/>
      <c r="M2326" s="42"/>
      <c r="N2326" s="73" t="s">
        <v>0</v>
      </c>
      <c r="O2326" s="42"/>
      <c r="P2326" s="42"/>
      <c r="Q2326" s="42"/>
      <c r="U2326" s="42"/>
      <c r="V2326" s="18"/>
      <c r="W2326" s="18"/>
      <c r="X2326" s="18"/>
    </row>
    <row r="2327" spans="1:24" ht="15">
      <c r="A2327" s="4"/>
      <c r="B2327" s="92"/>
      <c r="C2327" s="79" t="s">
        <v>0</v>
      </c>
      <c r="D2327" s="6" t="s">
        <v>48</v>
      </c>
      <c r="E2327" s="6"/>
      <c r="F2327" s="10" t="s">
        <v>49</v>
      </c>
      <c r="G2327" s="10" t="s">
        <v>50</v>
      </c>
      <c r="I2327" s="10" t="s">
        <v>51</v>
      </c>
      <c r="J2327" s="10" t="s">
        <v>52</v>
      </c>
      <c r="K2327" s="10" t="s">
        <v>53</v>
      </c>
      <c r="L2327" s="10" t="s">
        <v>54</v>
      </c>
      <c r="M2327" s="10" t="s">
        <v>55</v>
      </c>
      <c r="N2327" s="10" t="s">
        <v>56</v>
      </c>
      <c r="O2327" s="10" t="s">
        <v>57</v>
      </c>
      <c r="P2327" s="18"/>
      <c r="Q2327" s="10" t="s">
        <v>58</v>
      </c>
      <c r="R2327" s="10" t="s">
        <v>59</v>
      </c>
      <c r="S2327" s="10"/>
      <c r="T2327" s="10" t="s">
        <v>60</v>
      </c>
      <c r="U2327" s="18"/>
      <c r="V2327" s="10" t="s">
        <v>61</v>
      </c>
      <c r="W2327" s="10" t="s">
        <v>62</v>
      </c>
      <c r="X2327" s="10" t="s">
        <v>63</v>
      </c>
    </row>
    <row r="2328" spans="1:24" ht="15">
      <c r="A2328" s="4"/>
      <c r="B2328" s="24"/>
      <c r="C2328" s="11"/>
      <c r="D2328" s="14" t="s">
        <v>20</v>
      </c>
      <c r="E2328" s="18"/>
      <c r="F2328" s="14" t="s">
        <v>20</v>
      </c>
      <c r="G2328" s="14" t="s">
        <v>20</v>
      </c>
      <c r="I2328" s="14" t="s">
        <v>20</v>
      </c>
      <c r="J2328" s="14" t="s">
        <v>21</v>
      </c>
      <c r="K2328" s="14" t="s">
        <v>21</v>
      </c>
      <c r="L2328" s="14" t="s">
        <v>21</v>
      </c>
      <c r="M2328" s="14" t="s">
        <v>21</v>
      </c>
      <c r="N2328" s="14" t="s">
        <v>21</v>
      </c>
      <c r="O2328" s="14" t="s">
        <v>21</v>
      </c>
      <c r="P2328" s="14"/>
      <c r="Q2328" s="14" t="s">
        <v>21</v>
      </c>
      <c r="R2328" s="14" t="s">
        <v>21</v>
      </c>
      <c r="T2328" s="14" t="s">
        <v>21</v>
      </c>
      <c r="U2328" s="42"/>
      <c r="V2328" s="18"/>
      <c r="W2328" s="39" t="s">
        <v>123</v>
      </c>
      <c r="X2328" s="18"/>
    </row>
    <row r="2329" spans="1:24" ht="15">
      <c r="A2329" s="4"/>
      <c r="B2329" s="87" t="s">
        <v>183</v>
      </c>
      <c r="C2329" s="11"/>
      <c r="D2329" s="53" t="s">
        <v>124</v>
      </c>
      <c r="E2329" s="18"/>
      <c r="F2329" s="53" t="s">
        <v>125</v>
      </c>
      <c r="G2329" s="53" t="s">
        <v>126</v>
      </c>
      <c r="I2329" s="53" t="s">
        <v>127</v>
      </c>
      <c r="J2329" s="53" t="s">
        <v>128</v>
      </c>
      <c r="K2329" s="53" t="s">
        <v>129</v>
      </c>
      <c r="L2329" s="53" t="s">
        <v>130</v>
      </c>
      <c r="M2329" s="53" t="s">
        <v>131</v>
      </c>
      <c r="N2329" s="24" t="s">
        <v>132</v>
      </c>
      <c r="O2329" s="24" t="s">
        <v>98</v>
      </c>
      <c r="P2329" s="24"/>
      <c r="Q2329" s="24" t="s">
        <v>99</v>
      </c>
      <c r="R2329" s="24" t="s">
        <v>133</v>
      </c>
      <c r="S2329" s="42"/>
      <c r="T2329" s="24" t="s">
        <v>134</v>
      </c>
      <c r="U2329" s="42"/>
      <c r="V2329" s="10" t="s">
        <v>20</v>
      </c>
      <c r="W2329" s="10" t="s">
        <v>21</v>
      </c>
      <c r="X2329" s="10" t="s">
        <v>22</v>
      </c>
    </row>
    <row r="2330" spans="1:24" ht="15">
      <c r="A2330" s="4"/>
      <c r="B2330" s="24"/>
      <c r="C2330" s="11"/>
      <c r="D2330" s="18"/>
      <c r="E2330" s="18"/>
      <c r="F2330" s="18"/>
      <c r="I2330" s="18"/>
      <c r="J2330" s="18"/>
      <c r="O2330" s="42"/>
      <c r="P2330" s="42"/>
      <c r="Q2330" s="42"/>
      <c r="R2330" s="42"/>
      <c r="S2330" s="42"/>
      <c r="T2330" s="42"/>
      <c r="U2330" s="42"/>
      <c r="V2330" s="18"/>
      <c r="W2330" s="39"/>
      <c r="X2330" s="18"/>
    </row>
    <row r="2331" spans="1:24" ht="15">
      <c r="A2331" s="4">
        <f>+A2325+1</f>
        <v>29</v>
      </c>
      <c r="B2331" s="5" t="s">
        <v>36</v>
      </c>
      <c r="C2331" s="17" t="s">
        <v>37</v>
      </c>
      <c r="D2331" s="18">
        <v>0</v>
      </c>
      <c r="E2331" s="18"/>
      <c r="F2331" s="18">
        <v>0</v>
      </c>
      <c r="G2331" s="18">
        <v>0</v>
      </c>
      <c r="I2331" s="18">
        <v>0</v>
      </c>
      <c r="J2331" s="18">
        <v>-155.7</v>
      </c>
      <c r="K2331" s="18">
        <v>0</v>
      </c>
      <c r="L2331" s="18">
        <v>0</v>
      </c>
      <c r="M2331" s="18">
        <v>0</v>
      </c>
      <c r="N2331" s="18">
        <v>0</v>
      </c>
      <c r="O2331" s="18">
        <v>0</v>
      </c>
      <c r="P2331" s="18"/>
      <c r="Q2331" s="18">
        <v>0</v>
      </c>
      <c r="R2331" s="18">
        <v>0</v>
      </c>
      <c r="S2331" s="42"/>
      <c r="T2331" s="18">
        <v>0</v>
      </c>
      <c r="U2331" s="42"/>
      <c r="V2331" s="18">
        <f>+V2315+D2331+F2331+G2331+I2331</f>
        <v>1427319.35</v>
      </c>
      <c r="W2331" s="18">
        <f>+W2315+J2331+K2331+L2331+M2331+N2331+O2331+Q2331+R2331+T2331</f>
        <v>200092.07</v>
      </c>
      <c r="X2331" s="18">
        <f>+V2331-W2331</f>
        <v>1227227.28</v>
      </c>
    </row>
    <row r="2332" spans="1:24" ht="15">
      <c r="A2332" s="4">
        <f>+A2331+1</f>
        <v>30</v>
      </c>
      <c r="B2332" s="5" t="s">
        <v>36</v>
      </c>
      <c r="C2332" s="22" t="s">
        <v>38</v>
      </c>
      <c r="D2332" s="18">
        <v>0</v>
      </c>
      <c r="E2332" s="18"/>
      <c r="F2332" s="18">
        <v>0</v>
      </c>
      <c r="G2332" s="18">
        <v>0</v>
      </c>
      <c r="I2332" s="18">
        <v>0</v>
      </c>
      <c r="J2332" s="18">
        <v>0</v>
      </c>
      <c r="K2332" s="18">
        <v>0</v>
      </c>
      <c r="L2332" s="18">
        <v>0</v>
      </c>
      <c r="M2332" s="18">
        <v>0</v>
      </c>
      <c r="N2332" s="18">
        <v>0</v>
      </c>
      <c r="O2332" s="18">
        <v>0</v>
      </c>
      <c r="P2332" s="18"/>
      <c r="Q2332" s="18">
        <v>0</v>
      </c>
      <c r="R2332" s="18">
        <v>0</v>
      </c>
      <c r="S2332" s="42"/>
      <c r="T2332" s="18">
        <v>0</v>
      </c>
      <c r="U2332" s="42"/>
      <c r="V2332" s="18">
        <f>+V2316+D2332+F2332+G2332+I2332</f>
        <v>1365704.99</v>
      </c>
      <c r="W2332" s="18">
        <f>+W2316+J2332+K2332+L2332+M2332+N2332+O2332+Q2332+R2332+T2332</f>
        <v>201056.62999999998</v>
      </c>
      <c r="X2332" s="18">
        <f>+V2332-W2332</f>
        <v>1164648.36</v>
      </c>
    </row>
    <row r="2333" spans="1:24" ht="15">
      <c r="A2333" s="4">
        <f>+A2332+1</f>
        <v>31</v>
      </c>
      <c r="B2333" s="24" t="s">
        <v>46</v>
      </c>
      <c r="C2333" s="40" t="s">
        <v>78</v>
      </c>
      <c r="D2333" s="18">
        <f>+D2331-D2332</f>
        <v>0</v>
      </c>
      <c r="E2333" s="18"/>
      <c r="F2333" s="18">
        <f>+F2331-F2332</f>
        <v>0</v>
      </c>
      <c r="G2333" s="18">
        <f>+G2331-G2332</f>
        <v>0</v>
      </c>
      <c r="I2333" s="18">
        <f aca="true" t="shared" si="282" ref="I2333:O2333">+I2331-I2332</f>
        <v>0</v>
      </c>
      <c r="J2333" s="18">
        <f t="shared" si="282"/>
        <v>-155.7</v>
      </c>
      <c r="K2333" s="18">
        <f t="shared" si="282"/>
        <v>0</v>
      </c>
      <c r="L2333" s="18">
        <f t="shared" si="282"/>
        <v>0</v>
      </c>
      <c r="M2333" s="18">
        <f t="shared" si="282"/>
        <v>0</v>
      </c>
      <c r="N2333" s="18">
        <f t="shared" si="282"/>
        <v>0</v>
      </c>
      <c r="O2333" s="18">
        <f t="shared" si="282"/>
        <v>0</v>
      </c>
      <c r="P2333" s="18"/>
      <c r="Q2333" s="18">
        <f>+Q2331-Q2332</f>
        <v>0</v>
      </c>
      <c r="R2333" s="18">
        <f>+R2331-R2332</f>
        <v>0</v>
      </c>
      <c r="S2333" s="42"/>
      <c r="T2333" s="18">
        <f>+T2331-T2332</f>
        <v>0</v>
      </c>
      <c r="U2333" s="42"/>
      <c r="V2333" s="27">
        <f>+V2331-V2332</f>
        <v>61614.3600000001</v>
      </c>
      <c r="W2333" s="27">
        <f>+W2331-W2332</f>
        <v>-964.5599999999686</v>
      </c>
      <c r="X2333" s="18">
        <f>+X2331-X2332</f>
        <v>62578.919999999925</v>
      </c>
    </row>
    <row r="2334" spans="1:24" ht="28.5">
      <c r="A2334" s="4">
        <f>+A2333+1</f>
        <v>32</v>
      </c>
      <c r="B2334" s="88" t="s">
        <v>182</v>
      </c>
      <c r="C2334" s="11"/>
      <c r="D2334" s="18">
        <v>0</v>
      </c>
      <c r="E2334" s="18"/>
      <c r="F2334" s="18">
        <v>0</v>
      </c>
      <c r="G2334" s="18">
        <v>0</v>
      </c>
      <c r="I2334" s="18">
        <v>0</v>
      </c>
      <c r="J2334" s="18">
        <v>0</v>
      </c>
      <c r="K2334" s="18">
        <v>0</v>
      </c>
      <c r="L2334" s="18">
        <v>0</v>
      </c>
      <c r="M2334" s="18">
        <v>0</v>
      </c>
      <c r="N2334" s="18">
        <v>0</v>
      </c>
      <c r="O2334" s="18">
        <v>0</v>
      </c>
      <c r="P2334" s="18"/>
      <c r="Q2334" s="18">
        <v>0</v>
      </c>
      <c r="R2334" s="18">
        <v>0</v>
      </c>
      <c r="S2334" s="42"/>
      <c r="T2334" s="18">
        <v>0</v>
      </c>
      <c r="U2334" s="42"/>
      <c r="V2334" s="18">
        <f>+V2318+D2334+F2334+G2334+I2334</f>
        <v>0</v>
      </c>
      <c r="W2334" s="18">
        <f>+W2318+J2334+K2334+L2334+M2334+N2334+O2334+Q2334+R2334+T2334</f>
        <v>0</v>
      </c>
      <c r="X2334" s="18">
        <f>+V2334-W2334</f>
        <v>0</v>
      </c>
    </row>
    <row r="2335" spans="1:24" ht="24.75">
      <c r="A2335" s="4">
        <f>+A2334+1</f>
        <v>33</v>
      </c>
      <c r="B2335" s="89" t="s">
        <v>39</v>
      </c>
      <c r="C2335" s="40"/>
      <c r="D2335" s="27">
        <v>-91311.3</v>
      </c>
      <c r="E2335" s="27" t="s">
        <v>0</v>
      </c>
      <c r="F2335" s="27">
        <v>0</v>
      </c>
      <c r="G2335" s="27">
        <v>-6208.21</v>
      </c>
      <c r="H2335" t="s">
        <v>0</v>
      </c>
      <c r="I2335" s="27">
        <v>0</v>
      </c>
      <c r="J2335" s="27">
        <v>4.11</v>
      </c>
      <c r="K2335" s="27">
        <v>0</v>
      </c>
      <c r="L2335" s="27">
        <v>0</v>
      </c>
      <c r="M2335" s="18">
        <v>0</v>
      </c>
      <c r="N2335" s="18">
        <v>0</v>
      </c>
      <c r="O2335" s="18">
        <v>0</v>
      </c>
      <c r="P2335" s="18"/>
      <c r="Q2335" s="18">
        <v>0</v>
      </c>
      <c r="R2335" s="18">
        <v>0</v>
      </c>
      <c r="S2335" s="42"/>
      <c r="T2335" s="18">
        <v>64.23</v>
      </c>
      <c r="U2335" s="42"/>
      <c r="V2335" s="18">
        <f>+V2319+D2335+F2335+G2335+I2335</f>
        <v>-123758.76000000001</v>
      </c>
      <c r="W2335" s="18">
        <f>+W2319+J2335+K2335+L2335+M2335+N2335+O2335+Q2335+R2335+T2335</f>
        <v>1127969.06</v>
      </c>
      <c r="X2335" s="36">
        <f>+V2335-W2335</f>
        <v>-1251727.82</v>
      </c>
    </row>
    <row r="2336" spans="1:24" ht="15">
      <c r="A2336" s="6" t="s">
        <v>41</v>
      </c>
      <c r="B2336" s="41"/>
      <c r="C2336" s="40"/>
      <c r="D2336" s="18"/>
      <c r="E2336" s="18"/>
      <c r="F2336" s="18"/>
      <c r="G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42"/>
      <c r="T2336" s="18"/>
      <c r="U2336" s="42"/>
      <c r="V2336" s="18"/>
      <c r="W2336" s="54"/>
      <c r="X2336" s="36"/>
    </row>
    <row r="2337" spans="1:24" ht="15">
      <c r="A2337" s="4">
        <f>+A2335+1</f>
        <v>34</v>
      </c>
      <c r="B2337" s="5" t="s">
        <v>42</v>
      </c>
      <c r="C2337" s="22" t="s">
        <v>38</v>
      </c>
      <c r="D2337" s="18">
        <v>0</v>
      </c>
      <c r="E2337" s="18"/>
      <c r="F2337" s="18">
        <v>0</v>
      </c>
      <c r="G2337" s="18">
        <v>0</v>
      </c>
      <c r="I2337" s="18">
        <v>0</v>
      </c>
      <c r="J2337" s="18">
        <v>0</v>
      </c>
      <c r="K2337" s="18">
        <v>0</v>
      </c>
      <c r="L2337" s="18"/>
      <c r="M2337" s="18">
        <v>0</v>
      </c>
      <c r="N2337" s="18">
        <v>0</v>
      </c>
      <c r="O2337" s="18">
        <v>0</v>
      </c>
      <c r="P2337" s="18"/>
      <c r="Q2337" s="18">
        <v>0</v>
      </c>
      <c r="R2337" s="18">
        <v>0</v>
      </c>
      <c r="S2337" s="42"/>
      <c r="T2337" s="18">
        <v>0</v>
      </c>
      <c r="U2337" s="42"/>
      <c r="V2337" s="18">
        <f>+V2321+D2337+F2337+G2337+I2337</f>
        <v>1357109.16</v>
      </c>
      <c r="W2337" s="18">
        <f>+W2321+J2337+K2337+L2337+M2337+N2337+O2337+Q2337+R2337+T2337</f>
        <v>82292.94</v>
      </c>
      <c r="X2337" s="18">
        <f>+V2337-W2337</f>
        <v>1274816.22</v>
      </c>
    </row>
    <row r="2338" spans="1:24" ht="15">
      <c r="A2338" s="4">
        <f>+A2337+1</f>
        <v>35</v>
      </c>
      <c r="B2338" s="5" t="s">
        <v>43</v>
      </c>
      <c r="C2338" s="11"/>
      <c r="D2338" s="18">
        <v>0</v>
      </c>
      <c r="E2338" s="18"/>
      <c r="F2338" s="18">
        <v>0</v>
      </c>
      <c r="G2338" s="18">
        <v>0</v>
      </c>
      <c r="I2338" s="18">
        <v>0</v>
      </c>
      <c r="J2338" s="18">
        <v>0</v>
      </c>
      <c r="K2338" s="18">
        <v>0</v>
      </c>
      <c r="L2338" s="18">
        <v>0</v>
      </c>
      <c r="M2338" s="18">
        <v>0</v>
      </c>
      <c r="N2338" s="18">
        <v>0</v>
      </c>
      <c r="O2338" s="18">
        <v>0</v>
      </c>
      <c r="P2338" s="18"/>
      <c r="Q2338" s="18">
        <v>0</v>
      </c>
      <c r="R2338" s="18">
        <v>0</v>
      </c>
      <c r="S2338" s="42"/>
      <c r="T2338" s="18">
        <v>0</v>
      </c>
      <c r="U2338" s="42"/>
      <c r="V2338" s="18">
        <f>+V2322+D2338+F2338+G2338+I2338</f>
        <v>0</v>
      </c>
      <c r="W2338" s="18">
        <f>+W2322+J2338+K2338+L2338+M2338+N2338+O2338+Q2338+R2338+T2338</f>
        <v>0</v>
      </c>
      <c r="X2338" s="18">
        <f>+V2338-W2338</f>
        <v>0</v>
      </c>
    </row>
    <row r="2339" spans="1:24" ht="26.25">
      <c r="A2339" s="4">
        <f>+A2338+1</f>
        <v>36</v>
      </c>
      <c r="B2339" s="24" t="s">
        <v>79</v>
      </c>
      <c r="C2339" s="11"/>
      <c r="D2339" s="18">
        <f>+D2337-D2338</f>
        <v>0</v>
      </c>
      <c r="E2339" s="18"/>
      <c r="F2339" s="18">
        <f>+F2337-F2338</f>
        <v>0</v>
      </c>
      <c r="G2339" s="18">
        <f>+G2337-G2338</f>
        <v>0</v>
      </c>
      <c r="I2339" s="18">
        <f aca="true" t="shared" si="283" ref="I2339:O2339">+I2337-I2338</f>
        <v>0</v>
      </c>
      <c r="J2339" s="18">
        <f t="shared" si="283"/>
        <v>0</v>
      </c>
      <c r="K2339" s="18">
        <f t="shared" si="283"/>
        <v>0</v>
      </c>
      <c r="L2339" s="18">
        <f t="shared" si="283"/>
        <v>0</v>
      </c>
      <c r="M2339" s="18">
        <f t="shared" si="283"/>
        <v>0</v>
      </c>
      <c r="N2339" s="18">
        <f t="shared" si="283"/>
        <v>0</v>
      </c>
      <c r="O2339" s="18">
        <f t="shared" si="283"/>
        <v>0</v>
      </c>
      <c r="P2339" s="18"/>
      <c r="Q2339" s="18">
        <f>+Q2337-Q2338</f>
        <v>0</v>
      </c>
      <c r="R2339" s="18">
        <f>+R2337-R2338</f>
        <v>0</v>
      </c>
      <c r="S2339" s="42"/>
      <c r="T2339" s="18">
        <f>+T2337-T2338</f>
        <v>0</v>
      </c>
      <c r="U2339" s="42"/>
      <c r="V2339" s="55">
        <f>+V2337-V2338</f>
        <v>1357109.16</v>
      </c>
      <c r="W2339" s="55">
        <f>+W2337-W2338</f>
        <v>82292.94</v>
      </c>
      <c r="X2339" s="31">
        <f>+X2337-X2338</f>
        <v>1274816.22</v>
      </c>
    </row>
    <row r="2340" spans="1:24" ht="28.5">
      <c r="A2340" s="4">
        <f>+A2339+1</f>
        <v>37</v>
      </c>
      <c r="B2340" s="88" t="s">
        <v>181</v>
      </c>
      <c r="C2340" s="11"/>
      <c r="D2340" s="18">
        <v>0</v>
      </c>
      <c r="E2340" s="18"/>
      <c r="F2340" s="18">
        <v>0</v>
      </c>
      <c r="G2340" s="18">
        <v>0</v>
      </c>
      <c r="I2340" s="18">
        <v>0</v>
      </c>
      <c r="J2340" s="18">
        <v>0</v>
      </c>
      <c r="K2340" s="18">
        <v>0</v>
      </c>
      <c r="L2340" s="18">
        <v>0</v>
      </c>
      <c r="M2340" s="18">
        <v>0</v>
      </c>
      <c r="N2340" s="18">
        <v>0</v>
      </c>
      <c r="O2340" s="18">
        <v>0</v>
      </c>
      <c r="P2340" s="18"/>
      <c r="Q2340" s="18">
        <v>0</v>
      </c>
      <c r="R2340" s="18">
        <v>0</v>
      </c>
      <c r="S2340" s="42"/>
      <c r="T2340" s="18">
        <v>0</v>
      </c>
      <c r="U2340" s="42"/>
      <c r="V2340" s="18">
        <f>+V2324+D2340+F2340+G2340+I2340</f>
        <v>0</v>
      </c>
      <c r="W2340" s="18">
        <f>+W2324+J2340+K2340+L2340+M2340+N2340+O2340+Q2340+R2340+T2340</f>
        <v>0</v>
      </c>
      <c r="X2340" s="18">
        <f>+V2340-W2340</f>
        <v>0</v>
      </c>
    </row>
    <row r="2341" spans="1:24" ht="15">
      <c r="A2341" s="4">
        <f>+A2340+1</f>
        <v>38</v>
      </c>
      <c r="B2341" s="24" t="s">
        <v>46</v>
      </c>
      <c r="C2341" s="11" t="s">
        <v>47</v>
      </c>
      <c r="D2341" s="18">
        <f>+D2333+D2334+D2339+D2340+D2335</f>
        <v>-91311.3</v>
      </c>
      <c r="E2341" s="18"/>
      <c r="F2341" s="18">
        <f>+F2333+F2334+F2339+F2340+F2335</f>
        <v>0</v>
      </c>
      <c r="G2341" s="18">
        <f>+G2333+G2334+G2339+G2340+G2335</f>
        <v>-6208.21</v>
      </c>
      <c r="I2341" s="18">
        <f aca="true" t="shared" si="284" ref="I2341:O2341">+I2333+I2334+I2339+I2340+I2335</f>
        <v>0</v>
      </c>
      <c r="J2341" s="18">
        <f>+J2333+J2334+J2339+J2340+J2335</f>
        <v>-151.58999999999997</v>
      </c>
      <c r="K2341" s="18">
        <f t="shared" si="284"/>
        <v>0</v>
      </c>
      <c r="L2341" s="18">
        <f t="shared" si="284"/>
        <v>0</v>
      </c>
      <c r="M2341" s="18">
        <f t="shared" si="284"/>
        <v>0</v>
      </c>
      <c r="N2341" s="18">
        <f t="shared" si="284"/>
        <v>0</v>
      </c>
      <c r="O2341" s="18">
        <f t="shared" si="284"/>
        <v>0</v>
      </c>
      <c r="P2341" s="18"/>
      <c r="Q2341" s="18">
        <f>+Q2333+Q2334+Q2339+Q2340+Q2335</f>
        <v>0</v>
      </c>
      <c r="R2341" s="18">
        <f>+R2333+R2334+R2339+R2340+R2335</f>
        <v>0</v>
      </c>
      <c r="S2341" s="18"/>
      <c r="T2341" s="18">
        <f>+T2333+T2334+T2339+T2340+T2335</f>
        <v>64.23</v>
      </c>
      <c r="U2341" s="42"/>
      <c r="V2341" s="18">
        <f>+V2333+V2334+V2339+V2340+V2335</f>
        <v>1294964.76</v>
      </c>
      <c r="W2341" s="18">
        <f>+W2333+W2334+W2339+W2340+W2335</f>
        <v>1209297.4400000002</v>
      </c>
      <c r="X2341" s="18">
        <f>+X2333+X2334+X2339+X2340+X2335</f>
        <v>85667.31999999983</v>
      </c>
    </row>
    <row r="2342" spans="1:24" ht="15">
      <c r="A2342" s="4"/>
      <c r="B2342" s="24"/>
      <c r="C2342" s="11"/>
      <c r="D2342" s="18"/>
      <c r="E2342" s="18"/>
      <c r="F2342" s="18"/>
      <c r="G2342" s="18"/>
      <c r="N2342" s="42"/>
      <c r="O2342" s="42"/>
      <c r="P2342" s="42"/>
      <c r="Q2342" s="42"/>
      <c r="R2342" s="42"/>
      <c r="S2342" s="42"/>
      <c r="T2342" s="42"/>
      <c r="U2342" s="42"/>
      <c r="V2342" s="18"/>
      <c r="W2342" s="18"/>
      <c r="X2342" s="18"/>
    </row>
    <row r="2343" spans="1:24" ht="15">
      <c r="A2343" s="4"/>
      <c r="B2343" s="24"/>
      <c r="C2343" s="11"/>
      <c r="D2343" s="18"/>
      <c r="E2343" s="18"/>
      <c r="F2343" s="18"/>
      <c r="G2343" s="18"/>
      <c r="L2343" s="42"/>
      <c r="M2343" s="42"/>
      <c r="N2343" s="42"/>
      <c r="O2343" s="42"/>
      <c r="P2343" s="42"/>
      <c r="Q2343" s="42"/>
      <c r="R2343" s="42"/>
      <c r="S2343" s="42"/>
      <c r="T2343" s="42"/>
      <c r="U2343" s="42"/>
      <c r="V2343" s="18"/>
      <c r="W2343" s="18"/>
      <c r="X2343" s="18"/>
    </row>
    <row r="2344" spans="1:24" ht="15">
      <c r="A2344" s="4"/>
      <c r="B2344" s="24"/>
      <c r="C2344" s="11"/>
      <c r="D2344" s="18"/>
      <c r="E2344" s="18"/>
      <c r="F2344" s="18"/>
      <c r="G2344" s="18"/>
      <c r="L2344" s="42"/>
      <c r="M2344" s="42"/>
      <c r="N2344" s="42"/>
      <c r="O2344" s="42"/>
      <c r="P2344" s="42"/>
      <c r="Q2344" s="42"/>
      <c r="R2344" s="42"/>
      <c r="S2344" s="42"/>
      <c r="T2344" s="42"/>
      <c r="U2344" s="42"/>
      <c r="V2344" s="18"/>
      <c r="W2344" s="18"/>
      <c r="X2344" s="18"/>
    </row>
    <row r="2345" spans="1:24" ht="15">
      <c r="A2345" s="4"/>
      <c r="B2345" s="24"/>
      <c r="C2345" s="11"/>
      <c r="D2345" s="18"/>
      <c r="E2345" s="18"/>
      <c r="F2345" s="18"/>
      <c r="G2345" s="18"/>
      <c r="H2345" s="56"/>
      <c r="L2345" s="42"/>
      <c r="M2345" s="42"/>
      <c r="N2345" s="42"/>
      <c r="O2345" s="42"/>
      <c r="P2345" s="42"/>
      <c r="Q2345" s="42"/>
      <c r="R2345" s="42"/>
      <c r="S2345" s="42"/>
      <c r="T2345" s="42"/>
      <c r="U2345" s="42"/>
      <c r="V2345" s="18"/>
      <c r="W2345" s="18"/>
      <c r="X2345" s="18"/>
    </row>
    <row r="2346" spans="1:24" ht="15">
      <c r="A2346" s="4"/>
      <c r="B2346" s="24"/>
      <c r="C2346" s="11"/>
      <c r="D2346" s="18"/>
      <c r="E2346" s="18"/>
      <c r="F2346" s="18"/>
      <c r="G2346" s="18"/>
      <c r="H2346" s="56"/>
      <c r="I2346" s="57" t="s">
        <v>135</v>
      </c>
      <c r="L2346" s="42"/>
      <c r="M2346" s="42"/>
      <c r="N2346" s="42"/>
      <c r="O2346" s="42"/>
      <c r="P2346" s="42"/>
      <c r="Q2346" s="42"/>
      <c r="R2346" s="42"/>
      <c r="S2346" s="42"/>
      <c r="T2346" s="42"/>
      <c r="U2346" s="42"/>
      <c r="V2346" s="18"/>
      <c r="W2346" s="18"/>
      <c r="X2346" s="18"/>
    </row>
    <row r="2347" spans="1:24" ht="15">
      <c r="A2347" s="4"/>
      <c r="B2347" s="24"/>
      <c r="C2347" s="11"/>
      <c r="D2347" s="18"/>
      <c r="E2347" s="18"/>
      <c r="F2347" s="18"/>
      <c r="G2347" s="18"/>
      <c r="H2347" s="56"/>
      <c r="I2347" s="58"/>
      <c r="L2347" s="42"/>
      <c r="T2347" s="42"/>
      <c r="U2347" s="42"/>
      <c r="V2347" s="18"/>
      <c r="W2347" s="18"/>
      <c r="X2347" s="18"/>
    </row>
    <row r="2348" spans="1:24" ht="15">
      <c r="A2348" s="4"/>
      <c r="B2348" s="24"/>
      <c r="C2348" s="11"/>
      <c r="D2348" s="18"/>
      <c r="E2348" s="18"/>
      <c r="F2348" s="18"/>
      <c r="G2348" s="18"/>
      <c r="H2348" s="56"/>
      <c r="I2348" s="59" t="s">
        <v>136</v>
      </c>
      <c r="L2348" s="75">
        <v>11715086.1</v>
      </c>
      <c r="T2348" s="42"/>
      <c r="U2348" s="42"/>
      <c r="V2348" s="18"/>
      <c r="W2348" s="18"/>
      <c r="X2348" s="18"/>
    </row>
    <row r="2349" spans="1:24" ht="15">
      <c r="A2349" s="4"/>
      <c r="B2349" s="24"/>
      <c r="C2349" s="11"/>
      <c r="D2349" s="18"/>
      <c r="E2349" s="18"/>
      <c r="F2349" s="18"/>
      <c r="G2349" s="18"/>
      <c r="H2349" s="56"/>
      <c r="I2349" s="59"/>
      <c r="L2349" s="18"/>
      <c r="T2349" s="42"/>
      <c r="U2349" s="42"/>
      <c r="V2349" s="18"/>
      <c r="W2349" s="18"/>
      <c r="X2349" s="18"/>
    </row>
    <row r="2350" spans="1:24" ht="15">
      <c r="A2350" s="4"/>
      <c r="B2350" s="24"/>
      <c r="C2350" s="11"/>
      <c r="D2350" s="44" t="s">
        <v>137</v>
      </c>
      <c r="E2350" s="18"/>
      <c r="F2350" s="10" t="s">
        <v>138</v>
      </c>
      <c r="G2350" s="44" t="s">
        <v>24</v>
      </c>
      <c r="H2350" s="56"/>
      <c r="I2350" s="59" t="s">
        <v>139</v>
      </c>
      <c r="L2350" s="27">
        <v>0</v>
      </c>
      <c r="N2350" s="6" t="s">
        <v>137</v>
      </c>
      <c r="O2350" s="6" t="s">
        <v>137</v>
      </c>
      <c r="P2350" s="42"/>
      <c r="Q2350" s="6" t="s">
        <v>138</v>
      </c>
      <c r="R2350" s="6" t="s">
        <v>138</v>
      </c>
      <c r="S2350" s="6"/>
      <c r="T2350" s="42"/>
      <c r="U2350" s="42"/>
      <c r="V2350" s="18"/>
      <c r="W2350" s="18"/>
      <c r="X2350" s="18"/>
    </row>
    <row r="2351" spans="1:24" ht="15">
      <c r="A2351" s="4"/>
      <c r="B2351" s="24"/>
      <c r="C2351" s="11"/>
      <c r="D2351" s="18"/>
      <c r="E2351" s="18"/>
      <c r="F2351" s="18"/>
      <c r="G2351" s="18"/>
      <c r="H2351" s="56"/>
      <c r="I2351" s="59"/>
      <c r="L2351" s="18"/>
      <c r="N2351" s="8" t="s">
        <v>140</v>
      </c>
      <c r="O2351" s="49" t="s">
        <v>141</v>
      </c>
      <c r="P2351" s="42"/>
      <c r="Q2351" s="8" t="s">
        <v>140</v>
      </c>
      <c r="R2351" s="49" t="s">
        <v>141</v>
      </c>
      <c r="S2351" s="49"/>
      <c r="T2351" s="42"/>
      <c r="U2351" s="42"/>
      <c r="V2351" s="18"/>
      <c r="W2351" s="18"/>
      <c r="X2351" s="18"/>
    </row>
    <row r="2352" spans="1:24" ht="15">
      <c r="A2352" s="4">
        <f>+A2340+1</f>
        <v>38</v>
      </c>
      <c r="B2352" s="5" t="s">
        <v>36</v>
      </c>
      <c r="C2352" s="17" t="s">
        <v>37</v>
      </c>
      <c r="D2352" s="31">
        <f>+V2297+V2331</f>
        <v>25430123.84</v>
      </c>
      <c r="E2352" s="18"/>
      <c r="F2352" s="31">
        <f>+W2297+W2331</f>
        <v>16565738.63</v>
      </c>
      <c r="G2352" s="18">
        <f>+D2352-F2352</f>
        <v>8864385.209999999</v>
      </c>
      <c r="H2352" s="56"/>
      <c r="I2352" s="59" t="s">
        <v>142</v>
      </c>
      <c r="J2352" s="18"/>
      <c r="K2352" s="18"/>
      <c r="L2352" s="36">
        <v>12140429.05</v>
      </c>
      <c r="N2352" s="60"/>
      <c r="O2352" s="6"/>
      <c r="P2352" s="42"/>
      <c r="Q2352" s="61"/>
      <c r="R2352" s="61"/>
      <c r="S2352" s="61"/>
      <c r="T2352" s="42"/>
      <c r="U2352" s="42"/>
      <c r="V2352" s="18"/>
      <c r="W2352" s="18"/>
      <c r="X2352" s="18"/>
    </row>
    <row r="2353" spans="1:21" ht="15">
      <c r="A2353" s="4">
        <f>+A2352+1</f>
        <v>39</v>
      </c>
      <c r="B2353" s="5" t="s">
        <v>36</v>
      </c>
      <c r="C2353" s="22" t="s">
        <v>38</v>
      </c>
      <c r="D2353" s="31">
        <f>+V2298+V2332</f>
        <v>26060999.06</v>
      </c>
      <c r="E2353" s="18"/>
      <c r="F2353" s="31">
        <f>+W2298+W2332</f>
        <v>16265204.440000001</v>
      </c>
      <c r="G2353" s="18">
        <f>+D2353-F2353</f>
        <v>9795794.619999997</v>
      </c>
      <c r="H2353" s="56"/>
      <c r="I2353" s="58"/>
      <c r="J2353" s="18"/>
      <c r="K2353" s="18"/>
      <c r="L2353" s="60"/>
      <c r="N2353" s="62">
        <f>+D2354</f>
        <v>-630875.2199999988</v>
      </c>
      <c r="O2353" s="63">
        <f>+D2360</f>
        <v>17912570.049999997</v>
      </c>
      <c r="P2353" s="42"/>
      <c r="Q2353" s="31">
        <f>+F2264</f>
        <v>301498.75</v>
      </c>
      <c r="R2353" s="31">
        <f>+F2266</f>
        <v>0</v>
      </c>
      <c r="S2353" s="31"/>
      <c r="T2353" s="42"/>
      <c r="U2353" s="42"/>
    </row>
    <row r="2354" spans="1:24" ht="15">
      <c r="A2354" s="4">
        <f>+A2353+1</f>
        <v>40</v>
      </c>
      <c r="B2354" s="24" t="s">
        <v>46</v>
      </c>
      <c r="C2354" s="40" t="s">
        <v>78</v>
      </c>
      <c r="D2354" s="26">
        <f>+D2352-D2353</f>
        <v>-630875.2199999988</v>
      </c>
      <c r="E2354" s="18"/>
      <c r="F2354" s="26">
        <f>+F2352-F2353</f>
        <v>300534.1899999995</v>
      </c>
      <c r="G2354" s="18">
        <f>+G2352-G2353</f>
        <v>-931409.4099999983</v>
      </c>
      <c r="H2354" s="56"/>
      <c r="I2354" s="58" t="s">
        <v>143</v>
      </c>
      <c r="J2354" s="18"/>
      <c r="K2354" s="18"/>
      <c r="L2354">
        <v>0</v>
      </c>
      <c r="N2354" s="62">
        <f>+D2355</f>
        <v>0</v>
      </c>
      <c r="O2354" s="63">
        <f>+D2361</f>
        <v>0</v>
      </c>
      <c r="P2354" s="42"/>
      <c r="Q2354" s="31">
        <f>+F2265</f>
        <v>0</v>
      </c>
      <c r="R2354" s="31">
        <f>+F2270</f>
        <v>11838929.59</v>
      </c>
      <c r="S2354" s="31"/>
      <c r="U2354" s="18"/>
      <c r="V2354" s="10" t="s">
        <v>20</v>
      </c>
      <c r="W2354" s="10" t="s">
        <v>21</v>
      </c>
      <c r="X2354" s="10" t="s">
        <v>22</v>
      </c>
    </row>
    <row r="2355" spans="1:21" ht="28.5">
      <c r="A2355" s="4">
        <f>+A2354+1</f>
        <v>41</v>
      </c>
      <c r="B2355" s="88" t="s">
        <v>182</v>
      </c>
      <c r="C2355" s="11"/>
      <c r="D2355" s="26">
        <f>+V2300+V2334</f>
        <v>0</v>
      </c>
      <c r="E2355" s="26"/>
      <c r="F2355" s="26">
        <f>+W2300+W2334</f>
        <v>0</v>
      </c>
      <c r="G2355" s="18">
        <f>+D2355-F2355</f>
        <v>0</v>
      </c>
      <c r="H2355" s="56"/>
      <c r="I2355" s="58"/>
      <c r="J2355" s="18"/>
      <c r="K2355" s="18"/>
      <c r="L2355" s="60" t="s">
        <v>144</v>
      </c>
      <c r="N2355" s="62">
        <f>+F2354</f>
        <v>300534.1899999995</v>
      </c>
      <c r="O2355" s="63">
        <f>+F2360</f>
        <v>11921222.53</v>
      </c>
      <c r="P2355" s="42"/>
      <c r="R2355" s="31">
        <f>+F2271</f>
        <v>0</v>
      </c>
      <c r="S2355" s="31"/>
      <c r="U2355" s="18"/>
    </row>
    <row r="2356" spans="1:24" ht="24.75">
      <c r="A2356" s="4">
        <f>+A2355+1</f>
        <v>42</v>
      </c>
      <c r="B2356" s="89" t="s">
        <v>39</v>
      </c>
      <c r="C2356" s="40"/>
      <c r="D2356" s="30">
        <f>+V2301+V2335</f>
        <v>-4357310.91</v>
      </c>
      <c r="E2356" s="30"/>
      <c r="F2356" s="30">
        <f>+W2301+W2335</f>
        <v>1127969.06</v>
      </c>
      <c r="G2356" s="18">
        <f>+D2356-F2356</f>
        <v>-5485279.970000001</v>
      </c>
      <c r="H2356" s="56"/>
      <c r="I2356" s="64" t="s">
        <v>145</v>
      </c>
      <c r="J2356" s="18"/>
      <c r="K2356" s="18"/>
      <c r="L2356" s="83">
        <f>+L2348-L2350-L2352-L2354</f>
        <v>-425342.9500000011</v>
      </c>
      <c r="N2356" s="62">
        <f>+F2355</f>
        <v>0</v>
      </c>
      <c r="O2356" s="63">
        <f>+F2361</f>
        <v>0</v>
      </c>
      <c r="P2356" s="42"/>
      <c r="Q2356" s="31"/>
      <c r="R2356" s="31"/>
      <c r="S2356" s="31"/>
      <c r="U2356" s="65"/>
      <c r="V2356" s="66"/>
      <c r="W2356" s="66"/>
      <c r="X2356" s="65"/>
    </row>
    <row r="2357" spans="1:24" ht="15">
      <c r="A2357" s="6" t="s">
        <v>41</v>
      </c>
      <c r="B2357" s="41"/>
      <c r="C2357" s="40"/>
      <c r="D2357" s="18"/>
      <c r="E2357" s="18"/>
      <c r="F2357" s="18"/>
      <c r="G2357" s="18"/>
      <c r="H2357" s="56"/>
      <c r="I2357" s="58"/>
      <c r="J2357" s="18"/>
      <c r="K2357" s="18"/>
      <c r="N2357" s="62">
        <f>+F2264</f>
        <v>301498.75</v>
      </c>
      <c r="O2357" s="63">
        <f>+F2270</f>
        <v>11838929.59</v>
      </c>
      <c r="P2357" s="42"/>
      <c r="Q2357" s="31"/>
      <c r="U2357" s="65"/>
      <c r="V2357" s="67"/>
      <c r="W2357" s="67"/>
      <c r="X2357" s="68"/>
    </row>
    <row r="2358" spans="1:25" ht="15">
      <c r="A2358" s="4">
        <f>+A2356+1</f>
        <v>43</v>
      </c>
      <c r="B2358" s="5" t="s">
        <v>42</v>
      </c>
      <c r="C2358" s="22" t="s">
        <v>38</v>
      </c>
      <c r="D2358" s="31">
        <f>+V2303+V2337</f>
        <v>17912570.049999997</v>
      </c>
      <c r="E2358" s="18"/>
      <c r="F2358" s="31">
        <f>+W2303+W2337</f>
        <v>11921222.53</v>
      </c>
      <c r="G2358" s="18">
        <f>+D2358-F2358</f>
        <v>5991347.519999998</v>
      </c>
      <c r="H2358" s="56"/>
      <c r="I2358" s="59" t="s">
        <v>22</v>
      </c>
      <c r="J2358" s="18"/>
      <c r="K2358" s="18"/>
      <c r="L2358" s="30">
        <f>+X2363</f>
        <v>-425341.8599999994</v>
      </c>
      <c r="N2358" s="62"/>
      <c r="O2358" s="63">
        <f>+D2356</f>
        <v>-4357310.91</v>
      </c>
      <c r="P2358" s="42"/>
      <c r="Q2358" s="31"/>
      <c r="R2358" s="31"/>
      <c r="S2358" s="31"/>
      <c r="T2358" s="69" t="s">
        <v>78</v>
      </c>
      <c r="U2358" s="65"/>
      <c r="V2358" s="26">
        <f>+D2354+D2355-F2354-F2355+F2264</f>
        <v>-629910.6599999983</v>
      </c>
      <c r="W2358" s="26">
        <f>+F2264+F2265</f>
        <v>301498.75</v>
      </c>
      <c r="X2358" s="26">
        <f>+V2358-W2358</f>
        <v>-931409.4099999983</v>
      </c>
      <c r="Y2358" s="18"/>
    </row>
    <row r="2359" spans="1:25" ht="15">
      <c r="A2359" s="4">
        <f>+A2358+1</f>
        <v>44</v>
      </c>
      <c r="B2359" s="5" t="s">
        <v>43</v>
      </c>
      <c r="C2359" s="11"/>
      <c r="D2359" s="31">
        <f>+V2304+V2338</f>
        <v>0</v>
      </c>
      <c r="E2359" s="18"/>
      <c r="F2359" s="31">
        <f>+W2304+W2338</f>
        <v>0</v>
      </c>
      <c r="G2359" s="18">
        <f>+D2359-F2359</f>
        <v>0</v>
      </c>
      <c r="H2359" s="56"/>
      <c r="I2359" s="59"/>
      <c r="J2359" s="18"/>
      <c r="K2359" s="18"/>
      <c r="L2359" s="60" t="s">
        <v>144</v>
      </c>
      <c r="O2359" s="63">
        <f>+F2356</f>
        <v>1127969.06</v>
      </c>
      <c r="P2359" s="42"/>
      <c r="Q2359" s="31"/>
      <c r="R2359" s="31"/>
      <c r="S2359" s="31"/>
      <c r="T2359" s="11" t="s">
        <v>146</v>
      </c>
      <c r="U2359" s="65"/>
      <c r="V2359" s="30">
        <f>+D2360+D2361-F2360-F2361+F2270+D2356-F2356+F2266</f>
        <v>12344997.139999999</v>
      </c>
      <c r="W2359" s="30">
        <f>+F2266+F2270+F2271</f>
        <v>11838929.59</v>
      </c>
      <c r="X2359" s="30">
        <f>+V2359-W2359</f>
        <v>506067.5499999989</v>
      </c>
      <c r="Y2359" s="18"/>
    </row>
    <row r="2360" spans="1:25" ht="26.25">
      <c r="A2360" s="4">
        <f>+A2359+1</f>
        <v>45</v>
      </c>
      <c r="B2360" s="24" t="s">
        <v>79</v>
      </c>
      <c r="C2360" s="11"/>
      <c r="D2360" s="30">
        <f>+D2358-D2359</f>
        <v>17912570.049999997</v>
      </c>
      <c r="E2360" s="18"/>
      <c r="F2360" s="30">
        <f>+F2358-F2359</f>
        <v>11921222.53</v>
      </c>
      <c r="G2360" s="18">
        <f>+G2358-G2359</f>
        <v>5991347.519999998</v>
      </c>
      <c r="H2360" s="56"/>
      <c r="I2360" s="58"/>
      <c r="J2360" s="18"/>
      <c r="K2360" s="18"/>
      <c r="N2360" s="62"/>
      <c r="O2360" s="63">
        <f>+F2266</f>
        <v>0</v>
      </c>
      <c r="P2360" s="42"/>
      <c r="Q2360" s="31"/>
      <c r="R2360" s="31"/>
      <c r="S2360" s="31"/>
      <c r="T2360" s="11"/>
      <c r="U2360" s="65"/>
      <c r="V2360" s="30"/>
      <c r="W2360" s="30"/>
      <c r="X2360" s="30"/>
      <c r="Y2360" s="65"/>
    </row>
    <row r="2361" spans="1:25" ht="28.5">
      <c r="A2361" s="4">
        <f>+A2360+1</f>
        <v>46</v>
      </c>
      <c r="B2361" s="88" t="s">
        <v>181</v>
      </c>
      <c r="C2361" s="11"/>
      <c r="D2361" s="30">
        <f>+V2306+V2340</f>
        <v>0</v>
      </c>
      <c r="E2361" s="30"/>
      <c r="F2361" s="30">
        <f>+W2306+W2340</f>
        <v>0</v>
      </c>
      <c r="G2361" s="18">
        <f>+D2361-F2361</f>
        <v>0</v>
      </c>
      <c r="H2361" s="56"/>
      <c r="N2361" s="62"/>
      <c r="O2361" s="62"/>
      <c r="P2361" s="42"/>
      <c r="Q2361" s="31"/>
      <c r="R2361" s="31"/>
      <c r="S2361" s="31"/>
      <c r="T2361" s="11"/>
      <c r="U2361" s="65"/>
      <c r="V2361" s="30"/>
      <c r="W2361" s="30"/>
      <c r="X2361" s="30"/>
      <c r="Y2361" s="65"/>
    </row>
    <row r="2362" spans="1:25" ht="15">
      <c r="A2362" s="4">
        <f>+A2361+1</f>
        <v>47</v>
      </c>
      <c r="B2362" s="24" t="s">
        <v>46</v>
      </c>
      <c r="C2362" s="11" t="s">
        <v>47</v>
      </c>
      <c r="D2362" s="18">
        <f>+D2354+D2355+D2360+D2361+D2356</f>
        <v>12924383.919999998</v>
      </c>
      <c r="E2362" s="18"/>
      <c r="F2362" s="18">
        <f>+F2354+F2355+F2360+F2361+F2356</f>
        <v>13349725.78</v>
      </c>
      <c r="G2362" s="18">
        <f>+G2354+G2355+G2360+G2361+G2356</f>
        <v>-425341.86000000127</v>
      </c>
      <c r="H2362" s="56"/>
      <c r="I2362" s="59" t="s">
        <v>147</v>
      </c>
      <c r="J2362" s="18"/>
      <c r="K2362" s="18"/>
      <c r="L2362" s="36">
        <f>+L2356-L2358</f>
        <v>-1.0900000017136335</v>
      </c>
      <c r="N2362" s="70">
        <f>+N2353+N2354-N2355-N2356+N2357</f>
        <v>-629910.6599999983</v>
      </c>
      <c r="O2362" s="71">
        <f>+O2353+O2354-O2355-O2356+O2357+O2358-O2359+O2360</f>
        <v>12344997.139999999</v>
      </c>
      <c r="P2362" s="42"/>
      <c r="Q2362" s="26">
        <f>SUM(Q2353:Q2354)</f>
        <v>301498.75</v>
      </c>
      <c r="R2362" s="30">
        <f>SUM(R2353:R2356)</f>
        <v>11838929.59</v>
      </c>
      <c r="S2362" s="30"/>
      <c r="T2362" s="11"/>
      <c r="U2362" s="65"/>
      <c r="V2362" s="30"/>
      <c r="W2362" s="30"/>
      <c r="X2362" s="30"/>
      <c r="Y2362" s="65"/>
    </row>
    <row r="2363" spans="1:25" ht="15">
      <c r="A2363" s="4"/>
      <c r="B2363" s="24"/>
      <c r="C2363" s="11"/>
      <c r="D2363" s="18"/>
      <c r="E2363" s="18"/>
      <c r="F2363" s="18"/>
      <c r="G2363" s="18"/>
      <c r="H2363" s="56"/>
      <c r="L2363" s="60" t="s">
        <v>148</v>
      </c>
      <c r="M2363" s="42"/>
      <c r="N2363" s="42"/>
      <c r="O2363" s="42"/>
      <c r="P2363" s="42"/>
      <c r="Q2363" s="42"/>
      <c r="R2363" s="42"/>
      <c r="S2363" s="42"/>
      <c r="T2363" s="10" t="s">
        <v>22</v>
      </c>
      <c r="U2363" s="65"/>
      <c r="V2363" s="36"/>
      <c r="W2363" s="36"/>
      <c r="X2363" s="36">
        <f>+X2358+X2359</f>
        <v>-425341.8599999994</v>
      </c>
      <c r="Y2363" s="65"/>
    </row>
    <row r="2364" spans="1:25" ht="15">
      <c r="A2364" s="1"/>
      <c r="B2364" s="2"/>
      <c r="C2364" s="2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65"/>
    </row>
    <row r="2365" spans="1:6" ht="15">
      <c r="A2365" s="4"/>
      <c r="B2365"/>
      <c r="F2365"/>
    </row>
    <row r="2366" spans="1:25" ht="15">
      <c r="A2366" s="1"/>
      <c r="B2366" s="2"/>
      <c r="C2366" s="2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65"/>
    </row>
    <row r="2367" spans="1:6" ht="15">
      <c r="A2367" s="4"/>
      <c r="B2367"/>
      <c r="F2367"/>
    </row>
    <row r="2368" spans="1:6" ht="15">
      <c r="A2368" s="4" t="s">
        <v>0</v>
      </c>
      <c r="B2368" s="5"/>
      <c r="C2368" s="6" t="s">
        <v>1</v>
      </c>
      <c r="F2368"/>
    </row>
    <row r="2369" spans="1:6" ht="15">
      <c r="A2369" s="4"/>
      <c r="B2369" s="5"/>
      <c r="C2369" s="6" t="s">
        <v>2</v>
      </c>
      <c r="F2369"/>
    </row>
    <row r="2370" spans="1:6" ht="15">
      <c r="A2370" s="4"/>
      <c r="B2370" s="5"/>
      <c r="C2370" s="80" t="s">
        <v>170</v>
      </c>
      <c r="F2370"/>
    </row>
    <row r="2371" spans="1:6" ht="15">
      <c r="A2371" s="4"/>
      <c r="B2371" s="5"/>
      <c r="C2371" s="8"/>
      <c r="F2371"/>
    </row>
    <row r="2372" spans="1:25" ht="15">
      <c r="A2372" s="4"/>
      <c r="B2372" s="5"/>
      <c r="C2372" s="9"/>
      <c r="D2372" s="10" t="s">
        <v>4</v>
      </c>
      <c r="E2372" s="10"/>
      <c r="F2372" s="10" t="s">
        <v>5</v>
      </c>
      <c r="G2372" s="10" t="s">
        <v>6</v>
      </c>
      <c r="H2372" s="10"/>
      <c r="I2372" s="10" t="s">
        <v>7</v>
      </c>
      <c r="J2372" s="10" t="s">
        <v>8</v>
      </c>
      <c r="K2372" s="10" t="s">
        <v>9</v>
      </c>
      <c r="L2372" s="10" t="s">
        <v>10</v>
      </c>
      <c r="M2372" s="10" t="s">
        <v>11</v>
      </c>
      <c r="N2372" s="10" t="s">
        <v>12</v>
      </c>
      <c r="O2372" s="10" t="s">
        <v>13</v>
      </c>
      <c r="P2372" s="10"/>
      <c r="Q2372" s="10" t="s">
        <v>14</v>
      </c>
      <c r="R2372" s="10" t="s">
        <v>15</v>
      </c>
      <c r="S2372" s="10"/>
      <c r="T2372" s="10" t="s">
        <v>16</v>
      </c>
      <c r="U2372" s="10"/>
      <c r="V2372" s="10" t="s">
        <v>17</v>
      </c>
      <c r="W2372" s="10" t="s">
        <v>18</v>
      </c>
      <c r="X2372" s="10" t="s">
        <v>19</v>
      </c>
      <c r="Y2372" s="10"/>
    </row>
    <row r="2373" spans="1:24" ht="15">
      <c r="A2373" s="4"/>
      <c r="B2373" s="87" t="s">
        <v>174</v>
      </c>
      <c r="C2373" s="5"/>
      <c r="D2373" s="10" t="s">
        <v>20</v>
      </c>
      <c r="E2373" s="10"/>
      <c r="F2373" s="10" t="s">
        <v>21</v>
      </c>
      <c r="G2373" s="10" t="s">
        <v>22</v>
      </c>
      <c r="I2373" s="10" t="s">
        <v>20</v>
      </c>
      <c r="J2373" s="10" t="s">
        <v>20</v>
      </c>
      <c r="K2373" s="10" t="s">
        <v>20</v>
      </c>
      <c r="L2373" s="10" t="s">
        <v>20</v>
      </c>
      <c r="M2373" s="10" t="s">
        <v>20</v>
      </c>
      <c r="N2373" s="10" t="s">
        <v>20</v>
      </c>
      <c r="O2373" s="10" t="s">
        <v>20</v>
      </c>
      <c r="Q2373" s="10" t="s">
        <v>20</v>
      </c>
      <c r="R2373" s="10" t="s">
        <v>20</v>
      </c>
      <c r="S2373" s="10"/>
      <c r="T2373" s="10" t="s">
        <v>20</v>
      </c>
      <c r="V2373" s="10" t="s">
        <v>20</v>
      </c>
      <c r="W2373" s="10" t="s">
        <v>20</v>
      </c>
      <c r="X2373" s="10" t="s">
        <v>20</v>
      </c>
    </row>
    <row r="2374" spans="1:24" ht="42.75">
      <c r="A2374" s="4"/>
      <c r="B2374" s="5"/>
      <c r="C2374" s="11"/>
      <c r="D2374" s="12" t="s">
        <v>23</v>
      </c>
      <c r="E2374" s="13"/>
      <c r="F2374" s="12" t="s">
        <v>175</v>
      </c>
      <c r="G2374" s="13" t="s">
        <v>24</v>
      </c>
      <c r="I2374" s="13" t="s">
        <v>25</v>
      </c>
      <c r="J2374" s="8" t="s">
        <v>26</v>
      </c>
      <c r="K2374" s="13" t="s">
        <v>27</v>
      </c>
      <c r="L2374" s="13" t="s">
        <v>28</v>
      </c>
      <c r="M2374" s="13" t="s">
        <v>29</v>
      </c>
      <c r="N2374" s="13" t="s">
        <v>30</v>
      </c>
      <c r="O2374" s="13" t="s">
        <v>31</v>
      </c>
      <c r="Q2374" s="14">
        <v>4470115</v>
      </c>
      <c r="R2374" s="13" t="s">
        <v>32</v>
      </c>
      <c r="S2374" s="13"/>
      <c r="T2374" s="14">
        <v>4470119</v>
      </c>
      <c r="V2374" s="8" t="s">
        <v>33</v>
      </c>
      <c r="W2374" s="8" t="s">
        <v>34</v>
      </c>
      <c r="X2374" s="81" t="s">
        <v>35</v>
      </c>
    </row>
    <row r="2375" spans="1:23" ht="15">
      <c r="A2375" s="4"/>
      <c r="B2375" s="5"/>
      <c r="C2375" s="11"/>
      <c r="D2375" s="13"/>
      <c r="E2375" s="13"/>
      <c r="F2375" s="13"/>
      <c r="G2375" s="15"/>
      <c r="I2375" s="13"/>
      <c r="J2375" s="13"/>
      <c r="K2375" s="13"/>
      <c r="L2375" s="13"/>
      <c r="M2375" s="13"/>
      <c r="N2375" s="13"/>
      <c r="O2375" s="13"/>
      <c r="Q2375" s="14"/>
      <c r="R2375" s="13"/>
      <c r="S2375" s="14"/>
      <c r="T2375" s="16"/>
      <c r="V2375" s="14"/>
      <c r="W2375" s="13"/>
    </row>
    <row r="2376" spans="1:25" ht="15">
      <c r="A2376" s="4">
        <v>1</v>
      </c>
      <c r="B2376" s="5" t="s">
        <v>36</v>
      </c>
      <c r="C2376" s="17" t="s">
        <v>37</v>
      </c>
      <c r="D2376" s="78">
        <f>12019787.3+5463041.79</f>
        <v>17482829.09</v>
      </c>
      <c r="E2376" s="77"/>
      <c r="F2376" s="93">
        <v>12019787.3</v>
      </c>
      <c r="G2376" s="21">
        <f>+D2376-F2376</f>
        <v>5463041.789999999</v>
      </c>
      <c r="H2376" s="18"/>
      <c r="I2376" s="18">
        <v>0</v>
      </c>
      <c r="J2376" s="18">
        <v>0</v>
      </c>
      <c r="K2376" s="18">
        <v>0</v>
      </c>
      <c r="L2376" s="18">
        <v>-96850.36</v>
      </c>
      <c r="M2376" s="18">
        <v>0</v>
      </c>
      <c r="N2376" s="18">
        <v>0</v>
      </c>
      <c r="O2376" s="18">
        <v>-1732.52</v>
      </c>
      <c r="P2376" s="18"/>
      <c r="Q2376" s="18">
        <v>3.21</v>
      </c>
      <c r="R2376" s="18">
        <v>0</v>
      </c>
      <c r="S2376" s="18"/>
      <c r="T2376" s="18">
        <v>0</v>
      </c>
      <c r="U2376" s="18"/>
      <c r="V2376" s="18">
        <v>0</v>
      </c>
      <c r="W2376" s="18">
        <v>0</v>
      </c>
      <c r="X2376" s="18">
        <v>-344953.57</v>
      </c>
      <c r="Y2376" s="18"/>
    </row>
    <row r="2377" spans="1:25" ht="15">
      <c r="A2377" s="4">
        <f>+A2376+1</f>
        <v>2</v>
      </c>
      <c r="B2377" s="5" t="s">
        <v>36</v>
      </c>
      <c r="C2377" s="22" t="s">
        <v>38</v>
      </c>
      <c r="D2377" s="78">
        <f>5643899.52+11838929.59</f>
        <v>17482829.11</v>
      </c>
      <c r="E2377" s="19"/>
      <c r="F2377" s="23">
        <v>11838929.59</v>
      </c>
      <c r="G2377" s="21">
        <f>+D2377-F2377</f>
        <v>5643899.52</v>
      </c>
      <c r="H2377" s="18"/>
      <c r="I2377" s="18">
        <v>0</v>
      </c>
      <c r="J2377" s="18">
        <v>0</v>
      </c>
      <c r="K2377" s="18">
        <v>0</v>
      </c>
      <c r="L2377" s="18">
        <v>-101428.65</v>
      </c>
      <c r="M2377" s="18">
        <v>0</v>
      </c>
      <c r="N2377" s="18">
        <v>0</v>
      </c>
      <c r="O2377" s="18">
        <v>0</v>
      </c>
      <c r="P2377" s="18"/>
      <c r="Q2377" s="18">
        <v>0</v>
      </c>
      <c r="R2377" s="18">
        <v>0</v>
      </c>
      <c r="S2377" s="18"/>
      <c r="T2377" s="18">
        <v>0</v>
      </c>
      <c r="U2377" s="18"/>
      <c r="V2377" s="18">
        <v>0</v>
      </c>
      <c r="W2377" s="18">
        <v>0</v>
      </c>
      <c r="X2377" s="18">
        <v>-338213.01</v>
      </c>
      <c r="Y2377" s="18"/>
    </row>
    <row r="2378" spans="1:25" ht="22.5">
      <c r="A2378" s="4">
        <f>+A2377+1</f>
        <v>3</v>
      </c>
      <c r="B2378" s="24" t="s">
        <v>176</v>
      </c>
      <c r="C2378" s="25" t="s">
        <v>177</v>
      </c>
      <c r="D2378" s="18">
        <v>0</v>
      </c>
      <c r="E2378" s="19"/>
      <c r="F2378" s="26">
        <f>+F2376-F2377</f>
        <v>180857.7100000009</v>
      </c>
      <c r="G2378" s="18">
        <v>0</v>
      </c>
      <c r="H2378" s="18"/>
      <c r="I2378" s="18">
        <f>+I2376-I2377</f>
        <v>0</v>
      </c>
      <c r="J2378" s="18">
        <f>+J2376-J2377</f>
        <v>0</v>
      </c>
      <c r="K2378" s="18">
        <f>+K2376-K2377</f>
        <v>0</v>
      </c>
      <c r="L2378" s="18">
        <f>+L2376-L2377</f>
        <v>4578.289999999994</v>
      </c>
      <c r="M2378" s="18">
        <f>+M2376-M2377</f>
        <v>0</v>
      </c>
      <c r="N2378" s="18">
        <f>+N2376-N2377</f>
        <v>0</v>
      </c>
      <c r="O2378" s="18">
        <f>+O2376-O2377</f>
        <v>-1732.52</v>
      </c>
      <c r="P2378" s="18"/>
      <c r="Q2378" s="18">
        <f>+Q2376-Q2377</f>
        <v>3.21</v>
      </c>
      <c r="R2378" s="18">
        <f>+R2376-R2377</f>
        <v>0</v>
      </c>
      <c r="S2378" s="18"/>
      <c r="T2378" s="18">
        <f>+T2376-T2377</f>
        <v>0</v>
      </c>
      <c r="U2378" s="18"/>
      <c r="V2378" s="18">
        <f>+V2376-V2377</f>
        <v>0</v>
      </c>
      <c r="W2378" s="18">
        <f>+W2376-W2377</f>
        <v>0</v>
      </c>
      <c r="X2378" s="18">
        <f>+X2376-X2377</f>
        <v>-6740.559999999998</v>
      </c>
      <c r="Y2378" s="18"/>
    </row>
    <row r="2379" spans="1:25" ht="28.5">
      <c r="A2379" s="4">
        <f>+A2378+1</f>
        <v>4</v>
      </c>
      <c r="B2379" s="88" t="s">
        <v>178</v>
      </c>
      <c r="C2379" s="25" t="s">
        <v>179</v>
      </c>
      <c r="D2379" s="18">
        <v>0</v>
      </c>
      <c r="E2379" s="19"/>
      <c r="F2379" s="26">
        <v>0</v>
      </c>
      <c r="G2379" s="18">
        <f>+D2379-F2379</f>
        <v>0</v>
      </c>
      <c r="H2379" s="18"/>
      <c r="I2379" s="27">
        <v>0</v>
      </c>
      <c r="J2379" s="18">
        <v>0</v>
      </c>
      <c r="K2379" s="18">
        <v>0</v>
      </c>
      <c r="L2379" s="18">
        <v>0</v>
      </c>
      <c r="M2379" s="18">
        <v>0</v>
      </c>
      <c r="N2379" s="18">
        <v>0</v>
      </c>
      <c r="O2379" s="18">
        <v>0</v>
      </c>
      <c r="P2379" s="18"/>
      <c r="Q2379" s="18">
        <v>0</v>
      </c>
      <c r="R2379" s="18">
        <v>0</v>
      </c>
      <c r="S2379" s="18"/>
      <c r="T2379" s="18">
        <v>0</v>
      </c>
      <c r="U2379" s="18"/>
      <c r="V2379" s="18">
        <v>0</v>
      </c>
      <c r="W2379" s="18">
        <v>0</v>
      </c>
      <c r="X2379" s="18">
        <v>0</v>
      </c>
      <c r="Y2379" s="18"/>
    </row>
    <row r="2380" spans="1:25" ht="24.75">
      <c r="A2380" s="4">
        <f>+A2379+1</f>
        <v>5</v>
      </c>
      <c r="B2380" s="89" t="s">
        <v>39</v>
      </c>
      <c r="C2380" s="28" t="s">
        <v>40</v>
      </c>
      <c r="D2380" s="27">
        <f>-406.3+2106.68-347865.48+347865.48</f>
        <v>1700.3800000000047</v>
      </c>
      <c r="E2380" s="29"/>
      <c r="F2380" s="30">
        <v>0</v>
      </c>
      <c r="G2380" s="31">
        <f>+D2380-F2380</f>
        <v>1700.3800000000047</v>
      </c>
      <c r="H2380" s="18"/>
      <c r="I2380" s="27">
        <v>0</v>
      </c>
      <c r="J2380" s="27">
        <v>-24.99</v>
      </c>
      <c r="K2380" s="27">
        <v>0</v>
      </c>
      <c r="L2380" s="27">
        <f>3185.56-3297.48</f>
        <v>-111.92000000000007</v>
      </c>
      <c r="M2380" s="27">
        <v>239.77</v>
      </c>
      <c r="N2380" s="27">
        <v>0</v>
      </c>
      <c r="O2380" s="27">
        <f>-70.75-0.02</f>
        <v>-70.77</v>
      </c>
      <c r="P2380" s="18"/>
      <c r="Q2380" s="27">
        <v>-4216.12</v>
      </c>
      <c r="R2380" s="27">
        <v>0</v>
      </c>
      <c r="S2380" s="27"/>
      <c r="T2380" s="27">
        <v>0</v>
      </c>
      <c r="U2380" s="27"/>
      <c r="V2380" s="27">
        <f>0.29-0.27</f>
        <v>0.019999999999999962</v>
      </c>
      <c r="W2380" s="27">
        <v>0</v>
      </c>
      <c r="X2380" s="27">
        <f>-3526.97+2912.93</f>
        <v>-614.04</v>
      </c>
      <c r="Y2380" s="18"/>
    </row>
    <row r="2381" spans="1:25" ht="15">
      <c r="A2381" s="6" t="s">
        <v>41</v>
      </c>
      <c r="B2381" s="90"/>
      <c r="C2381" s="11"/>
      <c r="D2381" s="18"/>
      <c r="E2381" s="19"/>
      <c r="F2381" s="18"/>
      <c r="G2381" s="18"/>
      <c r="H2381" s="18"/>
      <c r="I2381" s="18"/>
      <c r="J2381" s="18"/>
      <c r="K2381" s="18"/>
      <c r="L2381" s="18"/>
      <c r="M2381" s="18"/>
      <c r="N2381" s="18"/>
      <c r="O2381" s="18" t="s">
        <v>0</v>
      </c>
      <c r="P2381" s="18"/>
      <c r="Q2381" s="18"/>
      <c r="R2381" s="18"/>
      <c r="S2381" s="18"/>
      <c r="T2381" s="18"/>
      <c r="U2381" s="18"/>
      <c r="V2381" s="18"/>
      <c r="W2381" s="18"/>
      <c r="X2381" s="18"/>
      <c r="Y2381" s="18"/>
    </row>
    <row r="2382" spans="1:25" ht="15">
      <c r="A2382" s="4">
        <f>+A2380+1</f>
        <v>6</v>
      </c>
      <c r="B2382" s="5" t="s">
        <v>42</v>
      </c>
      <c r="C2382" s="22" t="s">
        <v>38</v>
      </c>
      <c r="D2382" s="27">
        <f>10383632.09+18066719.66</f>
        <v>28450351.75</v>
      </c>
      <c r="E2382" s="19"/>
      <c r="F2382" s="23">
        <f>891006.26+17175713.4</f>
        <v>18066719.66</v>
      </c>
      <c r="G2382" s="18">
        <f>+D2382-F2382</f>
        <v>10383632.09</v>
      </c>
      <c r="H2382" s="18"/>
      <c r="I2382" s="18">
        <v>0</v>
      </c>
      <c r="J2382" s="18">
        <v>0</v>
      </c>
      <c r="K2382" s="18">
        <v>0</v>
      </c>
      <c r="L2382" s="18">
        <v>-56254.64</v>
      </c>
      <c r="M2382" s="18">
        <v>0</v>
      </c>
      <c r="N2382" s="18">
        <v>0</v>
      </c>
      <c r="O2382" s="18">
        <v>0</v>
      </c>
      <c r="P2382" s="18"/>
      <c r="Q2382" s="18">
        <v>0</v>
      </c>
      <c r="R2382" s="18">
        <v>0</v>
      </c>
      <c r="S2382" s="18"/>
      <c r="T2382" s="18">
        <v>0</v>
      </c>
      <c r="U2382" s="18"/>
      <c r="V2382" s="18">
        <v>0</v>
      </c>
      <c r="W2382" s="18">
        <v>0</v>
      </c>
      <c r="X2382" s="18">
        <v>-1222604.39</v>
      </c>
      <c r="Y2382" s="18"/>
    </row>
    <row r="2383" spans="1:25" ht="15">
      <c r="A2383" s="4">
        <f>+A2382+1</f>
        <v>7</v>
      </c>
      <c r="B2383" s="5" t="s">
        <v>43</v>
      </c>
      <c r="C2383" s="11"/>
      <c r="E2383" s="19"/>
      <c r="F2383" s="23">
        <v>0</v>
      </c>
      <c r="G2383" s="18">
        <f>+D2382-F2383</f>
        <v>28450351.75</v>
      </c>
      <c r="H2383" s="18"/>
      <c r="I2383" s="18">
        <v>0</v>
      </c>
      <c r="J2383" s="18">
        <v>0</v>
      </c>
      <c r="K2383" s="18">
        <v>0</v>
      </c>
      <c r="L2383" s="18">
        <v>0</v>
      </c>
      <c r="M2383" s="18">
        <v>0</v>
      </c>
      <c r="N2383" s="18">
        <v>0</v>
      </c>
      <c r="O2383" s="31">
        <v>0</v>
      </c>
      <c r="P2383" s="18"/>
      <c r="Q2383" s="18">
        <v>0</v>
      </c>
      <c r="R2383" s="18">
        <v>0</v>
      </c>
      <c r="S2383" s="18"/>
      <c r="T2383" s="18">
        <v>0</v>
      </c>
      <c r="U2383" s="18"/>
      <c r="V2383" s="18">
        <v>0</v>
      </c>
      <c r="W2383" s="18">
        <v>0</v>
      </c>
      <c r="X2383" s="18">
        <v>0</v>
      </c>
      <c r="Y2383" s="18"/>
    </row>
    <row r="2384" spans="1:25" ht="35.25">
      <c r="A2384" s="4">
        <f>+A2383+1</f>
        <v>8</v>
      </c>
      <c r="B2384" s="24" t="s">
        <v>180</v>
      </c>
      <c r="C2384" s="32" t="s">
        <v>44</v>
      </c>
      <c r="D2384" s="33">
        <v>28450351.75</v>
      </c>
      <c r="E2384" s="34"/>
      <c r="F2384" s="91">
        <v>18066719.66</v>
      </c>
      <c r="G2384" s="18">
        <f>+G2382-G2383</f>
        <v>-18066719.66</v>
      </c>
      <c r="H2384" s="18"/>
      <c r="I2384" s="18">
        <f aca="true" t="shared" si="285" ref="I2384:O2384">+I2382-I2383</f>
        <v>0</v>
      </c>
      <c r="J2384" s="18">
        <f t="shared" si="285"/>
        <v>0</v>
      </c>
      <c r="K2384" s="18">
        <f t="shared" si="285"/>
        <v>0</v>
      </c>
      <c r="L2384" s="18">
        <f t="shared" si="285"/>
        <v>-56254.64</v>
      </c>
      <c r="M2384" s="18">
        <f t="shared" si="285"/>
        <v>0</v>
      </c>
      <c r="N2384" s="18">
        <f t="shared" si="285"/>
        <v>0</v>
      </c>
      <c r="O2384" s="18">
        <f t="shared" si="285"/>
        <v>0</v>
      </c>
      <c r="P2384" s="18"/>
      <c r="Q2384" s="18">
        <f>+Q2382-Q2383</f>
        <v>0</v>
      </c>
      <c r="R2384" s="18">
        <f>+R2382-R2383</f>
        <v>0</v>
      </c>
      <c r="S2384" s="18"/>
      <c r="T2384" s="18">
        <f>+T2382-T2383</f>
        <v>0</v>
      </c>
      <c r="U2384" s="18"/>
      <c r="V2384" s="18">
        <f>+V2382-V2383</f>
        <v>0</v>
      </c>
      <c r="W2384" s="18">
        <f>+W2382-W2383</f>
        <v>0</v>
      </c>
      <c r="X2384" s="18">
        <f>+X2382-X2383</f>
        <v>-1222604.39</v>
      </c>
      <c r="Y2384" s="18"/>
    </row>
    <row r="2385" spans="1:25" ht="28.5">
      <c r="A2385" s="4">
        <f>+A2384+1</f>
        <v>9</v>
      </c>
      <c r="B2385" s="88" t="s">
        <v>181</v>
      </c>
      <c r="C2385" s="35" t="s">
        <v>45</v>
      </c>
      <c r="D2385" s="18">
        <v>0</v>
      </c>
      <c r="E2385" s="19"/>
      <c r="F2385" s="31">
        <v>0</v>
      </c>
      <c r="G2385" s="31">
        <f>+D2385-F2385</f>
        <v>0</v>
      </c>
      <c r="H2385" s="18"/>
      <c r="I2385" s="18">
        <v>0</v>
      </c>
      <c r="J2385" s="18">
        <v>0</v>
      </c>
      <c r="K2385" s="18">
        <v>0</v>
      </c>
      <c r="L2385" s="18">
        <v>0</v>
      </c>
      <c r="M2385" s="18">
        <v>0</v>
      </c>
      <c r="N2385" s="18">
        <v>0</v>
      </c>
      <c r="O2385" s="31">
        <v>0</v>
      </c>
      <c r="P2385" s="18"/>
      <c r="Q2385" s="18">
        <v>0</v>
      </c>
      <c r="R2385" s="18">
        <v>0</v>
      </c>
      <c r="S2385" s="18"/>
      <c r="T2385" s="18">
        <v>0</v>
      </c>
      <c r="U2385" s="18"/>
      <c r="V2385" s="18">
        <v>0</v>
      </c>
      <c r="W2385" s="18">
        <v>0</v>
      </c>
      <c r="X2385" s="18">
        <v>0</v>
      </c>
      <c r="Y2385" s="18"/>
    </row>
    <row r="2386" spans="1:25" ht="15">
      <c r="A2386" s="4">
        <f>+A2385+1</f>
        <v>10</v>
      </c>
      <c r="B2386" s="24" t="s">
        <v>46</v>
      </c>
      <c r="C2386" s="11" t="s">
        <v>47</v>
      </c>
      <c r="D2386" s="36">
        <f>+D2378+D2379+D2380+D2384+D2385</f>
        <v>28452052.13</v>
      </c>
      <c r="E2386" s="19"/>
      <c r="F2386" s="36">
        <f>+F2378+F2379+F2380+F2384+F2385</f>
        <v>18247577.37</v>
      </c>
      <c r="G2386" s="18">
        <f>+G2378+G2379+G2384+G2385+G2380</f>
        <v>-18065019.28</v>
      </c>
      <c r="H2386" s="18"/>
      <c r="I2386" s="18">
        <f>+I2378+I2379+I2384+I2385+I2380</f>
        <v>0</v>
      </c>
      <c r="J2386" s="21">
        <f>+J2378+J2379+J2384+J2385+J2380</f>
        <v>-24.99</v>
      </c>
      <c r="K2386" s="18">
        <f>+K2378+K2379+K2384+K2385+K2380</f>
        <v>0</v>
      </c>
      <c r="L2386" s="18">
        <f>+L2378+L2379+L2384+L2385+L2380</f>
        <v>-51788.270000000004</v>
      </c>
      <c r="M2386" s="18">
        <f>+M2378+M2379+M2384+M2385+M2380</f>
        <v>239.77</v>
      </c>
      <c r="N2386" s="18">
        <f>+N2378+N2379+N2384+N2385+N2380</f>
        <v>0</v>
      </c>
      <c r="O2386" s="18">
        <f>+O2378+O2379+O2384+O2385+O2380</f>
        <v>-1803.29</v>
      </c>
      <c r="P2386" s="18"/>
      <c r="Q2386" s="18">
        <f>+Q2378+Q2379+Q2384+Q2385+Q2380</f>
        <v>-4212.91</v>
      </c>
      <c r="R2386" s="18">
        <f>+R2378+R2379+R2384+R2385+R2380</f>
        <v>0</v>
      </c>
      <c r="S2386" s="18"/>
      <c r="T2386" s="18">
        <f>+T2378+T2379+T2384+T2385+T2380</f>
        <v>0</v>
      </c>
      <c r="U2386" s="18"/>
      <c r="V2386" s="18">
        <f>+V2378+V2379+V2384+V2385+V2380</f>
        <v>0.019999999999999962</v>
      </c>
      <c r="W2386" s="18">
        <f>+W2378+W2379+W2384+W2385+W2380</f>
        <v>0</v>
      </c>
      <c r="X2386" s="18">
        <f>+X2378+X2379+X2384+X2385+X2380</f>
        <v>-1229958.99</v>
      </c>
      <c r="Y2386" s="18"/>
    </row>
    <row r="2387" spans="1:25" ht="15">
      <c r="A2387" s="4"/>
      <c r="B2387" s="24"/>
      <c r="C2387" s="11" t="s">
        <v>0</v>
      </c>
      <c r="D2387" s="27"/>
      <c r="E2387" s="18"/>
      <c r="F2387" s="36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8"/>
      <c r="Y2387" s="18"/>
    </row>
    <row r="2388" spans="1:25" ht="15">
      <c r="A2388" s="4"/>
      <c r="B2388" s="94" t="s">
        <v>0</v>
      </c>
      <c r="C2388" s="37" t="s">
        <v>0</v>
      </c>
      <c r="D2388" s="27"/>
      <c r="E2388" s="18"/>
      <c r="F2388" s="92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  <c r="W2388" s="18"/>
      <c r="X2388" s="18"/>
      <c r="Y2388" s="18"/>
    </row>
    <row r="2389" spans="1:25" ht="15">
      <c r="A2389" s="4"/>
      <c r="B2389" s="24"/>
      <c r="C2389" s="11"/>
      <c r="D2389" s="6" t="s">
        <v>48</v>
      </c>
      <c r="E2389" s="6"/>
      <c r="F2389" s="10" t="s">
        <v>49</v>
      </c>
      <c r="G2389" s="10" t="s">
        <v>50</v>
      </c>
      <c r="I2389" s="10" t="s">
        <v>51</v>
      </c>
      <c r="J2389" s="10" t="s">
        <v>52</v>
      </c>
      <c r="K2389" s="10" t="s">
        <v>53</v>
      </c>
      <c r="L2389" s="10" t="s">
        <v>54</v>
      </c>
      <c r="M2389" s="10" t="s">
        <v>55</v>
      </c>
      <c r="N2389" s="10" t="s">
        <v>56</v>
      </c>
      <c r="O2389" s="10" t="s">
        <v>57</v>
      </c>
      <c r="P2389" s="18"/>
      <c r="Q2389" s="10" t="s">
        <v>58</v>
      </c>
      <c r="R2389" s="10" t="s">
        <v>59</v>
      </c>
      <c r="S2389" s="10"/>
      <c r="T2389" s="10" t="s">
        <v>60</v>
      </c>
      <c r="U2389" s="18"/>
      <c r="V2389" s="10" t="s">
        <v>61</v>
      </c>
      <c r="W2389" s="10" t="s">
        <v>62</v>
      </c>
      <c r="X2389" s="10" t="s">
        <v>63</v>
      </c>
      <c r="Y2389" s="18"/>
    </row>
    <row r="2390" spans="1:25" ht="15">
      <c r="A2390" s="4"/>
      <c r="B2390"/>
      <c r="C2390" s="11"/>
      <c r="D2390" s="10" t="s">
        <v>20</v>
      </c>
      <c r="E2390" s="38"/>
      <c r="F2390" s="10" t="s">
        <v>20</v>
      </c>
      <c r="G2390" s="10" t="s">
        <v>20</v>
      </c>
      <c r="I2390" s="10" t="s">
        <v>20</v>
      </c>
      <c r="J2390" s="10" t="s">
        <v>20</v>
      </c>
      <c r="K2390" s="10" t="s">
        <v>20</v>
      </c>
      <c r="L2390" s="10" t="s">
        <v>20</v>
      </c>
      <c r="M2390" s="10" t="s">
        <v>20</v>
      </c>
      <c r="N2390" s="10" t="s">
        <v>20</v>
      </c>
      <c r="O2390" s="10" t="s">
        <v>20</v>
      </c>
      <c r="P2390" s="18"/>
      <c r="Q2390" s="10" t="s">
        <v>20</v>
      </c>
      <c r="R2390" s="10" t="s">
        <v>20</v>
      </c>
      <c r="S2390" s="14"/>
      <c r="T2390" s="10" t="s">
        <v>20</v>
      </c>
      <c r="U2390" s="18"/>
      <c r="W2390" s="39" t="s">
        <v>64</v>
      </c>
      <c r="Y2390" s="18"/>
    </row>
    <row r="2391" spans="1:25" ht="15">
      <c r="A2391" s="4"/>
      <c r="B2391" s="87" t="s">
        <v>174</v>
      </c>
      <c r="C2391" s="11"/>
      <c r="D2391" s="8" t="s">
        <v>155</v>
      </c>
      <c r="E2391" s="6"/>
      <c r="F2391" s="8" t="s">
        <v>66</v>
      </c>
      <c r="G2391" s="8" t="s">
        <v>67</v>
      </c>
      <c r="H2391" s="19"/>
      <c r="I2391" s="8" t="s">
        <v>68</v>
      </c>
      <c r="J2391" s="8" t="s">
        <v>69</v>
      </c>
      <c r="K2391" s="8" t="s">
        <v>70</v>
      </c>
      <c r="L2391" s="8" t="s">
        <v>71</v>
      </c>
      <c r="M2391" s="8" t="s">
        <v>72</v>
      </c>
      <c r="N2391" s="8" t="s">
        <v>73</v>
      </c>
      <c r="O2391" s="8" t="s">
        <v>74</v>
      </c>
      <c r="P2391" s="6"/>
      <c r="Q2391" s="8" t="s">
        <v>75</v>
      </c>
      <c r="R2391" s="8" t="s">
        <v>76</v>
      </c>
      <c r="S2391" s="8"/>
      <c r="T2391" s="8" t="s">
        <v>77</v>
      </c>
      <c r="U2391" s="18"/>
      <c r="V2391" s="10" t="s">
        <v>20</v>
      </c>
      <c r="W2391" s="14" t="s">
        <v>21</v>
      </c>
      <c r="X2391" s="10" t="s">
        <v>22</v>
      </c>
      <c r="Y2391" s="18"/>
    </row>
    <row r="2392" spans="1:8" ht="15">
      <c r="A2392" s="4"/>
      <c r="B2392" s="24"/>
      <c r="C2392" s="11"/>
      <c r="E2392" s="14"/>
      <c r="F2392"/>
      <c r="H2392" s="18"/>
    </row>
    <row r="2393" spans="1:24" ht="15">
      <c r="A2393" s="4">
        <f>+A2386+1</f>
        <v>11</v>
      </c>
      <c r="B2393" s="5" t="s">
        <v>36</v>
      </c>
      <c r="C2393" s="17" t="s">
        <v>37</v>
      </c>
      <c r="D2393" s="18">
        <v>989.13</v>
      </c>
      <c r="E2393" s="18"/>
      <c r="F2393" s="18">
        <v>0</v>
      </c>
      <c r="G2393" s="18">
        <v>0</v>
      </c>
      <c r="I2393" s="27">
        <v>259149.22</v>
      </c>
      <c r="J2393" s="18">
        <v>0</v>
      </c>
      <c r="K2393" s="18">
        <v>0</v>
      </c>
      <c r="L2393" s="18">
        <v>0</v>
      </c>
      <c r="M2393" s="18">
        <v>49343.36</v>
      </c>
      <c r="N2393" s="18">
        <v>-549565.57</v>
      </c>
      <c r="O2393" s="18">
        <v>1.2</v>
      </c>
      <c r="Q2393" s="18">
        <v>0</v>
      </c>
      <c r="R2393" s="18">
        <v>0</v>
      </c>
      <c r="S2393" s="18"/>
      <c r="T2393" s="18">
        <v>0</v>
      </c>
      <c r="V2393" s="18">
        <f>+D2376+I2376+J2376+K2376+L2376+M2376+N2376+O2376+Q2376+R2376+T2376+V2376+W2376+X2376+D2393+F2393+G2393+I2393+J2393+K2393+L2393+M2393+N2393+O2393+Q2393+R2393+T2393</f>
        <v>16799213.189999998</v>
      </c>
      <c r="W2393" s="18">
        <f>+F2376</f>
        <v>12019787.3</v>
      </c>
      <c r="X2393" s="18">
        <f>+V2393-W2393</f>
        <v>4779425.889999997</v>
      </c>
    </row>
    <row r="2394" spans="1:24" ht="15">
      <c r="A2394" s="4">
        <f>+A2393+1</f>
        <v>12</v>
      </c>
      <c r="B2394" s="5" t="s">
        <v>36</v>
      </c>
      <c r="C2394" s="22" t="s">
        <v>38</v>
      </c>
      <c r="D2394" s="18">
        <v>-6643.35</v>
      </c>
      <c r="E2394" s="18"/>
      <c r="F2394" s="18">
        <v>0</v>
      </c>
      <c r="G2394" s="18">
        <v>0</v>
      </c>
      <c r="I2394" s="27">
        <v>257247.81</v>
      </c>
      <c r="J2394" s="18">
        <v>0</v>
      </c>
      <c r="K2394" s="18">
        <v>0</v>
      </c>
      <c r="L2394" s="18">
        <v>0</v>
      </c>
      <c r="M2394" s="18">
        <v>48986.05</v>
      </c>
      <c r="N2394" s="18">
        <v>-548586.82</v>
      </c>
      <c r="O2394" s="18">
        <v>1.2</v>
      </c>
      <c r="Q2394" s="18">
        <v>0</v>
      </c>
      <c r="R2394" s="18">
        <v>0</v>
      </c>
      <c r="S2394" s="18"/>
      <c r="T2394" s="18">
        <v>0</v>
      </c>
      <c r="V2394" s="18">
        <f>+D2377+I2377+J2377+K2377+L2377+M2377+N2377+O2377+Q2377+R2377+T2377+V2377+W2377+X2377+D2394+F2394+G2394+I2394+J2394+K2394+L2394+M2394+N2394+O2394+Q2394+R2394+T2394</f>
        <v>16794192.339999996</v>
      </c>
      <c r="W2394" s="18">
        <f>+F2377</f>
        <v>11838929.59</v>
      </c>
      <c r="X2394" s="18">
        <f>+V2394-W2394</f>
        <v>4955262.749999996</v>
      </c>
    </row>
    <row r="2395" spans="1:24" ht="15">
      <c r="A2395" s="4">
        <f>+A2394+1</f>
        <v>13</v>
      </c>
      <c r="B2395" s="24" t="s">
        <v>46</v>
      </c>
      <c r="C2395" s="40" t="s">
        <v>78</v>
      </c>
      <c r="D2395" s="18">
        <f>+D2393-D2394</f>
        <v>7632.4800000000005</v>
      </c>
      <c r="E2395" s="18"/>
      <c r="F2395" s="18">
        <f>+F2393-F2394</f>
        <v>0</v>
      </c>
      <c r="G2395" s="18">
        <f>+G2393-G2394</f>
        <v>0</v>
      </c>
      <c r="I2395" s="18">
        <f>+I2393-I2394</f>
        <v>1901.4100000000035</v>
      </c>
      <c r="J2395" s="18">
        <f>+J2393-J2394</f>
        <v>0</v>
      </c>
      <c r="K2395" s="18">
        <f>+K2393-K2394</f>
        <v>0</v>
      </c>
      <c r="L2395" s="18">
        <f>+L2393-L2394</f>
        <v>0</v>
      </c>
      <c r="M2395" s="18">
        <f>+M2393-M2394</f>
        <v>357.3099999999977</v>
      </c>
      <c r="N2395" s="18">
        <f>+N2393-N2394</f>
        <v>-978.75</v>
      </c>
      <c r="O2395" s="18">
        <f>+O2393-O2394</f>
        <v>0</v>
      </c>
      <c r="Q2395" s="18">
        <f>+Q2393-Q2394</f>
        <v>0</v>
      </c>
      <c r="R2395" s="18">
        <f>+R2393-R2394</f>
        <v>0</v>
      </c>
      <c r="S2395" s="18"/>
      <c r="T2395" s="18">
        <f>+T2393-T2394</f>
        <v>0</v>
      </c>
      <c r="V2395" s="27">
        <f>+V2393-V2394</f>
        <v>5020.85000000149</v>
      </c>
      <c r="W2395" s="27">
        <f>+W2393-W2394</f>
        <v>180857.7100000009</v>
      </c>
      <c r="X2395" s="18">
        <f>+X2393-X2394</f>
        <v>-175836.8599999994</v>
      </c>
    </row>
    <row r="2396" spans="1:24" ht="28.5">
      <c r="A2396" s="4">
        <f>+A2395+1</f>
        <v>14</v>
      </c>
      <c r="B2396" s="88" t="s">
        <v>182</v>
      </c>
      <c r="C2396" s="11"/>
      <c r="D2396" s="18">
        <v>0</v>
      </c>
      <c r="E2396" s="18"/>
      <c r="F2396" s="18">
        <v>0</v>
      </c>
      <c r="G2396" s="18">
        <v>0</v>
      </c>
      <c r="I2396" s="18">
        <v>0</v>
      </c>
      <c r="J2396" s="18">
        <v>0</v>
      </c>
      <c r="K2396" s="18">
        <v>0</v>
      </c>
      <c r="L2396" s="18">
        <v>0</v>
      </c>
      <c r="M2396" s="18">
        <v>0</v>
      </c>
      <c r="N2396" s="18">
        <v>0</v>
      </c>
      <c r="O2396" s="18">
        <v>0</v>
      </c>
      <c r="Q2396" s="18">
        <v>0</v>
      </c>
      <c r="R2396" s="18">
        <v>0</v>
      </c>
      <c r="S2396" s="18"/>
      <c r="T2396" s="18">
        <v>0</v>
      </c>
      <c r="V2396" s="18">
        <f>+D2379+I2379+J2379+K2379+L2379+M2379+N2379+O2379+Q2379+R2379+T2379+V2379+W2379+X2379+D2396+F2396+G2396+I2396+J2396+K2396+L2396+M2396+N2396+O2396+Q2396+R2396+T2396</f>
        <v>0</v>
      </c>
      <c r="W2396" s="18">
        <f>+F2379</f>
        <v>0</v>
      </c>
      <c r="X2396" s="18">
        <f>+V2396-W2396</f>
        <v>0</v>
      </c>
    </row>
    <row r="2397" spans="1:24" ht="24.75">
      <c r="A2397" s="4">
        <f>+A2396+1</f>
        <v>15</v>
      </c>
      <c r="B2397" s="89" t="s">
        <v>39</v>
      </c>
      <c r="C2397" s="40"/>
      <c r="D2397" s="27">
        <v>0</v>
      </c>
      <c r="E2397" s="18" t="s">
        <v>0</v>
      </c>
      <c r="F2397" s="27">
        <v>0</v>
      </c>
      <c r="G2397" s="27">
        <v>0</v>
      </c>
      <c r="H2397" t="s">
        <v>0</v>
      </c>
      <c r="I2397" s="27">
        <v>-302.59</v>
      </c>
      <c r="J2397" s="27">
        <v>0</v>
      </c>
      <c r="K2397" s="27">
        <v>-0.04</v>
      </c>
      <c r="L2397" s="27">
        <v>0</v>
      </c>
      <c r="M2397" s="27">
        <v>0</v>
      </c>
      <c r="N2397" s="27">
        <f>-2770.94+1473.14</f>
        <v>-1297.8</v>
      </c>
      <c r="O2397" s="27">
        <v>0</v>
      </c>
      <c r="Q2397" s="27">
        <v>0</v>
      </c>
      <c r="R2397" s="27">
        <v>0</v>
      </c>
      <c r="S2397" s="27"/>
      <c r="T2397" s="27">
        <v>0</v>
      </c>
      <c r="V2397" s="18">
        <f>+D2380+I2380+J2380+K2380+L2380+M2380+N2380+O2380+Q2380+R2380+T2380+V2380+W2380+X2380+D2397+F2397+G2397+I2397+J2397+K2397+L2397+M2397+N2397+O2397+Q2397+R2397+T2397</f>
        <v>-4698.099999999995</v>
      </c>
      <c r="W2397" s="18">
        <f>+F2380</f>
        <v>0</v>
      </c>
      <c r="X2397" s="18">
        <f>+V2397-W2397</f>
        <v>-4698.099999999995</v>
      </c>
    </row>
    <row r="2398" spans="1:24" ht="15">
      <c r="A2398" s="6" t="s">
        <v>41</v>
      </c>
      <c r="B2398" s="41"/>
      <c r="C2398" s="40"/>
      <c r="D2398" s="18"/>
      <c r="E2398" s="18"/>
      <c r="F2398" s="18"/>
      <c r="G2398" s="18"/>
      <c r="I2398" s="18"/>
      <c r="J2398" s="18"/>
      <c r="K2398" s="18"/>
      <c r="L2398" s="18"/>
      <c r="M2398" s="18"/>
      <c r="N2398" s="18"/>
      <c r="O2398" s="18"/>
      <c r="Q2398" s="18"/>
      <c r="R2398" s="18"/>
      <c r="S2398" s="18"/>
      <c r="T2398" s="18"/>
      <c r="V2398" s="18"/>
      <c r="W2398" s="18"/>
      <c r="X2398" s="18"/>
    </row>
    <row r="2399" spans="1:24" ht="15">
      <c r="A2399" s="4">
        <f>+A2397+1</f>
        <v>16</v>
      </c>
      <c r="B2399" s="5" t="s">
        <v>42</v>
      </c>
      <c r="C2399" s="22" t="s">
        <v>38</v>
      </c>
      <c r="D2399" s="18">
        <v>0</v>
      </c>
      <c r="E2399" s="18"/>
      <c r="F2399" s="18">
        <v>0</v>
      </c>
      <c r="G2399" s="18">
        <v>0</v>
      </c>
      <c r="I2399" s="27">
        <v>-16183.82</v>
      </c>
      <c r="J2399" s="18">
        <v>0</v>
      </c>
      <c r="K2399" s="18">
        <v>0</v>
      </c>
      <c r="L2399" s="18">
        <v>0</v>
      </c>
      <c r="M2399" s="18">
        <v>144360.73</v>
      </c>
      <c r="N2399" s="18">
        <v>-1341996.22</v>
      </c>
      <c r="O2399" s="18">
        <v>18.5</v>
      </c>
      <c r="P2399" s="18"/>
      <c r="Q2399" s="18">
        <v>0</v>
      </c>
      <c r="R2399" s="18">
        <v>0</v>
      </c>
      <c r="S2399" s="18"/>
      <c r="T2399" s="18">
        <v>0</v>
      </c>
      <c r="U2399" s="18"/>
      <c r="V2399" s="18">
        <f>+D2382+I2382+J2382+K2382+L2382+M2382+N2382+O2382+Q2382+R2382+T2382+V2382+W2382+X2382+D2399+F2399+G2399+I2399+J2399+K2399+L2399+M2399+N2399+O2399+Q2399+R2399+T2399</f>
        <v>25957691.91</v>
      </c>
      <c r="W2399" s="18">
        <f>+F2382</f>
        <v>18066719.66</v>
      </c>
      <c r="X2399" s="18">
        <f>+V2399-W2399</f>
        <v>7890972.25</v>
      </c>
    </row>
    <row r="2400" spans="1:24" ht="15">
      <c r="A2400" s="4">
        <f>+A2399+1</f>
        <v>17</v>
      </c>
      <c r="B2400" s="5" t="s">
        <v>43</v>
      </c>
      <c r="C2400" s="11"/>
      <c r="D2400" s="18">
        <v>0</v>
      </c>
      <c r="E2400" s="18"/>
      <c r="F2400" s="18">
        <v>0</v>
      </c>
      <c r="G2400" s="18">
        <v>0</v>
      </c>
      <c r="I2400" s="27">
        <v>0</v>
      </c>
      <c r="J2400" s="18">
        <v>0</v>
      </c>
      <c r="K2400" s="18">
        <v>0</v>
      </c>
      <c r="L2400" s="18">
        <v>0</v>
      </c>
      <c r="M2400" s="18">
        <v>0</v>
      </c>
      <c r="N2400" s="18">
        <v>0</v>
      </c>
      <c r="O2400" s="18">
        <v>0</v>
      </c>
      <c r="P2400" s="18"/>
      <c r="Q2400" s="18">
        <v>0</v>
      </c>
      <c r="R2400" s="18">
        <v>0</v>
      </c>
      <c r="S2400" s="18"/>
      <c r="T2400" s="18">
        <v>0</v>
      </c>
      <c r="U2400" s="18"/>
      <c r="V2400" s="18">
        <f>+D2383+I2383+J2383+K2383+L2383+M2383+N2383+O2383+Q2383+R2383+T2383+V2383+W2383+X2383+D2400+F2400+G2400+I2400+J2400+K2400+L2400+M2400+N2400+O2400+Q2400+R2400+T2400</f>
        <v>0</v>
      </c>
      <c r="W2400" s="18">
        <f>+F2383</f>
        <v>0</v>
      </c>
      <c r="X2400" s="18">
        <f>+V2400-W2400</f>
        <v>0</v>
      </c>
    </row>
    <row r="2401" spans="1:24" ht="26.25">
      <c r="A2401" s="4">
        <f>+A2400+1</f>
        <v>18</v>
      </c>
      <c r="B2401" s="24" t="s">
        <v>79</v>
      </c>
      <c r="C2401" s="11"/>
      <c r="D2401" s="18">
        <f>+D2399-D2400</f>
        <v>0</v>
      </c>
      <c r="E2401" s="18"/>
      <c r="F2401" s="18">
        <f>+F2399-F2400</f>
        <v>0</v>
      </c>
      <c r="G2401" s="18">
        <f>+G2399-G2400</f>
        <v>0</v>
      </c>
      <c r="I2401" s="18">
        <f aca="true" t="shared" si="286" ref="I2401:O2401">+I2399-I2400</f>
        <v>-16183.82</v>
      </c>
      <c r="J2401" s="18">
        <f t="shared" si="286"/>
        <v>0</v>
      </c>
      <c r="K2401" s="18">
        <f t="shared" si="286"/>
        <v>0</v>
      </c>
      <c r="L2401" s="18">
        <f t="shared" si="286"/>
        <v>0</v>
      </c>
      <c r="M2401" s="18">
        <f t="shared" si="286"/>
        <v>144360.73</v>
      </c>
      <c r="N2401" s="18">
        <f t="shared" si="286"/>
        <v>-1341996.22</v>
      </c>
      <c r="O2401" s="18">
        <f t="shared" si="286"/>
        <v>18.5</v>
      </c>
      <c r="P2401" s="18"/>
      <c r="Q2401" s="18">
        <f>+Q2399-Q2400</f>
        <v>0</v>
      </c>
      <c r="R2401" s="18">
        <f>+R2399-R2400</f>
        <v>0</v>
      </c>
      <c r="S2401" s="18"/>
      <c r="T2401" s="18">
        <f>+T2399-T2400</f>
        <v>0</v>
      </c>
      <c r="U2401" s="18"/>
      <c r="V2401" s="27">
        <f>+V2399-V2400</f>
        <v>25957691.91</v>
      </c>
      <c r="W2401" s="27">
        <f>+W2399-W2400</f>
        <v>18066719.66</v>
      </c>
      <c r="X2401" s="18">
        <f>+X2399-X2400</f>
        <v>7890972.25</v>
      </c>
    </row>
    <row r="2402" spans="1:24" ht="28.5">
      <c r="A2402" s="4">
        <f>+A2401+1</f>
        <v>19</v>
      </c>
      <c r="B2402" s="88" t="s">
        <v>181</v>
      </c>
      <c r="C2402" s="11"/>
      <c r="D2402" s="18">
        <v>0</v>
      </c>
      <c r="E2402" s="18"/>
      <c r="F2402" s="18">
        <v>0</v>
      </c>
      <c r="G2402" s="18">
        <v>0</v>
      </c>
      <c r="I2402" s="18">
        <v>0</v>
      </c>
      <c r="J2402" s="18">
        <v>0</v>
      </c>
      <c r="K2402" s="18">
        <v>0</v>
      </c>
      <c r="L2402" s="18">
        <v>0</v>
      </c>
      <c r="M2402" s="18">
        <v>0</v>
      </c>
      <c r="N2402" s="18">
        <v>0</v>
      </c>
      <c r="O2402" s="18">
        <v>0</v>
      </c>
      <c r="P2402" s="18"/>
      <c r="Q2402" s="18">
        <v>0</v>
      </c>
      <c r="R2402" s="18">
        <v>0</v>
      </c>
      <c r="S2402" s="18"/>
      <c r="T2402" s="18">
        <v>0</v>
      </c>
      <c r="U2402" s="18"/>
      <c r="V2402" s="18">
        <f>+D2385+I2385+J2385+K2385+L2385+M2385+N2385+O2385+Q2385+R2385+T2385+V2385+W2385+X2385+D2402+F2402+G2402+I2402+J2402+K2402+L2402+M2402+N2402+O2402+Q2402+R2402+T2402</f>
        <v>0</v>
      </c>
      <c r="W2402" s="18">
        <f>+F2385+K2402+L2402+M2402+N2402+O2402+Q2402+R2402+T2402</f>
        <v>0</v>
      </c>
      <c r="X2402" s="18">
        <f>+V2402-W2402</f>
        <v>0</v>
      </c>
    </row>
    <row r="2403" spans="1:24" ht="15">
      <c r="A2403" s="4">
        <f>+A2402+1</f>
        <v>20</v>
      </c>
      <c r="B2403" s="24" t="s">
        <v>46</v>
      </c>
      <c r="C2403" s="11" t="s">
        <v>47</v>
      </c>
      <c r="D2403" s="18">
        <f>+D2395+D2396+D2401+D2402+D2397</f>
        <v>7632.4800000000005</v>
      </c>
      <c r="E2403" s="18"/>
      <c r="F2403" s="18">
        <f>+F2395+F2396+F2401+F2402+F2397</f>
        <v>0</v>
      </c>
      <c r="G2403" s="18">
        <f>+G2395+G2396+G2401+G2402+G2397</f>
        <v>0</v>
      </c>
      <c r="I2403" s="18">
        <f aca="true" t="shared" si="287" ref="I2403:O2403">+I2395+I2396+I2401+I2402+I2397</f>
        <v>-14584.999999999996</v>
      </c>
      <c r="J2403" s="18">
        <f t="shared" si="287"/>
        <v>0</v>
      </c>
      <c r="K2403" s="18">
        <f t="shared" si="287"/>
        <v>-0.04</v>
      </c>
      <c r="L2403" s="18">
        <f t="shared" si="287"/>
        <v>0</v>
      </c>
      <c r="M2403" s="18">
        <f t="shared" si="287"/>
        <v>144718.04</v>
      </c>
      <c r="N2403" s="18">
        <f t="shared" si="287"/>
        <v>-1344272.77</v>
      </c>
      <c r="O2403" s="18">
        <f t="shared" si="287"/>
        <v>18.5</v>
      </c>
      <c r="P2403" s="42"/>
      <c r="Q2403" s="18">
        <f>+Q2395+Q2396+Q2401+Q2402+Q2397</f>
        <v>0</v>
      </c>
      <c r="R2403" s="18">
        <f>+R2395+R2396+R2401+R2402+R2397</f>
        <v>0</v>
      </c>
      <c r="S2403" s="18"/>
      <c r="T2403" s="18">
        <f>+T2395+T2396+T2401+T2402+T2397</f>
        <v>0</v>
      </c>
      <c r="U2403" s="42"/>
      <c r="V2403" s="18">
        <f>SUM(V2395,V2397,V2401,V2402)</f>
        <v>25958014.66</v>
      </c>
      <c r="W2403" s="18">
        <f>+W2395+W2396+W2401+W2402+W2397</f>
        <v>18247577.37</v>
      </c>
      <c r="X2403" s="18">
        <f>+X2395+X2396+X2401+X2402+X2397</f>
        <v>7710437.290000001</v>
      </c>
    </row>
    <row r="2404" spans="1:24" ht="15">
      <c r="A2404" s="4"/>
      <c r="B2404" s="24"/>
      <c r="C2404" s="11"/>
      <c r="D2404" s="18"/>
      <c r="E2404" s="18"/>
      <c r="F2404" s="18"/>
      <c r="G2404" s="18"/>
      <c r="I2404" s="18"/>
      <c r="J2404" s="18"/>
      <c r="K2404" s="18"/>
      <c r="L2404" s="18"/>
      <c r="M2404" s="18"/>
      <c r="N2404" s="18"/>
      <c r="O2404" s="18"/>
      <c r="P2404" s="42"/>
      <c r="Q2404" s="18"/>
      <c r="R2404" s="18"/>
      <c r="S2404" s="18"/>
      <c r="T2404" s="18"/>
      <c r="U2404" s="42"/>
      <c r="V2404" s="18"/>
      <c r="W2404" s="18"/>
      <c r="X2404" s="18"/>
    </row>
    <row r="2405" spans="1:24" ht="15">
      <c r="A2405" s="4"/>
      <c r="B2405" s="24"/>
      <c r="C2405" s="11"/>
      <c r="D2405" s="18"/>
      <c r="E2405" s="18"/>
      <c r="F2405" s="18"/>
      <c r="G2405" s="18"/>
      <c r="I2405" s="18"/>
      <c r="J2405" s="18"/>
      <c r="K2405" s="18"/>
      <c r="L2405" s="18"/>
      <c r="M2405" s="18"/>
      <c r="N2405" s="18"/>
      <c r="O2405" s="18"/>
      <c r="P2405" s="42"/>
      <c r="Q2405" s="18"/>
      <c r="R2405" s="18"/>
      <c r="S2405" s="18"/>
      <c r="T2405" s="18"/>
      <c r="U2405" s="42"/>
      <c r="V2405" s="18"/>
      <c r="W2405" s="18"/>
      <c r="X2405" s="18"/>
    </row>
    <row r="2406" spans="1:24" ht="15">
      <c r="A2406" s="4"/>
      <c r="B2406" s="24"/>
      <c r="C2406" s="11"/>
      <c r="D2406" s="18"/>
      <c r="E2406" s="18"/>
      <c r="F2406" s="18"/>
      <c r="G2406" s="18"/>
      <c r="I2406" s="18"/>
      <c r="J2406" s="18"/>
      <c r="K2406" s="18"/>
      <c r="L2406" s="18"/>
      <c r="M2406" s="18"/>
      <c r="N2406" s="18"/>
      <c r="O2406" s="18"/>
      <c r="P2406" s="42"/>
      <c r="Q2406" s="18"/>
      <c r="R2406" s="18"/>
      <c r="S2406" s="18"/>
      <c r="T2406" s="18"/>
      <c r="U2406" s="42"/>
      <c r="V2406" s="18"/>
      <c r="W2406" s="18"/>
      <c r="X2406" s="18"/>
    </row>
    <row r="2407" spans="1:25" ht="15">
      <c r="A2407" s="4"/>
      <c r="B2407" s="24"/>
      <c r="C2407" s="11"/>
      <c r="D2407" s="10" t="s">
        <v>80</v>
      </c>
      <c r="E2407" s="10"/>
      <c r="F2407" s="10" t="s">
        <v>81</v>
      </c>
      <c r="G2407" s="10" t="s">
        <v>82</v>
      </c>
      <c r="I2407" s="10" t="s">
        <v>83</v>
      </c>
      <c r="J2407" s="10" t="s">
        <v>84</v>
      </c>
      <c r="K2407" s="10" t="s">
        <v>85</v>
      </c>
      <c r="L2407" s="10" t="s">
        <v>86</v>
      </c>
      <c r="M2407" s="43" t="s">
        <v>87</v>
      </c>
      <c r="N2407" s="43" t="s">
        <v>88</v>
      </c>
      <c r="O2407" s="44" t="s">
        <v>89</v>
      </c>
      <c r="P2407" s="42"/>
      <c r="Q2407" s="43" t="s">
        <v>90</v>
      </c>
      <c r="R2407" s="43" t="s">
        <v>91</v>
      </c>
      <c r="S2407" s="43"/>
      <c r="T2407" s="43" t="s">
        <v>92</v>
      </c>
      <c r="U2407" s="42"/>
      <c r="V2407" s="43" t="s">
        <v>93</v>
      </c>
      <c r="W2407" s="43" t="s">
        <v>94</v>
      </c>
      <c r="X2407" s="43" t="s">
        <v>95</v>
      </c>
      <c r="Y2407" s="18"/>
    </row>
    <row r="2408" spans="1:25" ht="15">
      <c r="A2408" s="4"/>
      <c r="B2408"/>
      <c r="C2408" s="11"/>
      <c r="D2408" s="10" t="s">
        <v>20</v>
      </c>
      <c r="E2408" s="38"/>
      <c r="F2408" s="10" t="s">
        <v>20</v>
      </c>
      <c r="G2408" s="10" t="s">
        <v>20</v>
      </c>
      <c r="I2408" s="10" t="s">
        <v>20</v>
      </c>
      <c r="J2408" s="10" t="s">
        <v>20</v>
      </c>
      <c r="K2408" s="10" t="s">
        <v>20</v>
      </c>
      <c r="L2408" s="10" t="s">
        <v>20</v>
      </c>
      <c r="M2408" s="10" t="s">
        <v>20</v>
      </c>
      <c r="N2408" s="10" t="s">
        <v>20</v>
      </c>
      <c r="O2408" s="10" t="s">
        <v>20</v>
      </c>
      <c r="P2408" s="18"/>
      <c r="Q2408" s="10" t="s">
        <v>20</v>
      </c>
      <c r="R2408" s="10" t="s">
        <v>20</v>
      </c>
      <c r="S2408" s="14"/>
      <c r="T2408" s="10" t="s">
        <v>20</v>
      </c>
      <c r="U2408" s="18"/>
      <c r="W2408" s="39" t="s">
        <v>96</v>
      </c>
      <c r="Y2408" s="18"/>
    </row>
    <row r="2409" spans="1:25" ht="15">
      <c r="A2409" s="4"/>
      <c r="B2409" s="87" t="s">
        <v>174</v>
      </c>
      <c r="C2409" s="11"/>
      <c r="D2409" s="8" t="s">
        <v>156</v>
      </c>
      <c r="E2409" s="6"/>
      <c r="F2409" s="8" t="s">
        <v>157</v>
      </c>
      <c r="G2409" s="45" t="s">
        <v>99</v>
      </c>
      <c r="H2409" s="19"/>
      <c r="I2409" s="45" t="s">
        <v>100</v>
      </c>
      <c r="J2409" s="45" t="s">
        <v>101</v>
      </c>
      <c r="K2409" s="82" t="s">
        <v>102</v>
      </c>
      <c r="L2409" s="45" t="s">
        <v>103</v>
      </c>
      <c r="M2409" s="45" t="s">
        <v>104</v>
      </c>
      <c r="N2409" s="45" t="s">
        <v>105</v>
      </c>
      <c r="O2409" s="45" t="s">
        <v>106</v>
      </c>
      <c r="P2409" s="6"/>
      <c r="Q2409" s="45" t="s">
        <v>107</v>
      </c>
      <c r="R2409" s="45" t="s">
        <v>108</v>
      </c>
      <c r="S2409" s="45"/>
      <c r="T2409" s="45" t="s">
        <v>109</v>
      </c>
      <c r="U2409" s="18"/>
      <c r="V2409" s="10" t="s">
        <v>20</v>
      </c>
      <c r="W2409" s="10" t="s">
        <v>21</v>
      </c>
      <c r="X2409" s="10" t="s">
        <v>22</v>
      </c>
      <c r="Y2409" s="18"/>
    </row>
    <row r="2410" spans="1:9" ht="15">
      <c r="A2410" s="4"/>
      <c r="B2410" s="24"/>
      <c r="C2410" s="11"/>
      <c r="E2410" s="14"/>
      <c r="F2410"/>
      <c r="H2410" s="18"/>
      <c r="I2410" s="16"/>
    </row>
    <row r="2411" spans="1:24" ht="15">
      <c r="A2411" s="4">
        <f>+A2404+1</f>
        <v>1</v>
      </c>
      <c r="B2411" s="5" t="s">
        <v>36</v>
      </c>
      <c r="C2411" s="17" t="s">
        <v>37</v>
      </c>
      <c r="D2411" s="18">
        <v>0</v>
      </c>
      <c r="E2411" s="18"/>
      <c r="F2411" s="18">
        <v>50052.6</v>
      </c>
      <c r="G2411" s="18">
        <v>-827.39</v>
      </c>
      <c r="I2411" s="18">
        <v>0</v>
      </c>
      <c r="J2411" s="18">
        <v>0</v>
      </c>
      <c r="K2411" s="46">
        <f>-11156.59-229472.81+57.39</f>
        <v>-240572.00999999998</v>
      </c>
      <c r="L2411" s="27">
        <v>-7129</v>
      </c>
      <c r="M2411" s="18">
        <f>-7104.58-1005.95-159.03-1227.6</f>
        <v>-9497.16</v>
      </c>
      <c r="N2411" s="18">
        <v>0</v>
      </c>
      <c r="O2411" s="18">
        <v>-34877.15</v>
      </c>
      <c r="Q2411" s="18">
        <v>0</v>
      </c>
      <c r="R2411" s="18">
        <v>-7586.65</v>
      </c>
      <c r="S2411" s="18"/>
      <c r="T2411" s="18">
        <v>-36535.27</v>
      </c>
      <c r="V2411" s="18">
        <f>+V2393+D2411+F2411+G2411+I2411+J2411+K2411+L2411+M2411+N2411+O2411+Q2411+R2411+T2411</f>
        <v>16512241.159999998</v>
      </c>
      <c r="W2411" s="18">
        <f>+W2393</f>
        <v>12019787.3</v>
      </c>
      <c r="X2411" s="18">
        <f>+V2411-W2411</f>
        <v>4492453.859999998</v>
      </c>
    </row>
    <row r="2412" spans="1:24" ht="15">
      <c r="A2412" s="4">
        <f>+A2411+1</f>
        <v>2</v>
      </c>
      <c r="B2412" s="5" t="s">
        <v>36</v>
      </c>
      <c r="C2412" s="22" t="s">
        <v>38</v>
      </c>
      <c r="D2412" s="18">
        <v>0</v>
      </c>
      <c r="E2412" s="18"/>
      <c r="F2412" s="18">
        <v>49343.01</v>
      </c>
      <c r="G2412" s="18">
        <v>-132.14</v>
      </c>
      <c r="I2412" s="18">
        <v>0</v>
      </c>
      <c r="J2412" s="18">
        <v>0</v>
      </c>
      <c r="K2412" s="46">
        <f>-2242.69-221043.58+55.59</f>
        <v>-223230.68</v>
      </c>
      <c r="L2412" s="27">
        <v>-7129</v>
      </c>
      <c r="M2412" s="18">
        <f>-6646.22-941.05-148.77-1148.4</f>
        <v>-8884.44</v>
      </c>
      <c r="N2412" s="18">
        <v>0</v>
      </c>
      <c r="O2412" s="18">
        <v>-28897.22</v>
      </c>
      <c r="Q2412" s="18">
        <v>0</v>
      </c>
      <c r="R2412" s="18">
        <v>-6839.22</v>
      </c>
      <c r="S2412" s="18"/>
      <c r="T2412" s="18">
        <v>-31647.46</v>
      </c>
      <c r="V2412" s="18">
        <f>+V2394+D2412+F2412+G2412+I2412+J2412+K2412+L2412+M2412+N2412+O2412+Q2412+R2412+T2412</f>
        <v>16536775.189999996</v>
      </c>
      <c r="W2412" s="18">
        <f>+W2394</f>
        <v>11838929.59</v>
      </c>
      <c r="X2412" s="18">
        <f>+V2412-W2412</f>
        <v>4697845.599999996</v>
      </c>
    </row>
    <row r="2413" spans="1:24" ht="15">
      <c r="A2413" s="4">
        <f>+A2412+1</f>
        <v>3</v>
      </c>
      <c r="B2413" s="24" t="s">
        <v>46</v>
      </c>
      <c r="C2413" s="40" t="s">
        <v>78</v>
      </c>
      <c r="D2413" s="18">
        <f>+D2411-D2412</f>
        <v>0</v>
      </c>
      <c r="E2413" s="18"/>
      <c r="F2413" s="18">
        <f>+F2411-F2412</f>
        <v>709.5899999999965</v>
      </c>
      <c r="G2413" s="18">
        <f>+G2411-G2412</f>
        <v>-695.25</v>
      </c>
      <c r="I2413" s="18">
        <f>+I2411-I2412</f>
        <v>0</v>
      </c>
      <c r="J2413" s="18">
        <f>+J2411-J2412</f>
        <v>0</v>
      </c>
      <c r="K2413" s="18">
        <f>+K2411-K2412</f>
        <v>-17341.329999999987</v>
      </c>
      <c r="L2413" s="18">
        <f>+L2411-L2412</f>
        <v>0</v>
      </c>
      <c r="M2413" s="18">
        <f>+M2411-M2412</f>
        <v>-612.7199999999993</v>
      </c>
      <c r="N2413" s="18">
        <f>+N2411-N2412</f>
        <v>0</v>
      </c>
      <c r="O2413" s="18">
        <f>+O2411-O2412</f>
        <v>-5979.93</v>
      </c>
      <c r="Q2413" s="18">
        <f>+Q2411-Q2412</f>
        <v>0</v>
      </c>
      <c r="R2413" s="18">
        <f>+R2411-R2412</f>
        <v>-747.4299999999994</v>
      </c>
      <c r="S2413" s="18"/>
      <c r="T2413" s="18">
        <f>+T2411-T2412</f>
        <v>-4887.809999999998</v>
      </c>
      <c r="V2413" s="27">
        <f>+V2411-V2412</f>
        <v>-24534.029999997467</v>
      </c>
      <c r="W2413" s="27">
        <f>+W2411-W2412</f>
        <v>180857.7100000009</v>
      </c>
      <c r="X2413" s="18">
        <f>+X2411-X2412</f>
        <v>-205391.73999999836</v>
      </c>
    </row>
    <row r="2414" spans="1:24" ht="28.5">
      <c r="A2414" s="4">
        <f>+A2413+1</f>
        <v>4</v>
      </c>
      <c r="B2414" s="88" t="s">
        <v>182</v>
      </c>
      <c r="C2414" s="11"/>
      <c r="D2414" s="18">
        <v>0</v>
      </c>
      <c r="E2414" s="18"/>
      <c r="F2414" s="18">
        <v>0</v>
      </c>
      <c r="G2414" s="18">
        <v>0</v>
      </c>
      <c r="I2414" s="18">
        <v>0</v>
      </c>
      <c r="J2414" s="27">
        <v>0</v>
      </c>
      <c r="K2414" s="18">
        <v>0</v>
      </c>
      <c r="L2414" s="18">
        <v>0</v>
      </c>
      <c r="M2414" s="18">
        <v>0</v>
      </c>
      <c r="N2414" s="18">
        <v>0</v>
      </c>
      <c r="O2414" s="18">
        <v>0</v>
      </c>
      <c r="Q2414" s="18">
        <v>0</v>
      </c>
      <c r="R2414" s="18">
        <v>0</v>
      </c>
      <c r="S2414" s="18"/>
      <c r="T2414" s="18">
        <v>0</v>
      </c>
      <c r="V2414" s="18">
        <f>+V2396+D2414+F2414+G2414+I2414+J2414+K2414+L2414+M2414+N2414+O2414+Q2414+R2414+T2414</f>
        <v>0</v>
      </c>
      <c r="W2414" s="18">
        <f>+W2396</f>
        <v>0</v>
      </c>
      <c r="X2414" s="18">
        <f>+V2414-W2414</f>
        <v>0</v>
      </c>
    </row>
    <row r="2415" spans="1:24" ht="24.75">
      <c r="A2415" s="4">
        <f>+A2414+1</f>
        <v>5</v>
      </c>
      <c r="B2415" s="89" t="s">
        <v>39</v>
      </c>
      <c r="C2415" s="40"/>
      <c r="D2415" s="27">
        <v>35.11</v>
      </c>
      <c r="E2415" s="18"/>
      <c r="F2415" s="27">
        <v>0</v>
      </c>
      <c r="G2415" s="27">
        <v>854.12</v>
      </c>
      <c r="I2415" s="27">
        <v>0</v>
      </c>
      <c r="J2415" s="27">
        <v>0</v>
      </c>
      <c r="K2415" s="55">
        <f>40655.15-12043.55-74.22+4.81</f>
        <v>28542.190000000002</v>
      </c>
      <c r="L2415" s="27">
        <v>650.45</v>
      </c>
      <c r="M2415" s="27">
        <v>0</v>
      </c>
      <c r="N2415" s="27">
        <v>0</v>
      </c>
      <c r="O2415" s="27">
        <v>0</v>
      </c>
      <c r="Q2415" s="27"/>
      <c r="R2415" s="27">
        <v>-4</v>
      </c>
      <c r="S2415" s="27"/>
      <c r="T2415" s="27">
        <v>0.06</v>
      </c>
      <c r="V2415" s="18">
        <f>+V2397+D2415+F2415+G2415+I2415+J2415+K2415+L2415+M2415+N2415+O2415+Q2415+R2415+T2415</f>
        <v>25379.83000000001</v>
      </c>
      <c r="W2415" s="18">
        <f>+W2397</f>
        <v>0</v>
      </c>
      <c r="X2415" s="18">
        <f>+V2415-W2415</f>
        <v>25379.83000000001</v>
      </c>
    </row>
    <row r="2416" spans="1:24" ht="15">
      <c r="A2416" s="6" t="s">
        <v>41</v>
      </c>
      <c r="B2416" s="41"/>
      <c r="C2416" s="40"/>
      <c r="D2416" s="18"/>
      <c r="E2416" s="18"/>
      <c r="F2416" s="18"/>
      <c r="G2416" s="18"/>
      <c r="I2416" s="18"/>
      <c r="J2416" s="18"/>
      <c r="K2416" s="27"/>
      <c r="L2416" s="18"/>
      <c r="M2416" s="18"/>
      <c r="N2416" s="18"/>
      <c r="O2416" s="18"/>
      <c r="Q2416" s="18"/>
      <c r="R2416" s="18"/>
      <c r="S2416" s="18"/>
      <c r="T2416" s="18"/>
      <c r="V2416" s="18"/>
      <c r="W2416" s="18"/>
      <c r="X2416" s="18"/>
    </row>
    <row r="2417" spans="1:24" ht="15">
      <c r="A2417" s="4">
        <f>+A2415+1</f>
        <v>6</v>
      </c>
      <c r="B2417" s="5" t="s">
        <v>42</v>
      </c>
      <c r="C2417" s="22" t="s">
        <v>38</v>
      </c>
      <c r="D2417" s="18">
        <v>0</v>
      </c>
      <c r="E2417" s="18"/>
      <c r="F2417" s="18">
        <v>50544.9</v>
      </c>
      <c r="G2417" s="18">
        <v>-5835</v>
      </c>
      <c r="I2417" s="18">
        <v>0</v>
      </c>
      <c r="J2417" s="18">
        <v>0</v>
      </c>
      <c r="K2417" s="46">
        <v>13871.25</v>
      </c>
      <c r="L2417" s="27">
        <v>-7387.57</v>
      </c>
      <c r="M2417" s="18">
        <f>-29876.85-6778.65-661.23</f>
        <v>-37316.73</v>
      </c>
      <c r="N2417" s="18">
        <v>0</v>
      </c>
      <c r="O2417" s="18">
        <v>-44011.47</v>
      </c>
      <c r="P2417" s="18"/>
      <c r="Q2417" s="18">
        <v>0</v>
      </c>
      <c r="R2417" s="18">
        <v>-10495.62</v>
      </c>
      <c r="S2417" s="18"/>
      <c r="T2417" s="18">
        <v>-50128.98</v>
      </c>
      <c r="U2417" s="18"/>
      <c r="V2417" s="18">
        <f>+V2399+D2417+F2417+G2417+I2417+J2417+K2417+L2417+M2417+N2417+O2417+Q2417+R2417+T2417</f>
        <v>25866932.689999998</v>
      </c>
      <c r="W2417" s="18">
        <f>+W2399</f>
        <v>18066719.66</v>
      </c>
      <c r="X2417" s="18">
        <f>+V2417-W2417</f>
        <v>7800213.0299999975</v>
      </c>
    </row>
    <row r="2418" spans="1:24" ht="15">
      <c r="A2418" s="4">
        <f>+A2417+1</f>
        <v>7</v>
      </c>
      <c r="B2418" s="5" t="s">
        <v>43</v>
      </c>
      <c r="C2418" s="11"/>
      <c r="D2418" s="18">
        <v>0</v>
      </c>
      <c r="E2418" s="18"/>
      <c r="F2418" s="18">
        <v>0</v>
      </c>
      <c r="G2418" s="18">
        <v>0</v>
      </c>
      <c r="I2418" s="18">
        <v>0</v>
      </c>
      <c r="J2418" s="18">
        <v>0</v>
      </c>
      <c r="K2418" s="18">
        <v>0</v>
      </c>
      <c r="L2418" s="18">
        <v>0</v>
      </c>
      <c r="M2418" s="18">
        <v>0</v>
      </c>
      <c r="N2418" s="18">
        <v>0</v>
      </c>
      <c r="O2418" s="18">
        <v>0</v>
      </c>
      <c r="P2418" s="18"/>
      <c r="Q2418" s="18">
        <v>0</v>
      </c>
      <c r="R2418" s="18">
        <v>0</v>
      </c>
      <c r="S2418" s="18"/>
      <c r="T2418" s="18">
        <v>0</v>
      </c>
      <c r="U2418" s="18"/>
      <c r="V2418" s="18">
        <f>+V2400+D2418+F2418+G2418+I2418+J2418+K2418+L2418+M2418+N2418+O2418+Q2418+R2418+T2418</f>
        <v>0</v>
      </c>
      <c r="W2418" s="18">
        <f>+W2400</f>
        <v>0</v>
      </c>
      <c r="X2418" s="18">
        <f>+V2418-W2418</f>
        <v>0</v>
      </c>
    </row>
    <row r="2419" spans="1:24" ht="26.25">
      <c r="A2419" s="4">
        <f>+A2418+1</f>
        <v>8</v>
      </c>
      <c r="B2419" s="24" t="s">
        <v>79</v>
      </c>
      <c r="C2419" s="11"/>
      <c r="D2419" s="18">
        <f>+D2417-D2418</f>
        <v>0</v>
      </c>
      <c r="E2419" s="18"/>
      <c r="F2419" s="18">
        <f>+F2417-F2418</f>
        <v>50544.9</v>
      </c>
      <c r="G2419" s="18">
        <f>+G2417-G2418</f>
        <v>-5835</v>
      </c>
      <c r="I2419" s="18">
        <f aca="true" t="shared" si="288" ref="I2419:O2419">+I2417-I2418</f>
        <v>0</v>
      </c>
      <c r="J2419" s="18">
        <f t="shared" si="288"/>
        <v>0</v>
      </c>
      <c r="K2419" s="18">
        <f t="shared" si="288"/>
        <v>13871.25</v>
      </c>
      <c r="L2419" s="18">
        <f t="shared" si="288"/>
        <v>-7387.57</v>
      </c>
      <c r="M2419" s="18">
        <f t="shared" si="288"/>
        <v>-37316.73</v>
      </c>
      <c r="N2419" s="18">
        <f t="shared" si="288"/>
        <v>0</v>
      </c>
      <c r="O2419" s="18">
        <f t="shared" si="288"/>
        <v>-44011.47</v>
      </c>
      <c r="P2419" s="18"/>
      <c r="Q2419" s="18">
        <f>+Q2417-Q2418</f>
        <v>0</v>
      </c>
      <c r="R2419" s="18">
        <f>+R2417-R2418</f>
        <v>-10495.62</v>
      </c>
      <c r="S2419" s="18"/>
      <c r="T2419" s="18">
        <f>+T2417-T2418</f>
        <v>-50128.98</v>
      </c>
      <c r="U2419" s="18"/>
      <c r="V2419" s="27">
        <f>+V2417-V2418</f>
        <v>25866932.689999998</v>
      </c>
      <c r="W2419" s="27">
        <f>+W2417-W2418</f>
        <v>18066719.66</v>
      </c>
      <c r="X2419" s="18">
        <f>+X2417-X2418</f>
        <v>7800213.0299999975</v>
      </c>
    </row>
    <row r="2420" spans="1:24" ht="28.5">
      <c r="A2420" s="4">
        <f>+A2419+1</f>
        <v>9</v>
      </c>
      <c r="B2420" s="88" t="s">
        <v>181</v>
      </c>
      <c r="C2420" s="11"/>
      <c r="D2420" s="18">
        <v>0</v>
      </c>
      <c r="E2420" s="18"/>
      <c r="F2420" s="18">
        <v>0</v>
      </c>
      <c r="G2420" s="18">
        <v>0</v>
      </c>
      <c r="I2420" s="18">
        <v>0</v>
      </c>
      <c r="J2420" s="18">
        <v>0</v>
      </c>
      <c r="K2420" s="18">
        <v>0</v>
      </c>
      <c r="L2420" s="18">
        <v>0</v>
      </c>
      <c r="M2420" s="18">
        <v>0</v>
      </c>
      <c r="N2420" s="18">
        <v>0</v>
      </c>
      <c r="O2420" s="18">
        <v>0</v>
      </c>
      <c r="P2420" s="18"/>
      <c r="Q2420" s="18">
        <v>0</v>
      </c>
      <c r="R2420" s="18">
        <v>0</v>
      </c>
      <c r="S2420" s="18"/>
      <c r="T2420" s="18">
        <v>0</v>
      </c>
      <c r="U2420" s="18"/>
      <c r="V2420" s="18">
        <f>+V2402+D2420+F2420+G2420+I2420+J2420+K2420+L2420+M2420+N2420+O2420+Q2420+R2420+T2420</f>
        <v>0</v>
      </c>
      <c r="W2420" s="18">
        <f>+W2402</f>
        <v>0</v>
      </c>
      <c r="X2420" s="18">
        <f>+V2420-W2420</f>
        <v>0</v>
      </c>
    </row>
    <row r="2421" spans="1:24" ht="15">
      <c r="A2421" s="4">
        <f>+A2420+1</f>
        <v>10</v>
      </c>
      <c r="B2421" s="24" t="s">
        <v>46</v>
      </c>
      <c r="C2421" s="11" t="s">
        <v>47</v>
      </c>
      <c r="D2421" s="18">
        <f>+D2413+D2414+D2419+D2420+D2415</f>
        <v>35.11</v>
      </c>
      <c r="E2421" s="18"/>
      <c r="F2421" s="18">
        <f>+F2413+F2414+F2419+F2420+F2415</f>
        <v>51254.49</v>
      </c>
      <c r="G2421" s="18">
        <f>+G2413+G2414+G2419+G2420+G2415</f>
        <v>-5676.13</v>
      </c>
      <c r="I2421" s="18">
        <f aca="true" t="shared" si="289" ref="I2421:O2421">+I2413+I2414+I2419+I2420+I2415</f>
        <v>0</v>
      </c>
      <c r="J2421" s="18">
        <f t="shared" si="289"/>
        <v>0</v>
      </c>
      <c r="K2421" s="18">
        <f t="shared" si="289"/>
        <v>25072.110000000015</v>
      </c>
      <c r="L2421" s="18">
        <f t="shared" si="289"/>
        <v>-6737.12</v>
      </c>
      <c r="M2421" s="18">
        <f t="shared" si="289"/>
        <v>-37929.450000000004</v>
      </c>
      <c r="N2421" s="18">
        <f t="shared" si="289"/>
        <v>0</v>
      </c>
      <c r="O2421" s="18">
        <f t="shared" si="289"/>
        <v>-49991.4</v>
      </c>
      <c r="P2421" s="42"/>
      <c r="Q2421" s="18">
        <f>+Q2413+Q2414+Q2419+Q2420+Q2415</f>
        <v>0</v>
      </c>
      <c r="R2421" s="18">
        <f>+R2413+R2414+R2419+R2420+R2415</f>
        <v>-11247.05</v>
      </c>
      <c r="S2421" s="18"/>
      <c r="T2421" s="18">
        <f>+T2413+T2414+T2419+T2420+T2415</f>
        <v>-55016.73</v>
      </c>
      <c r="U2421" s="42"/>
      <c r="V2421" s="18">
        <f>+V2413+V2414+V2419+V2420+V2415</f>
        <v>25867778.49</v>
      </c>
      <c r="W2421" s="18">
        <f>+W2413+W2414+W2419+W2420+W2415</f>
        <v>18247577.37</v>
      </c>
      <c r="X2421" s="18">
        <f>+X2413+X2414+X2419+X2420+X2415</f>
        <v>7620201.119999999</v>
      </c>
    </row>
    <row r="2422" spans="1:24" ht="15">
      <c r="A2422" s="4"/>
      <c r="B2422" s="24"/>
      <c r="C2422" s="11"/>
      <c r="D2422" s="18"/>
      <c r="E2422" s="18"/>
      <c r="F2422" s="18"/>
      <c r="G2422" s="18"/>
      <c r="I2422" s="18"/>
      <c r="J2422" s="18"/>
      <c r="K2422" s="27" t="s">
        <v>0</v>
      </c>
      <c r="L2422" s="18"/>
      <c r="M2422" s="18"/>
      <c r="N2422" s="18"/>
      <c r="O2422" s="18"/>
      <c r="P2422" s="42"/>
      <c r="Q2422" s="18"/>
      <c r="R2422" s="18"/>
      <c r="S2422" s="18"/>
      <c r="T2422" s="18"/>
      <c r="U2422" s="42"/>
      <c r="V2422" s="18"/>
      <c r="W2422" s="18"/>
      <c r="X2422" s="18"/>
    </row>
    <row r="2423" spans="1:24" ht="15">
      <c r="A2423" s="4"/>
      <c r="B2423" s="24"/>
      <c r="C2423" s="11"/>
      <c r="D2423" s="18"/>
      <c r="E2423" s="18"/>
      <c r="F2423" s="18"/>
      <c r="G2423" s="18"/>
      <c r="I2423" s="18"/>
      <c r="J2423" s="18"/>
      <c r="K2423" s="27"/>
      <c r="L2423" s="18"/>
      <c r="M2423" s="18"/>
      <c r="N2423" s="18"/>
      <c r="O2423" s="18"/>
      <c r="P2423" s="42"/>
      <c r="Q2423" s="18"/>
      <c r="R2423" s="18"/>
      <c r="S2423" s="18"/>
      <c r="T2423" s="18"/>
      <c r="U2423" s="42"/>
      <c r="V2423" s="18"/>
      <c r="W2423" s="18"/>
      <c r="X2423" s="18"/>
    </row>
    <row r="2424" spans="1:24" ht="15">
      <c r="A2424" s="4"/>
      <c r="B2424" s="24"/>
      <c r="C2424" s="11"/>
      <c r="D2424" s="18"/>
      <c r="E2424" s="18"/>
      <c r="F2424" s="18"/>
      <c r="G2424" s="18"/>
      <c r="I2424" s="18"/>
      <c r="J2424" s="18"/>
      <c r="K2424" s="18"/>
      <c r="L2424" s="18"/>
      <c r="M2424" s="18"/>
      <c r="N2424" s="18"/>
      <c r="O2424" s="18"/>
      <c r="P2424" s="42"/>
      <c r="Q2424" s="18"/>
      <c r="R2424" s="18"/>
      <c r="S2424" s="18"/>
      <c r="T2424" s="18"/>
      <c r="U2424" s="42"/>
      <c r="V2424" s="18"/>
      <c r="W2424" s="18"/>
      <c r="X2424" s="18"/>
    </row>
    <row r="2425" spans="1:24" ht="15">
      <c r="A2425" s="4"/>
      <c r="B2425" s="24"/>
      <c r="C2425" s="11"/>
      <c r="D2425" s="10" t="s">
        <v>4</v>
      </c>
      <c r="E2425" s="10"/>
      <c r="F2425" s="10" t="s">
        <v>5</v>
      </c>
      <c r="G2425" s="10" t="s">
        <v>6</v>
      </c>
      <c r="H2425" s="10"/>
      <c r="I2425" s="10" t="s">
        <v>7</v>
      </c>
      <c r="J2425" s="10" t="s">
        <v>8</v>
      </c>
      <c r="K2425" s="10" t="s">
        <v>9</v>
      </c>
      <c r="L2425" s="10" t="s">
        <v>10</v>
      </c>
      <c r="M2425" s="10" t="s">
        <v>11</v>
      </c>
      <c r="N2425" s="10" t="s">
        <v>12</v>
      </c>
      <c r="O2425" s="10" t="s">
        <v>13</v>
      </c>
      <c r="P2425" s="10"/>
      <c r="Q2425" s="10" t="s">
        <v>14</v>
      </c>
      <c r="R2425" s="10" t="s">
        <v>15</v>
      </c>
      <c r="S2425" s="10"/>
      <c r="T2425" s="10" t="s">
        <v>16</v>
      </c>
      <c r="U2425" s="10"/>
      <c r="V2425" s="10" t="s">
        <v>17</v>
      </c>
      <c r="W2425" s="10" t="s">
        <v>18</v>
      </c>
      <c r="X2425" s="10" t="s">
        <v>19</v>
      </c>
    </row>
    <row r="2426" spans="1:23" ht="15">
      <c r="A2426" s="4"/>
      <c r="B2426" s="24"/>
      <c r="C2426" s="11"/>
      <c r="D2426" s="10" t="s">
        <v>20</v>
      </c>
      <c r="E2426" s="10"/>
      <c r="F2426" s="14" t="s">
        <v>21</v>
      </c>
      <c r="G2426" s="10"/>
      <c r="I2426" s="39" t="s">
        <v>110</v>
      </c>
      <c r="J2426" s="47" t="s">
        <v>111</v>
      </c>
      <c r="K2426" s="39"/>
      <c r="L2426" s="10" t="s">
        <v>20</v>
      </c>
      <c r="M2426" s="10" t="s">
        <v>20</v>
      </c>
      <c r="N2426" s="10" t="s">
        <v>20</v>
      </c>
      <c r="O2426" s="10" t="s">
        <v>20</v>
      </c>
      <c r="P2426" s="42"/>
      <c r="Q2426" s="10" t="s">
        <v>20</v>
      </c>
      <c r="R2426" s="10" t="s">
        <v>20</v>
      </c>
      <c r="S2426" s="48"/>
      <c r="T2426" s="10" t="s">
        <v>20</v>
      </c>
      <c r="U2426" s="42"/>
      <c r="W2426" s="39" t="s">
        <v>112</v>
      </c>
    </row>
    <row r="2427" spans="1:24" ht="15">
      <c r="A2427" s="4"/>
      <c r="B2427" s="87" t="s">
        <v>183</v>
      </c>
      <c r="C2427" s="11"/>
      <c r="D2427" s="8" t="s">
        <v>113</v>
      </c>
      <c r="E2427" s="6"/>
      <c r="F2427" s="6" t="s">
        <v>114</v>
      </c>
      <c r="G2427" s="49" t="s">
        <v>22</v>
      </c>
      <c r="I2427" s="8" t="s">
        <v>113</v>
      </c>
      <c r="J2427" s="6" t="s">
        <v>114</v>
      </c>
      <c r="K2427" s="49" t="s">
        <v>24</v>
      </c>
      <c r="L2427" s="13" t="s">
        <v>115</v>
      </c>
      <c r="M2427" s="13" t="s">
        <v>116</v>
      </c>
      <c r="N2427" s="13" t="s">
        <v>117</v>
      </c>
      <c r="O2427" s="13" t="s">
        <v>118</v>
      </c>
      <c r="P2427" s="42"/>
      <c r="Q2427" s="13" t="s">
        <v>119</v>
      </c>
      <c r="R2427" s="13" t="s">
        <v>120</v>
      </c>
      <c r="T2427" s="13" t="s">
        <v>121</v>
      </c>
      <c r="U2427" s="42"/>
      <c r="V2427" s="10" t="s">
        <v>20</v>
      </c>
      <c r="W2427" s="10" t="s">
        <v>21</v>
      </c>
      <c r="X2427" s="10" t="s">
        <v>22</v>
      </c>
    </row>
    <row r="2428" spans="1:24" ht="15">
      <c r="A2428" s="4"/>
      <c r="B2428" s="24"/>
      <c r="C2428" s="11"/>
      <c r="D2428" s="18"/>
      <c r="E2428" s="18"/>
      <c r="F2428" s="18"/>
      <c r="G2428" s="18"/>
      <c r="I2428" s="72" t="s">
        <v>0</v>
      </c>
      <c r="K2428" s="42"/>
      <c r="L2428" s="42"/>
      <c r="N2428" s="42"/>
      <c r="O2428" s="18"/>
      <c r="P2428" s="42"/>
      <c r="U2428" s="42"/>
      <c r="V2428" s="18"/>
      <c r="W2428" s="39" t="s">
        <v>122</v>
      </c>
      <c r="X2428" s="18"/>
    </row>
    <row r="2429" spans="1:24" ht="15">
      <c r="A2429" s="4">
        <f>+A2401+1</f>
        <v>19</v>
      </c>
      <c r="B2429" s="5" t="s">
        <v>36</v>
      </c>
      <c r="C2429" s="17" t="s">
        <v>37</v>
      </c>
      <c r="D2429" s="27">
        <v>1457978.85</v>
      </c>
      <c r="E2429" s="18" t="s">
        <v>0</v>
      </c>
      <c r="F2429" s="27">
        <v>1226156.23</v>
      </c>
      <c r="G2429" s="18">
        <f>D2429-F2429</f>
        <v>231822.6200000001</v>
      </c>
      <c r="I2429" s="27">
        <v>-509.78</v>
      </c>
      <c r="J2429" s="27">
        <v>1934.59</v>
      </c>
      <c r="K2429" s="36">
        <f>+I2429-J2429</f>
        <v>-2444.37</v>
      </c>
      <c r="L2429" s="18">
        <v>0</v>
      </c>
      <c r="M2429" s="27">
        <v>-55282.74</v>
      </c>
      <c r="N2429" s="27">
        <f>2281.9+74520.28</f>
        <v>76802.18</v>
      </c>
      <c r="O2429" s="18">
        <v>0</v>
      </c>
      <c r="P2429" s="42"/>
      <c r="Q2429" s="31">
        <v>0</v>
      </c>
      <c r="R2429" s="18">
        <v>0</v>
      </c>
      <c r="S2429" s="18"/>
      <c r="T2429" s="18">
        <v>0</v>
      </c>
      <c r="U2429" s="42"/>
      <c r="V2429" s="31">
        <f>+D2429+I2429+L2429+M2429+N2429+O2429+Q2429+R2429+T2429</f>
        <v>1478988.51</v>
      </c>
      <c r="W2429" s="18">
        <f>+F2429+J2429</f>
        <v>1228090.82</v>
      </c>
      <c r="X2429" s="18">
        <f>+V2429-W2429</f>
        <v>250897.68999999994</v>
      </c>
    </row>
    <row r="2430" spans="1:24" ht="15">
      <c r="A2430" s="4">
        <f>+A2429+1</f>
        <v>20</v>
      </c>
      <c r="B2430" s="5" t="s">
        <v>36</v>
      </c>
      <c r="C2430" s="22" t="s">
        <v>38</v>
      </c>
      <c r="D2430" s="27">
        <v>1433801.29</v>
      </c>
      <c r="E2430" s="18" t="s">
        <v>0</v>
      </c>
      <c r="F2430" s="27">
        <v>1215115.46</v>
      </c>
      <c r="G2430" s="18">
        <f>D2430-F2430</f>
        <v>218685.83000000007</v>
      </c>
      <c r="I2430" s="27">
        <v>85.11</v>
      </c>
      <c r="J2430" s="31">
        <v>-53.05</v>
      </c>
      <c r="K2430" s="36">
        <f>+I2430-J2430</f>
        <v>138.16</v>
      </c>
      <c r="L2430" s="18">
        <v>0</v>
      </c>
      <c r="M2430" s="27">
        <v>-88479.36</v>
      </c>
      <c r="N2430" s="27">
        <f>2281.9+36755.83</f>
        <v>39037.73</v>
      </c>
      <c r="O2430" s="18">
        <v>0</v>
      </c>
      <c r="P2430" s="42"/>
      <c r="Q2430" s="31">
        <v>0</v>
      </c>
      <c r="R2430" s="18"/>
      <c r="S2430" s="18"/>
      <c r="T2430" s="18">
        <v>0</v>
      </c>
      <c r="U2430" s="42"/>
      <c r="V2430" s="31">
        <f>+D2430+I2430+L2430+M2430+N2430+O2430+Q2430+R2430+T2430</f>
        <v>1384444.77</v>
      </c>
      <c r="W2430" s="18">
        <f>+F2430+J2430</f>
        <v>1215062.41</v>
      </c>
      <c r="X2430" s="18">
        <f>+V2430-W2430</f>
        <v>169382.3600000001</v>
      </c>
    </row>
    <row r="2431" spans="1:24" ht="15">
      <c r="A2431" s="4">
        <f>+A2430+1</f>
        <v>21</v>
      </c>
      <c r="B2431" s="24" t="s">
        <v>46</v>
      </c>
      <c r="C2431" s="40" t="s">
        <v>78</v>
      </c>
      <c r="D2431" s="18">
        <f>+D2429-D2430</f>
        <v>24177.560000000056</v>
      </c>
      <c r="E2431" s="18"/>
      <c r="F2431" s="18">
        <f>+F2429-F2430</f>
        <v>11040.770000000019</v>
      </c>
      <c r="G2431" s="18">
        <f>+G2429-G2430</f>
        <v>13136.790000000037</v>
      </c>
      <c r="I2431" s="18">
        <f>+I2429-I2430</f>
        <v>-594.89</v>
      </c>
      <c r="J2431" s="18">
        <f>+J2429-J2430</f>
        <v>1987.6399999999999</v>
      </c>
      <c r="K2431" s="18">
        <f>K2429-K2430</f>
        <v>-2582.5299999999997</v>
      </c>
      <c r="L2431" s="18">
        <f>+L2429-L2430</f>
        <v>0</v>
      </c>
      <c r="M2431" s="18">
        <f>+M2429-M2430</f>
        <v>33196.62</v>
      </c>
      <c r="N2431" s="18">
        <f>+N2429-N2430</f>
        <v>37764.44999999999</v>
      </c>
      <c r="O2431" s="18">
        <f>+O2429-O2430</f>
        <v>0</v>
      </c>
      <c r="P2431" s="42"/>
      <c r="Q2431" s="18">
        <f>+Q2429-Q2430</f>
        <v>0</v>
      </c>
      <c r="R2431" s="18">
        <f>+R2429-R2430</f>
        <v>0</v>
      </c>
      <c r="S2431" s="18"/>
      <c r="T2431" s="18">
        <f>+T2429-T2430</f>
        <v>0</v>
      </c>
      <c r="U2431" s="42"/>
      <c r="V2431" s="31">
        <f>+V2429-V2430</f>
        <v>94543.73999999999</v>
      </c>
      <c r="W2431" s="31">
        <f>+W2429-W2430</f>
        <v>13028.410000000149</v>
      </c>
      <c r="X2431" s="18">
        <f>+X2429-X2430</f>
        <v>81515.32999999984</v>
      </c>
    </row>
    <row r="2432" spans="1:24" ht="28.5">
      <c r="A2432" s="4">
        <f>+A2431+1</f>
        <v>22</v>
      </c>
      <c r="B2432" s="88" t="s">
        <v>182</v>
      </c>
      <c r="C2432" s="11"/>
      <c r="D2432" s="18">
        <v>0</v>
      </c>
      <c r="E2432" s="18"/>
      <c r="F2432" s="18">
        <v>0</v>
      </c>
      <c r="G2432" s="18">
        <f>+D2432-F2432</f>
        <v>0</v>
      </c>
      <c r="I2432" s="18">
        <v>0</v>
      </c>
      <c r="J2432" s="18">
        <v>0</v>
      </c>
      <c r="K2432" s="18">
        <f>+I2432-J2432</f>
        <v>0</v>
      </c>
      <c r="L2432" s="18">
        <v>0</v>
      </c>
      <c r="M2432" s="18">
        <v>0</v>
      </c>
      <c r="N2432" s="18">
        <f>+L2432-M2432</f>
        <v>0</v>
      </c>
      <c r="O2432" s="18">
        <v>0</v>
      </c>
      <c r="P2432" s="42"/>
      <c r="Q2432" s="18">
        <v>0</v>
      </c>
      <c r="R2432" s="18">
        <v>0</v>
      </c>
      <c r="S2432" s="18"/>
      <c r="T2432" s="18">
        <v>0</v>
      </c>
      <c r="U2432" s="42"/>
      <c r="V2432" s="31">
        <f>+D2432+I2432+L2432+M2432+N2432+O2432+Q2432+R2432+T2432</f>
        <v>0</v>
      </c>
      <c r="W2432" s="18">
        <f>+F2432+J2432</f>
        <v>0</v>
      </c>
      <c r="X2432" s="18">
        <f>+V2432-W2432</f>
        <v>0</v>
      </c>
    </row>
    <row r="2433" spans="1:24" ht="24.75">
      <c r="A2433" s="4">
        <f>+A2432+1</f>
        <v>23</v>
      </c>
      <c r="B2433" s="89" t="s">
        <v>39</v>
      </c>
      <c r="C2433" s="40"/>
      <c r="D2433" s="55">
        <f>22164.33-26116.62-25886.01-55.32-553.67</f>
        <v>-30447.289999999994</v>
      </c>
      <c r="E2433" s="18" t="s">
        <v>0</v>
      </c>
      <c r="F2433" s="27">
        <v>-17234.16</v>
      </c>
      <c r="G2433" s="18">
        <f>D2433-F2433</f>
        <v>-13213.129999999994</v>
      </c>
      <c r="I2433" s="27">
        <v>0</v>
      </c>
      <c r="J2433" s="27"/>
      <c r="K2433" s="18">
        <f>+I2433-J2433</f>
        <v>0</v>
      </c>
      <c r="L2433" s="18">
        <v>9294.31</v>
      </c>
      <c r="M2433" s="27">
        <f>-220.58-2868.1+6254.85-24692.35+42698.11+7110.4</f>
        <v>28282.33</v>
      </c>
      <c r="N2433" s="27">
        <f>-967.74-431.86-36796.75</f>
        <v>-38196.35</v>
      </c>
      <c r="O2433" s="27">
        <v>14225.39</v>
      </c>
      <c r="P2433" s="42"/>
      <c r="Q2433" s="55">
        <v>0</v>
      </c>
      <c r="R2433" s="21"/>
      <c r="S2433" s="18"/>
      <c r="T2433" s="18">
        <v>0</v>
      </c>
      <c r="U2433" s="42"/>
      <c r="V2433" s="31">
        <f>+D2433+I2433+M2433+N2433+L2433+O2433+Q2433+R2433+T2433</f>
        <v>-16841.609999999993</v>
      </c>
      <c r="W2433" s="18">
        <f>+F2433+J2433</f>
        <v>-17234.16</v>
      </c>
      <c r="X2433" s="36">
        <f>+V2433-W2433</f>
        <v>392.55000000000655</v>
      </c>
    </row>
    <row r="2434" spans="1:24" ht="15">
      <c r="A2434" s="6" t="s">
        <v>41</v>
      </c>
      <c r="B2434" s="41"/>
      <c r="C2434" s="40"/>
      <c r="D2434" s="18"/>
      <c r="E2434" s="18"/>
      <c r="F2434" s="18" t="s">
        <v>0</v>
      </c>
      <c r="G2434" s="18"/>
      <c r="I2434" s="18"/>
      <c r="J2434" s="18"/>
      <c r="K2434" s="18"/>
      <c r="L2434" s="18"/>
      <c r="M2434" s="18"/>
      <c r="N2434" s="18"/>
      <c r="O2434" s="18"/>
      <c r="P2434" s="42"/>
      <c r="Q2434" s="18"/>
      <c r="R2434" s="18"/>
      <c r="S2434" s="18"/>
      <c r="T2434" s="18" t="s">
        <v>0</v>
      </c>
      <c r="U2434" s="42"/>
      <c r="V2434" s="30"/>
      <c r="W2434" s="30"/>
      <c r="X2434" s="36"/>
    </row>
    <row r="2435" spans="1:24" ht="15">
      <c r="A2435" s="4">
        <f>+A2433+1</f>
        <v>24</v>
      </c>
      <c r="B2435" s="5" t="s">
        <v>42</v>
      </c>
      <c r="C2435" s="22" t="s">
        <v>38</v>
      </c>
      <c r="D2435" s="27">
        <f>627540.78+80090.95+460607.22</f>
        <v>1168238.95</v>
      </c>
      <c r="E2435" s="18" t="s">
        <v>0</v>
      </c>
      <c r="F2435" s="27">
        <v>888862.88</v>
      </c>
      <c r="G2435" s="18">
        <f>D2435-F2435</f>
        <v>279376.06999999995</v>
      </c>
      <c r="I2435" s="18">
        <f>366.23-366.23</f>
        <v>0</v>
      </c>
      <c r="J2435" s="26">
        <v>-10.78</v>
      </c>
      <c r="K2435" s="18">
        <f>+I2435-J2435</f>
        <v>10.78</v>
      </c>
      <c r="L2435" s="27">
        <v>0</v>
      </c>
      <c r="M2435" s="27">
        <v>-70079</v>
      </c>
      <c r="N2435" s="27">
        <f>48305.05+5741.2</f>
        <v>54046.25</v>
      </c>
      <c r="O2435" s="18">
        <v>0</v>
      </c>
      <c r="P2435" s="42"/>
      <c r="Q2435" s="31">
        <v>0</v>
      </c>
      <c r="R2435" s="18">
        <v>0</v>
      </c>
      <c r="S2435" s="18" t="s">
        <v>0</v>
      </c>
      <c r="T2435" s="18">
        <v>0</v>
      </c>
      <c r="U2435" s="42"/>
      <c r="V2435" s="31">
        <f>+D2435+I2435+L2435+M2435+N2435+O2435+Q2435+R2435+T2435</f>
        <v>1152206.2</v>
      </c>
      <c r="W2435" s="18">
        <f>+F2435+J2435</f>
        <v>888852.1</v>
      </c>
      <c r="X2435" s="18">
        <f>+V2435-W2435</f>
        <v>263354.1</v>
      </c>
    </row>
    <row r="2436" spans="1:24" ht="15">
      <c r="A2436" s="4">
        <f>+A2435+1</f>
        <v>25</v>
      </c>
      <c r="B2436" s="5" t="s">
        <v>43</v>
      </c>
      <c r="C2436" s="11"/>
      <c r="D2436" s="18"/>
      <c r="E2436" s="18"/>
      <c r="F2436" s="18">
        <v>0</v>
      </c>
      <c r="G2436" s="18">
        <f>+D2436-F2436</f>
        <v>0</v>
      </c>
      <c r="I2436" s="18">
        <v>0</v>
      </c>
      <c r="J2436" s="18">
        <v>0</v>
      </c>
      <c r="K2436" s="18">
        <f>+I2436-J2436</f>
        <v>0</v>
      </c>
      <c r="L2436" s="18">
        <v>0</v>
      </c>
      <c r="M2436" s="18">
        <v>0</v>
      </c>
      <c r="N2436" s="18">
        <f>+L2436-M2436</f>
        <v>0</v>
      </c>
      <c r="O2436" s="18">
        <v>0</v>
      </c>
      <c r="P2436" s="42"/>
      <c r="Q2436" s="18">
        <v>0</v>
      </c>
      <c r="R2436" s="18">
        <v>0</v>
      </c>
      <c r="S2436" s="18"/>
      <c r="T2436" s="18">
        <v>0</v>
      </c>
      <c r="U2436" s="42"/>
      <c r="V2436" s="31">
        <f>+D2436+I2436+L2436+O2436+Q2436+R2436+T2436</f>
        <v>0</v>
      </c>
      <c r="W2436" s="18">
        <f>+F2436+J2436+M2436</f>
        <v>0</v>
      </c>
      <c r="X2436" s="18">
        <f>+V2436-W2436</f>
        <v>0</v>
      </c>
    </row>
    <row r="2437" spans="1:24" ht="26.25">
      <c r="A2437" s="4">
        <f>+A2436+1</f>
        <v>26</v>
      </c>
      <c r="B2437" s="24" t="s">
        <v>79</v>
      </c>
      <c r="C2437" s="11"/>
      <c r="D2437" s="18">
        <f>+D2435-D2436</f>
        <v>1168238.95</v>
      </c>
      <c r="E2437" s="18"/>
      <c r="F2437" s="18">
        <f>+F2435-F2436</f>
        <v>888862.88</v>
      </c>
      <c r="G2437" s="18">
        <f>+G2435-G2436</f>
        <v>279376.06999999995</v>
      </c>
      <c r="I2437" s="18">
        <f>+I2435-I2436</f>
        <v>0</v>
      </c>
      <c r="J2437" s="18">
        <f>+J2435-J2436</f>
        <v>-10.78</v>
      </c>
      <c r="K2437" s="18">
        <f>+K2435-K2436</f>
        <v>10.78</v>
      </c>
      <c r="L2437" s="18">
        <f>+L2435-L2436</f>
        <v>0</v>
      </c>
      <c r="M2437" s="18">
        <f>+M2435-M2436</f>
        <v>-70079</v>
      </c>
      <c r="N2437" s="18">
        <f>+N2435-N2436</f>
        <v>54046.25</v>
      </c>
      <c r="O2437" s="18">
        <v>0</v>
      </c>
      <c r="P2437" s="42"/>
      <c r="Q2437" s="18">
        <f>+Q2435-Q2436</f>
        <v>0</v>
      </c>
      <c r="R2437" s="18">
        <f>+R2435-R2436</f>
        <v>0</v>
      </c>
      <c r="S2437" s="18"/>
      <c r="T2437" s="18">
        <f>+T2435-T2436</f>
        <v>0</v>
      </c>
      <c r="U2437" s="42"/>
      <c r="V2437" s="27">
        <f>+V2435-V2436</f>
        <v>1152206.2</v>
      </c>
      <c r="W2437" s="27">
        <f>+W2435-W2436</f>
        <v>888852.1</v>
      </c>
      <c r="X2437" s="31">
        <f>+X2435-X2436</f>
        <v>263354.1</v>
      </c>
    </row>
    <row r="2438" spans="1:24" ht="28.5">
      <c r="A2438" s="4">
        <f>+A2437+1</f>
        <v>27</v>
      </c>
      <c r="B2438" s="88" t="s">
        <v>181</v>
      </c>
      <c r="C2438" s="11"/>
      <c r="D2438" s="18">
        <v>0</v>
      </c>
      <c r="E2438" s="18"/>
      <c r="F2438" s="18">
        <v>0</v>
      </c>
      <c r="G2438" s="18">
        <f>+D2438-F2438</f>
        <v>0</v>
      </c>
      <c r="I2438" s="18">
        <v>0</v>
      </c>
      <c r="J2438" s="18">
        <v>0</v>
      </c>
      <c r="K2438" s="18">
        <f>+I2438-J2438</f>
        <v>0</v>
      </c>
      <c r="L2438" s="18">
        <v>0</v>
      </c>
      <c r="M2438" s="18">
        <v>0</v>
      </c>
      <c r="N2438" s="18">
        <f>+L2438-M2438</f>
        <v>0</v>
      </c>
      <c r="O2438" s="18">
        <v>0</v>
      </c>
      <c r="P2438" s="42"/>
      <c r="Q2438" s="18">
        <v>0</v>
      </c>
      <c r="R2438" s="18">
        <v>0</v>
      </c>
      <c r="S2438" s="18"/>
      <c r="T2438" s="18">
        <v>0</v>
      </c>
      <c r="U2438" s="42"/>
      <c r="V2438" s="31">
        <f>+D2438+I2438+L2438+O2438+Q2438+R2438+T2438</f>
        <v>0</v>
      </c>
      <c r="W2438" s="18">
        <f>+F2438+J2438+M2438</f>
        <v>0</v>
      </c>
      <c r="X2438" s="18">
        <f>+V2438-W2438</f>
        <v>0</v>
      </c>
    </row>
    <row r="2439" spans="1:24" ht="15">
      <c r="A2439" s="4">
        <f>+A2438+1</f>
        <v>28</v>
      </c>
      <c r="B2439" s="24" t="s">
        <v>46</v>
      </c>
      <c r="C2439" s="11" t="s">
        <v>47</v>
      </c>
      <c r="D2439" s="51">
        <f>+D2431+D2432+D2437+D2438+D2433</f>
        <v>1161969.22</v>
      </c>
      <c r="E2439" s="18"/>
      <c r="F2439" s="52">
        <f>+F2431+F2432+F2437+F2438+F2433</f>
        <v>882669.49</v>
      </c>
      <c r="G2439" s="18">
        <f>+G2431+G2432+G2437+G2438+G2433</f>
        <v>279299.73</v>
      </c>
      <c r="I2439" s="51">
        <f>+I2431+I2432+I2437+I2438+I2433</f>
        <v>-594.89</v>
      </c>
      <c r="J2439" s="52">
        <f>+J2431+J2432+J2437+J2438+J2433</f>
        <v>1976.86</v>
      </c>
      <c r="K2439" s="18">
        <f>+K2431+K2432+K2437+K2438+K2433</f>
        <v>-2571.7499999999995</v>
      </c>
      <c r="L2439" s="18">
        <f>+L2431+L2432+L2437+L2438+L2433</f>
        <v>9294.31</v>
      </c>
      <c r="M2439" s="18">
        <f>+M2431+M2432+M2437+M2438+M2433</f>
        <v>-8600.049999999996</v>
      </c>
      <c r="N2439" s="18">
        <f>+N2431+N2432+N2437+N2438+N2433</f>
        <v>53614.349999999984</v>
      </c>
      <c r="O2439" s="18">
        <f>+O2431+O2432+O2437+O2438+O2433</f>
        <v>14225.39</v>
      </c>
      <c r="P2439" s="42"/>
      <c r="Q2439" s="18">
        <f>+Q2431+Q2432+Q2437+Q2438+Q2433</f>
        <v>0</v>
      </c>
      <c r="R2439" s="18">
        <f>+R2431+R2432+R2437+R2438+R2433</f>
        <v>0</v>
      </c>
      <c r="S2439" s="18"/>
      <c r="T2439" s="18">
        <f>+T2431+T2432+T2437+T2438+T2433</f>
        <v>0</v>
      </c>
      <c r="U2439" s="42"/>
      <c r="V2439" s="18">
        <f>+V2431+V2432+V2437+V2438+V2433</f>
        <v>1229908.3299999998</v>
      </c>
      <c r="W2439" s="18">
        <f>+W2431+W2432+W2437+W2438+W2433</f>
        <v>884646.3500000001</v>
      </c>
      <c r="X2439" s="18">
        <f>+X2431+X2432+X2437+X2438+X2433</f>
        <v>345261.9799999998</v>
      </c>
    </row>
    <row r="2440" spans="1:24" ht="15">
      <c r="A2440" s="4"/>
      <c r="B2440" s="24" t="s">
        <v>0</v>
      </c>
      <c r="C2440" s="11"/>
      <c r="D2440" s="27">
        <f>D2439+I2439</f>
        <v>1161374.33</v>
      </c>
      <c r="E2440" s="79" t="s">
        <v>0</v>
      </c>
      <c r="F2440" s="27">
        <f>F2439+J2439</f>
        <v>884646.35</v>
      </c>
      <c r="G2440" s="79" t="s">
        <v>0</v>
      </c>
      <c r="I2440" s="18"/>
      <c r="J2440" s="18"/>
      <c r="K2440" s="18"/>
      <c r="L2440" s="18"/>
      <c r="M2440" s="42"/>
      <c r="N2440" s="73" t="s">
        <v>0</v>
      </c>
      <c r="O2440" s="42"/>
      <c r="P2440" s="42"/>
      <c r="Q2440" s="42"/>
      <c r="U2440" s="42"/>
      <c r="V2440" s="18"/>
      <c r="W2440" s="18"/>
      <c r="X2440" s="18"/>
    </row>
    <row r="2441" spans="1:24" ht="15">
      <c r="A2441" s="4"/>
      <c r="B2441" s="92"/>
      <c r="C2441" s="79" t="s">
        <v>0</v>
      </c>
      <c r="D2441" s="6" t="s">
        <v>48</v>
      </c>
      <c r="E2441" s="6"/>
      <c r="F2441" s="10" t="s">
        <v>49</v>
      </c>
      <c r="G2441" s="10" t="s">
        <v>50</v>
      </c>
      <c r="I2441" s="10" t="s">
        <v>51</v>
      </c>
      <c r="J2441" s="10" t="s">
        <v>52</v>
      </c>
      <c r="K2441" s="10" t="s">
        <v>53</v>
      </c>
      <c r="L2441" s="10" t="s">
        <v>54</v>
      </c>
      <c r="M2441" s="10" t="s">
        <v>55</v>
      </c>
      <c r="N2441" s="10" t="s">
        <v>56</v>
      </c>
      <c r="O2441" s="10" t="s">
        <v>57</v>
      </c>
      <c r="P2441" s="18"/>
      <c r="Q2441" s="10" t="s">
        <v>58</v>
      </c>
      <c r="R2441" s="10" t="s">
        <v>59</v>
      </c>
      <c r="S2441" s="10"/>
      <c r="T2441" s="10" t="s">
        <v>60</v>
      </c>
      <c r="U2441" s="18"/>
      <c r="V2441" s="10" t="s">
        <v>61</v>
      </c>
      <c r="W2441" s="10" t="s">
        <v>62</v>
      </c>
      <c r="X2441" s="10" t="s">
        <v>63</v>
      </c>
    </row>
    <row r="2442" spans="1:24" ht="15">
      <c r="A2442" s="4"/>
      <c r="B2442" s="24"/>
      <c r="C2442" s="11"/>
      <c r="D2442" s="14" t="s">
        <v>20</v>
      </c>
      <c r="E2442" s="18"/>
      <c r="F2442" s="14" t="s">
        <v>20</v>
      </c>
      <c r="G2442" s="14" t="s">
        <v>20</v>
      </c>
      <c r="I2442" s="14" t="s">
        <v>20</v>
      </c>
      <c r="J2442" s="14" t="s">
        <v>21</v>
      </c>
      <c r="K2442" s="14" t="s">
        <v>21</v>
      </c>
      <c r="L2442" s="14" t="s">
        <v>21</v>
      </c>
      <c r="M2442" s="14" t="s">
        <v>21</v>
      </c>
      <c r="N2442" s="14" t="s">
        <v>21</v>
      </c>
      <c r="O2442" s="14" t="s">
        <v>21</v>
      </c>
      <c r="P2442" s="14"/>
      <c r="Q2442" s="14" t="s">
        <v>21</v>
      </c>
      <c r="R2442" s="14" t="s">
        <v>21</v>
      </c>
      <c r="T2442" s="14" t="s">
        <v>21</v>
      </c>
      <c r="U2442" s="42"/>
      <c r="V2442" s="18"/>
      <c r="W2442" s="39" t="s">
        <v>123</v>
      </c>
      <c r="X2442" s="18"/>
    </row>
    <row r="2443" spans="1:24" ht="15">
      <c r="A2443" s="4"/>
      <c r="B2443" s="87" t="s">
        <v>183</v>
      </c>
      <c r="C2443" s="11"/>
      <c r="D2443" s="53" t="s">
        <v>124</v>
      </c>
      <c r="E2443" s="18"/>
      <c r="F2443" s="53" t="s">
        <v>125</v>
      </c>
      <c r="G2443" s="53" t="s">
        <v>126</v>
      </c>
      <c r="I2443" s="53" t="s">
        <v>127</v>
      </c>
      <c r="J2443" s="53" t="s">
        <v>128</v>
      </c>
      <c r="K2443" s="53" t="s">
        <v>129</v>
      </c>
      <c r="L2443" s="53" t="s">
        <v>130</v>
      </c>
      <c r="M2443" s="53" t="s">
        <v>131</v>
      </c>
      <c r="N2443" s="24" t="s">
        <v>132</v>
      </c>
      <c r="O2443" s="24" t="s">
        <v>98</v>
      </c>
      <c r="P2443" s="24"/>
      <c r="Q2443" s="24" t="s">
        <v>99</v>
      </c>
      <c r="R2443" s="24" t="s">
        <v>133</v>
      </c>
      <c r="S2443" s="42"/>
      <c r="T2443" s="24" t="s">
        <v>134</v>
      </c>
      <c r="U2443" s="42"/>
      <c r="V2443" s="10" t="s">
        <v>20</v>
      </c>
      <c r="W2443" s="10" t="s">
        <v>21</v>
      </c>
      <c r="X2443" s="10" t="s">
        <v>22</v>
      </c>
    </row>
    <row r="2444" spans="1:24" ht="15">
      <c r="A2444" s="4"/>
      <c r="B2444" s="24"/>
      <c r="C2444" s="11"/>
      <c r="D2444" s="18"/>
      <c r="E2444" s="18"/>
      <c r="F2444" s="18"/>
      <c r="I2444" s="18"/>
      <c r="J2444" s="18"/>
      <c r="O2444" s="42"/>
      <c r="P2444" s="42"/>
      <c r="Q2444" s="42"/>
      <c r="R2444" s="42"/>
      <c r="S2444" s="42"/>
      <c r="T2444" s="42"/>
      <c r="U2444" s="42"/>
      <c r="V2444" s="18"/>
      <c r="W2444" s="39"/>
      <c r="X2444" s="18"/>
    </row>
    <row r="2445" spans="1:24" ht="15">
      <c r="A2445" s="4">
        <f>+A2439+1</f>
        <v>29</v>
      </c>
      <c r="B2445" s="5" t="s">
        <v>36</v>
      </c>
      <c r="C2445" s="17" t="s">
        <v>37</v>
      </c>
      <c r="D2445" s="18">
        <v>0</v>
      </c>
      <c r="E2445" s="18"/>
      <c r="F2445" s="18">
        <v>0</v>
      </c>
      <c r="G2445" s="18">
        <v>0</v>
      </c>
      <c r="I2445" s="18">
        <v>0</v>
      </c>
      <c r="J2445" s="18">
        <v>-130.51</v>
      </c>
      <c r="K2445" s="18">
        <v>0</v>
      </c>
      <c r="L2445" s="18">
        <v>0</v>
      </c>
      <c r="M2445" s="18">
        <v>0</v>
      </c>
      <c r="N2445" s="18">
        <v>0</v>
      </c>
      <c r="O2445" s="18">
        <v>0</v>
      </c>
      <c r="P2445" s="18"/>
      <c r="Q2445" s="18">
        <v>0</v>
      </c>
      <c r="R2445" s="18">
        <v>0</v>
      </c>
      <c r="S2445" s="42"/>
      <c r="T2445" s="18">
        <v>0</v>
      </c>
      <c r="U2445" s="42"/>
      <c r="V2445" s="18">
        <f>+V2429+D2445+F2445+G2445+I2445</f>
        <v>1478988.51</v>
      </c>
      <c r="W2445" s="18">
        <f>+W2429+J2445+K2445+L2445+M2445+N2445+O2445+Q2445+R2445+T2445</f>
        <v>1227960.31</v>
      </c>
      <c r="X2445" s="18">
        <f>+V2445-W2445</f>
        <v>251028.19999999995</v>
      </c>
    </row>
    <row r="2446" spans="1:24" ht="15">
      <c r="A2446" s="4">
        <f>+A2445+1</f>
        <v>30</v>
      </c>
      <c r="B2446" s="5" t="s">
        <v>36</v>
      </c>
      <c r="C2446" s="22" t="s">
        <v>38</v>
      </c>
      <c r="D2446" s="18">
        <v>0</v>
      </c>
      <c r="E2446" s="18"/>
      <c r="F2446" s="18">
        <v>0</v>
      </c>
      <c r="G2446" s="18">
        <v>0</v>
      </c>
      <c r="I2446" s="18">
        <v>0</v>
      </c>
      <c r="J2446" s="18">
        <v>0</v>
      </c>
      <c r="K2446" s="18">
        <v>0</v>
      </c>
      <c r="L2446" s="18">
        <v>0</v>
      </c>
      <c r="M2446" s="18">
        <v>0</v>
      </c>
      <c r="N2446" s="18">
        <v>0</v>
      </c>
      <c r="O2446" s="18">
        <v>0</v>
      </c>
      <c r="P2446" s="18"/>
      <c r="Q2446" s="18">
        <v>0</v>
      </c>
      <c r="R2446" s="18">
        <v>0</v>
      </c>
      <c r="S2446" s="42"/>
      <c r="T2446" s="18">
        <v>0</v>
      </c>
      <c r="U2446" s="42"/>
      <c r="V2446" s="18">
        <f>+V2430+D2446+F2446+G2446+I2446</f>
        <v>1384444.77</v>
      </c>
      <c r="W2446" s="18">
        <f>+W2430+J2446+K2446+L2446+M2446+N2446+O2446+Q2446+R2446+T2446</f>
        <v>1215062.41</v>
      </c>
      <c r="X2446" s="18">
        <f>+V2446-W2446</f>
        <v>169382.3600000001</v>
      </c>
    </row>
    <row r="2447" spans="1:24" ht="15">
      <c r="A2447" s="4">
        <f>+A2446+1</f>
        <v>31</v>
      </c>
      <c r="B2447" s="24" t="s">
        <v>46</v>
      </c>
      <c r="C2447" s="40" t="s">
        <v>78</v>
      </c>
      <c r="D2447" s="18">
        <f>+D2445-D2446</f>
        <v>0</v>
      </c>
      <c r="E2447" s="18"/>
      <c r="F2447" s="18">
        <f>+F2445-F2446</f>
        <v>0</v>
      </c>
      <c r="G2447" s="18">
        <f>+G2445-G2446</f>
        <v>0</v>
      </c>
      <c r="I2447" s="18">
        <f aca="true" t="shared" si="290" ref="I2447:O2447">+I2445-I2446</f>
        <v>0</v>
      </c>
      <c r="J2447" s="18">
        <f t="shared" si="290"/>
        <v>-130.51</v>
      </c>
      <c r="K2447" s="18">
        <f t="shared" si="290"/>
        <v>0</v>
      </c>
      <c r="L2447" s="18">
        <f t="shared" si="290"/>
        <v>0</v>
      </c>
      <c r="M2447" s="18">
        <f t="shared" si="290"/>
        <v>0</v>
      </c>
      <c r="N2447" s="18">
        <f t="shared" si="290"/>
        <v>0</v>
      </c>
      <c r="O2447" s="18">
        <f t="shared" si="290"/>
        <v>0</v>
      </c>
      <c r="P2447" s="18"/>
      <c r="Q2447" s="18">
        <f>+Q2445-Q2446</f>
        <v>0</v>
      </c>
      <c r="R2447" s="18">
        <f>+R2445-R2446</f>
        <v>0</v>
      </c>
      <c r="S2447" s="42"/>
      <c r="T2447" s="18">
        <f>+T2445-T2446</f>
        <v>0</v>
      </c>
      <c r="U2447" s="42"/>
      <c r="V2447" s="27">
        <f>+V2445-V2446</f>
        <v>94543.73999999999</v>
      </c>
      <c r="W2447" s="27">
        <f>+W2445-W2446</f>
        <v>12897.90000000014</v>
      </c>
      <c r="X2447" s="18">
        <f>+X2445-X2446</f>
        <v>81645.83999999985</v>
      </c>
    </row>
    <row r="2448" spans="1:24" ht="28.5">
      <c r="A2448" s="4">
        <f>+A2447+1</f>
        <v>32</v>
      </c>
      <c r="B2448" s="88" t="s">
        <v>182</v>
      </c>
      <c r="C2448" s="11"/>
      <c r="D2448" s="18">
        <v>0</v>
      </c>
      <c r="E2448" s="18"/>
      <c r="F2448" s="18">
        <v>0</v>
      </c>
      <c r="G2448" s="18">
        <v>0</v>
      </c>
      <c r="I2448" s="18">
        <v>0</v>
      </c>
      <c r="J2448" s="18">
        <v>0</v>
      </c>
      <c r="K2448" s="18">
        <v>0</v>
      </c>
      <c r="L2448" s="18">
        <v>0</v>
      </c>
      <c r="M2448" s="18">
        <v>0</v>
      </c>
      <c r="N2448" s="18">
        <v>0</v>
      </c>
      <c r="O2448" s="18">
        <v>0</v>
      </c>
      <c r="P2448" s="18"/>
      <c r="Q2448" s="18">
        <v>0</v>
      </c>
      <c r="R2448" s="18">
        <v>0</v>
      </c>
      <c r="S2448" s="42"/>
      <c r="T2448" s="18">
        <v>0</v>
      </c>
      <c r="U2448" s="42"/>
      <c r="V2448" s="18">
        <f>+V2432+D2448+F2448+G2448+I2448</f>
        <v>0</v>
      </c>
      <c r="W2448" s="18">
        <f>+W2432+J2448+K2448+L2448+M2448+N2448+O2448+Q2448+R2448+T2448</f>
        <v>0</v>
      </c>
      <c r="X2448" s="18">
        <f>+V2448-W2448</f>
        <v>0</v>
      </c>
    </row>
    <row r="2449" spans="1:24" ht="24.75">
      <c r="A2449" s="4">
        <f>+A2448+1</f>
        <v>33</v>
      </c>
      <c r="B2449" s="89" t="s">
        <v>39</v>
      </c>
      <c r="C2449" s="40"/>
      <c r="D2449" s="27">
        <v>32097</v>
      </c>
      <c r="E2449" s="27" t="s">
        <v>0</v>
      </c>
      <c r="F2449" s="27">
        <v>0</v>
      </c>
      <c r="G2449" s="27">
        <v>0</v>
      </c>
      <c r="H2449" t="s">
        <v>0</v>
      </c>
      <c r="I2449" s="27">
        <v>0</v>
      </c>
      <c r="J2449" s="27">
        <v>-0.01</v>
      </c>
      <c r="K2449" s="27">
        <v>0</v>
      </c>
      <c r="L2449" s="27">
        <v>0</v>
      </c>
      <c r="M2449" s="18">
        <v>0</v>
      </c>
      <c r="N2449" s="18">
        <v>0</v>
      </c>
      <c r="O2449" s="18">
        <v>0</v>
      </c>
      <c r="P2449" s="18"/>
      <c r="Q2449" s="18">
        <v>0</v>
      </c>
      <c r="R2449" s="18">
        <v>0</v>
      </c>
      <c r="S2449" s="42"/>
      <c r="T2449" s="18">
        <v>1151.17</v>
      </c>
      <c r="U2449" s="42"/>
      <c r="V2449" s="18">
        <f>+V2433+D2449+F2449+G2449+I2449</f>
        <v>15255.390000000007</v>
      </c>
      <c r="W2449" s="18">
        <f>+W2433+J2449+K2449+L2449+M2449+N2449+O2449+Q2449+R2449+T2449</f>
        <v>-16082.999999999998</v>
      </c>
      <c r="X2449" s="36">
        <f>+V2449-W2449</f>
        <v>31338.390000000007</v>
      </c>
    </row>
    <row r="2450" spans="1:24" ht="15">
      <c r="A2450" s="6" t="s">
        <v>41</v>
      </c>
      <c r="B2450" s="41"/>
      <c r="C2450" s="40"/>
      <c r="D2450" s="18"/>
      <c r="E2450" s="18"/>
      <c r="F2450" s="18"/>
      <c r="G2450" s="18"/>
      <c r="I2450" s="18"/>
      <c r="J2450" s="18"/>
      <c r="K2450" s="18"/>
      <c r="L2450" s="18"/>
      <c r="M2450" s="18"/>
      <c r="N2450" s="18"/>
      <c r="O2450" s="18"/>
      <c r="P2450" s="18"/>
      <c r="Q2450" s="18"/>
      <c r="R2450" s="18"/>
      <c r="S2450" s="42"/>
      <c r="T2450" s="18"/>
      <c r="U2450" s="42"/>
      <c r="V2450" s="18"/>
      <c r="W2450" s="54"/>
      <c r="X2450" s="36"/>
    </row>
    <row r="2451" spans="1:24" ht="15">
      <c r="A2451" s="4">
        <f>+A2449+1</f>
        <v>34</v>
      </c>
      <c r="B2451" s="5" t="s">
        <v>42</v>
      </c>
      <c r="C2451" s="22" t="s">
        <v>38</v>
      </c>
      <c r="D2451" s="18">
        <v>0</v>
      </c>
      <c r="E2451" s="18"/>
      <c r="F2451" s="18">
        <v>0</v>
      </c>
      <c r="G2451" s="18">
        <v>0</v>
      </c>
      <c r="I2451" s="18">
        <v>0</v>
      </c>
      <c r="J2451" s="18">
        <v>-61.8</v>
      </c>
      <c r="K2451" s="18">
        <v>0</v>
      </c>
      <c r="L2451" s="18"/>
      <c r="M2451" s="18">
        <v>0</v>
      </c>
      <c r="N2451" s="18">
        <v>0</v>
      </c>
      <c r="O2451" s="18">
        <v>0</v>
      </c>
      <c r="P2451" s="18"/>
      <c r="Q2451" s="18">
        <v>0</v>
      </c>
      <c r="R2451" s="18">
        <v>0</v>
      </c>
      <c r="S2451" s="42"/>
      <c r="T2451" s="18">
        <v>0</v>
      </c>
      <c r="U2451" s="42"/>
      <c r="V2451" s="18">
        <f>+V2435+D2451+F2451+G2451+I2451</f>
        <v>1152206.2</v>
      </c>
      <c r="W2451" s="18">
        <f>+W2435+J2451+K2451+L2451+M2451+N2451+O2451+Q2451+R2451+T2451</f>
        <v>888790.2999999999</v>
      </c>
      <c r="X2451" s="18">
        <f>+V2451-W2451</f>
        <v>263415.9</v>
      </c>
    </row>
    <row r="2452" spans="1:24" ht="15">
      <c r="A2452" s="4">
        <f>+A2451+1</f>
        <v>35</v>
      </c>
      <c r="B2452" s="5" t="s">
        <v>43</v>
      </c>
      <c r="C2452" s="11"/>
      <c r="D2452" s="18">
        <v>0</v>
      </c>
      <c r="E2452" s="18"/>
      <c r="F2452" s="18">
        <v>0</v>
      </c>
      <c r="G2452" s="18">
        <v>0</v>
      </c>
      <c r="I2452" s="18">
        <v>0</v>
      </c>
      <c r="J2452" s="18">
        <v>0</v>
      </c>
      <c r="K2452" s="18">
        <v>0</v>
      </c>
      <c r="L2452" s="18">
        <v>0</v>
      </c>
      <c r="M2452" s="18">
        <v>0</v>
      </c>
      <c r="N2452" s="18">
        <v>0</v>
      </c>
      <c r="O2452" s="18">
        <v>0</v>
      </c>
      <c r="P2452" s="18"/>
      <c r="Q2452" s="18">
        <v>0</v>
      </c>
      <c r="R2452" s="18">
        <v>0</v>
      </c>
      <c r="S2452" s="42"/>
      <c r="T2452" s="18">
        <v>0</v>
      </c>
      <c r="U2452" s="42"/>
      <c r="V2452" s="18">
        <f>+V2436+D2452+F2452+G2452+I2452</f>
        <v>0</v>
      </c>
      <c r="W2452" s="18">
        <f>+W2436+J2452+K2452+L2452+M2452+N2452+O2452+Q2452+R2452+T2452</f>
        <v>0</v>
      </c>
      <c r="X2452" s="18">
        <f>+V2452-W2452</f>
        <v>0</v>
      </c>
    </row>
    <row r="2453" spans="1:24" ht="26.25">
      <c r="A2453" s="4">
        <f>+A2452+1</f>
        <v>36</v>
      </c>
      <c r="B2453" s="24" t="s">
        <v>79</v>
      </c>
      <c r="C2453" s="11"/>
      <c r="D2453" s="18">
        <f>+D2451-D2452</f>
        <v>0</v>
      </c>
      <c r="E2453" s="18"/>
      <c r="F2453" s="18">
        <f>+F2451-F2452</f>
        <v>0</v>
      </c>
      <c r="G2453" s="18">
        <f>+G2451-G2452</f>
        <v>0</v>
      </c>
      <c r="I2453" s="18">
        <f aca="true" t="shared" si="291" ref="I2453:O2453">+I2451-I2452</f>
        <v>0</v>
      </c>
      <c r="J2453" s="18">
        <f t="shared" si="291"/>
        <v>-61.8</v>
      </c>
      <c r="K2453" s="18">
        <f t="shared" si="291"/>
        <v>0</v>
      </c>
      <c r="L2453" s="18">
        <f t="shared" si="291"/>
        <v>0</v>
      </c>
      <c r="M2453" s="18">
        <f t="shared" si="291"/>
        <v>0</v>
      </c>
      <c r="N2453" s="18">
        <f t="shared" si="291"/>
        <v>0</v>
      </c>
      <c r="O2453" s="18">
        <f t="shared" si="291"/>
        <v>0</v>
      </c>
      <c r="P2453" s="18"/>
      <c r="Q2453" s="18">
        <f>+Q2451-Q2452</f>
        <v>0</v>
      </c>
      <c r="R2453" s="18">
        <f>+R2451-R2452</f>
        <v>0</v>
      </c>
      <c r="S2453" s="42"/>
      <c r="T2453" s="18">
        <f>+T2451-T2452</f>
        <v>0</v>
      </c>
      <c r="U2453" s="42"/>
      <c r="V2453" s="55">
        <f>+V2451-V2452</f>
        <v>1152206.2</v>
      </c>
      <c r="W2453" s="55">
        <f>+W2451-W2452</f>
        <v>888790.2999999999</v>
      </c>
      <c r="X2453" s="31">
        <f>+X2451-X2452</f>
        <v>263415.9</v>
      </c>
    </row>
    <row r="2454" spans="1:24" ht="28.5">
      <c r="A2454" s="4">
        <f>+A2453+1</f>
        <v>37</v>
      </c>
      <c r="B2454" s="88" t="s">
        <v>181</v>
      </c>
      <c r="C2454" s="11"/>
      <c r="D2454" s="18">
        <v>0</v>
      </c>
      <c r="E2454" s="18"/>
      <c r="F2454" s="18">
        <v>0</v>
      </c>
      <c r="G2454" s="18">
        <v>0</v>
      </c>
      <c r="I2454" s="18">
        <v>0</v>
      </c>
      <c r="J2454" s="18">
        <v>0</v>
      </c>
      <c r="K2454" s="18">
        <v>0</v>
      </c>
      <c r="L2454" s="18">
        <v>0</v>
      </c>
      <c r="M2454" s="18">
        <v>0</v>
      </c>
      <c r="N2454" s="18">
        <v>0</v>
      </c>
      <c r="O2454" s="18">
        <v>0</v>
      </c>
      <c r="P2454" s="18"/>
      <c r="Q2454" s="18">
        <v>0</v>
      </c>
      <c r="R2454" s="18">
        <v>0</v>
      </c>
      <c r="S2454" s="42"/>
      <c r="T2454" s="18">
        <v>0</v>
      </c>
      <c r="U2454" s="42"/>
      <c r="V2454" s="18">
        <f>+V2438+D2454+F2454+G2454+I2454</f>
        <v>0</v>
      </c>
      <c r="W2454" s="18">
        <f>+W2438+J2454+K2454+L2454+M2454+N2454+O2454+Q2454+R2454+T2454</f>
        <v>0</v>
      </c>
      <c r="X2454" s="18">
        <f>+V2454-W2454</f>
        <v>0</v>
      </c>
    </row>
    <row r="2455" spans="1:24" ht="15">
      <c r="A2455" s="4">
        <f>+A2454+1</f>
        <v>38</v>
      </c>
      <c r="B2455" s="24" t="s">
        <v>46</v>
      </c>
      <c r="C2455" s="11" t="s">
        <v>47</v>
      </c>
      <c r="D2455" s="18">
        <f>+D2447+D2448+D2453+D2454+D2449</f>
        <v>32097</v>
      </c>
      <c r="E2455" s="18"/>
      <c r="F2455" s="18">
        <f>+F2447+F2448+F2453+F2454+F2449</f>
        <v>0</v>
      </c>
      <c r="G2455" s="18">
        <f>+G2447+G2448+G2453+G2454+G2449</f>
        <v>0</v>
      </c>
      <c r="I2455" s="18">
        <f>+I2447+I2448+I2453+I2454+I2449</f>
        <v>0</v>
      </c>
      <c r="J2455" s="18">
        <f>+J2447+J2448+J2453+J2454+J2449</f>
        <v>-192.32</v>
      </c>
      <c r="K2455" s="18">
        <f>+K2447+K2448+K2453+K2454+K2449</f>
        <v>0</v>
      </c>
      <c r="L2455" s="18">
        <f>+L2447+L2448+L2453+L2454+L2449</f>
        <v>0</v>
      </c>
      <c r="M2455" s="18">
        <f>+M2447+M2448+M2453+M2454+M2449</f>
        <v>0</v>
      </c>
      <c r="N2455" s="18">
        <f>+N2447+N2448+N2453+N2454+N2449</f>
        <v>0</v>
      </c>
      <c r="O2455" s="18">
        <f>+O2447+O2448+O2453+O2454+O2449</f>
        <v>0</v>
      </c>
      <c r="P2455" s="18"/>
      <c r="Q2455" s="18">
        <f>+Q2447+Q2448+Q2453+Q2454+Q2449</f>
        <v>0</v>
      </c>
      <c r="R2455" s="18">
        <f>+R2447+R2448+R2453+R2454+R2449</f>
        <v>0</v>
      </c>
      <c r="S2455" s="18"/>
      <c r="T2455" s="18">
        <f>+T2447+T2448+T2453+T2454+T2449</f>
        <v>1151.17</v>
      </c>
      <c r="U2455" s="42"/>
      <c r="V2455" s="18">
        <f>+V2447+V2448+V2453+V2454+V2449</f>
        <v>1262005.3299999998</v>
      </c>
      <c r="W2455" s="18">
        <f>+W2447+W2448+W2453+W2454+W2449</f>
        <v>885605.2000000001</v>
      </c>
      <c r="X2455" s="18">
        <f>+X2447+X2448+X2453+X2454+X2449</f>
        <v>376400.1299999999</v>
      </c>
    </row>
    <row r="2456" spans="1:24" ht="15">
      <c r="A2456" s="4"/>
      <c r="B2456" s="24"/>
      <c r="C2456" s="11"/>
      <c r="D2456" s="18"/>
      <c r="E2456" s="18"/>
      <c r="F2456" s="18"/>
      <c r="G2456" s="18"/>
      <c r="N2456" s="42"/>
      <c r="O2456" s="42"/>
      <c r="P2456" s="42"/>
      <c r="Q2456" s="42"/>
      <c r="R2456" s="42"/>
      <c r="S2456" s="42"/>
      <c r="T2456" s="42"/>
      <c r="U2456" s="42"/>
      <c r="V2456" s="18"/>
      <c r="W2456" s="18"/>
      <c r="X2456" s="18"/>
    </row>
    <row r="2457" spans="1:24" ht="15">
      <c r="A2457" s="4"/>
      <c r="B2457" s="24"/>
      <c r="C2457" s="11"/>
      <c r="D2457" s="18"/>
      <c r="E2457" s="18"/>
      <c r="F2457" s="18"/>
      <c r="G2457" s="18"/>
      <c r="L2457" s="42"/>
      <c r="M2457" s="42"/>
      <c r="N2457" s="42"/>
      <c r="O2457" s="42"/>
      <c r="P2457" s="42"/>
      <c r="Q2457" s="42"/>
      <c r="R2457" s="42"/>
      <c r="S2457" s="42"/>
      <c r="T2457" s="42"/>
      <c r="U2457" s="42"/>
      <c r="V2457" s="18"/>
      <c r="W2457" s="18"/>
      <c r="X2457" s="18"/>
    </row>
    <row r="2458" spans="1:24" ht="15">
      <c r="A2458" s="4"/>
      <c r="B2458" s="24"/>
      <c r="C2458" s="11"/>
      <c r="D2458" s="18"/>
      <c r="E2458" s="18"/>
      <c r="F2458" s="18"/>
      <c r="G2458" s="18"/>
      <c r="L2458" s="42"/>
      <c r="M2458" s="42"/>
      <c r="N2458" s="42"/>
      <c r="O2458" s="42"/>
      <c r="P2458" s="42"/>
      <c r="Q2458" s="42"/>
      <c r="R2458" s="42"/>
      <c r="S2458" s="42"/>
      <c r="T2458" s="42"/>
      <c r="U2458" s="42"/>
      <c r="V2458" s="18"/>
      <c r="W2458" s="18"/>
      <c r="X2458" s="18"/>
    </row>
    <row r="2459" spans="1:24" ht="15">
      <c r="A2459" s="4"/>
      <c r="B2459" s="24"/>
      <c r="C2459" s="11"/>
      <c r="D2459" s="18"/>
      <c r="E2459" s="18"/>
      <c r="F2459" s="18"/>
      <c r="G2459" s="18"/>
      <c r="H2459" s="56"/>
      <c r="L2459" s="42"/>
      <c r="M2459" s="42"/>
      <c r="N2459" s="42"/>
      <c r="O2459" s="42"/>
      <c r="P2459" s="42"/>
      <c r="Q2459" s="42"/>
      <c r="R2459" s="42"/>
      <c r="S2459" s="42"/>
      <c r="T2459" s="42"/>
      <c r="U2459" s="42"/>
      <c r="V2459" s="18"/>
      <c r="W2459" s="18"/>
      <c r="X2459" s="18"/>
    </row>
    <row r="2460" spans="1:24" ht="15">
      <c r="A2460" s="4"/>
      <c r="B2460" s="24"/>
      <c r="C2460" s="11"/>
      <c r="D2460" s="18"/>
      <c r="E2460" s="18"/>
      <c r="F2460" s="18"/>
      <c r="G2460" s="18"/>
      <c r="H2460" s="56"/>
      <c r="I2460" s="57" t="s">
        <v>135</v>
      </c>
      <c r="L2460" s="42"/>
      <c r="M2460" s="42"/>
      <c r="N2460" s="42"/>
      <c r="O2460" s="42"/>
      <c r="P2460" s="42"/>
      <c r="Q2460" s="42"/>
      <c r="R2460" s="42"/>
      <c r="S2460" s="42"/>
      <c r="T2460" s="42"/>
      <c r="U2460" s="42"/>
      <c r="V2460" s="18"/>
      <c r="W2460" s="18"/>
      <c r="X2460" s="18"/>
    </row>
    <row r="2461" spans="1:24" ht="15">
      <c r="A2461" s="4"/>
      <c r="B2461" s="24"/>
      <c r="C2461" s="11"/>
      <c r="D2461" s="18"/>
      <c r="E2461" s="18"/>
      <c r="F2461" s="18"/>
      <c r="G2461" s="18"/>
      <c r="H2461" s="56"/>
      <c r="I2461" s="58"/>
      <c r="L2461" s="42"/>
      <c r="T2461" s="42"/>
      <c r="U2461" s="42"/>
      <c r="V2461" s="18"/>
      <c r="W2461" s="18"/>
      <c r="X2461" s="18"/>
    </row>
    <row r="2462" spans="1:24" ht="15">
      <c r="A2462" s="4"/>
      <c r="B2462" s="24"/>
      <c r="C2462" s="11"/>
      <c r="D2462" s="18"/>
      <c r="E2462" s="18"/>
      <c r="F2462" s="18"/>
      <c r="G2462" s="18"/>
      <c r="H2462" s="56"/>
      <c r="I2462" s="59" t="s">
        <v>136</v>
      </c>
      <c r="L2462" s="75">
        <v>26244178.6</v>
      </c>
      <c r="T2462" s="42"/>
      <c r="U2462" s="42"/>
      <c r="V2462" s="18"/>
      <c r="W2462" s="18"/>
      <c r="X2462" s="18"/>
    </row>
    <row r="2463" spans="1:24" ht="15">
      <c r="A2463" s="4"/>
      <c r="B2463" s="24"/>
      <c r="C2463" s="11"/>
      <c r="D2463" s="18"/>
      <c r="E2463" s="18"/>
      <c r="F2463" s="18"/>
      <c r="G2463" s="18"/>
      <c r="H2463" s="56"/>
      <c r="I2463" s="59"/>
      <c r="L2463" s="18"/>
      <c r="T2463" s="42"/>
      <c r="U2463" s="42"/>
      <c r="V2463" s="18"/>
      <c r="W2463" s="18"/>
      <c r="X2463" s="18"/>
    </row>
    <row r="2464" spans="1:24" ht="15">
      <c r="A2464" s="4"/>
      <c r="B2464" s="24"/>
      <c r="C2464" s="11"/>
      <c r="D2464" s="44" t="s">
        <v>137</v>
      </c>
      <c r="E2464" s="18"/>
      <c r="F2464" s="10" t="s">
        <v>138</v>
      </c>
      <c r="G2464" s="44" t="s">
        <v>24</v>
      </c>
      <c r="H2464" s="56"/>
      <c r="I2464" s="59" t="s">
        <v>139</v>
      </c>
      <c r="L2464" s="27">
        <v>0</v>
      </c>
      <c r="N2464" s="6" t="s">
        <v>137</v>
      </c>
      <c r="O2464" s="6" t="s">
        <v>137</v>
      </c>
      <c r="P2464" s="42"/>
      <c r="Q2464" s="6" t="s">
        <v>138</v>
      </c>
      <c r="R2464" s="6" t="s">
        <v>138</v>
      </c>
      <c r="S2464" s="6"/>
      <c r="T2464" s="42"/>
      <c r="U2464" s="42"/>
      <c r="V2464" s="18"/>
      <c r="W2464" s="18"/>
      <c r="X2464" s="18"/>
    </row>
    <row r="2465" spans="1:24" ht="15">
      <c r="A2465" s="4"/>
      <c r="B2465" s="24"/>
      <c r="C2465" s="11"/>
      <c r="D2465" s="18"/>
      <c r="E2465" s="18"/>
      <c r="F2465" s="18"/>
      <c r="G2465" s="18"/>
      <c r="H2465" s="56"/>
      <c r="I2465" s="59"/>
      <c r="L2465" s="18"/>
      <c r="N2465" s="8" t="s">
        <v>140</v>
      </c>
      <c r="O2465" s="49" t="s">
        <v>141</v>
      </c>
      <c r="P2465" s="42"/>
      <c r="Q2465" s="8" t="s">
        <v>140</v>
      </c>
      <c r="R2465" s="49" t="s">
        <v>141</v>
      </c>
      <c r="S2465" s="49"/>
      <c r="T2465" s="42"/>
      <c r="U2465" s="42"/>
      <c r="V2465" s="18"/>
      <c r="W2465" s="18"/>
      <c r="X2465" s="18"/>
    </row>
    <row r="2466" spans="1:24" ht="15">
      <c r="A2466" s="4">
        <f>+A2454+1</f>
        <v>38</v>
      </c>
      <c r="B2466" s="5" t="s">
        <v>36</v>
      </c>
      <c r="C2466" s="17" t="s">
        <v>37</v>
      </c>
      <c r="D2466" s="31">
        <f>+V2411+V2445</f>
        <v>17991229.669999998</v>
      </c>
      <c r="E2466" s="18"/>
      <c r="F2466" s="31">
        <f>+W2411+W2445</f>
        <v>13247747.610000001</v>
      </c>
      <c r="G2466" s="18">
        <f>+D2466-F2466</f>
        <v>4743482.059999997</v>
      </c>
      <c r="H2466" s="56"/>
      <c r="I2466" s="59" t="s">
        <v>142</v>
      </c>
      <c r="J2466" s="18"/>
      <c r="K2466" s="18"/>
      <c r="L2466" s="36">
        <v>18247577.37</v>
      </c>
      <c r="N2466" s="60"/>
      <c r="O2466" s="6"/>
      <c r="P2466" s="42"/>
      <c r="Q2466" s="61"/>
      <c r="R2466" s="61"/>
      <c r="S2466" s="61"/>
      <c r="T2466" s="42"/>
      <c r="U2466" s="42"/>
      <c r="V2466" s="18"/>
      <c r="W2466" s="18"/>
      <c r="X2466" s="18"/>
    </row>
    <row r="2467" spans="1:21" ht="15">
      <c r="A2467" s="4">
        <f>+A2466+1</f>
        <v>39</v>
      </c>
      <c r="B2467" s="5" t="s">
        <v>36</v>
      </c>
      <c r="C2467" s="22" t="s">
        <v>38</v>
      </c>
      <c r="D2467" s="31">
        <f>+V2412+V2446</f>
        <v>17921219.959999997</v>
      </c>
      <c r="E2467" s="18"/>
      <c r="F2467" s="31">
        <f>+W2412+W2446</f>
        <v>13053992</v>
      </c>
      <c r="G2467" s="18">
        <f>+D2467-F2467</f>
        <v>4867227.959999997</v>
      </c>
      <c r="H2467" s="56"/>
      <c r="I2467" s="58"/>
      <c r="J2467" s="18"/>
      <c r="K2467" s="18"/>
      <c r="L2467" s="60"/>
      <c r="N2467" s="62">
        <f>+D2468</f>
        <v>70009.7100000009</v>
      </c>
      <c r="O2467" s="63">
        <f>+D2474</f>
        <v>27019138.889999997</v>
      </c>
      <c r="P2467" s="42"/>
      <c r="Q2467" s="31">
        <f>+F2378</f>
        <v>180857.7100000009</v>
      </c>
      <c r="R2467" s="31">
        <f>+F2380</f>
        <v>0</v>
      </c>
      <c r="S2467" s="31"/>
      <c r="T2467" s="42"/>
      <c r="U2467" s="42"/>
    </row>
    <row r="2468" spans="1:24" ht="15">
      <c r="A2468" s="4">
        <f>+A2467+1</f>
        <v>40</v>
      </c>
      <c r="B2468" s="24" t="s">
        <v>46</v>
      </c>
      <c r="C2468" s="40" t="s">
        <v>78</v>
      </c>
      <c r="D2468" s="26">
        <f>+D2466-D2467</f>
        <v>70009.7100000009</v>
      </c>
      <c r="E2468" s="18"/>
      <c r="F2468" s="26">
        <f>+F2466-F2467</f>
        <v>193755.61000000127</v>
      </c>
      <c r="G2468" s="18">
        <f>+G2466-G2467</f>
        <v>-123745.90000000037</v>
      </c>
      <c r="H2468" s="56"/>
      <c r="I2468" s="58" t="s">
        <v>143</v>
      </c>
      <c r="J2468" s="18"/>
      <c r="K2468" s="18"/>
      <c r="L2468">
        <v>0</v>
      </c>
      <c r="N2468" s="62">
        <f>+D2469</f>
        <v>0</v>
      </c>
      <c r="O2468" s="63">
        <f>+D2475</f>
        <v>0</v>
      </c>
      <c r="P2468" s="42"/>
      <c r="Q2468" s="31">
        <f>+F2379</f>
        <v>0</v>
      </c>
      <c r="R2468" s="31">
        <f>+F2384</f>
        <v>18066719.66</v>
      </c>
      <c r="S2468" s="31"/>
      <c r="U2468" s="18"/>
      <c r="V2468" s="10" t="s">
        <v>20</v>
      </c>
      <c r="W2468" s="10" t="s">
        <v>21</v>
      </c>
      <c r="X2468" s="10" t="s">
        <v>22</v>
      </c>
    </row>
    <row r="2469" spans="1:21" ht="28.5">
      <c r="A2469" s="4">
        <f>+A2468+1</f>
        <v>41</v>
      </c>
      <c r="B2469" s="88" t="s">
        <v>182</v>
      </c>
      <c r="C2469" s="11"/>
      <c r="D2469" s="26">
        <f>+V2414+V2448</f>
        <v>0</v>
      </c>
      <c r="E2469" s="26"/>
      <c r="F2469" s="26">
        <f>+W2414+W2448</f>
        <v>0</v>
      </c>
      <c r="G2469" s="18">
        <f>+D2469-F2469</f>
        <v>0</v>
      </c>
      <c r="H2469" s="56"/>
      <c r="I2469" s="58"/>
      <c r="J2469" s="18"/>
      <c r="K2469" s="18"/>
      <c r="L2469" s="60" t="s">
        <v>144</v>
      </c>
      <c r="N2469" s="62">
        <f>+F2468</f>
        <v>193755.61000000127</v>
      </c>
      <c r="O2469" s="63">
        <f>+F2474</f>
        <v>18955509.96</v>
      </c>
      <c r="P2469" s="42"/>
      <c r="R2469" s="31">
        <f>+F2385</f>
        <v>0</v>
      </c>
      <c r="S2469" s="31"/>
      <c r="U2469" s="18"/>
    </row>
    <row r="2470" spans="1:25" ht="24.75">
      <c r="A2470" s="4">
        <f>+A2469+1</f>
        <v>42</v>
      </c>
      <c r="B2470" s="89" t="s">
        <v>39</v>
      </c>
      <c r="C2470" s="40"/>
      <c r="D2470" s="30">
        <f>+V2415+V2449</f>
        <v>40635.220000000016</v>
      </c>
      <c r="E2470" s="30"/>
      <c r="F2470" s="30">
        <f>+W2415+W2449</f>
        <v>-16082.999999999998</v>
      </c>
      <c r="G2470" s="18">
        <f>+D2470-F2470</f>
        <v>56718.220000000016</v>
      </c>
      <c r="H2470" s="56"/>
      <c r="I2470" s="64" t="s">
        <v>145</v>
      </c>
      <c r="J2470" s="18"/>
      <c r="K2470" s="18"/>
      <c r="L2470" s="83">
        <f>+L2462-L2464-L2466-L2468</f>
        <v>7996601.23</v>
      </c>
      <c r="N2470" s="62">
        <f>+F2469</f>
        <v>0</v>
      </c>
      <c r="O2470" s="63">
        <f>+F2475</f>
        <v>0</v>
      </c>
      <c r="P2470" s="42"/>
      <c r="Q2470" s="31"/>
      <c r="R2470" s="31"/>
      <c r="S2470" s="31"/>
      <c r="U2470" s="65"/>
      <c r="V2470" s="66"/>
      <c r="W2470" s="66"/>
      <c r="X2470" s="65"/>
      <c r="Y2470" s="84"/>
    </row>
    <row r="2471" spans="1:25" ht="15">
      <c r="A2471" s="6" t="s">
        <v>41</v>
      </c>
      <c r="B2471" s="41"/>
      <c r="C2471" s="40"/>
      <c r="D2471" s="18"/>
      <c r="E2471" s="18"/>
      <c r="F2471" s="18"/>
      <c r="G2471" s="18"/>
      <c r="H2471" s="56"/>
      <c r="I2471" s="58"/>
      <c r="J2471" s="18"/>
      <c r="K2471" s="18"/>
      <c r="N2471" s="62">
        <f>+F2378</f>
        <v>180857.7100000009</v>
      </c>
      <c r="O2471" s="63">
        <f>+F2384</f>
        <v>18066719.66</v>
      </c>
      <c r="P2471" s="42"/>
      <c r="Q2471" s="31"/>
      <c r="U2471" s="65"/>
      <c r="V2471" s="67"/>
      <c r="W2471" s="67"/>
      <c r="X2471" s="68"/>
      <c r="Y2471" s="84"/>
    </row>
    <row r="2472" spans="1:25" ht="15">
      <c r="A2472" s="4">
        <f>+A2470+1</f>
        <v>43</v>
      </c>
      <c r="B2472" s="5" t="s">
        <v>42</v>
      </c>
      <c r="C2472" s="22" t="s">
        <v>38</v>
      </c>
      <c r="D2472" s="31">
        <f>+V2417+V2451</f>
        <v>27019138.889999997</v>
      </c>
      <c r="E2472" s="18"/>
      <c r="F2472" s="31">
        <f>+W2417+W2451</f>
        <v>18955509.96</v>
      </c>
      <c r="G2472" s="18">
        <f>+D2472-F2472</f>
        <v>8063628.929999996</v>
      </c>
      <c r="H2472" s="56"/>
      <c r="I2472" s="59" t="s">
        <v>22</v>
      </c>
      <c r="J2472" s="18"/>
      <c r="K2472" s="18"/>
      <c r="L2472" s="30">
        <f>+X2477</f>
        <v>7996601.249999994</v>
      </c>
      <c r="N2472" s="62"/>
      <c r="O2472" s="63">
        <f>+D2470</f>
        <v>40635.220000000016</v>
      </c>
      <c r="P2472" s="42"/>
      <c r="Q2472" s="31"/>
      <c r="R2472" s="31"/>
      <c r="S2472" s="31"/>
      <c r="T2472" s="69" t="s">
        <v>78</v>
      </c>
      <c r="U2472" s="65"/>
      <c r="V2472" s="26">
        <f>+D2468+D2469-F2468-F2469+F2378</f>
        <v>57111.81000000052</v>
      </c>
      <c r="W2472" s="26">
        <f>+F2378+F2379</f>
        <v>180857.7100000009</v>
      </c>
      <c r="X2472" s="26">
        <f>+V2472-W2472</f>
        <v>-123745.90000000037</v>
      </c>
      <c r="Y2472" s="85"/>
    </row>
    <row r="2473" spans="1:25" ht="15">
      <c r="A2473" s="4">
        <f>+A2472+1</f>
        <v>44</v>
      </c>
      <c r="B2473" s="5" t="s">
        <v>43</v>
      </c>
      <c r="C2473" s="11"/>
      <c r="D2473" s="31">
        <f>+V2418+V2452</f>
        <v>0</v>
      </c>
      <c r="E2473" s="18"/>
      <c r="F2473" s="31">
        <f>+W2418+W2452</f>
        <v>0</v>
      </c>
      <c r="G2473" s="18">
        <f>+D2473-F2473</f>
        <v>0</v>
      </c>
      <c r="H2473" s="56"/>
      <c r="I2473" s="59"/>
      <c r="J2473" s="18"/>
      <c r="K2473" s="18"/>
      <c r="L2473" s="60" t="s">
        <v>144</v>
      </c>
      <c r="O2473" s="63">
        <f>+F2470</f>
        <v>-16082.999999999998</v>
      </c>
      <c r="P2473" s="42"/>
      <c r="Q2473" s="31"/>
      <c r="R2473" s="31"/>
      <c r="S2473" s="31"/>
      <c r="T2473" s="11" t="s">
        <v>146</v>
      </c>
      <c r="U2473" s="65"/>
      <c r="V2473" s="30">
        <f>+D2474+D2475-F2474-F2475+F2384+D2470-F2470+F2380</f>
        <v>26187066.809999995</v>
      </c>
      <c r="W2473" s="30">
        <f>+F2380+F2384+F2385</f>
        <v>18066719.66</v>
      </c>
      <c r="X2473" s="30">
        <f>+V2473-W2473</f>
        <v>8120347.149999995</v>
      </c>
      <c r="Y2473" s="85"/>
    </row>
    <row r="2474" spans="1:25" ht="26.25">
      <c r="A2474" s="4">
        <f>+A2473+1</f>
        <v>45</v>
      </c>
      <c r="B2474" s="24" t="s">
        <v>79</v>
      </c>
      <c r="C2474" s="11"/>
      <c r="D2474" s="30">
        <f>+D2472-D2473</f>
        <v>27019138.889999997</v>
      </c>
      <c r="E2474" s="18"/>
      <c r="F2474" s="30">
        <f>+F2472-F2473</f>
        <v>18955509.96</v>
      </c>
      <c r="G2474" s="18">
        <f>+G2472-G2473</f>
        <v>8063628.929999996</v>
      </c>
      <c r="H2474" s="56"/>
      <c r="I2474" s="58"/>
      <c r="J2474" s="18"/>
      <c r="K2474" s="18"/>
      <c r="N2474" s="62"/>
      <c r="O2474" s="63">
        <f>+F2380</f>
        <v>0</v>
      </c>
      <c r="P2474" s="42"/>
      <c r="Q2474" s="31"/>
      <c r="R2474" s="31"/>
      <c r="S2474" s="31"/>
      <c r="T2474" s="11"/>
      <c r="U2474" s="65"/>
      <c r="V2474" s="30"/>
      <c r="W2474" s="30"/>
      <c r="X2474" s="30"/>
      <c r="Y2474" s="65"/>
    </row>
    <row r="2475" spans="1:25" ht="28.5">
      <c r="A2475" s="4">
        <f>+A2474+1</f>
        <v>46</v>
      </c>
      <c r="B2475" s="88" t="s">
        <v>181</v>
      </c>
      <c r="C2475" s="11"/>
      <c r="D2475" s="30">
        <f>+V2420+V2454</f>
        <v>0</v>
      </c>
      <c r="E2475" s="30"/>
      <c r="F2475" s="30">
        <f>+W2420+W2454</f>
        <v>0</v>
      </c>
      <c r="G2475" s="18">
        <f>+D2475-F2475</f>
        <v>0</v>
      </c>
      <c r="H2475" s="56"/>
      <c r="N2475" s="62"/>
      <c r="O2475" s="62"/>
      <c r="P2475" s="42"/>
      <c r="Q2475" s="31"/>
      <c r="R2475" s="31"/>
      <c r="S2475" s="31"/>
      <c r="T2475" s="11"/>
      <c r="U2475" s="65"/>
      <c r="V2475" s="30"/>
      <c r="W2475" s="30"/>
      <c r="X2475" s="30"/>
      <c r="Y2475" s="65"/>
    </row>
    <row r="2476" spans="1:25" ht="15">
      <c r="A2476" s="4">
        <f>+A2475+1</f>
        <v>47</v>
      </c>
      <c r="B2476" s="24" t="s">
        <v>46</v>
      </c>
      <c r="C2476" s="11" t="s">
        <v>47</v>
      </c>
      <c r="D2476" s="18">
        <f>+D2468+D2469+D2474+D2475+D2470</f>
        <v>27129783.819999997</v>
      </c>
      <c r="E2476" s="18"/>
      <c r="F2476" s="18">
        <f>+F2468+F2469+F2474+F2475+F2470</f>
        <v>19133182.57</v>
      </c>
      <c r="G2476" s="18">
        <f>+G2468+G2469+G2474+G2475+G2470</f>
        <v>7996601.249999995</v>
      </c>
      <c r="H2476" s="56"/>
      <c r="I2476" s="59" t="s">
        <v>147</v>
      </c>
      <c r="J2476" s="18"/>
      <c r="K2476" s="18"/>
      <c r="L2476" s="36">
        <f>+L2470-L2472</f>
        <v>-0.019999993965029716</v>
      </c>
      <c r="N2476" s="70">
        <f>+N2467+N2468-N2469-N2470+N2471</f>
        <v>57111.81000000052</v>
      </c>
      <c r="O2476" s="71">
        <f>+O2467+O2468-O2469-O2470+O2471+O2472-O2473+O2474</f>
        <v>26187066.809999995</v>
      </c>
      <c r="P2476" s="42"/>
      <c r="Q2476" s="26">
        <f>SUM(Q2467:Q2468)</f>
        <v>180857.7100000009</v>
      </c>
      <c r="R2476" s="30">
        <f>SUM(R2467:R2470)</f>
        <v>18066719.66</v>
      </c>
      <c r="S2476" s="30"/>
      <c r="T2476" s="11"/>
      <c r="U2476" s="65"/>
      <c r="V2476" s="30"/>
      <c r="W2476" s="30"/>
      <c r="X2476" s="30"/>
      <c r="Y2476" s="65"/>
    </row>
    <row r="2477" spans="1:25" ht="15">
      <c r="A2477" s="4"/>
      <c r="B2477" s="24"/>
      <c r="C2477" s="11"/>
      <c r="D2477" s="18"/>
      <c r="E2477" s="18"/>
      <c r="F2477" s="18"/>
      <c r="G2477" s="18"/>
      <c r="H2477" s="56"/>
      <c r="L2477" s="60" t="s">
        <v>148</v>
      </c>
      <c r="M2477" s="42"/>
      <c r="N2477" s="42"/>
      <c r="O2477" s="42"/>
      <c r="P2477" s="42"/>
      <c r="Q2477" s="42"/>
      <c r="R2477" s="42"/>
      <c r="S2477" s="42"/>
      <c r="T2477" s="10" t="s">
        <v>22</v>
      </c>
      <c r="U2477" s="65"/>
      <c r="V2477" s="36"/>
      <c r="W2477" s="36"/>
      <c r="X2477" s="36">
        <f>+X2472+X2473</f>
        <v>7996601.249999994</v>
      </c>
      <c r="Y2477" s="65"/>
    </row>
    <row r="2478" spans="1:25" ht="15">
      <c r="A2478" s="1"/>
      <c r="B2478" s="2"/>
      <c r="C2478" s="2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65"/>
    </row>
    <row r="2479" spans="1:6" ht="15">
      <c r="A2479" s="4"/>
      <c r="B2479"/>
      <c r="F2479"/>
    </row>
    <row r="2480" spans="1:25" ht="15">
      <c r="A2480" s="1"/>
      <c r="B2480" s="2"/>
      <c r="C2480" s="2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65"/>
    </row>
    <row r="2481" spans="1:6" ht="15">
      <c r="A2481" s="4"/>
      <c r="B2481"/>
      <c r="F2481"/>
    </row>
    <row r="2482" spans="1:6" ht="15">
      <c r="A2482" s="4" t="s">
        <v>0</v>
      </c>
      <c r="B2482" s="5"/>
      <c r="C2482" s="6" t="s">
        <v>1</v>
      </c>
      <c r="F2482"/>
    </row>
    <row r="2483" spans="1:6" ht="15">
      <c r="A2483" s="4"/>
      <c r="B2483" s="5"/>
      <c r="C2483" s="6" t="s">
        <v>2</v>
      </c>
      <c r="F2483"/>
    </row>
    <row r="2484" spans="1:6" ht="15">
      <c r="A2484" s="4"/>
      <c r="B2484" s="5"/>
      <c r="C2484" s="80" t="s">
        <v>171</v>
      </c>
      <c r="F2484"/>
    </row>
    <row r="2485" spans="1:6" ht="15">
      <c r="A2485" s="4"/>
      <c r="B2485" s="5"/>
      <c r="C2485" s="8"/>
      <c r="F2485"/>
    </row>
    <row r="2486" spans="1:25" ht="15">
      <c r="A2486" s="4"/>
      <c r="B2486" s="5"/>
      <c r="C2486" s="9"/>
      <c r="D2486" s="10" t="s">
        <v>4</v>
      </c>
      <c r="E2486" s="10"/>
      <c r="F2486" s="10" t="s">
        <v>5</v>
      </c>
      <c r="G2486" s="10" t="s">
        <v>6</v>
      </c>
      <c r="H2486" s="10"/>
      <c r="I2486" s="10" t="s">
        <v>7</v>
      </c>
      <c r="J2486" s="10" t="s">
        <v>8</v>
      </c>
      <c r="K2486" s="10" t="s">
        <v>9</v>
      </c>
      <c r="L2486" s="10" t="s">
        <v>10</v>
      </c>
      <c r="M2486" s="10" t="s">
        <v>11</v>
      </c>
      <c r="N2486" s="10" t="s">
        <v>12</v>
      </c>
      <c r="O2486" s="10" t="s">
        <v>13</v>
      </c>
      <c r="P2486" s="10"/>
      <c r="Q2486" s="10" t="s">
        <v>14</v>
      </c>
      <c r="R2486" s="10" t="s">
        <v>15</v>
      </c>
      <c r="S2486" s="10"/>
      <c r="T2486" s="10" t="s">
        <v>16</v>
      </c>
      <c r="U2486" s="10"/>
      <c r="V2486" s="10" t="s">
        <v>17</v>
      </c>
      <c r="W2486" s="10" t="s">
        <v>18</v>
      </c>
      <c r="X2486" s="10" t="s">
        <v>19</v>
      </c>
      <c r="Y2486" s="10"/>
    </row>
    <row r="2487" spans="1:24" ht="15">
      <c r="A2487" s="4"/>
      <c r="B2487" s="87" t="s">
        <v>174</v>
      </c>
      <c r="C2487" s="5"/>
      <c r="D2487" s="10" t="s">
        <v>20</v>
      </c>
      <c r="E2487" s="10"/>
      <c r="F2487" s="10" t="s">
        <v>21</v>
      </c>
      <c r="G2487" s="10" t="s">
        <v>22</v>
      </c>
      <c r="I2487" s="10" t="s">
        <v>20</v>
      </c>
      <c r="J2487" s="10" t="s">
        <v>20</v>
      </c>
      <c r="K2487" s="10" t="s">
        <v>20</v>
      </c>
      <c r="L2487" s="10" t="s">
        <v>20</v>
      </c>
      <c r="M2487" s="10" t="s">
        <v>20</v>
      </c>
      <c r="N2487" s="10" t="s">
        <v>20</v>
      </c>
      <c r="O2487" s="10" t="s">
        <v>20</v>
      </c>
      <c r="Q2487" s="10" t="s">
        <v>20</v>
      </c>
      <c r="R2487" s="10" t="s">
        <v>20</v>
      </c>
      <c r="S2487" s="10"/>
      <c r="T2487" s="10" t="s">
        <v>20</v>
      </c>
      <c r="V2487" s="10" t="s">
        <v>20</v>
      </c>
      <c r="W2487" s="10" t="s">
        <v>20</v>
      </c>
      <c r="X2487" s="10" t="s">
        <v>20</v>
      </c>
    </row>
    <row r="2488" spans="1:24" ht="42.75">
      <c r="A2488" s="4"/>
      <c r="B2488" s="5"/>
      <c r="C2488" s="11"/>
      <c r="D2488" s="12" t="s">
        <v>23</v>
      </c>
      <c r="E2488" s="13"/>
      <c r="F2488" s="12" t="s">
        <v>175</v>
      </c>
      <c r="G2488" s="13" t="s">
        <v>24</v>
      </c>
      <c r="I2488" s="13" t="s">
        <v>25</v>
      </c>
      <c r="J2488" s="8" t="s">
        <v>26</v>
      </c>
      <c r="K2488" s="13" t="s">
        <v>27</v>
      </c>
      <c r="L2488" s="13" t="s">
        <v>28</v>
      </c>
      <c r="M2488" s="13" t="s">
        <v>29</v>
      </c>
      <c r="N2488" s="13" t="s">
        <v>30</v>
      </c>
      <c r="O2488" s="13" t="s">
        <v>31</v>
      </c>
      <c r="Q2488" s="14">
        <v>4470115</v>
      </c>
      <c r="R2488" s="13" t="s">
        <v>32</v>
      </c>
      <c r="S2488" s="13"/>
      <c r="T2488" s="14">
        <v>4470119</v>
      </c>
      <c r="V2488" s="8" t="s">
        <v>33</v>
      </c>
      <c r="W2488" s="8" t="s">
        <v>34</v>
      </c>
      <c r="X2488" s="81" t="s">
        <v>35</v>
      </c>
    </row>
    <row r="2489" spans="1:23" ht="15">
      <c r="A2489" s="4"/>
      <c r="B2489" s="5"/>
      <c r="C2489" s="11"/>
      <c r="D2489" s="13"/>
      <c r="E2489" s="13"/>
      <c r="F2489" s="13"/>
      <c r="G2489" s="15"/>
      <c r="I2489" s="13"/>
      <c r="J2489" s="13"/>
      <c r="K2489" s="13"/>
      <c r="L2489" s="13"/>
      <c r="M2489" s="13"/>
      <c r="N2489" s="13"/>
      <c r="O2489" s="13"/>
      <c r="Q2489" s="14"/>
      <c r="R2489" s="13"/>
      <c r="S2489" s="14"/>
      <c r="T2489" s="16"/>
      <c r="V2489" s="14"/>
      <c r="W2489" s="13"/>
    </row>
    <row r="2490" spans="1:25" ht="15">
      <c r="A2490" s="4">
        <v>1</v>
      </c>
      <c r="B2490" s="5" t="s">
        <v>36</v>
      </c>
      <c r="C2490" s="17" t="s">
        <v>37</v>
      </c>
      <c r="D2490" s="78">
        <f>18269589.23+10180762.53</f>
        <v>28450351.759999998</v>
      </c>
      <c r="E2490" s="77"/>
      <c r="F2490" s="93">
        <f>17365416.89+904172.34</f>
        <v>18269589.23</v>
      </c>
      <c r="G2490" s="21">
        <f>+D2490-F2490</f>
        <v>10180762.529999997</v>
      </c>
      <c r="H2490" s="18"/>
      <c r="I2490" s="18">
        <v>0</v>
      </c>
      <c r="J2490" s="18">
        <v>0</v>
      </c>
      <c r="K2490" s="18">
        <v>0</v>
      </c>
      <c r="L2490" s="18">
        <v>-61670.07</v>
      </c>
      <c r="M2490" s="18">
        <v>0</v>
      </c>
      <c r="N2490" s="18">
        <v>0</v>
      </c>
      <c r="O2490" s="18">
        <v>-1746.07</v>
      </c>
      <c r="P2490" s="18"/>
      <c r="Q2490" s="18">
        <v>0</v>
      </c>
      <c r="R2490" s="18">
        <v>0</v>
      </c>
      <c r="S2490" s="18"/>
      <c r="T2490" s="18">
        <v>0</v>
      </c>
      <c r="U2490" s="18"/>
      <c r="V2490" s="18">
        <v>0</v>
      </c>
      <c r="W2490" s="18">
        <v>0</v>
      </c>
      <c r="X2490" s="18">
        <v>-1226051.14</v>
      </c>
      <c r="Y2490" s="18"/>
    </row>
    <row r="2491" spans="1:25" ht="15">
      <c r="A2491" s="4">
        <f>+A2490+1</f>
        <v>2</v>
      </c>
      <c r="B2491" s="5" t="s">
        <v>36</v>
      </c>
      <c r="C2491" s="22" t="s">
        <v>38</v>
      </c>
      <c r="D2491" s="78">
        <f>18066719.66+10383632.09</f>
        <v>28450351.75</v>
      </c>
      <c r="E2491" s="19"/>
      <c r="F2491" s="23">
        <f>17175713.4+891006.26</f>
        <v>18066719.66</v>
      </c>
      <c r="G2491" s="21">
        <f>+D2491-F2491</f>
        <v>10383632.09</v>
      </c>
      <c r="H2491" s="18"/>
      <c r="I2491" s="18">
        <v>0</v>
      </c>
      <c r="J2491" s="18">
        <v>0</v>
      </c>
      <c r="K2491" s="18">
        <v>0</v>
      </c>
      <c r="L2491" s="18">
        <v>-56254.64</v>
      </c>
      <c r="M2491" s="18">
        <v>0</v>
      </c>
      <c r="N2491" s="18">
        <v>0</v>
      </c>
      <c r="O2491" s="18">
        <v>0</v>
      </c>
      <c r="P2491" s="18"/>
      <c r="Q2491" s="18">
        <v>0</v>
      </c>
      <c r="R2491" s="18">
        <v>0</v>
      </c>
      <c r="S2491" s="18"/>
      <c r="T2491" s="18">
        <v>0</v>
      </c>
      <c r="U2491" s="18"/>
      <c r="V2491" s="18">
        <v>0</v>
      </c>
      <c r="W2491" s="18">
        <v>0</v>
      </c>
      <c r="X2491" s="18">
        <v>-1222604.39</v>
      </c>
      <c r="Y2491" s="18"/>
    </row>
    <row r="2492" spans="1:25" ht="22.5">
      <c r="A2492" s="4">
        <f>+A2491+1</f>
        <v>3</v>
      </c>
      <c r="B2492" s="24" t="s">
        <v>176</v>
      </c>
      <c r="C2492" s="25" t="s">
        <v>177</v>
      </c>
      <c r="D2492" s="18">
        <v>0</v>
      </c>
      <c r="E2492" s="19"/>
      <c r="F2492" s="26">
        <f>+F2490-F2491</f>
        <v>202869.5700000003</v>
      </c>
      <c r="G2492" s="18">
        <v>0</v>
      </c>
      <c r="H2492" s="18"/>
      <c r="I2492" s="18">
        <f>+I2490-I2491</f>
        <v>0</v>
      </c>
      <c r="J2492" s="18">
        <f>+J2490-J2491</f>
        <v>0</v>
      </c>
      <c r="K2492" s="18">
        <f>+K2490-K2491</f>
        <v>0</v>
      </c>
      <c r="L2492" s="18">
        <f>+L2490-L2491</f>
        <v>-5415.43</v>
      </c>
      <c r="M2492" s="18">
        <f>+M2490-M2491</f>
        <v>0</v>
      </c>
      <c r="N2492" s="18">
        <f>+N2490-N2491</f>
        <v>0</v>
      </c>
      <c r="O2492" s="18">
        <f>+O2490-O2491</f>
        <v>-1746.07</v>
      </c>
      <c r="P2492" s="18"/>
      <c r="Q2492" s="18">
        <f>+Q2490-Q2491</f>
        <v>0</v>
      </c>
      <c r="R2492" s="18">
        <f>+R2490-R2491</f>
        <v>0</v>
      </c>
      <c r="S2492" s="18"/>
      <c r="T2492" s="18">
        <f>+T2490-T2491</f>
        <v>0</v>
      </c>
      <c r="U2492" s="18"/>
      <c r="V2492" s="18">
        <f>+V2490-V2491</f>
        <v>0</v>
      </c>
      <c r="W2492" s="18">
        <f>+W2490-W2491</f>
        <v>0</v>
      </c>
      <c r="X2492" s="18">
        <f>+X2490-X2491</f>
        <v>-3446.75</v>
      </c>
      <c r="Y2492" s="18"/>
    </row>
    <row r="2493" spans="1:25" ht="28.5">
      <c r="A2493" s="4">
        <f>+A2492+1</f>
        <v>4</v>
      </c>
      <c r="B2493" s="88" t="s">
        <v>178</v>
      </c>
      <c r="C2493" s="25" t="s">
        <v>179</v>
      </c>
      <c r="D2493" s="18">
        <v>0</v>
      </c>
      <c r="E2493" s="19"/>
      <c r="F2493" s="26">
        <v>0</v>
      </c>
      <c r="G2493" s="18">
        <f>+D2493-F2493</f>
        <v>0</v>
      </c>
      <c r="H2493" s="18"/>
      <c r="I2493" s="27">
        <v>0</v>
      </c>
      <c r="J2493" s="18">
        <v>0</v>
      </c>
      <c r="K2493" s="18">
        <v>0</v>
      </c>
      <c r="L2493" s="18">
        <v>0</v>
      </c>
      <c r="M2493" s="18">
        <v>0</v>
      </c>
      <c r="N2493" s="18">
        <v>0</v>
      </c>
      <c r="O2493" s="18">
        <v>0</v>
      </c>
      <c r="P2493" s="18"/>
      <c r="Q2493" s="18">
        <v>0</v>
      </c>
      <c r="R2493" s="18">
        <v>0</v>
      </c>
      <c r="S2493" s="18"/>
      <c r="T2493" s="18">
        <v>0</v>
      </c>
      <c r="U2493" s="18"/>
      <c r="V2493" s="18">
        <v>0</v>
      </c>
      <c r="W2493" s="18">
        <v>0</v>
      </c>
      <c r="X2493" s="18">
        <v>0</v>
      </c>
      <c r="Y2493" s="18"/>
    </row>
    <row r="2494" spans="1:25" ht="24.75">
      <c r="A2494" s="4">
        <f>+A2493+1</f>
        <v>5</v>
      </c>
      <c r="B2494" s="89" t="s">
        <v>39</v>
      </c>
      <c r="C2494" s="28" t="s">
        <v>40</v>
      </c>
      <c r="D2494" s="27">
        <f>406.3</f>
        <v>406.3</v>
      </c>
      <c r="E2494" s="29"/>
      <c r="F2494" s="30">
        <v>0</v>
      </c>
      <c r="G2494" s="31">
        <f>+D2494-F2494</f>
        <v>406.3</v>
      </c>
      <c r="H2494" s="18"/>
      <c r="I2494" s="27">
        <v>0</v>
      </c>
      <c r="J2494" s="27">
        <v>-52.18</v>
      </c>
      <c r="K2494" s="27">
        <v>0</v>
      </c>
      <c r="L2494" s="27">
        <v>-1617.64</v>
      </c>
      <c r="M2494" s="27">
        <v>0</v>
      </c>
      <c r="N2494" s="27">
        <v>0</v>
      </c>
      <c r="O2494" s="27">
        <v>-0.01</v>
      </c>
      <c r="P2494" s="18"/>
      <c r="Q2494" s="27">
        <v>716.72</v>
      </c>
      <c r="R2494" s="27">
        <v>0</v>
      </c>
      <c r="S2494" s="27"/>
      <c r="T2494" s="27">
        <v>0</v>
      </c>
      <c r="U2494" s="27"/>
      <c r="V2494" s="27">
        <v>0.07</v>
      </c>
      <c r="W2494" s="27">
        <v>0</v>
      </c>
      <c r="X2494" s="27">
        <v>-4398.86</v>
      </c>
      <c r="Y2494" s="18"/>
    </row>
    <row r="2495" spans="1:25" ht="15">
      <c r="A2495" s="6" t="s">
        <v>41</v>
      </c>
      <c r="B2495" s="90"/>
      <c r="C2495" s="11"/>
      <c r="D2495" s="18"/>
      <c r="E2495" s="19"/>
      <c r="F2495" s="18"/>
      <c r="G2495" s="18"/>
      <c r="H2495" s="18"/>
      <c r="I2495" s="18"/>
      <c r="J2495" s="18"/>
      <c r="K2495" s="18"/>
      <c r="L2495" s="18"/>
      <c r="M2495" s="18"/>
      <c r="N2495" s="18"/>
      <c r="O2495" s="18" t="s">
        <v>0</v>
      </c>
      <c r="P2495" s="18"/>
      <c r="Q2495" s="18"/>
      <c r="R2495" s="18"/>
      <c r="S2495" s="18"/>
      <c r="T2495" s="18"/>
      <c r="U2495" s="18"/>
      <c r="V2495" s="18"/>
      <c r="W2495" s="18"/>
      <c r="X2495" s="18"/>
      <c r="Y2495" s="18"/>
    </row>
    <row r="2496" spans="1:25" ht="15">
      <c r="A2496" s="4">
        <f>+A2494+1</f>
        <v>6</v>
      </c>
      <c r="B2496" s="5" t="s">
        <v>42</v>
      </c>
      <c r="C2496" s="22" t="s">
        <v>38</v>
      </c>
      <c r="D2496" s="27">
        <f>9186190.32+15852291.32</f>
        <v>25038481.64</v>
      </c>
      <c r="E2496" s="19"/>
      <c r="F2496" s="23">
        <f>15252976.81+599314.51</f>
        <v>15852291.32</v>
      </c>
      <c r="G2496" s="18">
        <f>+D2496-F2496</f>
        <v>9186190.32</v>
      </c>
      <c r="H2496" s="18"/>
      <c r="I2496" s="18">
        <v>0</v>
      </c>
      <c r="J2496" s="18">
        <v>0</v>
      </c>
      <c r="K2496" s="18">
        <v>0</v>
      </c>
      <c r="L2496" s="18">
        <v>-58518.93</v>
      </c>
      <c r="M2496" s="18">
        <v>0</v>
      </c>
      <c r="N2496" s="18">
        <v>0</v>
      </c>
      <c r="O2496" s="18">
        <v>0</v>
      </c>
      <c r="P2496" s="18"/>
      <c r="Q2496" s="18">
        <v>0</v>
      </c>
      <c r="R2496" s="18">
        <v>0</v>
      </c>
      <c r="S2496" s="18"/>
      <c r="T2496" s="18">
        <v>0</v>
      </c>
      <c r="U2496" s="18"/>
      <c r="V2496" s="18">
        <v>0</v>
      </c>
      <c r="W2496" s="18">
        <v>0</v>
      </c>
      <c r="X2496" s="18">
        <v>-1949032.87</v>
      </c>
      <c r="Y2496" s="18"/>
    </row>
    <row r="2497" spans="1:25" ht="15">
      <c r="A2497" s="4">
        <f>+A2496+1</f>
        <v>7</v>
      </c>
      <c r="B2497" s="5" t="s">
        <v>43</v>
      </c>
      <c r="C2497" s="11"/>
      <c r="E2497" s="19"/>
      <c r="F2497" s="23">
        <v>0</v>
      </c>
      <c r="G2497" s="18">
        <f>+D2496-F2497</f>
        <v>25038481.64</v>
      </c>
      <c r="H2497" s="18"/>
      <c r="I2497" s="18">
        <v>0</v>
      </c>
      <c r="J2497" s="18">
        <v>0</v>
      </c>
      <c r="K2497" s="18">
        <v>0</v>
      </c>
      <c r="L2497" s="18">
        <v>0</v>
      </c>
      <c r="M2497" s="18">
        <v>0</v>
      </c>
      <c r="N2497" s="18">
        <v>0</v>
      </c>
      <c r="O2497" s="31">
        <v>0</v>
      </c>
      <c r="P2497" s="18"/>
      <c r="Q2497" s="18">
        <v>0</v>
      </c>
      <c r="R2497" s="18">
        <v>0</v>
      </c>
      <c r="S2497" s="18"/>
      <c r="T2497" s="18">
        <v>0</v>
      </c>
      <c r="U2497" s="18"/>
      <c r="V2497" s="18">
        <v>0</v>
      </c>
      <c r="W2497" s="18">
        <v>0</v>
      </c>
      <c r="X2497" s="18">
        <v>0</v>
      </c>
      <c r="Y2497" s="18"/>
    </row>
    <row r="2498" spans="1:25" ht="35.25">
      <c r="A2498" s="4">
        <f>+A2497+1</f>
        <v>8</v>
      </c>
      <c r="B2498" s="24" t="s">
        <v>180</v>
      </c>
      <c r="C2498" s="32" t="s">
        <v>44</v>
      </c>
      <c r="D2498" s="33">
        <v>25038481.64</v>
      </c>
      <c r="E2498" s="34"/>
      <c r="F2498" s="91">
        <v>15852291.32</v>
      </c>
      <c r="G2498" s="18">
        <f>+G2496-G2497</f>
        <v>-15852291.32</v>
      </c>
      <c r="H2498" s="18"/>
      <c r="I2498" s="18">
        <f aca="true" t="shared" si="292" ref="I2498:O2498">+I2496-I2497</f>
        <v>0</v>
      </c>
      <c r="J2498" s="18">
        <f t="shared" si="292"/>
        <v>0</v>
      </c>
      <c r="K2498" s="18">
        <f t="shared" si="292"/>
        <v>0</v>
      </c>
      <c r="L2498" s="18">
        <f t="shared" si="292"/>
        <v>-58518.93</v>
      </c>
      <c r="M2498" s="18">
        <f t="shared" si="292"/>
        <v>0</v>
      </c>
      <c r="N2498" s="18">
        <f t="shared" si="292"/>
        <v>0</v>
      </c>
      <c r="O2498" s="18">
        <f t="shared" si="292"/>
        <v>0</v>
      </c>
      <c r="P2498" s="18"/>
      <c r="Q2498" s="18">
        <f>+Q2496-Q2497</f>
        <v>0</v>
      </c>
      <c r="R2498" s="18">
        <f>+R2496-R2497</f>
        <v>0</v>
      </c>
      <c r="S2498" s="18"/>
      <c r="T2498" s="18">
        <f>+T2496-T2497</f>
        <v>0</v>
      </c>
      <c r="U2498" s="18"/>
      <c r="V2498" s="18">
        <f>+V2496-V2497</f>
        <v>0</v>
      </c>
      <c r="W2498" s="18">
        <f>+W2496-W2497</f>
        <v>0</v>
      </c>
      <c r="X2498" s="18">
        <f>+X2496-X2497</f>
        <v>-1949032.87</v>
      </c>
      <c r="Y2498" s="18"/>
    </row>
    <row r="2499" spans="1:25" ht="28.5">
      <c r="A2499" s="4">
        <f>+A2498+1</f>
        <v>9</v>
      </c>
      <c r="B2499" s="88" t="s">
        <v>181</v>
      </c>
      <c r="C2499" s="35" t="s">
        <v>45</v>
      </c>
      <c r="D2499" s="18">
        <v>0</v>
      </c>
      <c r="E2499" s="19"/>
      <c r="F2499" s="31">
        <v>0</v>
      </c>
      <c r="G2499" s="31">
        <f>+D2499-F2499</f>
        <v>0</v>
      </c>
      <c r="H2499" s="18"/>
      <c r="I2499" s="18">
        <v>0</v>
      </c>
      <c r="J2499" s="18">
        <v>0</v>
      </c>
      <c r="K2499" s="18">
        <v>0</v>
      </c>
      <c r="L2499" s="18">
        <v>0</v>
      </c>
      <c r="M2499" s="18">
        <v>0</v>
      </c>
      <c r="N2499" s="18">
        <v>0</v>
      </c>
      <c r="O2499" s="31">
        <v>0</v>
      </c>
      <c r="P2499" s="18"/>
      <c r="Q2499" s="18">
        <v>0</v>
      </c>
      <c r="R2499" s="18">
        <v>0</v>
      </c>
      <c r="S2499" s="18"/>
      <c r="T2499" s="18">
        <v>0</v>
      </c>
      <c r="U2499" s="18"/>
      <c r="V2499" s="18">
        <v>0</v>
      </c>
      <c r="W2499" s="18">
        <v>0</v>
      </c>
      <c r="X2499" s="18">
        <v>0</v>
      </c>
      <c r="Y2499" s="18"/>
    </row>
    <row r="2500" spans="1:25" ht="15">
      <c r="A2500" s="4">
        <f>+A2499+1</f>
        <v>10</v>
      </c>
      <c r="B2500" s="24" t="s">
        <v>46</v>
      </c>
      <c r="C2500" s="11" t="s">
        <v>47</v>
      </c>
      <c r="D2500" s="36">
        <f>+D2492+D2493+D2494+D2498+D2499</f>
        <v>25038887.94</v>
      </c>
      <c r="E2500" s="19"/>
      <c r="F2500" s="36">
        <f>+F2492+F2493+F2494+F2498+F2499</f>
        <v>16055160.89</v>
      </c>
      <c r="G2500" s="18">
        <f>+G2492+G2493+G2498+G2499+G2494</f>
        <v>-15851885.02</v>
      </c>
      <c r="H2500" s="18"/>
      <c r="I2500" s="18">
        <f>+I2492+I2493+I2498+I2499+I2494</f>
        <v>0</v>
      </c>
      <c r="J2500" s="21">
        <f>+J2492+J2493+J2498+J2499+J2494</f>
        <v>-52.18</v>
      </c>
      <c r="K2500" s="18">
        <f>+K2492+K2493+K2498+K2499+K2494</f>
        <v>0</v>
      </c>
      <c r="L2500" s="18">
        <f>+L2492+L2493+L2498+L2499+L2494</f>
        <v>-65552</v>
      </c>
      <c r="M2500" s="18">
        <f>+M2492+M2493+M2498+M2499+M2494</f>
        <v>0</v>
      </c>
      <c r="N2500" s="18">
        <f>+N2492+N2493+N2498+N2499+N2494</f>
        <v>0</v>
      </c>
      <c r="O2500" s="18">
        <f>+O2492+O2493+O2498+O2499+O2494</f>
        <v>-1746.08</v>
      </c>
      <c r="P2500" s="18"/>
      <c r="Q2500" s="18">
        <f>+Q2492+Q2493+Q2498+Q2499+Q2494</f>
        <v>716.72</v>
      </c>
      <c r="R2500" s="18">
        <f>+R2492+R2493+R2498+R2499+R2494</f>
        <v>0</v>
      </c>
      <c r="S2500" s="18"/>
      <c r="T2500" s="18">
        <f>+T2492+T2493+T2498+T2499+T2494</f>
        <v>0</v>
      </c>
      <c r="U2500" s="18"/>
      <c r="V2500" s="18">
        <f>+V2492+V2493+V2498+V2499+V2494</f>
        <v>0.07</v>
      </c>
      <c r="W2500" s="18">
        <f>+W2492+W2493+W2498+W2499+W2494</f>
        <v>0</v>
      </c>
      <c r="X2500" s="18">
        <f>+X2492+X2493+X2498+X2499+X2494</f>
        <v>-1956878.4800000002</v>
      </c>
      <c r="Y2500" s="18"/>
    </row>
    <row r="2501" spans="1:25" ht="15">
      <c r="A2501" s="4"/>
      <c r="B2501" s="24"/>
      <c r="C2501" s="11" t="s">
        <v>0</v>
      </c>
      <c r="D2501" s="27"/>
      <c r="E2501" s="18"/>
      <c r="F2501" s="36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/>
      <c r="X2501" s="18"/>
      <c r="Y2501" s="18"/>
    </row>
    <row r="2502" spans="1:25" ht="15">
      <c r="A2502" s="4"/>
      <c r="B2502" s="94" t="s">
        <v>0</v>
      </c>
      <c r="C2502" s="37" t="s">
        <v>0</v>
      </c>
      <c r="D2502" s="27"/>
      <c r="E2502" s="18"/>
      <c r="F2502" s="92"/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  <c r="R2502" s="18"/>
      <c r="S2502" s="18"/>
      <c r="T2502" s="18"/>
      <c r="U2502" s="18"/>
      <c r="V2502" s="18"/>
      <c r="W2502" s="18"/>
      <c r="X2502" s="18"/>
      <c r="Y2502" s="18"/>
    </row>
    <row r="2503" spans="1:25" ht="15">
      <c r="A2503" s="4"/>
      <c r="B2503" s="24"/>
      <c r="C2503" s="11"/>
      <c r="D2503" s="6" t="s">
        <v>48</v>
      </c>
      <c r="E2503" s="6"/>
      <c r="F2503" s="10" t="s">
        <v>49</v>
      </c>
      <c r="G2503" s="10" t="s">
        <v>50</v>
      </c>
      <c r="I2503" s="10" t="s">
        <v>51</v>
      </c>
      <c r="J2503" s="10" t="s">
        <v>52</v>
      </c>
      <c r="K2503" s="10" t="s">
        <v>53</v>
      </c>
      <c r="L2503" s="10" t="s">
        <v>54</v>
      </c>
      <c r="M2503" s="10" t="s">
        <v>55</v>
      </c>
      <c r="N2503" s="10" t="s">
        <v>56</v>
      </c>
      <c r="O2503" s="10" t="s">
        <v>57</v>
      </c>
      <c r="P2503" s="18"/>
      <c r="Q2503" s="10" t="s">
        <v>58</v>
      </c>
      <c r="R2503" s="10" t="s">
        <v>59</v>
      </c>
      <c r="S2503" s="10"/>
      <c r="T2503" s="10" t="s">
        <v>60</v>
      </c>
      <c r="U2503" s="18"/>
      <c r="V2503" s="10" t="s">
        <v>61</v>
      </c>
      <c r="W2503" s="10" t="s">
        <v>62</v>
      </c>
      <c r="X2503" s="10" t="s">
        <v>63</v>
      </c>
      <c r="Y2503" s="18"/>
    </row>
    <row r="2504" spans="1:25" ht="15">
      <c r="A2504" s="4"/>
      <c r="B2504"/>
      <c r="C2504" s="11"/>
      <c r="D2504" s="10" t="s">
        <v>20</v>
      </c>
      <c r="E2504" s="38"/>
      <c r="F2504" s="10" t="s">
        <v>20</v>
      </c>
      <c r="G2504" s="10" t="s">
        <v>20</v>
      </c>
      <c r="I2504" s="10" t="s">
        <v>20</v>
      </c>
      <c r="J2504" s="10" t="s">
        <v>20</v>
      </c>
      <c r="K2504" s="10" t="s">
        <v>20</v>
      </c>
      <c r="L2504" s="10" t="s">
        <v>20</v>
      </c>
      <c r="M2504" s="10" t="s">
        <v>20</v>
      </c>
      <c r="N2504" s="10" t="s">
        <v>20</v>
      </c>
      <c r="O2504" s="10" t="s">
        <v>20</v>
      </c>
      <c r="P2504" s="18"/>
      <c r="Q2504" s="10" t="s">
        <v>20</v>
      </c>
      <c r="R2504" s="10" t="s">
        <v>20</v>
      </c>
      <c r="S2504" s="14"/>
      <c r="T2504" s="10" t="s">
        <v>20</v>
      </c>
      <c r="U2504" s="18"/>
      <c r="W2504" s="39" t="s">
        <v>64</v>
      </c>
      <c r="Y2504" s="18"/>
    </row>
    <row r="2505" spans="1:25" ht="15">
      <c r="A2505" s="4"/>
      <c r="B2505" s="87" t="s">
        <v>174</v>
      </c>
      <c r="C2505" s="11"/>
      <c r="D2505" s="8" t="s">
        <v>155</v>
      </c>
      <c r="E2505" s="6"/>
      <c r="F2505" s="8" t="s">
        <v>66</v>
      </c>
      <c r="G2505" s="8" t="s">
        <v>67</v>
      </c>
      <c r="H2505" s="19"/>
      <c r="I2505" s="8" t="s">
        <v>68</v>
      </c>
      <c r="J2505" s="8" t="s">
        <v>69</v>
      </c>
      <c r="K2505" s="8" t="s">
        <v>70</v>
      </c>
      <c r="L2505" s="8" t="s">
        <v>71</v>
      </c>
      <c r="M2505" s="8" t="s">
        <v>72</v>
      </c>
      <c r="N2505" s="8" t="s">
        <v>73</v>
      </c>
      <c r="O2505" s="8" t="s">
        <v>74</v>
      </c>
      <c r="P2505" s="6"/>
      <c r="Q2505" s="8" t="s">
        <v>75</v>
      </c>
      <c r="R2505" s="8" t="s">
        <v>76</v>
      </c>
      <c r="S2505" s="8"/>
      <c r="T2505" s="8" t="s">
        <v>77</v>
      </c>
      <c r="U2505" s="18"/>
      <c r="V2505" s="10" t="s">
        <v>20</v>
      </c>
      <c r="W2505" s="14" t="s">
        <v>21</v>
      </c>
      <c r="X2505" s="10" t="s">
        <v>22</v>
      </c>
      <c r="Y2505" s="18"/>
    </row>
    <row r="2506" spans="1:8" ht="15">
      <c r="A2506" s="4"/>
      <c r="B2506" s="24"/>
      <c r="C2506" s="11"/>
      <c r="E2506" s="14"/>
      <c r="F2506"/>
      <c r="H2506" s="18"/>
    </row>
    <row r="2507" spans="1:24" ht="15">
      <c r="A2507" s="4">
        <f>+A2500+1</f>
        <v>11</v>
      </c>
      <c r="B2507" s="5" t="s">
        <v>36</v>
      </c>
      <c r="C2507" s="17" t="s">
        <v>37</v>
      </c>
      <c r="D2507" s="18">
        <v>13333.02</v>
      </c>
      <c r="E2507" s="18"/>
      <c r="F2507" s="18">
        <v>0</v>
      </c>
      <c r="G2507" s="18">
        <v>0</v>
      </c>
      <c r="I2507" s="27">
        <v>-16440.28</v>
      </c>
      <c r="J2507" s="18">
        <v>0</v>
      </c>
      <c r="K2507" s="18">
        <v>0</v>
      </c>
      <c r="L2507" s="18">
        <v>0</v>
      </c>
      <c r="M2507" s="18">
        <v>141755.4</v>
      </c>
      <c r="N2507" s="18">
        <v>-1342223.2</v>
      </c>
      <c r="O2507" s="18">
        <v>18.5</v>
      </c>
      <c r="Q2507" s="18">
        <v>0</v>
      </c>
      <c r="R2507" s="18">
        <v>0</v>
      </c>
      <c r="S2507" s="18"/>
      <c r="T2507" s="18">
        <v>0</v>
      </c>
      <c r="V2507" s="18">
        <f>+D2490+I2490+J2490+K2490+L2490+M2490+N2490+O2490+Q2490+R2490+T2490+V2490+W2490+X2490+D2507+F2507+G2507+I2507+J2507+K2507+L2507+M2507+N2507+O2507+Q2507+R2507+T2507</f>
        <v>25957327.919999994</v>
      </c>
      <c r="W2507" s="18">
        <f>+F2490</f>
        <v>18269589.23</v>
      </c>
      <c r="X2507" s="18">
        <f>+V2507-W2507</f>
        <v>7687738.689999994</v>
      </c>
    </row>
    <row r="2508" spans="1:24" ht="15">
      <c r="A2508" s="4">
        <f>+A2507+1</f>
        <v>12</v>
      </c>
      <c r="B2508" s="5" t="s">
        <v>36</v>
      </c>
      <c r="C2508" s="22" t="s">
        <v>38</v>
      </c>
      <c r="D2508" s="18">
        <v>6643.35</v>
      </c>
      <c r="E2508" s="18"/>
      <c r="F2508" s="18">
        <v>0</v>
      </c>
      <c r="G2508" s="18">
        <v>0</v>
      </c>
      <c r="I2508" s="27">
        <v>17803.41</v>
      </c>
      <c r="J2508" s="18">
        <v>0</v>
      </c>
      <c r="K2508" s="18">
        <v>0</v>
      </c>
      <c r="L2508" s="18">
        <v>0</v>
      </c>
      <c r="M2508" s="18">
        <v>144360.73</v>
      </c>
      <c r="N2508" s="18">
        <v>-1341996.22</v>
      </c>
      <c r="O2508" s="18">
        <v>18.5</v>
      </c>
      <c r="Q2508" s="18">
        <v>0</v>
      </c>
      <c r="R2508" s="18">
        <v>0</v>
      </c>
      <c r="S2508" s="18"/>
      <c r="T2508" s="18">
        <v>0</v>
      </c>
      <c r="V2508" s="18">
        <f>+D2491+I2491+J2491+K2491+L2491+M2491+N2491+O2491+Q2491+R2491+T2491+V2491+W2491+X2491+D2508+F2508+G2508+I2508+J2508+K2508+L2508+M2508+N2508+O2508+Q2508+R2508+T2508</f>
        <v>25998322.490000002</v>
      </c>
      <c r="W2508" s="18">
        <f>+F2491</f>
        <v>18066719.66</v>
      </c>
      <c r="X2508" s="18">
        <f>+V2508-W2508</f>
        <v>7931602.830000002</v>
      </c>
    </row>
    <row r="2509" spans="1:24" ht="15">
      <c r="A2509" s="4">
        <f>+A2508+1</f>
        <v>13</v>
      </c>
      <c r="B2509" s="24" t="s">
        <v>46</v>
      </c>
      <c r="C2509" s="40" t="s">
        <v>78</v>
      </c>
      <c r="D2509" s="18">
        <f>+D2507-D2508</f>
        <v>6689.67</v>
      </c>
      <c r="E2509" s="18"/>
      <c r="F2509" s="18">
        <f>+F2507-F2508</f>
        <v>0</v>
      </c>
      <c r="G2509" s="18">
        <f>+G2507-G2508</f>
        <v>0</v>
      </c>
      <c r="I2509" s="18">
        <f>+I2507-I2508</f>
        <v>-34243.69</v>
      </c>
      <c r="J2509" s="18">
        <f>+J2507-J2508</f>
        <v>0</v>
      </c>
      <c r="K2509" s="18">
        <f>+K2507-K2508</f>
        <v>0</v>
      </c>
      <c r="L2509" s="18">
        <f>+L2507-L2508</f>
        <v>0</v>
      </c>
      <c r="M2509" s="18">
        <f>+M2507-M2508</f>
        <v>-2605.3300000000163</v>
      </c>
      <c r="N2509" s="18">
        <f>+N2507-N2508</f>
        <v>-226.97999999998137</v>
      </c>
      <c r="O2509" s="18">
        <f>+O2507-O2508</f>
        <v>0</v>
      </c>
      <c r="Q2509" s="18">
        <f>+Q2507-Q2508</f>
        <v>0</v>
      </c>
      <c r="R2509" s="18">
        <f>+R2507-R2508</f>
        <v>0</v>
      </c>
      <c r="S2509" s="18"/>
      <c r="T2509" s="18">
        <f>+T2507-T2508</f>
        <v>0</v>
      </c>
      <c r="V2509" s="27">
        <f>+V2507-V2508</f>
        <v>-40994.57000000775</v>
      </c>
      <c r="W2509" s="27">
        <f>+W2507-W2508</f>
        <v>202869.5700000003</v>
      </c>
      <c r="X2509" s="18">
        <f>+X2507-X2508</f>
        <v>-243864.14000000805</v>
      </c>
    </row>
    <row r="2510" spans="1:24" ht="28.5">
      <c r="A2510" s="4">
        <f>+A2509+1</f>
        <v>14</v>
      </c>
      <c r="B2510" s="88" t="s">
        <v>182</v>
      </c>
      <c r="C2510" s="11"/>
      <c r="D2510" s="18">
        <v>0</v>
      </c>
      <c r="E2510" s="18"/>
      <c r="F2510" s="18">
        <v>0</v>
      </c>
      <c r="G2510" s="18">
        <v>0</v>
      </c>
      <c r="I2510" s="18">
        <v>0</v>
      </c>
      <c r="J2510" s="18">
        <v>0</v>
      </c>
      <c r="K2510" s="18">
        <v>0</v>
      </c>
      <c r="L2510" s="18">
        <v>0</v>
      </c>
      <c r="M2510" s="18">
        <v>0</v>
      </c>
      <c r="N2510" s="18">
        <v>0</v>
      </c>
      <c r="O2510" s="18">
        <v>0</v>
      </c>
      <c r="Q2510" s="18">
        <v>0</v>
      </c>
      <c r="R2510" s="18">
        <v>0</v>
      </c>
      <c r="S2510" s="18"/>
      <c r="T2510" s="18">
        <v>0</v>
      </c>
      <c r="V2510" s="18">
        <f>+D2493+I2493+J2493+K2493+L2493+M2493+N2493+O2493+Q2493+R2493+T2493+V2493+W2493+X2493+D2510+F2510+G2510+I2510+J2510+K2510+L2510+M2510+N2510+O2510+Q2510+R2510+T2510</f>
        <v>0</v>
      </c>
      <c r="W2510" s="18">
        <f>+F2493</f>
        <v>0</v>
      </c>
      <c r="X2510" s="18">
        <f>+V2510-W2510</f>
        <v>0</v>
      </c>
    </row>
    <row r="2511" spans="1:24" ht="24.75">
      <c r="A2511" s="4">
        <f>+A2510+1</f>
        <v>15</v>
      </c>
      <c r="B2511" s="89" t="s">
        <v>39</v>
      </c>
      <c r="C2511" s="40"/>
      <c r="D2511" s="27">
        <v>0</v>
      </c>
      <c r="E2511" s="18" t="s">
        <v>0</v>
      </c>
      <c r="F2511" s="27">
        <v>0</v>
      </c>
      <c r="G2511" s="27">
        <v>0</v>
      </c>
      <c r="H2511" t="s">
        <v>0</v>
      </c>
      <c r="I2511" s="27">
        <v>-302.59</v>
      </c>
      <c r="J2511" s="27">
        <v>0</v>
      </c>
      <c r="K2511" s="27">
        <v>0</v>
      </c>
      <c r="L2511" s="27">
        <v>0</v>
      </c>
      <c r="M2511" s="27">
        <v>0</v>
      </c>
      <c r="N2511" s="27">
        <v>-1842.13</v>
      </c>
      <c r="O2511" s="27">
        <v>0</v>
      </c>
      <c r="Q2511" s="27">
        <v>0</v>
      </c>
      <c r="R2511" s="27">
        <v>0</v>
      </c>
      <c r="S2511" s="27"/>
      <c r="T2511" s="27">
        <v>0</v>
      </c>
      <c r="V2511" s="18">
        <f>+D2494+I2494+J2494+K2494+L2494+M2494+N2494+O2494+Q2494+R2494+T2494+V2494+W2494+X2494+D2511+F2511+G2511+I2511+J2511+K2511+L2511+M2511+N2511+O2511+Q2511+R2511+T2511</f>
        <v>-7090.32</v>
      </c>
      <c r="W2511" s="18">
        <f>+F2494</f>
        <v>0</v>
      </c>
      <c r="X2511" s="18">
        <f>+V2511-W2511</f>
        <v>-7090.32</v>
      </c>
    </row>
    <row r="2512" spans="1:24" ht="15">
      <c r="A2512" s="6" t="s">
        <v>41</v>
      </c>
      <c r="B2512" s="41"/>
      <c r="C2512" s="40"/>
      <c r="D2512" s="18"/>
      <c r="E2512" s="18"/>
      <c r="F2512" s="18"/>
      <c r="G2512" s="18"/>
      <c r="I2512" s="18"/>
      <c r="J2512" s="18"/>
      <c r="K2512" s="18"/>
      <c r="L2512" s="18"/>
      <c r="M2512" s="18"/>
      <c r="N2512" s="18"/>
      <c r="O2512" s="18"/>
      <c r="Q2512" s="18"/>
      <c r="R2512" s="18"/>
      <c r="S2512" s="18"/>
      <c r="T2512" s="18"/>
      <c r="V2512" s="18"/>
      <c r="W2512" s="18"/>
      <c r="X2512" s="18"/>
    </row>
    <row r="2513" spans="1:24" ht="15">
      <c r="A2513" s="4">
        <f>+A2511+1</f>
        <v>16</v>
      </c>
      <c r="B2513" s="5" t="s">
        <v>42</v>
      </c>
      <c r="C2513" s="22" t="s">
        <v>38</v>
      </c>
      <c r="D2513" s="18">
        <v>645.42</v>
      </c>
      <c r="E2513" s="18"/>
      <c r="F2513" s="18">
        <v>0</v>
      </c>
      <c r="G2513" s="18">
        <v>0</v>
      </c>
      <c r="I2513" s="27">
        <v>16183.82</v>
      </c>
      <c r="J2513" s="18">
        <v>0</v>
      </c>
      <c r="K2513" s="18">
        <v>0</v>
      </c>
      <c r="L2513" s="18">
        <v>0</v>
      </c>
      <c r="M2513" s="18">
        <v>133757.57</v>
      </c>
      <c r="N2513" s="18">
        <v>-1325027.2</v>
      </c>
      <c r="O2513" s="18">
        <v>0.21</v>
      </c>
      <c r="P2513" s="18"/>
      <c r="Q2513" s="18">
        <v>0</v>
      </c>
      <c r="R2513" s="18">
        <v>0</v>
      </c>
      <c r="S2513" s="18"/>
      <c r="T2513" s="18">
        <v>0</v>
      </c>
      <c r="U2513" s="18"/>
      <c r="V2513" s="18">
        <f>+D2496+I2496+J2496+K2496+L2496+M2496+N2496+O2496+Q2496+R2496+T2496+V2496+W2496+X2496+D2513+F2513+G2513+I2513+J2513+K2513+L2513+M2513+N2513+O2513+Q2513+R2513+T2513</f>
        <v>21856489.660000004</v>
      </c>
      <c r="W2513" s="18">
        <f>+F2496</f>
        <v>15852291.32</v>
      </c>
      <c r="X2513" s="18">
        <f>+V2513-W2513</f>
        <v>6004198.340000004</v>
      </c>
    </row>
    <row r="2514" spans="1:24" ht="15">
      <c r="A2514" s="4">
        <f>+A2513+1</f>
        <v>17</v>
      </c>
      <c r="B2514" s="5" t="s">
        <v>43</v>
      </c>
      <c r="C2514" s="11"/>
      <c r="D2514" s="18">
        <v>0</v>
      </c>
      <c r="E2514" s="18"/>
      <c r="F2514" s="18">
        <v>0</v>
      </c>
      <c r="G2514" s="18">
        <v>0</v>
      </c>
      <c r="I2514" s="27">
        <v>0</v>
      </c>
      <c r="J2514" s="18">
        <v>0</v>
      </c>
      <c r="K2514" s="18">
        <v>0</v>
      </c>
      <c r="L2514" s="18">
        <v>0</v>
      </c>
      <c r="M2514" s="18">
        <v>0</v>
      </c>
      <c r="N2514" s="18">
        <v>0</v>
      </c>
      <c r="O2514" s="18">
        <v>0</v>
      </c>
      <c r="P2514" s="18"/>
      <c r="Q2514" s="18">
        <v>0</v>
      </c>
      <c r="R2514" s="18">
        <v>0</v>
      </c>
      <c r="S2514" s="18"/>
      <c r="T2514" s="18">
        <v>0</v>
      </c>
      <c r="U2514" s="18"/>
      <c r="V2514" s="18">
        <f>+D2497+I2497+J2497+K2497+L2497+M2497+N2497+O2497+Q2497+R2497+T2497+V2497+W2497+X2497+D2514+F2514+G2514+I2514+J2514+K2514+L2514+M2514+N2514+O2514+Q2514+R2514+T2514</f>
        <v>0</v>
      </c>
      <c r="W2514" s="18">
        <f>+F2497</f>
        <v>0</v>
      </c>
      <c r="X2514" s="18">
        <f>+V2514-W2514</f>
        <v>0</v>
      </c>
    </row>
    <row r="2515" spans="1:24" ht="26.25">
      <c r="A2515" s="4">
        <f>+A2514+1</f>
        <v>18</v>
      </c>
      <c r="B2515" s="24" t="s">
        <v>79</v>
      </c>
      <c r="C2515" s="11"/>
      <c r="D2515" s="18">
        <f>+D2513-D2514</f>
        <v>645.42</v>
      </c>
      <c r="E2515" s="18"/>
      <c r="F2515" s="18">
        <f>+F2513-F2514</f>
        <v>0</v>
      </c>
      <c r="G2515" s="18">
        <f>+G2513-G2514</f>
        <v>0</v>
      </c>
      <c r="I2515" s="18">
        <f aca="true" t="shared" si="293" ref="I2515:O2515">+I2513-I2514</f>
        <v>16183.82</v>
      </c>
      <c r="J2515" s="18">
        <f t="shared" si="293"/>
        <v>0</v>
      </c>
      <c r="K2515" s="18">
        <f t="shared" si="293"/>
        <v>0</v>
      </c>
      <c r="L2515" s="18">
        <f t="shared" si="293"/>
        <v>0</v>
      </c>
      <c r="M2515" s="18">
        <f t="shared" si="293"/>
        <v>133757.57</v>
      </c>
      <c r="N2515" s="18">
        <f t="shared" si="293"/>
        <v>-1325027.2</v>
      </c>
      <c r="O2515" s="18">
        <f t="shared" si="293"/>
        <v>0.21</v>
      </c>
      <c r="P2515" s="18"/>
      <c r="Q2515" s="18">
        <f>+Q2513-Q2514</f>
        <v>0</v>
      </c>
      <c r="R2515" s="18">
        <f>+R2513-R2514</f>
        <v>0</v>
      </c>
      <c r="S2515" s="18"/>
      <c r="T2515" s="18">
        <f>+T2513-T2514</f>
        <v>0</v>
      </c>
      <c r="U2515" s="18"/>
      <c r="V2515" s="27">
        <f>+V2513-V2514</f>
        <v>21856489.660000004</v>
      </c>
      <c r="W2515" s="27">
        <f>+W2513-W2514</f>
        <v>15852291.32</v>
      </c>
      <c r="X2515" s="18">
        <f>+X2513-X2514</f>
        <v>6004198.340000004</v>
      </c>
    </row>
    <row r="2516" spans="1:24" ht="28.5">
      <c r="A2516" s="4">
        <f>+A2515+1</f>
        <v>19</v>
      </c>
      <c r="B2516" s="88" t="s">
        <v>181</v>
      </c>
      <c r="C2516" s="11"/>
      <c r="D2516" s="18">
        <v>0</v>
      </c>
      <c r="E2516" s="18"/>
      <c r="F2516" s="18">
        <v>0</v>
      </c>
      <c r="G2516" s="18">
        <v>0</v>
      </c>
      <c r="I2516" s="18">
        <v>0</v>
      </c>
      <c r="J2516" s="18">
        <v>0</v>
      </c>
      <c r="K2516" s="18">
        <v>0</v>
      </c>
      <c r="L2516" s="18">
        <v>0</v>
      </c>
      <c r="M2516" s="18">
        <v>0</v>
      </c>
      <c r="N2516" s="18">
        <v>0</v>
      </c>
      <c r="O2516" s="18">
        <v>0</v>
      </c>
      <c r="P2516" s="18"/>
      <c r="Q2516" s="18">
        <v>0</v>
      </c>
      <c r="R2516" s="18">
        <v>0</v>
      </c>
      <c r="S2516" s="18"/>
      <c r="T2516" s="18">
        <v>0</v>
      </c>
      <c r="U2516" s="18"/>
      <c r="V2516" s="18">
        <f>+D2499+I2499+J2499+K2499+L2499+M2499+N2499+O2499+Q2499+R2499+T2499+V2499+W2499+X2499+D2516+F2516+G2516+I2516+J2516+K2516+L2516+M2516+N2516+O2516+Q2516+R2516+T2516</f>
        <v>0</v>
      </c>
      <c r="W2516" s="18">
        <f>+F2499+K2516+L2516+M2516+N2516+O2516+Q2516+R2516+T2516</f>
        <v>0</v>
      </c>
      <c r="X2516" s="18">
        <f>+V2516-W2516</f>
        <v>0</v>
      </c>
    </row>
    <row r="2517" spans="1:24" ht="15">
      <c r="A2517" s="4">
        <f>+A2516+1</f>
        <v>20</v>
      </c>
      <c r="B2517" s="24" t="s">
        <v>46</v>
      </c>
      <c r="C2517" s="11" t="s">
        <v>47</v>
      </c>
      <c r="D2517" s="18">
        <f>+D2509+D2510+D2515+D2516+D2511</f>
        <v>7335.09</v>
      </c>
      <c r="E2517" s="18"/>
      <c r="F2517" s="18">
        <f>+F2509+F2510+F2515+F2516+F2511</f>
        <v>0</v>
      </c>
      <c r="G2517" s="18">
        <f>+G2509+G2510+G2515+G2516+G2511</f>
        <v>0</v>
      </c>
      <c r="I2517" s="18">
        <f aca="true" t="shared" si="294" ref="I2517:O2517">+I2509+I2510+I2515+I2516+I2511</f>
        <v>-18362.460000000003</v>
      </c>
      <c r="J2517" s="18">
        <f t="shared" si="294"/>
        <v>0</v>
      </c>
      <c r="K2517" s="18">
        <f t="shared" si="294"/>
        <v>0</v>
      </c>
      <c r="L2517" s="18">
        <f t="shared" si="294"/>
        <v>0</v>
      </c>
      <c r="M2517" s="18">
        <f t="shared" si="294"/>
        <v>131152.24</v>
      </c>
      <c r="N2517" s="18">
        <f t="shared" si="294"/>
        <v>-1327096.3099999998</v>
      </c>
      <c r="O2517" s="18">
        <f t="shared" si="294"/>
        <v>0.21</v>
      </c>
      <c r="P2517" s="42"/>
      <c r="Q2517" s="18">
        <f>+Q2509+Q2510+Q2515+Q2516+Q2511</f>
        <v>0</v>
      </c>
      <c r="R2517" s="18">
        <f>+R2509+R2510+R2515+R2516+R2511</f>
        <v>0</v>
      </c>
      <c r="S2517" s="18"/>
      <c r="T2517" s="18">
        <f>+T2509+T2510+T2515+T2516+T2511</f>
        <v>0</v>
      </c>
      <c r="U2517" s="42"/>
      <c r="V2517" s="18">
        <f>SUM(V2509,V2511,V2515,V2516)</f>
        <v>21808404.769999996</v>
      </c>
      <c r="W2517" s="18">
        <f>+W2509+W2510+W2515+W2516+W2511</f>
        <v>16055160.89</v>
      </c>
      <c r="X2517" s="18">
        <f>+X2509+X2510+X2515+X2516+X2511</f>
        <v>5753243.879999995</v>
      </c>
    </row>
    <row r="2518" spans="1:24" ht="15">
      <c r="A2518" s="4"/>
      <c r="B2518" s="24"/>
      <c r="C2518" s="11"/>
      <c r="D2518" s="18"/>
      <c r="E2518" s="18"/>
      <c r="F2518" s="18"/>
      <c r="G2518" s="18"/>
      <c r="I2518" s="18"/>
      <c r="J2518" s="18"/>
      <c r="K2518" s="18"/>
      <c r="L2518" s="18"/>
      <c r="M2518" s="18"/>
      <c r="N2518" s="18"/>
      <c r="O2518" s="18"/>
      <c r="P2518" s="42"/>
      <c r="Q2518" s="18"/>
      <c r="R2518" s="18"/>
      <c r="S2518" s="18"/>
      <c r="T2518" s="18"/>
      <c r="U2518" s="42"/>
      <c r="V2518" s="18"/>
      <c r="W2518" s="18"/>
      <c r="X2518" s="18"/>
    </row>
    <row r="2519" spans="1:24" ht="15">
      <c r="A2519" s="4"/>
      <c r="B2519" s="24"/>
      <c r="C2519" s="11"/>
      <c r="D2519" s="18"/>
      <c r="E2519" s="18"/>
      <c r="F2519" s="18"/>
      <c r="G2519" s="18"/>
      <c r="I2519" s="18"/>
      <c r="J2519" s="18"/>
      <c r="K2519" s="18"/>
      <c r="L2519" s="18"/>
      <c r="M2519" s="18"/>
      <c r="N2519" s="18"/>
      <c r="O2519" s="18"/>
      <c r="P2519" s="42"/>
      <c r="Q2519" s="18"/>
      <c r="R2519" s="18"/>
      <c r="S2519" s="18"/>
      <c r="T2519" s="18"/>
      <c r="U2519" s="42"/>
      <c r="V2519" s="18"/>
      <c r="W2519" s="18"/>
      <c r="X2519" s="18"/>
    </row>
    <row r="2520" spans="1:24" ht="15">
      <c r="A2520" s="4"/>
      <c r="B2520" s="24"/>
      <c r="C2520" s="11"/>
      <c r="D2520" s="18"/>
      <c r="E2520" s="18"/>
      <c r="F2520" s="18"/>
      <c r="G2520" s="18"/>
      <c r="I2520" s="18"/>
      <c r="J2520" s="18"/>
      <c r="K2520" s="18"/>
      <c r="L2520" s="18"/>
      <c r="M2520" s="18"/>
      <c r="N2520" s="18"/>
      <c r="O2520" s="18"/>
      <c r="P2520" s="42"/>
      <c r="Q2520" s="18"/>
      <c r="R2520" s="18"/>
      <c r="S2520" s="18"/>
      <c r="T2520" s="18"/>
      <c r="U2520" s="42"/>
      <c r="V2520" s="18"/>
      <c r="W2520" s="18"/>
      <c r="X2520" s="18"/>
    </row>
    <row r="2521" spans="1:25" ht="15">
      <c r="A2521" s="4"/>
      <c r="B2521" s="24"/>
      <c r="C2521" s="11"/>
      <c r="D2521" s="10" t="s">
        <v>80</v>
      </c>
      <c r="E2521" s="10"/>
      <c r="F2521" s="10" t="s">
        <v>81</v>
      </c>
      <c r="G2521" s="10" t="s">
        <v>82</v>
      </c>
      <c r="I2521" s="10" t="s">
        <v>83</v>
      </c>
      <c r="J2521" s="10" t="s">
        <v>84</v>
      </c>
      <c r="K2521" s="10" t="s">
        <v>85</v>
      </c>
      <c r="L2521" s="10" t="s">
        <v>86</v>
      </c>
      <c r="M2521" s="43" t="s">
        <v>87</v>
      </c>
      <c r="N2521" s="43" t="s">
        <v>88</v>
      </c>
      <c r="O2521" s="44" t="s">
        <v>89</v>
      </c>
      <c r="P2521" s="42"/>
      <c r="Q2521" s="43" t="s">
        <v>90</v>
      </c>
      <c r="R2521" s="43" t="s">
        <v>91</v>
      </c>
      <c r="S2521" s="43"/>
      <c r="T2521" s="43" t="s">
        <v>92</v>
      </c>
      <c r="U2521" s="42"/>
      <c r="V2521" s="43" t="s">
        <v>93</v>
      </c>
      <c r="W2521" s="43" t="s">
        <v>94</v>
      </c>
      <c r="X2521" s="43" t="s">
        <v>95</v>
      </c>
      <c r="Y2521" s="18"/>
    </row>
    <row r="2522" spans="1:25" ht="15">
      <c r="A2522" s="4"/>
      <c r="B2522"/>
      <c r="C2522" s="11"/>
      <c r="D2522" s="10" t="s">
        <v>20</v>
      </c>
      <c r="E2522" s="38"/>
      <c r="F2522" s="10" t="s">
        <v>20</v>
      </c>
      <c r="G2522" s="10" t="s">
        <v>20</v>
      </c>
      <c r="I2522" s="10" t="s">
        <v>20</v>
      </c>
      <c r="J2522" s="10" t="s">
        <v>20</v>
      </c>
      <c r="K2522" s="10" t="s">
        <v>20</v>
      </c>
      <c r="L2522" s="10" t="s">
        <v>20</v>
      </c>
      <c r="M2522" s="10" t="s">
        <v>20</v>
      </c>
      <c r="N2522" s="10" t="s">
        <v>20</v>
      </c>
      <c r="O2522" s="10" t="s">
        <v>20</v>
      </c>
      <c r="P2522" s="18"/>
      <c r="Q2522" s="10" t="s">
        <v>20</v>
      </c>
      <c r="R2522" s="10" t="s">
        <v>20</v>
      </c>
      <c r="S2522" s="14"/>
      <c r="T2522" s="10" t="s">
        <v>20</v>
      </c>
      <c r="U2522" s="18"/>
      <c r="W2522" s="39" t="s">
        <v>96</v>
      </c>
      <c r="Y2522" s="18"/>
    </row>
    <row r="2523" spans="1:25" ht="15">
      <c r="A2523" s="4"/>
      <c r="B2523" s="87" t="s">
        <v>174</v>
      </c>
      <c r="C2523" s="11"/>
      <c r="D2523" s="8" t="s">
        <v>156</v>
      </c>
      <c r="E2523" s="6"/>
      <c r="F2523" s="8" t="s">
        <v>157</v>
      </c>
      <c r="G2523" s="45" t="s">
        <v>99</v>
      </c>
      <c r="H2523" s="19"/>
      <c r="I2523" s="45" t="s">
        <v>100</v>
      </c>
      <c r="J2523" s="45" t="s">
        <v>101</v>
      </c>
      <c r="K2523" s="82" t="s">
        <v>102</v>
      </c>
      <c r="L2523" s="45" t="s">
        <v>103</v>
      </c>
      <c r="M2523" s="45" t="s">
        <v>104</v>
      </c>
      <c r="N2523" s="45" t="s">
        <v>105</v>
      </c>
      <c r="O2523" s="45" t="s">
        <v>106</v>
      </c>
      <c r="P2523" s="6"/>
      <c r="Q2523" s="45" t="s">
        <v>107</v>
      </c>
      <c r="R2523" s="45" t="s">
        <v>108</v>
      </c>
      <c r="S2523" s="45"/>
      <c r="T2523" s="45" t="s">
        <v>109</v>
      </c>
      <c r="U2523" s="18"/>
      <c r="V2523" s="10" t="s">
        <v>20</v>
      </c>
      <c r="W2523" s="10" t="s">
        <v>21</v>
      </c>
      <c r="X2523" s="10" t="s">
        <v>22</v>
      </c>
      <c r="Y2523" s="18"/>
    </row>
    <row r="2524" spans="1:9" ht="15">
      <c r="A2524" s="4"/>
      <c r="B2524" s="24"/>
      <c r="C2524" s="11"/>
      <c r="E2524" s="14"/>
      <c r="F2524"/>
      <c r="H2524" s="18"/>
      <c r="I2524" s="16"/>
    </row>
    <row r="2525" spans="1:24" ht="15">
      <c r="A2525" s="4">
        <f>+A2518+1</f>
        <v>1</v>
      </c>
      <c r="B2525" s="5" t="s">
        <v>36</v>
      </c>
      <c r="C2525" s="17" t="s">
        <v>37</v>
      </c>
      <c r="D2525" s="18">
        <v>1083.43</v>
      </c>
      <c r="E2525" s="18"/>
      <c r="F2525" s="18">
        <v>50823.9</v>
      </c>
      <c r="G2525" s="18">
        <v>-5893.49</v>
      </c>
      <c r="I2525" s="18">
        <v>0</v>
      </c>
      <c r="J2525" s="18">
        <v>0</v>
      </c>
      <c r="K2525" s="46">
        <f>19320.34+0.28</f>
        <v>19320.62</v>
      </c>
      <c r="L2525" s="27">
        <v>-7387.57</v>
      </c>
      <c r="M2525" s="18">
        <f>-28353-6477.6-2396.4-5687.1</f>
        <v>-42914.1</v>
      </c>
      <c r="N2525" s="18">
        <v>0</v>
      </c>
      <c r="O2525" s="18">
        <v>-54382.53</v>
      </c>
      <c r="Q2525" s="18">
        <v>0</v>
      </c>
      <c r="R2525" s="18">
        <v>-11706.18</v>
      </c>
      <c r="S2525" s="18"/>
      <c r="T2525" s="18">
        <v>-59234.06</v>
      </c>
      <c r="V2525" s="18">
        <f>+V2507+D2525+F2525+G2525+I2525+J2525+K2525+L2525+M2525+N2525+O2525+Q2525+R2525+T2525</f>
        <v>25847037.939999994</v>
      </c>
      <c r="W2525" s="18">
        <f>+W2507</f>
        <v>18269589.23</v>
      </c>
      <c r="X2525" s="18">
        <f>+V2525-W2525</f>
        <v>7577448.709999993</v>
      </c>
    </row>
    <row r="2526" spans="1:24" ht="15">
      <c r="A2526" s="4">
        <f>+A2525+1</f>
        <v>2</v>
      </c>
      <c r="B2526" s="5" t="s">
        <v>36</v>
      </c>
      <c r="C2526" s="22" t="s">
        <v>38</v>
      </c>
      <c r="D2526" s="18">
        <v>35.11</v>
      </c>
      <c r="E2526" s="18"/>
      <c r="F2526" s="18">
        <v>50544.9</v>
      </c>
      <c r="G2526" s="18">
        <v>-5835</v>
      </c>
      <c r="I2526" s="18">
        <v>0</v>
      </c>
      <c r="J2526" s="18">
        <v>0</v>
      </c>
      <c r="K2526" s="46">
        <f>13871.25</f>
        <v>13871.25</v>
      </c>
      <c r="L2526" s="27">
        <v>-7387.57</v>
      </c>
      <c r="M2526" s="18">
        <f>-25517.7-5829.84-661.23-5307.96</f>
        <v>-37316.73</v>
      </c>
      <c r="N2526" s="18">
        <v>0</v>
      </c>
      <c r="O2526" s="18">
        <v>-44011.47</v>
      </c>
      <c r="Q2526" s="18">
        <v>0</v>
      </c>
      <c r="R2526" s="18">
        <v>-10495.62</v>
      </c>
      <c r="S2526" s="18"/>
      <c r="T2526" s="18">
        <v>-50128.98</v>
      </c>
      <c r="V2526" s="18">
        <f>+V2508+D2526+F2526+G2526+I2526+J2526+K2526+L2526+M2526+N2526+O2526+Q2526+R2526+T2526</f>
        <v>25907598.38</v>
      </c>
      <c r="W2526" s="18">
        <f>+W2508</f>
        <v>18066719.66</v>
      </c>
      <c r="X2526" s="18">
        <f>+V2526-W2526</f>
        <v>7840878.719999999</v>
      </c>
    </row>
    <row r="2527" spans="1:24" ht="15">
      <c r="A2527" s="4">
        <f>+A2526+1</f>
        <v>3</v>
      </c>
      <c r="B2527" s="24" t="s">
        <v>46</v>
      </c>
      <c r="C2527" s="40" t="s">
        <v>78</v>
      </c>
      <c r="D2527" s="18">
        <f>+D2525-D2526</f>
        <v>1048.3200000000002</v>
      </c>
      <c r="E2527" s="18"/>
      <c r="F2527" s="18">
        <f>+F2525-F2526</f>
        <v>279</v>
      </c>
      <c r="G2527" s="18">
        <f>+G2525-G2526</f>
        <v>-58.48999999999978</v>
      </c>
      <c r="I2527" s="18">
        <f>+I2525-I2526</f>
        <v>0</v>
      </c>
      <c r="J2527" s="18">
        <f>+J2525-J2526</f>
        <v>0</v>
      </c>
      <c r="K2527" s="18">
        <f>+K2525-K2526</f>
        <v>5449.369999999999</v>
      </c>
      <c r="L2527" s="18">
        <f>+L2525-L2526</f>
        <v>0</v>
      </c>
      <c r="M2527" s="18">
        <f>+M2525-M2526</f>
        <v>-5597.369999999995</v>
      </c>
      <c r="N2527" s="18">
        <f>+N2525-N2526</f>
        <v>0</v>
      </c>
      <c r="O2527" s="18">
        <f>+O2525-O2526</f>
        <v>-10371.059999999998</v>
      </c>
      <c r="Q2527" s="18">
        <f>+Q2525-Q2526</f>
        <v>0</v>
      </c>
      <c r="R2527" s="18">
        <f>+R2525-R2526</f>
        <v>-1210.5599999999995</v>
      </c>
      <c r="S2527" s="18"/>
      <c r="T2527" s="18">
        <f>+T2525-T2526</f>
        <v>-9105.079999999994</v>
      </c>
      <c r="V2527" s="27">
        <f>+V2525-V2526</f>
        <v>-60560.44000000507</v>
      </c>
      <c r="W2527" s="27">
        <f>+W2525-W2526</f>
        <v>202869.5700000003</v>
      </c>
      <c r="X2527" s="18">
        <f>+X2525-X2526</f>
        <v>-263430.01000000536</v>
      </c>
    </row>
    <row r="2528" spans="1:24" ht="28.5">
      <c r="A2528" s="4">
        <f>+A2527+1</f>
        <v>4</v>
      </c>
      <c r="B2528" s="88" t="s">
        <v>182</v>
      </c>
      <c r="C2528" s="11"/>
      <c r="D2528" s="18">
        <v>0</v>
      </c>
      <c r="E2528" s="18"/>
      <c r="F2528" s="18">
        <v>0</v>
      </c>
      <c r="G2528" s="18">
        <v>0</v>
      </c>
      <c r="I2528" s="18">
        <v>0</v>
      </c>
      <c r="J2528" s="27">
        <v>0</v>
      </c>
      <c r="K2528" s="18">
        <v>0</v>
      </c>
      <c r="L2528" s="18">
        <v>0</v>
      </c>
      <c r="M2528" s="18">
        <v>0</v>
      </c>
      <c r="N2528" s="18">
        <v>0</v>
      </c>
      <c r="O2528" s="18">
        <v>0</v>
      </c>
      <c r="Q2528" s="18">
        <v>0</v>
      </c>
      <c r="R2528" s="18">
        <v>0</v>
      </c>
      <c r="S2528" s="18"/>
      <c r="T2528" s="18">
        <v>0</v>
      </c>
      <c r="V2528" s="18">
        <f>+V2510+D2528+F2528+G2528+I2528+J2528+K2528+L2528+M2528+N2528+O2528+Q2528+R2528+T2528</f>
        <v>0</v>
      </c>
      <c r="W2528" s="18">
        <f>+W2510</f>
        <v>0</v>
      </c>
      <c r="X2528" s="18">
        <f>+V2528-W2528</f>
        <v>0</v>
      </c>
    </row>
    <row r="2529" spans="1:24" ht="24.75">
      <c r="A2529" s="4">
        <f>+A2528+1</f>
        <v>5</v>
      </c>
      <c r="B2529" s="89" t="s">
        <v>39</v>
      </c>
      <c r="C2529" s="40"/>
      <c r="D2529" s="27">
        <v>0</v>
      </c>
      <c r="E2529" s="18"/>
      <c r="F2529" s="27">
        <v>0</v>
      </c>
      <c r="G2529" s="27">
        <v>-524.66</v>
      </c>
      <c r="I2529" s="27">
        <v>0</v>
      </c>
      <c r="J2529" s="27">
        <v>0</v>
      </c>
      <c r="K2529" s="55">
        <v>74.22</v>
      </c>
      <c r="L2529" s="27">
        <v>650.45</v>
      </c>
      <c r="M2529" s="27">
        <v>0</v>
      </c>
      <c r="N2529" s="27">
        <v>0</v>
      </c>
      <c r="O2529" s="27">
        <v>0</v>
      </c>
      <c r="Q2529" s="27">
        <v>0</v>
      </c>
      <c r="R2529" s="27">
        <v>0</v>
      </c>
      <c r="S2529" s="27"/>
      <c r="T2529" s="27">
        <v>0.06</v>
      </c>
      <c r="V2529" s="18">
        <f>+V2511+D2529+F2529+G2529+I2529+J2529+K2529+L2529+M2529+N2529+O2529+Q2529+R2529+T2529</f>
        <v>-6890.249999999999</v>
      </c>
      <c r="W2529" s="18">
        <f>+W2511</f>
        <v>0</v>
      </c>
      <c r="X2529" s="18">
        <f>+V2529-W2529</f>
        <v>-6890.249999999999</v>
      </c>
    </row>
    <row r="2530" spans="1:24" ht="15">
      <c r="A2530" s="6" t="s">
        <v>41</v>
      </c>
      <c r="B2530" s="41"/>
      <c r="C2530" s="40"/>
      <c r="D2530" s="18"/>
      <c r="E2530" s="18"/>
      <c r="F2530" s="18"/>
      <c r="G2530" s="18"/>
      <c r="I2530" s="18"/>
      <c r="J2530" s="18"/>
      <c r="K2530" s="27"/>
      <c r="L2530" s="18"/>
      <c r="M2530" s="18"/>
      <c r="N2530" s="18"/>
      <c r="O2530" s="18"/>
      <c r="Q2530" s="18"/>
      <c r="R2530" s="18"/>
      <c r="S2530" s="18"/>
      <c r="T2530" s="18"/>
      <c r="V2530" s="18"/>
      <c r="W2530" s="18"/>
      <c r="X2530" s="18"/>
    </row>
    <row r="2531" spans="1:24" ht="15">
      <c r="A2531" s="4">
        <f>+A2529+1</f>
        <v>6</v>
      </c>
      <c r="B2531" s="5" t="s">
        <v>42</v>
      </c>
      <c r="C2531" s="22" t="s">
        <v>38</v>
      </c>
      <c r="D2531" s="18">
        <v>281.11</v>
      </c>
      <c r="E2531" s="18"/>
      <c r="F2531" s="18">
        <v>50330.67</v>
      </c>
      <c r="G2531" s="18">
        <v>-2647.26</v>
      </c>
      <c r="I2531" s="18">
        <v>0</v>
      </c>
      <c r="J2531" s="18">
        <v>0</v>
      </c>
      <c r="K2531" s="46">
        <v>1706.18</v>
      </c>
      <c r="L2531" s="27">
        <v>-7387.57</v>
      </c>
      <c r="M2531" s="18">
        <f>-36750.81-7593.76</f>
        <v>-44344.57</v>
      </c>
      <c r="N2531" s="18">
        <v>0</v>
      </c>
      <c r="O2531" s="18">
        <v>-44301.76</v>
      </c>
      <c r="P2531" s="18"/>
      <c r="Q2531" s="18">
        <v>0</v>
      </c>
      <c r="R2531" s="18">
        <v>-10632.16</v>
      </c>
      <c r="S2531" s="18"/>
      <c r="T2531" s="18">
        <v>-49937</v>
      </c>
      <c r="U2531" s="18"/>
      <c r="V2531" s="18">
        <f>+V2513+D2531+F2531+G2531+I2531+J2531+K2531+L2531+M2531+N2531+O2531+Q2531+R2531+T2531</f>
        <v>21749557.3</v>
      </c>
      <c r="W2531" s="18">
        <f>+W2513</f>
        <v>15852291.32</v>
      </c>
      <c r="X2531" s="18">
        <f>+V2531-W2531</f>
        <v>5897265.98</v>
      </c>
    </row>
    <row r="2532" spans="1:24" ht="15">
      <c r="A2532" s="4">
        <f>+A2531+1</f>
        <v>7</v>
      </c>
      <c r="B2532" s="5" t="s">
        <v>43</v>
      </c>
      <c r="C2532" s="11"/>
      <c r="D2532" s="18">
        <v>0</v>
      </c>
      <c r="E2532" s="18"/>
      <c r="F2532" s="18">
        <v>0</v>
      </c>
      <c r="G2532" s="18">
        <v>0</v>
      </c>
      <c r="I2532" s="18">
        <v>0</v>
      </c>
      <c r="J2532" s="18">
        <v>0</v>
      </c>
      <c r="K2532" s="18">
        <v>0</v>
      </c>
      <c r="L2532" s="18">
        <v>0</v>
      </c>
      <c r="M2532" s="18">
        <v>0</v>
      </c>
      <c r="N2532" s="18">
        <v>0</v>
      </c>
      <c r="O2532" s="18">
        <v>0</v>
      </c>
      <c r="P2532" s="18"/>
      <c r="Q2532" s="18">
        <v>0</v>
      </c>
      <c r="R2532" s="18">
        <v>0</v>
      </c>
      <c r="S2532" s="18"/>
      <c r="T2532" s="18">
        <v>0</v>
      </c>
      <c r="U2532" s="18"/>
      <c r="V2532" s="18">
        <f>+V2514+D2532+F2532+G2532+I2532+J2532+K2532+L2532+M2532+N2532+O2532+Q2532+R2532+T2532</f>
        <v>0</v>
      </c>
      <c r="W2532" s="18">
        <f>+W2514</f>
        <v>0</v>
      </c>
      <c r="X2532" s="18">
        <f>+V2532-W2532</f>
        <v>0</v>
      </c>
    </row>
    <row r="2533" spans="1:24" ht="26.25">
      <c r="A2533" s="4">
        <f>+A2532+1</f>
        <v>8</v>
      </c>
      <c r="B2533" s="24" t="s">
        <v>79</v>
      </c>
      <c r="C2533" s="11"/>
      <c r="D2533" s="18">
        <f>+D2531-D2532</f>
        <v>281.11</v>
      </c>
      <c r="E2533" s="18"/>
      <c r="F2533" s="18">
        <f>+F2531-F2532</f>
        <v>50330.67</v>
      </c>
      <c r="G2533" s="18">
        <f>+G2531-G2532</f>
        <v>-2647.26</v>
      </c>
      <c r="I2533" s="18">
        <f aca="true" t="shared" si="295" ref="I2533:O2533">+I2531-I2532</f>
        <v>0</v>
      </c>
      <c r="J2533" s="18">
        <f t="shared" si="295"/>
        <v>0</v>
      </c>
      <c r="K2533" s="18">
        <f t="shared" si="295"/>
        <v>1706.18</v>
      </c>
      <c r="L2533" s="18">
        <f t="shared" si="295"/>
        <v>-7387.57</v>
      </c>
      <c r="M2533" s="18">
        <f t="shared" si="295"/>
        <v>-44344.57</v>
      </c>
      <c r="N2533" s="18">
        <f t="shared" si="295"/>
        <v>0</v>
      </c>
      <c r="O2533" s="18">
        <f t="shared" si="295"/>
        <v>-44301.76</v>
      </c>
      <c r="P2533" s="18"/>
      <c r="Q2533" s="18">
        <f>+Q2531-Q2532</f>
        <v>0</v>
      </c>
      <c r="R2533" s="18">
        <f>+R2531-R2532</f>
        <v>-10632.16</v>
      </c>
      <c r="S2533" s="18"/>
      <c r="T2533" s="18">
        <f>+T2531-T2532</f>
        <v>-49937</v>
      </c>
      <c r="U2533" s="18"/>
      <c r="V2533" s="27">
        <f>+V2531-V2532</f>
        <v>21749557.3</v>
      </c>
      <c r="W2533" s="27">
        <f>+W2531-W2532</f>
        <v>15852291.32</v>
      </c>
      <c r="X2533" s="18">
        <f>+X2531-X2532</f>
        <v>5897265.98</v>
      </c>
    </row>
    <row r="2534" spans="1:24" ht="28.5">
      <c r="A2534" s="4">
        <f>+A2533+1</f>
        <v>9</v>
      </c>
      <c r="B2534" s="88" t="s">
        <v>181</v>
      </c>
      <c r="C2534" s="11"/>
      <c r="D2534" s="18">
        <v>0</v>
      </c>
      <c r="E2534" s="18"/>
      <c r="F2534" s="18">
        <v>0</v>
      </c>
      <c r="G2534" s="18">
        <v>0</v>
      </c>
      <c r="I2534" s="18">
        <v>0</v>
      </c>
      <c r="J2534" s="18">
        <v>0</v>
      </c>
      <c r="K2534" s="18">
        <v>0</v>
      </c>
      <c r="L2534" s="18">
        <v>0</v>
      </c>
      <c r="M2534" s="18">
        <v>0</v>
      </c>
      <c r="N2534" s="18">
        <v>0</v>
      </c>
      <c r="O2534" s="18">
        <v>0</v>
      </c>
      <c r="P2534" s="18"/>
      <c r="Q2534" s="18">
        <v>0</v>
      </c>
      <c r="R2534" s="18">
        <v>0</v>
      </c>
      <c r="S2534" s="18"/>
      <c r="T2534" s="18">
        <v>0</v>
      </c>
      <c r="U2534" s="18"/>
      <c r="V2534" s="18">
        <f>+V2516+D2534+F2534+G2534+I2534+J2534+K2534+L2534+M2534+N2534+O2534+Q2534+R2534+T2534</f>
        <v>0</v>
      </c>
      <c r="W2534" s="18">
        <f>+W2516</f>
        <v>0</v>
      </c>
      <c r="X2534" s="18">
        <f>+V2534-W2534</f>
        <v>0</v>
      </c>
    </row>
    <row r="2535" spans="1:24" ht="15">
      <c r="A2535" s="4">
        <f>+A2534+1</f>
        <v>10</v>
      </c>
      <c r="B2535" s="24" t="s">
        <v>46</v>
      </c>
      <c r="C2535" s="11" t="s">
        <v>47</v>
      </c>
      <c r="D2535" s="18">
        <f>+D2527+D2528+D2533+D2534+D2529</f>
        <v>1329.4300000000003</v>
      </c>
      <c r="E2535" s="18"/>
      <c r="F2535" s="18">
        <f>+F2527+F2528+F2533+F2534+F2529</f>
        <v>50609.67</v>
      </c>
      <c r="G2535" s="18">
        <f>+G2527+G2528+G2533+G2534+G2529</f>
        <v>-3230.41</v>
      </c>
      <c r="I2535" s="18">
        <f aca="true" t="shared" si="296" ref="I2535:O2535">+I2527+I2528+I2533+I2534+I2529</f>
        <v>0</v>
      </c>
      <c r="J2535" s="18">
        <f t="shared" si="296"/>
        <v>0</v>
      </c>
      <c r="K2535" s="18">
        <f t="shared" si="296"/>
        <v>7229.7699999999995</v>
      </c>
      <c r="L2535" s="18">
        <f t="shared" si="296"/>
        <v>-6737.12</v>
      </c>
      <c r="M2535" s="18">
        <f t="shared" si="296"/>
        <v>-49941.939999999995</v>
      </c>
      <c r="N2535" s="18">
        <f t="shared" si="296"/>
        <v>0</v>
      </c>
      <c r="O2535" s="18">
        <f t="shared" si="296"/>
        <v>-54672.82</v>
      </c>
      <c r="P2535" s="42"/>
      <c r="Q2535" s="18">
        <f>+Q2527+Q2528+Q2533+Q2534+Q2529</f>
        <v>0</v>
      </c>
      <c r="R2535" s="18">
        <f>+R2527+R2528+R2533+R2534+R2529</f>
        <v>-11842.72</v>
      </c>
      <c r="S2535" s="18"/>
      <c r="T2535" s="18">
        <f>+T2527+T2528+T2533+T2534+T2529</f>
        <v>-59042.02</v>
      </c>
      <c r="U2535" s="42"/>
      <c r="V2535" s="18">
        <f>+V2527+V2528+V2533+V2534+V2529</f>
        <v>21682106.609999996</v>
      </c>
      <c r="W2535" s="18">
        <f>+W2527+W2528+W2533+W2534+W2529</f>
        <v>16055160.89</v>
      </c>
      <c r="X2535" s="18">
        <f>+X2527+X2528+X2533+X2534+X2529</f>
        <v>5626945.719999995</v>
      </c>
    </row>
    <row r="2536" spans="1:24" ht="15">
      <c r="A2536" s="4"/>
      <c r="B2536" s="24"/>
      <c r="C2536" s="11"/>
      <c r="D2536" s="18"/>
      <c r="E2536" s="18"/>
      <c r="F2536" s="18"/>
      <c r="G2536" s="18"/>
      <c r="I2536" s="18"/>
      <c r="J2536" s="18"/>
      <c r="K2536" s="27" t="s">
        <v>0</v>
      </c>
      <c r="L2536" s="18"/>
      <c r="M2536" s="18"/>
      <c r="N2536" s="18"/>
      <c r="O2536" s="18"/>
      <c r="P2536" s="42"/>
      <c r="Q2536" s="18"/>
      <c r="R2536" s="18"/>
      <c r="S2536" s="18"/>
      <c r="T2536" s="18"/>
      <c r="U2536" s="42"/>
      <c r="V2536" s="18"/>
      <c r="W2536" s="18"/>
      <c r="X2536" s="18"/>
    </row>
    <row r="2537" spans="1:24" ht="15">
      <c r="A2537" s="4"/>
      <c r="B2537" s="24"/>
      <c r="C2537" s="11"/>
      <c r="D2537" s="18"/>
      <c r="E2537" s="18"/>
      <c r="F2537" s="18"/>
      <c r="G2537" s="18"/>
      <c r="I2537" s="18"/>
      <c r="J2537" s="18"/>
      <c r="K2537" s="27"/>
      <c r="L2537" s="18"/>
      <c r="M2537" s="18"/>
      <c r="N2537" s="18"/>
      <c r="O2537" s="18"/>
      <c r="P2537" s="42"/>
      <c r="Q2537" s="18"/>
      <c r="R2537" s="18"/>
      <c r="S2537" s="18"/>
      <c r="T2537" s="18"/>
      <c r="U2537" s="42"/>
      <c r="V2537" s="18"/>
      <c r="W2537" s="18"/>
      <c r="X2537" s="18"/>
    </row>
    <row r="2538" spans="1:24" ht="15">
      <c r="A2538" s="4"/>
      <c r="B2538" s="24"/>
      <c r="C2538" s="11"/>
      <c r="D2538" s="18"/>
      <c r="E2538" s="18"/>
      <c r="F2538" s="18"/>
      <c r="G2538" s="18"/>
      <c r="I2538" s="18"/>
      <c r="J2538" s="18"/>
      <c r="K2538" s="18"/>
      <c r="L2538" s="18"/>
      <c r="M2538" s="18"/>
      <c r="N2538" s="18"/>
      <c r="O2538" s="18"/>
      <c r="P2538" s="42"/>
      <c r="Q2538" s="18"/>
      <c r="R2538" s="18"/>
      <c r="S2538" s="18"/>
      <c r="T2538" s="18"/>
      <c r="U2538" s="42"/>
      <c r="V2538" s="18"/>
      <c r="W2538" s="18"/>
      <c r="X2538" s="18"/>
    </row>
    <row r="2539" spans="1:24" ht="15">
      <c r="A2539" s="4"/>
      <c r="B2539" s="24"/>
      <c r="C2539" s="11"/>
      <c r="D2539" s="10" t="s">
        <v>4</v>
      </c>
      <c r="E2539" s="10"/>
      <c r="F2539" s="10" t="s">
        <v>5</v>
      </c>
      <c r="G2539" s="10" t="s">
        <v>6</v>
      </c>
      <c r="H2539" s="10"/>
      <c r="I2539" s="10" t="s">
        <v>7</v>
      </c>
      <c r="J2539" s="10" t="s">
        <v>8</v>
      </c>
      <c r="K2539" s="10" t="s">
        <v>9</v>
      </c>
      <c r="L2539" s="10" t="s">
        <v>10</v>
      </c>
      <c r="M2539" s="10" t="s">
        <v>11</v>
      </c>
      <c r="N2539" s="10" t="s">
        <v>12</v>
      </c>
      <c r="O2539" s="10" t="s">
        <v>13</v>
      </c>
      <c r="P2539" s="10"/>
      <c r="Q2539" s="10" t="s">
        <v>14</v>
      </c>
      <c r="R2539" s="10" t="s">
        <v>15</v>
      </c>
      <c r="S2539" s="10"/>
      <c r="T2539" s="10" t="s">
        <v>16</v>
      </c>
      <c r="U2539" s="10"/>
      <c r="V2539" s="10" t="s">
        <v>17</v>
      </c>
      <c r="W2539" s="10" t="s">
        <v>18</v>
      </c>
      <c r="X2539" s="10" t="s">
        <v>19</v>
      </c>
    </row>
    <row r="2540" spans="1:23" ht="15">
      <c r="A2540" s="4"/>
      <c r="B2540" s="24"/>
      <c r="C2540" s="11"/>
      <c r="D2540" s="10" t="s">
        <v>20</v>
      </c>
      <c r="E2540" s="10"/>
      <c r="F2540" s="14" t="s">
        <v>21</v>
      </c>
      <c r="G2540" s="10"/>
      <c r="I2540" s="39" t="s">
        <v>110</v>
      </c>
      <c r="J2540" s="47" t="s">
        <v>111</v>
      </c>
      <c r="K2540" s="39"/>
      <c r="L2540" s="10" t="s">
        <v>20</v>
      </c>
      <c r="M2540" s="10" t="s">
        <v>20</v>
      </c>
      <c r="N2540" s="10" t="s">
        <v>20</v>
      </c>
      <c r="O2540" s="10" t="s">
        <v>20</v>
      </c>
      <c r="P2540" s="42"/>
      <c r="Q2540" s="10" t="s">
        <v>20</v>
      </c>
      <c r="R2540" s="10" t="s">
        <v>20</v>
      </c>
      <c r="S2540" s="48"/>
      <c r="T2540" s="10" t="s">
        <v>20</v>
      </c>
      <c r="U2540" s="42"/>
      <c r="W2540" s="39" t="s">
        <v>112</v>
      </c>
    </row>
    <row r="2541" spans="1:24" ht="15">
      <c r="A2541" s="4"/>
      <c r="B2541" s="87" t="s">
        <v>183</v>
      </c>
      <c r="C2541" s="11"/>
      <c r="D2541" s="8" t="s">
        <v>113</v>
      </c>
      <c r="E2541" s="6"/>
      <c r="F2541" s="6" t="s">
        <v>114</v>
      </c>
      <c r="G2541" s="49" t="s">
        <v>22</v>
      </c>
      <c r="I2541" s="8" t="s">
        <v>113</v>
      </c>
      <c r="J2541" s="6" t="s">
        <v>114</v>
      </c>
      <c r="K2541" s="49" t="s">
        <v>24</v>
      </c>
      <c r="L2541" s="13" t="s">
        <v>115</v>
      </c>
      <c r="M2541" s="13" t="s">
        <v>116</v>
      </c>
      <c r="N2541" s="13" t="s">
        <v>117</v>
      </c>
      <c r="O2541" s="13" t="s">
        <v>118</v>
      </c>
      <c r="P2541" s="42"/>
      <c r="Q2541" s="13" t="s">
        <v>119</v>
      </c>
      <c r="R2541" s="13" t="s">
        <v>120</v>
      </c>
      <c r="T2541" s="13" t="s">
        <v>121</v>
      </c>
      <c r="U2541" s="42"/>
      <c r="V2541" s="10" t="s">
        <v>20</v>
      </c>
      <c r="W2541" s="10" t="s">
        <v>21</v>
      </c>
      <c r="X2541" s="10" t="s">
        <v>22</v>
      </c>
    </row>
    <row r="2542" spans="1:24" ht="15">
      <c r="A2542" s="4"/>
      <c r="B2542" s="24"/>
      <c r="C2542" s="11"/>
      <c r="D2542" s="18"/>
      <c r="E2542" s="18"/>
      <c r="F2542" s="18"/>
      <c r="G2542" s="18"/>
      <c r="I2542" s="72" t="s">
        <v>0</v>
      </c>
      <c r="K2542" s="42"/>
      <c r="L2542" s="42"/>
      <c r="N2542" s="42"/>
      <c r="O2542" s="18"/>
      <c r="P2542" s="42"/>
      <c r="U2542" s="42"/>
      <c r="V2542" s="18"/>
      <c r="W2542" s="39" t="s">
        <v>122</v>
      </c>
      <c r="X2542" s="18"/>
    </row>
    <row r="2543" spans="1:24" ht="15">
      <c r="A2543" s="4">
        <f>+A2515+1</f>
        <v>19</v>
      </c>
      <c r="B2543" s="5" t="s">
        <v>36</v>
      </c>
      <c r="C2543" s="17" t="s">
        <v>37</v>
      </c>
      <c r="D2543" s="27">
        <v>1154798</v>
      </c>
      <c r="E2543" s="18" t="s">
        <v>0</v>
      </c>
      <c r="F2543" s="27">
        <v>906262</v>
      </c>
      <c r="G2543" s="18">
        <f>D2543-F2543</f>
        <v>248536</v>
      </c>
      <c r="I2543" s="27">
        <v>-1053.51</v>
      </c>
      <c r="J2543" s="27">
        <v>1065.6</v>
      </c>
      <c r="K2543" s="36">
        <f>+I2543-J2543</f>
        <v>-2119.1099999999997</v>
      </c>
      <c r="L2543" s="18">
        <v>0</v>
      </c>
      <c r="M2543" s="27">
        <v>-70060.38</v>
      </c>
      <c r="N2543" s="27">
        <f>5334.9+101639.1</f>
        <v>106974</v>
      </c>
      <c r="O2543" s="18">
        <v>0</v>
      </c>
      <c r="P2543" s="42"/>
      <c r="Q2543" s="31">
        <v>0</v>
      </c>
      <c r="R2543" s="18">
        <v>0</v>
      </c>
      <c r="S2543" s="18"/>
      <c r="T2543" s="18">
        <v>0</v>
      </c>
      <c r="U2543" s="42"/>
      <c r="V2543" s="31">
        <f>+D2543+I2543+L2543+M2543+N2543+O2543+Q2543+R2543+T2543</f>
        <v>1190658.1099999999</v>
      </c>
      <c r="W2543" s="18">
        <f>+F2543+J2543</f>
        <v>907327.6</v>
      </c>
      <c r="X2543" s="18">
        <f>+V2543-W2543</f>
        <v>283330.5099999999</v>
      </c>
    </row>
    <row r="2544" spans="1:24" ht="15">
      <c r="A2544" s="4">
        <f>+A2543+1</f>
        <v>20</v>
      </c>
      <c r="B2544" s="5" t="s">
        <v>36</v>
      </c>
      <c r="C2544" s="22" t="s">
        <v>38</v>
      </c>
      <c r="D2544" s="27">
        <v>1142308</v>
      </c>
      <c r="E2544" s="18" t="s">
        <v>0</v>
      </c>
      <c r="F2544" s="27">
        <v>888863</v>
      </c>
      <c r="G2544" s="18">
        <f>D2544-F2544</f>
        <v>253445</v>
      </c>
      <c r="I2544" s="27">
        <v>201.19</v>
      </c>
      <c r="J2544" s="31">
        <v>-187.11</v>
      </c>
      <c r="K2544" s="36">
        <f>+I2544-J2544</f>
        <v>388.3</v>
      </c>
      <c r="L2544" s="18">
        <v>0</v>
      </c>
      <c r="M2544" s="27">
        <v>-70079</v>
      </c>
      <c r="N2544" s="27">
        <f>5741.2+48305.05</f>
        <v>54046.25</v>
      </c>
      <c r="O2544" s="18">
        <v>0</v>
      </c>
      <c r="P2544" s="42"/>
      <c r="Q2544" s="31">
        <v>0</v>
      </c>
      <c r="R2544" s="18"/>
      <c r="S2544" s="18"/>
      <c r="T2544" s="18">
        <v>0</v>
      </c>
      <c r="U2544" s="42"/>
      <c r="V2544" s="31">
        <f>+D2544+I2544+L2544+M2544+N2544+O2544+Q2544+R2544+T2544</f>
        <v>1126476.44</v>
      </c>
      <c r="W2544" s="18">
        <f>+F2544+J2544</f>
        <v>888675.89</v>
      </c>
      <c r="X2544" s="18">
        <f>+V2544-W2544</f>
        <v>237800.54999999993</v>
      </c>
    </row>
    <row r="2545" spans="1:24" ht="15">
      <c r="A2545" s="4">
        <f>+A2544+1</f>
        <v>21</v>
      </c>
      <c r="B2545" s="24" t="s">
        <v>46</v>
      </c>
      <c r="C2545" s="40" t="s">
        <v>78</v>
      </c>
      <c r="D2545" s="18">
        <f>+D2543-D2544</f>
        <v>12490</v>
      </c>
      <c r="E2545" s="18"/>
      <c r="F2545" s="18">
        <f>+F2543-F2544</f>
        <v>17399</v>
      </c>
      <c r="G2545" s="18">
        <f>+G2543-G2544</f>
        <v>-4909</v>
      </c>
      <c r="I2545" s="18">
        <f>+I2543-I2544</f>
        <v>-1254.7</v>
      </c>
      <c r="J2545" s="18">
        <f>+J2543-J2544</f>
        <v>1252.71</v>
      </c>
      <c r="K2545" s="18">
        <f>K2543-K2544</f>
        <v>-2507.41</v>
      </c>
      <c r="L2545" s="18">
        <f>+L2543-L2544</f>
        <v>0</v>
      </c>
      <c r="M2545" s="18">
        <f>+M2543-M2544</f>
        <v>18.619999999995343</v>
      </c>
      <c r="N2545" s="18">
        <f>+N2543-N2544</f>
        <v>52927.75</v>
      </c>
      <c r="O2545" s="18">
        <f>+O2543-O2544</f>
        <v>0</v>
      </c>
      <c r="P2545" s="42"/>
      <c r="Q2545" s="18">
        <f>+Q2543-Q2544</f>
        <v>0</v>
      </c>
      <c r="R2545" s="18">
        <f>+R2543-R2544</f>
        <v>0</v>
      </c>
      <c r="S2545" s="18"/>
      <c r="T2545" s="18">
        <f>+T2543-T2544</f>
        <v>0</v>
      </c>
      <c r="U2545" s="42"/>
      <c r="V2545" s="31">
        <f>+V2543-V2544</f>
        <v>64181.669999999925</v>
      </c>
      <c r="W2545" s="31">
        <f>+W2543-W2544</f>
        <v>18651.709999999963</v>
      </c>
      <c r="X2545" s="18">
        <f>+X2543-X2544</f>
        <v>45529.95999999996</v>
      </c>
    </row>
    <row r="2546" spans="1:24" ht="28.5">
      <c r="A2546" s="4">
        <f>+A2545+1</f>
        <v>22</v>
      </c>
      <c r="B2546" s="88" t="s">
        <v>182</v>
      </c>
      <c r="C2546" s="11"/>
      <c r="D2546" s="18">
        <v>0</v>
      </c>
      <c r="E2546" s="18"/>
      <c r="F2546" s="18">
        <v>0</v>
      </c>
      <c r="G2546" s="18">
        <f>+D2546-F2546</f>
        <v>0</v>
      </c>
      <c r="I2546" s="18">
        <v>0</v>
      </c>
      <c r="J2546" s="18">
        <v>0</v>
      </c>
      <c r="K2546" s="18">
        <f>+I2546-J2546</f>
        <v>0</v>
      </c>
      <c r="L2546" s="18">
        <v>0</v>
      </c>
      <c r="M2546" s="18">
        <v>0</v>
      </c>
      <c r="N2546" s="18">
        <f>+L2546-M2546</f>
        <v>0</v>
      </c>
      <c r="O2546" s="18">
        <v>0</v>
      </c>
      <c r="P2546" s="42"/>
      <c r="Q2546" s="18">
        <v>0</v>
      </c>
      <c r="R2546" s="18">
        <v>0</v>
      </c>
      <c r="S2546" s="18"/>
      <c r="T2546" s="18">
        <v>0</v>
      </c>
      <c r="U2546" s="42"/>
      <c r="V2546" s="31">
        <f>+D2546+I2546+L2546+M2546+N2546+O2546+Q2546+R2546+T2546</f>
        <v>0</v>
      </c>
      <c r="W2546" s="18">
        <f>+F2546+J2546</f>
        <v>0</v>
      </c>
      <c r="X2546" s="18">
        <f>+V2546-W2546</f>
        <v>0</v>
      </c>
    </row>
    <row r="2547" spans="1:24" ht="24.75">
      <c r="A2547" s="4">
        <f>+A2546+1</f>
        <v>23</v>
      </c>
      <c r="B2547" s="89" t="s">
        <v>39</v>
      </c>
      <c r="C2547" s="40"/>
      <c r="D2547" s="55">
        <v>54047</v>
      </c>
      <c r="E2547" s="18" t="s">
        <v>0</v>
      </c>
      <c r="F2547" s="27">
        <v>16780</v>
      </c>
      <c r="G2547" s="18">
        <f>D2547-F2547</f>
        <v>37267</v>
      </c>
      <c r="I2547" s="27">
        <v>0</v>
      </c>
      <c r="J2547" s="27"/>
      <c r="K2547" s="18">
        <f>+I2547-J2547</f>
        <v>0</v>
      </c>
      <c r="L2547" s="18">
        <v>9307.77</v>
      </c>
      <c r="M2547" s="27">
        <f>-149150.8-81596.53-6507.92+159120.4+220.58-193.57</f>
        <v>-78107.84000000001</v>
      </c>
      <c r="N2547" s="27">
        <f>-52115.04-345.49+431.86</f>
        <v>-52028.67</v>
      </c>
      <c r="O2547" s="27">
        <v>19875.52</v>
      </c>
      <c r="P2547" s="42"/>
      <c r="Q2547" s="55">
        <v>0</v>
      </c>
      <c r="R2547" s="21">
        <v>0</v>
      </c>
      <c r="S2547" s="18"/>
      <c r="T2547" s="18">
        <v>0</v>
      </c>
      <c r="U2547" s="42"/>
      <c r="V2547" s="31">
        <f>+D2547+I2547+M2547+N2547+L2547+O2547+Q2547+R2547+T2547</f>
        <v>-46906.22</v>
      </c>
      <c r="W2547" s="18">
        <f>+F2547+J2547</f>
        <v>16780</v>
      </c>
      <c r="X2547" s="36">
        <f>+V2547-W2547</f>
        <v>-63686.22</v>
      </c>
    </row>
    <row r="2548" spans="1:24" ht="15">
      <c r="A2548" s="6" t="s">
        <v>41</v>
      </c>
      <c r="B2548" s="41"/>
      <c r="C2548" s="40"/>
      <c r="D2548" s="18"/>
      <c r="E2548" s="18"/>
      <c r="F2548" s="18" t="s">
        <v>0</v>
      </c>
      <c r="G2548" s="18"/>
      <c r="I2548" s="18"/>
      <c r="J2548" s="18"/>
      <c r="K2548" s="18"/>
      <c r="L2548" s="18"/>
      <c r="M2548" s="18"/>
      <c r="N2548" s="18"/>
      <c r="O2548" s="18"/>
      <c r="P2548" s="42"/>
      <c r="Q2548" s="18"/>
      <c r="R2548" s="18"/>
      <c r="S2548" s="18"/>
      <c r="T2548" s="18" t="s">
        <v>0</v>
      </c>
      <c r="U2548" s="42"/>
      <c r="V2548" s="30"/>
      <c r="W2548" s="30"/>
      <c r="X2548" s="36"/>
    </row>
    <row r="2549" spans="1:24" ht="15">
      <c r="A2549" s="4">
        <f>+A2547+1</f>
        <v>24</v>
      </c>
      <c r="B2549" s="5" t="s">
        <v>42</v>
      </c>
      <c r="C2549" s="22" t="s">
        <v>38</v>
      </c>
      <c r="D2549" s="27">
        <v>1310603</v>
      </c>
      <c r="E2549" s="18" t="s">
        <v>0</v>
      </c>
      <c r="F2549" s="27">
        <v>929023</v>
      </c>
      <c r="G2549" s="18">
        <f>D2549-F2549</f>
        <v>381580</v>
      </c>
      <c r="I2549" s="18">
        <v>-565.52</v>
      </c>
      <c r="J2549" s="26">
        <v>565.52</v>
      </c>
      <c r="K2549" s="18">
        <f>+I2549-J2549</f>
        <v>-1131.04</v>
      </c>
      <c r="L2549" s="27">
        <v>0</v>
      </c>
      <c r="M2549" s="27">
        <v>-138279.19</v>
      </c>
      <c r="N2549" s="27">
        <f>5502.78+51520.28</f>
        <v>57023.06</v>
      </c>
      <c r="O2549" s="18">
        <v>0</v>
      </c>
      <c r="P2549" s="42"/>
      <c r="Q2549" s="31">
        <v>0</v>
      </c>
      <c r="R2549" s="18">
        <v>0</v>
      </c>
      <c r="S2549" s="18" t="s">
        <v>0</v>
      </c>
      <c r="T2549" s="18">
        <v>0</v>
      </c>
      <c r="U2549" s="42"/>
      <c r="V2549" s="31">
        <f>+D2549+I2549+L2549+M2549+N2549+O2549+Q2549+R2549+T2549</f>
        <v>1228781.35</v>
      </c>
      <c r="W2549" s="18">
        <f>+F2549+J2549</f>
        <v>929588.52</v>
      </c>
      <c r="X2549" s="18">
        <f>+V2549-W2549</f>
        <v>299192.8300000001</v>
      </c>
    </row>
    <row r="2550" spans="1:24" ht="15">
      <c r="A2550" s="4">
        <f>+A2549+1</f>
        <v>25</v>
      </c>
      <c r="B2550" s="5" t="s">
        <v>43</v>
      </c>
      <c r="C2550" s="11"/>
      <c r="D2550" s="18"/>
      <c r="E2550" s="18"/>
      <c r="F2550" s="18">
        <v>0</v>
      </c>
      <c r="G2550" s="18">
        <f>+D2550-F2550</f>
        <v>0</v>
      </c>
      <c r="I2550" s="18">
        <v>0</v>
      </c>
      <c r="J2550" s="18">
        <v>0</v>
      </c>
      <c r="K2550" s="18">
        <f>+I2550-J2550</f>
        <v>0</v>
      </c>
      <c r="L2550" s="18">
        <v>0</v>
      </c>
      <c r="M2550" s="18">
        <v>0</v>
      </c>
      <c r="N2550" s="18">
        <f>+L2550-M2550</f>
        <v>0</v>
      </c>
      <c r="O2550" s="18">
        <v>0</v>
      </c>
      <c r="P2550" s="42"/>
      <c r="Q2550" s="18">
        <v>0</v>
      </c>
      <c r="R2550" s="18">
        <v>0</v>
      </c>
      <c r="S2550" s="18"/>
      <c r="T2550" s="18">
        <v>0</v>
      </c>
      <c r="U2550" s="42"/>
      <c r="V2550" s="31">
        <f>+D2550+I2550+L2550+O2550+Q2550+R2550+T2550</f>
        <v>0</v>
      </c>
      <c r="W2550" s="18">
        <f>+F2550+J2550+M2550</f>
        <v>0</v>
      </c>
      <c r="X2550" s="18">
        <f>+V2550-W2550</f>
        <v>0</v>
      </c>
    </row>
    <row r="2551" spans="1:24" ht="26.25">
      <c r="A2551" s="4">
        <f>+A2550+1</f>
        <v>26</v>
      </c>
      <c r="B2551" s="24" t="s">
        <v>79</v>
      </c>
      <c r="C2551" s="11"/>
      <c r="D2551" s="18">
        <f>+D2549-D2550</f>
        <v>1310603</v>
      </c>
      <c r="E2551" s="18"/>
      <c r="F2551" s="18">
        <f>+F2549-F2550</f>
        <v>929023</v>
      </c>
      <c r="G2551" s="18">
        <f>+G2549-G2550</f>
        <v>381580</v>
      </c>
      <c r="I2551" s="18">
        <f>+I2549-I2550</f>
        <v>-565.52</v>
      </c>
      <c r="J2551" s="18">
        <f>+J2549-J2550</f>
        <v>565.52</v>
      </c>
      <c r="K2551" s="18">
        <f>+K2549-K2550</f>
        <v>-1131.04</v>
      </c>
      <c r="L2551" s="18">
        <f>+L2549-L2550</f>
        <v>0</v>
      </c>
      <c r="M2551" s="18">
        <f>+M2549-M2550</f>
        <v>-138279.19</v>
      </c>
      <c r="N2551" s="18">
        <f>+N2549-N2550</f>
        <v>57023.06</v>
      </c>
      <c r="O2551" s="18">
        <v>0</v>
      </c>
      <c r="P2551" s="42"/>
      <c r="Q2551" s="18">
        <f>+Q2549-Q2550</f>
        <v>0</v>
      </c>
      <c r="R2551" s="18">
        <f>+R2549-R2550</f>
        <v>0</v>
      </c>
      <c r="S2551" s="18"/>
      <c r="T2551" s="18">
        <f>+T2549-T2550</f>
        <v>0</v>
      </c>
      <c r="U2551" s="42"/>
      <c r="V2551" s="27">
        <f>+V2549-V2550</f>
        <v>1228781.35</v>
      </c>
      <c r="W2551" s="27">
        <f>+W2549-W2550</f>
        <v>929588.52</v>
      </c>
      <c r="X2551" s="31">
        <f>+X2549-X2550</f>
        <v>299192.8300000001</v>
      </c>
    </row>
    <row r="2552" spans="1:24" ht="28.5">
      <c r="A2552" s="4">
        <f>+A2551+1</f>
        <v>27</v>
      </c>
      <c r="B2552" s="88" t="s">
        <v>181</v>
      </c>
      <c r="C2552" s="11"/>
      <c r="D2552" s="18">
        <v>0</v>
      </c>
      <c r="E2552" s="18"/>
      <c r="F2552" s="18">
        <v>0</v>
      </c>
      <c r="G2552" s="18">
        <f>+D2552-F2552</f>
        <v>0</v>
      </c>
      <c r="I2552" s="18">
        <v>0</v>
      </c>
      <c r="J2552" s="18">
        <v>0</v>
      </c>
      <c r="K2552" s="18">
        <f>+I2552-J2552</f>
        <v>0</v>
      </c>
      <c r="L2552" s="18">
        <v>0</v>
      </c>
      <c r="M2552" s="18">
        <v>0</v>
      </c>
      <c r="N2552" s="18">
        <f>+L2552-M2552</f>
        <v>0</v>
      </c>
      <c r="O2552" s="18">
        <v>0</v>
      </c>
      <c r="P2552" s="42"/>
      <c r="Q2552" s="18">
        <v>0</v>
      </c>
      <c r="R2552" s="18">
        <v>0</v>
      </c>
      <c r="S2552" s="18"/>
      <c r="T2552" s="18">
        <v>0</v>
      </c>
      <c r="U2552" s="42"/>
      <c r="V2552" s="31">
        <f>+D2552+I2552+L2552+O2552+Q2552+R2552+T2552</f>
        <v>0</v>
      </c>
      <c r="W2552" s="18">
        <f>+F2552+J2552+M2552</f>
        <v>0</v>
      </c>
      <c r="X2552" s="18">
        <f>+V2552-W2552</f>
        <v>0</v>
      </c>
    </row>
    <row r="2553" spans="1:24" ht="15">
      <c r="A2553" s="4">
        <f>+A2552+1</f>
        <v>28</v>
      </c>
      <c r="B2553" s="24" t="s">
        <v>46</v>
      </c>
      <c r="C2553" s="11" t="s">
        <v>47</v>
      </c>
      <c r="D2553" s="51">
        <f>+D2545+D2546+D2551+D2552+D2547</f>
        <v>1377140</v>
      </c>
      <c r="E2553" s="18"/>
      <c r="F2553" s="52">
        <f>+F2545+F2546+F2551+F2552+F2547</f>
        <v>963202</v>
      </c>
      <c r="G2553" s="18">
        <f>+G2545+G2546+G2551+G2552+G2547</f>
        <v>413938</v>
      </c>
      <c r="I2553" s="51">
        <f>+I2545+I2546+I2551+I2552+I2547</f>
        <v>-1820.22</v>
      </c>
      <c r="J2553" s="52">
        <f>+J2545+J2546+J2551+J2552+J2547</f>
        <v>1818.23</v>
      </c>
      <c r="K2553" s="18">
        <f>+K2545+K2546+K2551+K2552+K2547</f>
        <v>-3638.45</v>
      </c>
      <c r="L2553" s="18">
        <f>+L2545+L2546+L2551+L2552+L2547</f>
        <v>9307.77</v>
      </c>
      <c r="M2553" s="18">
        <f>+M2545+M2546+M2551+M2552+M2547</f>
        <v>-216368.41000000003</v>
      </c>
      <c r="N2553" s="18">
        <f>+N2545+N2546+N2551+N2552+N2547</f>
        <v>57922.14</v>
      </c>
      <c r="O2553" s="18">
        <f>+O2545+O2546+O2551+O2552+O2547</f>
        <v>19875.52</v>
      </c>
      <c r="P2553" s="42"/>
      <c r="Q2553" s="18">
        <f>+Q2545+Q2546+Q2551+Q2552+Q2547</f>
        <v>0</v>
      </c>
      <c r="R2553" s="18">
        <f>+R2545+R2546+R2551+R2552+R2547</f>
        <v>0</v>
      </c>
      <c r="S2553" s="18"/>
      <c r="T2553" s="18">
        <f>+T2545+T2546+T2551+T2552+T2547</f>
        <v>0</v>
      </c>
      <c r="U2553" s="42"/>
      <c r="V2553" s="18">
        <f>+V2545+V2546+V2551+V2552+V2547</f>
        <v>1246056.8</v>
      </c>
      <c r="W2553" s="18">
        <f>+W2545+W2546+W2551+W2552+W2547</f>
        <v>965020.23</v>
      </c>
      <c r="X2553" s="18">
        <f>+X2545+X2546+X2551+X2552+X2547</f>
        <v>281036.57000000007</v>
      </c>
    </row>
    <row r="2554" spans="1:24" ht="15">
      <c r="A2554" s="4"/>
      <c r="B2554" s="24" t="s">
        <v>0</v>
      </c>
      <c r="C2554" s="11"/>
      <c r="D2554" s="27">
        <f>D2553+I2553</f>
        <v>1375319.78</v>
      </c>
      <c r="E2554" s="79" t="s">
        <v>0</v>
      </c>
      <c r="F2554" s="27">
        <f>F2553+J2553</f>
        <v>965020.23</v>
      </c>
      <c r="G2554" s="79" t="s">
        <v>0</v>
      </c>
      <c r="I2554" s="18"/>
      <c r="J2554" s="18"/>
      <c r="K2554" s="18"/>
      <c r="L2554" s="18"/>
      <c r="M2554" s="42"/>
      <c r="N2554" s="73" t="s">
        <v>0</v>
      </c>
      <c r="O2554" s="42"/>
      <c r="P2554" s="42"/>
      <c r="Q2554" s="42"/>
      <c r="U2554" s="42"/>
      <c r="V2554" s="18"/>
      <c r="W2554" s="18"/>
      <c r="X2554" s="18"/>
    </row>
    <row r="2555" spans="1:24" ht="15">
      <c r="A2555" s="4"/>
      <c r="B2555" s="92"/>
      <c r="C2555" s="79" t="s">
        <v>0</v>
      </c>
      <c r="D2555" s="6" t="s">
        <v>48</v>
      </c>
      <c r="E2555" s="6"/>
      <c r="F2555" s="10" t="s">
        <v>49</v>
      </c>
      <c r="G2555" s="10" t="s">
        <v>50</v>
      </c>
      <c r="I2555" s="10" t="s">
        <v>51</v>
      </c>
      <c r="J2555" s="10" t="s">
        <v>52</v>
      </c>
      <c r="K2555" s="10" t="s">
        <v>53</v>
      </c>
      <c r="L2555" s="10" t="s">
        <v>54</v>
      </c>
      <c r="M2555" s="10" t="s">
        <v>55</v>
      </c>
      <c r="N2555" s="10" t="s">
        <v>56</v>
      </c>
      <c r="O2555" s="10" t="s">
        <v>57</v>
      </c>
      <c r="P2555" s="18"/>
      <c r="Q2555" s="10" t="s">
        <v>58</v>
      </c>
      <c r="R2555" s="10" t="s">
        <v>59</v>
      </c>
      <c r="S2555" s="10"/>
      <c r="T2555" s="10" t="s">
        <v>60</v>
      </c>
      <c r="U2555" s="18"/>
      <c r="V2555" s="10" t="s">
        <v>61</v>
      </c>
      <c r="W2555" s="10" t="s">
        <v>62</v>
      </c>
      <c r="X2555" s="10" t="s">
        <v>63</v>
      </c>
    </row>
    <row r="2556" spans="1:24" ht="15">
      <c r="A2556" s="4"/>
      <c r="B2556" s="24"/>
      <c r="C2556" s="11"/>
      <c r="D2556" s="14" t="s">
        <v>20</v>
      </c>
      <c r="E2556" s="18"/>
      <c r="F2556" s="14" t="s">
        <v>20</v>
      </c>
      <c r="G2556" s="14" t="s">
        <v>20</v>
      </c>
      <c r="I2556" s="14" t="s">
        <v>20</v>
      </c>
      <c r="J2556" s="14" t="s">
        <v>21</v>
      </c>
      <c r="K2556" s="14" t="s">
        <v>21</v>
      </c>
      <c r="L2556" s="14" t="s">
        <v>21</v>
      </c>
      <c r="M2556" s="14" t="s">
        <v>21</v>
      </c>
      <c r="N2556" s="14" t="s">
        <v>21</v>
      </c>
      <c r="O2556" s="14" t="s">
        <v>21</v>
      </c>
      <c r="P2556" s="14"/>
      <c r="Q2556" s="14" t="s">
        <v>21</v>
      </c>
      <c r="R2556" s="14" t="s">
        <v>21</v>
      </c>
      <c r="T2556" s="14" t="s">
        <v>21</v>
      </c>
      <c r="U2556" s="42"/>
      <c r="V2556" s="18"/>
      <c r="W2556" s="39" t="s">
        <v>123</v>
      </c>
      <c r="X2556" s="18"/>
    </row>
    <row r="2557" spans="1:24" ht="15">
      <c r="A2557" s="4"/>
      <c r="B2557" s="87" t="s">
        <v>183</v>
      </c>
      <c r="C2557" s="11"/>
      <c r="D2557" s="53" t="s">
        <v>124</v>
      </c>
      <c r="E2557" s="18"/>
      <c r="F2557" s="53" t="s">
        <v>125</v>
      </c>
      <c r="G2557" s="53" t="s">
        <v>126</v>
      </c>
      <c r="I2557" s="53" t="s">
        <v>127</v>
      </c>
      <c r="J2557" s="53" t="s">
        <v>128</v>
      </c>
      <c r="K2557" s="53" t="s">
        <v>129</v>
      </c>
      <c r="L2557" s="53" t="s">
        <v>130</v>
      </c>
      <c r="M2557" s="53" t="s">
        <v>131</v>
      </c>
      <c r="N2557" s="24" t="s">
        <v>132</v>
      </c>
      <c r="O2557" s="24" t="s">
        <v>98</v>
      </c>
      <c r="P2557" s="24"/>
      <c r="Q2557" s="24" t="s">
        <v>99</v>
      </c>
      <c r="R2557" s="24" t="s">
        <v>133</v>
      </c>
      <c r="S2557" s="42"/>
      <c r="T2557" s="24" t="s">
        <v>134</v>
      </c>
      <c r="U2557" s="42"/>
      <c r="V2557" s="10" t="s">
        <v>20</v>
      </c>
      <c r="W2557" s="10" t="s">
        <v>21</v>
      </c>
      <c r="X2557" s="10" t="s">
        <v>22</v>
      </c>
    </row>
    <row r="2558" spans="1:24" ht="15">
      <c r="A2558" s="4"/>
      <c r="B2558" s="24"/>
      <c r="C2558" s="11"/>
      <c r="D2558" s="18"/>
      <c r="E2558" s="18"/>
      <c r="F2558" s="18"/>
      <c r="I2558" s="18"/>
      <c r="J2558" s="18"/>
      <c r="O2558" s="42"/>
      <c r="P2558" s="42"/>
      <c r="Q2558" s="42"/>
      <c r="R2558" s="42"/>
      <c r="S2558" s="42"/>
      <c r="T2558" s="42"/>
      <c r="U2558" s="42"/>
      <c r="V2558" s="18"/>
      <c r="W2558" s="39"/>
      <c r="X2558" s="18"/>
    </row>
    <row r="2559" spans="1:24" ht="15">
      <c r="A2559" s="4">
        <f>+A2553+1</f>
        <v>29</v>
      </c>
      <c r="B2559" s="5" t="s">
        <v>36</v>
      </c>
      <c r="C2559" s="17" t="s">
        <v>37</v>
      </c>
      <c r="D2559" s="18">
        <v>-586.69</v>
      </c>
      <c r="E2559" s="18"/>
      <c r="F2559" s="18">
        <v>0</v>
      </c>
      <c r="G2559" s="18">
        <v>0</v>
      </c>
      <c r="I2559" s="18">
        <v>0</v>
      </c>
      <c r="J2559" s="18">
        <v>61.8</v>
      </c>
      <c r="K2559" s="18">
        <v>0</v>
      </c>
      <c r="L2559" s="18">
        <v>0</v>
      </c>
      <c r="M2559" s="18">
        <v>0</v>
      </c>
      <c r="N2559" s="18">
        <v>0</v>
      </c>
      <c r="O2559" s="18">
        <v>0</v>
      </c>
      <c r="P2559" s="18"/>
      <c r="Q2559" s="18">
        <v>0</v>
      </c>
      <c r="R2559" s="18">
        <v>0</v>
      </c>
      <c r="S2559" s="42"/>
      <c r="T2559" s="18">
        <v>0</v>
      </c>
      <c r="U2559" s="42"/>
      <c r="V2559" s="18">
        <f>+V2543+D2559+F2559+G2559+I2559</f>
        <v>1190071.42</v>
      </c>
      <c r="W2559" s="18">
        <f>+W2543+J2559+K2559+L2559+M2559+N2559+O2559+Q2559+R2559+T2559</f>
        <v>907389.4</v>
      </c>
      <c r="X2559" s="18">
        <f>+V2559-W2559</f>
        <v>282682.0199999999</v>
      </c>
    </row>
    <row r="2560" spans="1:24" ht="15">
      <c r="A2560" s="4">
        <f>+A2559+1</f>
        <v>30</v>
      </c>
      <c r="B2560" s="5" t="s">
        <v>36</v>
      </c>
      <c r="C2560" s="22" t="s">
        <v>38</v>
      </c>
      <c r="D2560" s="18">
        <v>-586.69</v>
      </c>
      <c r="E2560" s="18"/>
      <c r="F2560" s="18">
        <v>0</v>
      </c>
      <c r="G2560" s="18">
        <v>0</v>
      </c>
      <c r="I2560" s="18">
        <v>0</v>
      </c>
      <c r="J2560" s="18">
        <v>61.8</v>
      </c>
      <c r="K2560" s="18">
        <v>0</v>
      </c>
      <c r="L2560" s="18">
        <v>0</v>
      </c>
      <c r="M2560" s="18">
        <v>0</v>
      </c>
      <c r="N2560" s="18">
        <v>0</v>
      </c>
      <c r="O2560" s="18">
        <v>0</v>
      </c>
      <c r="P2560" s="18"/>
      <c r="Q2560" s="18">
        <v>0</v>
      </c>
      <c r="R2560" s="18">
        <v>0</v>
      </c>
      <c r="S2560" s="42"/>
      <c r="T2560" s="18">
        <v>0</v>
      </c>
      <c r="U2560" s="42"/>
      <c r="V2560" s="18">
        <f>+V2544+D2560+F2560+G2560+I2560</f>
        <v>1125889.75</v>
      </c>
      <c r="W2560" s="18">
        <f>+W2544+J2560+K2560+L2560+M2560+N2560+O2560+Q2560+R2560+T2560</f>
        <v>888737.6900000001</v>
      </c>
      <c r="X2560" s="18">
        <f>+V2560-W2560</f>
        <v>237152.05999999994</v>
      </c>
    </row>
    <row r="2561" spans="1:24" ht="15">
      <c r="A2561" s="4">
        <f>+A2560+1</f>
        <v>31</v>
      </c>
      <c r="B2561" s="24" t="s">
        <v>46</v>
      </c>
      <c r="C2561" s="40" t="s">
        <v>78</v>
      </c>
      <c r="D2561" s="18">
        <f>+D2559-D2560</f>
        <v>0</v>
      </c>
      <c r="E2561" s="18"/>
      <c r="F2561" s="18">
        <f>+F2559-F2560</f>
        <v>0</v>
      </c>
      <c r="G2561" s="18">
        <f>+G2559-G2560</f>
        <v>0</v>
      </c>
      <c r="I2561" s="18">
        <f aca="true" t="shared" si="297" ref="I2561:O2561">+I2559-I2560</f>
        <v>0</v>
      </c>
      <c r="J2561" s="18">
        <f t="shared" si="297"/>
        <v>0</v>
      </c>
      <c r="K2561" s="18">
        <f t="shared" si="297"/>
        <v>0</v>
      </c>
      <c r="L2561" s="18">
        <f t="shared" si="297"/>
        <v>0</v>
      </c>
      <c r="M2561" s="18">
        <f t="shared" si="297"/>
        <v>0</v>
      </c>
      <c r="N2561" s="18">
        <f t="shared" si="297"/>
        <v>0</v>
      </c>
      <c r="O2561" s="18">
        <f t="shared" si="297"/>
        <v>0</v>
      </c>
      <c r="P2561" s="18"/>
      <c r="Q2561" s="18">
        <f>+Q2559-Q2560</f>
        <v>0</v>
      </c>
      <c r="R2561" s="18">
        <f>+R2559-R2560</f>
        <v>0</v>
      </c>
      <c r="S2561" s="42"/>
      <c r="T2561" s="18">
        <f>+T2559-T2560</f>
        <v>0</v>
      </c>
      <c r="U2561" s="42"/>
      <c r="V2561" s="27">
        <f>+V2559-V2560</f>
        <v>64181.669999999925</v>
      </c>
      <c r="W2561" s="27">
        <f>+W2559-W2560</f>
        <v>18651.709999999963</v>
      </c>
      <c r="X2561" s="18">
        <f>+X2559-X2560</f>
        <v>45529.95999999996</v>
      </c>
    </row>
    <row r="2562" spans="1:24" ht="28.5">
      <c r="A2562" s="4">
        <f>+A2561+1</f>
        <v>32</v>
      </c>
      <c r="B2562" s="88" t="s">
        <v>182</v>
      </c>
      <c r="C2562" s="11"/>
      <c r="D2562" s="18">
        <v>0</v>
      </c>
      <c r="E2562" s="18"/>
      <c r="F2562" s="18">
        <v>0</v>
      </c>
      <c r="G2562" s="18">
        <v>0</v>
      </c>
      <c r="I2562" s="18">
        <v>0</v>
      </c>
      <c r="J2562" s="18">
        <v>0</v>
      </c>
      <c r="K2562" s="18">
        <v>0</v>
      </c>
      <c r="L2562" s="18">
        <v>0</v>
      </c>
      <c r="M2562" s="18">
        <v>0</v>
      </c>
      <c r="N2562" s="18">
        <v>0</v>
      </c>
      <c r="O2562" s="18">
        <v>0</v>
      </c>
      <c r="P2562" s="18"/>
      <c r="Q2562" s="18">
        <v>0</v>
      </c>
      <c r="R2562" s="18">
        <v>0</v>
      </c>
      <c r="S2562" s="42"/>
      <c r="T2562" s="18">
        <v>0</v>
      </c>
      <c r="U2562" s="42"/>
      <c r="V2562" s="18">
        <f>+V2546+D2562+F2562+G2562+I2562</f>
        <v>0</v>
      </c>
      <c r="W2562" s="18">
        <f>+W2546+J2562+K2562+L2562+M2562+N2562+O2562+Q2562+R2562+T2562</f>
        <v>0</v>
      </c>
      <c r="X2562" s="18">
        <f>+V2562-W2562</f>
        <v>0</v>
      </c>
    </row>
    <row r="2563" spans="1:24" ht="24.75">
      <c r="A2563" s="4">
        <f>+A2562+1</f>
        <v>33</v>
      </c>
      <c r="B2563" s="89" t="s">
        <v>39</v>
      </c>
      <c r="C2563" s="40"/>
      <c r="D2563" s="27">
        <f>458905.42+638973.26+1447.44</f>
        <v>1099326.1199999999</v>
      </c>
      <c r="E2563" s="27" t="s">
        <v>0</v>
      </c>
      <c r="F2563" s="27">
        <v>0</v>
      </c>
      <c r="G2563" s="27">
        <v>0</v>
      </c>
      <c r="H2563" t="s">
        <v>0</v>
      </c>
      <c r="I2563" s="27">
        <v>0</v>
      </c>
      <c r="J2563" s="27">
        <v>-31.32</v>
      </c>
      <c r="K2563" s="27">
        <v>0</v>
      </c>
      <c r="L2563" s="27">
        <v>0</v>
      </c>
      <c r="M2563" s="18">
        <v>0</v>
      </c>
      <c r="N2563" s="18">
        <v>0</v>
      </c>
      <c r="O2563" s="18">
        <v>0</v>
      </c>
      <c r="P2563" s="18"/>
      <c r="Q2563" s="18">
        <v>0</v>
      </c>
      <c r="R2563" s="18">
        <v>0</v>
      </c>
      <c r="S2563" s="42"/>
      <c r="T2563" s="18">
        <v>188.1</v>
      </c>
      <c r="U2563" s="42"/>
      <c r="V2563" s="18">
        <f>+V2547+D2563+F2563+G2563+I2563</f>
        <v>1052419.9</v>
      </c>
      <c r="W2563" s="18">
        <f>+W2547+J2563+K2563+L2563+M2563+N2563+O2563+Q2563+R2563+T2563</f>
        <v>16936.78</v>
      </c>
      <c r="X2563" s="36">
        <f>+V2563-W2563</f>
        <v>1035483.1199999999</v>
      </c>
    </row>
    <row r="2564" spans="1:24" ht="15">
      <c r="A2564" s="6" t="s">
        <v>41</v>
      </c>
      <c r="B2564" s="41"/>
      <c r="C2564" s="40"/>
      <c r="D2564" s="18"/>
      <c r="E2564" s="18"/>
      <c r="F2564" s="18"/>
      <c r="G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8"/>
      <c r="S2564" s="42"/>
      <c r="T2564" s="18"/>
      <c r="U2564" s="42"/>
      <c r="V2564" s="18"/>
      <c r="W2564" s="54"/>
      <c r="X2564" s="36"/>
    </row>
    <row r="2565" spans="1:24" ht="15">
      <c r="A2565" s="4">
        <f>+A2563+1</f>
        <v>34</v>
      </c>
      <c r="B2565" s="5" t="s">
        <v>42</v>
      </c>
      <c r="C2565" s="22" t="s">
        <v>38</v>
      </c>
      <c r="D2565" s="18">
        <v>-29.36</v>
      </c>
      <c r="E2565" s="18"/>
      <c r="F2565" s="18">
        <v>0</v>
      </c>
      <c r="G2565" s="18">
        <v>0</v>
      </c>
      <c r="I2565" s="18">
        <v>0</v>
      </c>
      <c r="J2565" s="18">
        <v>-69.13</v>
      </c>
      <c r="K2565" s="18">
        <v>0</v>
      </c>
      <c r="L2565" s="18"/>
      <c r="M2565" s="18">
        <v>0</v>
      </c>
      <c r="N2565" s="18">
        <v>0</v>
      </c>
      <c r="O2565" s="18">
        <v>0</v>
      </c>
      <c r="P2565" s="18"/>
      <c r="Q2565" s="18">
        <v>0</v>
      </c>
      <c r="R2565" s="18">
        <v>0</v>
      </c>
      <c r="S2565" s="42"/>
      <c r="T2565" s="18">
        <v>0</v>
      </c>
      <c r="U2565" s="42"/>
      <c r="V2565" s="18">
        <f>+V2549+D2565+F2565+G2565+I2565</f>
        <v>1228751.99</v>
      </c>
      <c r="W2565" s="18">
        <f>+W2549+J2565+K2565+L2565+M2565+N2565+O2565+Q2565+R2565+T2565</f>
        <v>929519.39</v>
      </c>
      <c r="X2565" s="18">
        <f>+V2565-W2565</f>
        <v>299232.6</v>
      </c>
    </row>
    <row r="2566" spans="1:24" ht="15">
      <c r="A2566" s="4">
        <f>+A2565+1</f>
        <v>35</v>
      </c>
      <c r="B2566" s="5" t="s">
        <v>43</v>
      </c>
      <c r="C2566" s="11"/>
      <c r="D2566" s="18">
        <v>0</v>
      </c>
      <c r="E2566" s="18"/>
      <c r="F2566" s="18">
        <v>0</v>
      </c>
      <c r="G2566" s="18">
        <v>0</v>
      </c>
      <c r="I2566" s="18">
        <v>0</v>
      </c>
      <c r="J2566" s="18">
        <v>0</v>
      </c>
      <c r="K2566" s="18">
        <v>0</v>
      </c>
      <c r="L2566" s="18">
        <v>0</v>
      </c>
      <c r="M2566" s="18">
        <v>0</v>
      </c>
      <c r="N2566" s="18">
        <v>0</v>
      </c>
      <c r="O2566" s="18">
        <v>0</v>
      </c>
      <c r="P2566" s="18"/>
      <c r="Q2566" s="18">
        <v>0</v>
      </c>
      <c r="R2566" s="18">
        <v>0</v>
      </c>
      <c r="S2566" s="42"/>
      <c r="T2566" s="18">
        <v>0</v>
      </c>
      <c r="U2566" s="42"/>
      <c r="V2566" s="18">
        <f>+V2550+D2566+F2566+G2566+I2566</f>
        <v>0</v>
      </c>
      <c r="W2566" s="18">
        <f>+W2550+J2566+K2566+L2566+M2566+N2566+O2566+Q2566+R2566+T2566</f>
        <v>0</v>
      </c>
      <c r="X2566" s="18">
        <f>+V2566-W2566</f>
        <v>0</v>
      </c>
    </row>
    <row r="2567" spans="1:24" ht="26.25">
      <c r="A2567" s="4">
        <f>+A2566+1</f>
        <v>36</v>
      </c>
      <c r="B2567" s="24" t="s">
        <v>79</v>
      </c>
      <c r="C2567" s="11"/>
      <c r="D2567" s="18">
        <f>+D2565-D2566</f>
        <v>-29.36</v>
      </c>
      <c r="E2567" s="18"/>
      <c r="F2567" s="18">
        <f>+F2565-F2566</f>
        <v>0</v>
      </c>
      <c r="G2567" s="18">
        <f>+G2565-G2566</f>
        <v>0</v>
      </c>
      <c r="I2567" s="18">
        <f aca="true" t="shared" si="298" ref="I2567:O2567">+I2565-I2566</f>
        <v>0</v>
      </c>
      <c r="J2567" s="18">
        <f t="shared" si="298"/>
        <v>-69.13</v>
      </c>
      <c r="K2567" s="18">
        <f t="shared" si="298"/>
        <v>0</v>
      </c>
      <c r="L2567" s="18">
        <f t="shared" si="298"/>
        <v>0</v>
      </c>
      <c r="M2567" s="18">
        <f t="shared" si="298"/>
        <v>0</v>
      </c>
      <c r="N2567" s="18">
        <f t="shared" si="298"/>
        <v>0</v>
      </c>
      <c r="O2567" s="18">
        <f t="shared" si="298"/>
        <v>0</v>
      </c>
      <c r="P2567" s="18"/>
      <c r="Q2567" s="18">
        <f>+Q2565-Q2566</f>
        <v>0</v>
      </c>
      <c r="R2567" s="18">
        <f>+R2565-R2566</f>
        <v>0</v>
      </c>
      <c r="S2567" s="42"/>
      <c r="T2567" s="18">
        <f>+T2565-T2566</f>
        <v>0</v>
      </c>
      <c r="U2567" s="42"/>
      <c r="V2567" s="55">
        <f>+V2565-V2566</f>
        <v>1228751.99</v>
      </c>
      <c r="W2567" s="55">
        <f>+W2565-W2566</f>
        <v>929519.39</v>
      </c>
      <c r="X2567" s="31">
        <f>+X2565-X2566</f>
        <v>299232.6</v>
      </c>
    </row>
    <row r="2568" spans="1:24" ht="28.5">
      <c r="A2568" s="4">
        <f>+A2567+1</f>
        <v>37</v>
      </c>
      <c r="B2568" s="88" t="s">
        <v>181</v>
      </c>
      <c r="C2568" s="11"/>
      <c r="D2568" s="18">
        <v>0</v>
      </c>
      <c r="E2568" s="18"/>
      <c r="F2568" s="18">
        <v>0</v>
      </c>
      <c r="G2568" s="18">
        <v>0</v>
      </c>
      <c r="I2568" s="18">
        <v>0</v>
      </c>
      <c r="J2568" s="18">
        <v>0</v>
      </c>
      <c r="K2568" s="18">
        <v>0</v>
      </c>
      <c r="L2568" s="18">
        <v>0</v>
      </c>
      <c r="M2568" s="18">
        <v>0</v>
      </c>
      <c r="N2568" s="18">
        <v>0</v>
      </c>
      <c r="O2568" s="18">
        <v>0</v>
      </c>
      <c r="P2568" s="18"/>
      <c r="Q2568" s="18">
        <v>0</v>
      </c>
      <c r="R2568" s="18">
        <v>0</v>
      </c>
      <c r="S2568" s="42"/>
      <c r="T2568" s="18">
        <v>0</v>
      </c>
      <c r="U2568" s="42"/>
      <c r="V2568" s="18">
        <f>+V2552+D2568+F2568+G2568+I2568</f>
        <v>0</v>
      </c>
      <c r="W2568" s="18">
        <f>+W2552+J2568+K2568+L2568+M2568+N2568+O2568+Q2568+R2568+T2568</f>
        <v>0</v>
      </c>
      <c r="X2568" s="18">
        <f>+V2568-W2568</f>
        <v>0</v>
      </c>
    </row>
    <row r="2569" spans="1:24" ht="15">
      <c r="A2569" s="4">
        <f>+A2568+1</f>
        <v>38</v>
      </c>
      <c r="B2569" s="24" t="s">
        <v>46</v>
      </c>
      <c r="C2569" s="11" t="s">
        <v>47</v>
      </c>
      <c r="D2569" s="18">
        <f>+D2561+D2562+D2567+D2568+D2563</f>
        <v>1099296.7599999998</v>
      </c>
      <c r="E2569" s="18"/>
      <c r="F2569" s="18">
        <f>+F2561+F2562+F2567+F2568+F2563</f>
        <v>0</v>
      </c>
      <c r="G2569" s="18">
        <f>+G2561+G2562+G2567+G2568+G2563</f>
        <v>0</v>
      </c>
      <c r="I2569" s="18">
        <f>+I2561+I2562+I2567+I2568+I2563</f>
        <v>0</v>
      </c>
      <c r="J2569" s="18">
        <f>+J2561+J2562+J2567+J2568+J2563</f>
        <v>-100.44999999999999</v>
      </c>
      <c r="K2569" s="18">
        <f>+K2561+K2562+K2567+K2568+K2563</f>
        <v>0</v>
      </c>
      <c r="L2569" s="18">
        <f>+L2561+L2562+L2567+L2568+L2563</f>
        <v>0</v>
      </c>
      <c r="M2569" s="18">
        <f>+M2561+M2562+M2567+M2568+M2563</f>
        <v>0</v>
      </c>
      <c r="N2569" s="18">
        <f>+N2561+N2562+N2567+N2568+N2563</f>
        <v>0</v>
      </c>
      <c r="O2569" s="18">
        <f>+O2561+O2562+O2567+O2568+O2563</f>
        <v>0</v>
      </c>
      <c r="P2569" s="18"/>
      <c r="Q2569" s="18">
        <f>+Q2561+Q2562+Q2567+Q2568+Q2563</f>
        <v>0</v>
      </c>
      <c r="R2569" s="18">
        <f>+R2561+R2562+R2567+R2568+R2563</f>
        <v>0</v>
      </c>
      <c r="S2569" s="18"/>
      <c r="T2569" s="18">
        <f>+T2561+T2562+T2567+T2568+T2563</f>
        <v>188.1</v>
      </c>
      <c r="U2569" s="42"/>
      <c r="V2569" s="18">
        <f>+V2561+V2562+V2567+V2568+V2563</f>
        <v>2345353.5599999996</v>
      </c>
      <c r="W2569" s="18">
        <f>+W2561+W2562+W2567+W2568+W2563</f>
        <v>965107.88</v>
      </c>
      <c r="X2569" s="18">
        <f>+X2561+X2562+X2567+X2568+X2563</f>
        <v>1380245.6799999997</v>
      </c>
    </row>
    <row r="2570" spans="1:24" ht="15">
      <c r="A2570" s="4"/>
      <c r="B2570" s="24"/>
      <c r="C2570" s="11"/>
      <c r="D2570" s="18"/>
      <c r="E2570" s="18"/>
      <c r="F2570" s="18"/>
      <c r="G2570" s="18"/>
      <c r="N2570" s="42"/>
      <c r="O2570" s="42"/>
      <c r="P2570" s="42"/>
      <c r="Q2570" s="42"/>
      <c r="R2570" s="42"/>
      <c r="S2570" s="42"/>
      <c r="T2570" s="42"/>
      <c r="U2570" s="42"/>
      <c r="V2570" s="18"/>
      <c r="W2570" s="18"/>
      <c r="X2570" s="18"/>
    </row>
    <row r="2571" spans="1:24" ht="15">
      <c r="A2571" s="4"/>
      <c r="B2571" s="24"/>
      <c r="C2571" s="11"/>
      <c r="D2571" s="18"/>
      <c r="E2571" s="18"/>
      <c r="F2571" s="18"/>
      <c r="G2571" s="18"/>
      <c r="L2571" s="42"/>
      <c r="M2571" s="42"/>
      <c r="N2571" s="42"/>
      <c r="O2571" s="42"/>
      <c r="P2571" s="42"/>
      <c r="Q2571" s="42"/>
      <c r="R2571" s="42"/>
      <c r="S2571" s="42"/>
      <c r="T2571" s="42"/>
      <c r="U2571" s="42"/>
      <c r="V2571" s="18"/>
      <c r="W2571" s="18"/>
      <c r="X2571" s="18"/>
    </row>
    <row r="2572" spans="1:24" ht="15">
      <c r="A2572" s="4"/>
      <c r="B2572" s="24"/>
      <c r="C2572" s="11"/>
      <c r="D2572" s="18"/>
      <c r="E2572" s="18"/>
      <c r="F2572" s="18"/>
      <c r="G2572" s="18"/>
      <c r="L2572" s="42"/>
      <c r="M2572" s="42"/>
      <c r="N2572" s="42"/>
      <c r="O2572" s="42"/>
      <c r="P2572" s="42"/>
      <c r="Q2572" s="42"/>
      <c r="R2572" s="42"/>
      <c r="S2572" s="42"/>
      <c r="T2572" s="42"/>
      <c r="U2572" s="42"/>
      <c r="V2572" s="18"/>
      <c r="W2572" s="18"/>
      <c r="X2572" s="18"/>
    </row>
    <row r="2573" spans="1:24" ht="15">
      <c r="A2573" s="4"/>
      <c r="B2573" s="24"/>
      <c r="C2573" s="11"/>
      <c r="D2573" s="18"/>
      <c r="E2573" s="18"/>
      <c r="F2573" s="18"/>
      <c r="G2573" s="18"/>
      <c r="H2573" s="56"/>
      <c r="L2573" s="42"/>
      <c r="M2573" s="42"/>
      <c r="N2573" s="42"/>
      <c r="O2573" s="42"/>
      <c r="P2573" s="42"/>
      <c r="Q2573" s="42"/>
      <c r="R2573" s="42"/>
      <c r="S2573" s="42"/>
      <c r="T2573" s="42"/>
      <c r="U2573" s="42"/>
      <c r="V2573" s="18"/>
      <c r="W2573" s="18"/>
      <c r="X2573" s="18"/>
    </row>
    <row r="2574" spans="1:24" ht="15">
      <c r="A2574" s="4"/>
      <c r="B2574" s="24"/>
      <c r="C2574" s="11"/>
      <c r="D2574" s="18"/>
      <c r="E2574" s="18"/>
      <c r="F2574" s="18"/>
      <c r="G2574" s="18"/>
      <c r="H2574" s="56"/>
      <c r="I2574" s="57" t="s">
        <v>135</v>
      </c>
      <c r="L2574" s="42"/>
      <c r="M2574" s="42"/>
      <c r="N2574" s="42"/>
      <c r="O2574" s="42"/>
      <c r="P2574" s="42"/>
      <c r="Q2574" s="42"/>
      <c r="R2574" s="42"/>
      <c r="S2574" s="42"/>
      <c r="T2574" s="42"/>
      <c r="U2574" s="42"/>
      <c r="V2574" s="18"/>
      <c r="W2574" s="18"/>
      <c r="X2574" s="18"/>
    </row>
    <row r="2575" spans="1:24" ht="15">
      <c r="A2575" s="4"/>
      <c r="B2575" s="24"/>
      <c r="C2575" s="11"/>
      <c r="D2575" s="18"/>
      <c r="E2575" s="18"/>
      <c r="F2575" s="18"/>
      <c r="G2575" s="18"/>
      <c r="H2575" s="56"/>
      <c r="I2575" s="58"/>
      <c r="L2575" s="42"/>
      <c r="T2575" s="42"/>
      <c r="U2575" s="42"/>
      <c r="V2575" s="18"/>
      <c r="W2575" s="18"/>
      <c r="X2575" s="18"/>
    </row>
    <row r="2576" spans="1:24" ht="15">
      <c r="A2576" s="4"/>
      <c r="B2576" s="24"/>
      <c r="C2576" s="11"/>
      <c r="D2576" s="18"/>
      <c r="E2576" s="18"/>
      <c r="F2576" s="18"/>
      <c r="G2576" s="18"/>
      <c r="H2576" s="56"/>
      <c r="I2576" s="59" t="s">
        <v>136</v>
      </c>
      <c r="L2576" s="75">
        <v>23062352.17</v>
      </c>
      <c r="T2576" s="42"/>
      <c r="U2576" s="42"/>
      <c r="V2576" s="18"/>
      <c r="W2576" s="18"/>
      <c r="X2576" s="18"/>
    </row>
    <row r="2577" spans="1:24" ht="15">
      <c r="A2577" s="4"/>
      <c r="B2577" s="24"/>
      <c r="C2577" s="11"/>
      <c r="D2577" s="18"/>
      <c r="E2577" s="18"/>
      <c r="F2577" s="18"/>
      <c r="G2577" s="18"/>
      <c r="H2577" s="56"/>
      <c r="I2577" s="59"/>
      <c r="L2577" s="18"/>
      <c r="T2577" s="42"/>
      <c r="U2577" s="42"/>
      <c r="V2577" s="18"/>
      <c r="W2577" s="18"/>
      <c r="X2577" s="18"/>
    </row>
    <row r="2578" spans="1:24" ht="15">
      <c r="A2578" s="4"/>
      <c r="B2578" s="24"/>
      <c r="C2578" s="11"/>
      <c r="D2578" s="44" t="s">
        <v>137</v>
      </c>
      <c r="E2578" s="18"/>
      <c r="F2578" s="10" t="s">
        <v>138</v>
      </c>
      <c r="G2578" s="44" t="s">
        <v>24</v>
      </c>
      <c r="H2578" s="56"/>
      <c r="I2578" s="59" t="s">
        <v>139</v>
      </c>
      <c r="L2578" s="27">
        <v>0</v>
      </c>
      <c r="N2578" s="6" t="s">
        <v>137</v>
      </c>
      <c r="O2578" s="6" t="s">
        <v>137</v>
      </c>
      <c r="P2578" s="42"/>
      <c r="Q2578" s="6" t="s">
        <v>138</v>
      </c>
      <c r="R2578" s="6" t="s">
        <v>138</v>
      </c>
      <c r="S2578" s="6"/>
      <c r="T2578" s="42"/>
      <c r="U2578" s="42"/>
      <c r="V2578" s="18"/>
      <c r="W2578" s="18"/>
      <c r="X2578" s="18"/>
    </row>
    <row r="2579" spans="1:24" ht="15">
      <c r="A2579" s="4"/>
      <c r="B2579" s="24"/>
      <c r="C2579" s="11"/>
      <c r="D2579" s="18"/>
      <c r="E2579" s="18"/>
      <c r="F2579" s="18"/>
      <c r="G2579" s="18"/>
      <c r="H2579" s="56"/>
      <c r="I2579" s="59"/>
      <c r="L2579" s="18"/>
      <c r="N2579" s="8" t="s">
        <v>140</v>
      </c>
      <c r="O2579" s="49" t="s">
        <v>141</v>
      </c>
      <c r="P2579" s="42"/>
      <c r="Q2579" s="8" t="s">
        <v>140</v>
      </c>
      <c r="R2579" s="49" t="s">
        <v>141</v>
      </c>
      <c r="S2579" s="49"/>
      <c r="T2579" s="42"/>
      <c r="U2579" s="42"/>
      <c r="V2579" s="18"/>
      <c r="W2579" s="18"/>
      <c r="X2579" s="18"/>
    </row>
    <row r="2580" spans="1:24" ht="15">
      <c r="A2580" s="4">
        <f>+A2568+1</f>
        <v>38</v>
      </c>
      <c r="B2580" s="5" t="s">
        <v>36</v>
      </c>
      <c r="C2580" s="17" t="s">
        <v>37</v>
      </c>
      <c r="D2580" s="31">
        <f>+V2525+V2559</f>
        <v>27037109.359999992</v>
      </c>
      <c r="E2580" s="18"/>
      <c r="F2580" s="31">
        <f>+W2525+W2559</f>
        <v>19176978.63</v>
      </c>
      <c r="G2580" s="18">
        <f>+D2580-F2580</f>
        <v>7860130.729999993</v>
      </c>
      <c r="H2580" s="56"/>
      <c r="I2580" s="59" t="s">
        <v>142</v>
      </c>
      <c r="J2580" s="18"/>
      <c r="K2580" s="18"/>
      <c r="L2580" s="36">
        <v>16055160.89</v>
      </c>
      <c r="N2580" s="60"/>
      <c r="O2580" s="6"/>
      <c r="P2580" s="42"/>
      <c r="Q2580" s="61"/>
      <c r="R2580" s="61"/>
      <c r="S2580" s="61"/>
      <c r="T2580" s="42"/>
      <c r="U2580" s="42"/>
      <c r="V2580" s="18"/>
      <c r="W2580" s="18"/>
      <c r="X2580" s="18"/>
    </row>
    <row r="2581" spans="1:21" ht="15">
      <c r="A2581" s="4">
        <f>+A2580+1</f>
        <v>39</v>
      </c>
      <c r="B2581" s="5" t="s">
        <v>36</v>
      </c>
      <c r="C2581" s="22" t="s">
        <v>38</v>
      </c>
      <c r="D2581" s="31">
        <f>+V2526+V2560</f>
        <v>27033488.13</v>
      </c>
      <c r="E2581" s="18"/>
      <c r="F2581" s="31">
        <f>+W2526+W2560</f>
        <v>18955457.35</v>
      </c>
      <c r="G2581" s="18">
        <f>+D2581-F2581</f>
        <v>8078030.7799999975</v>
      </c>
      <c r="H2581" s="56"/>
      <c r="I2581" s="58"/>
      <c r="J2581" s="18"/>
      <c r="K2581" s="18"/>
      <c r="L2581" s="60"/>
      <c r="N2581" s="62">
        <f>+D2582</f>
        <v>3621.2299999929965</v>
      </c>
      <c r="O2581" s="63">
        <f>+D2588</f>
        <v>22978309.29</v>
      </c>
      <c r="P2581" s="42"/>
      <c r="Q2581" s="31">
        <f>+F2492</f>
        <v>202869.5700000003</v>
      </c>
      <c r="R2581" s="31">
        <f>+F2494</f>
        <v>0</v>
      </c>
      <c r="S2581" s="31"/>
      <c r="T2581" s="42"/>
      <c r="U2581" s="42"/>
    </row>
    <row r="2582" spans="1:24" ht="15">
      <c r="A2582" s="4">
        <f>+A2581+1</f>
        <v>40</v>
      </c>
      <c r="B2582" s="24" t="s">
        <v>46</v>
      </c>
      <c r="C2582" s="40" t="s">
        <v>78</v>
      </c>
      <c r="D2582" s="26">
        <f>+D2580-D2581</f>
        <v>3621.2299999929965</v>
      </c>
      <c r="E2582" s="18"/>
      <c r="F2582" s="26">
        <f>+F2580-F2581</f>
        <v>221521.27999999747</v>
      </c>
      <c r="G2582" s="18">
        <f>+G2580-G2581</f>
        <v>-217900.05000000447</v>
      </c>
      <c r="H2582" s="56"/>
      <c r="I2582" s="58" t="s">
        <v>143</v>
      </c>
      <c r="J2582" s="18"/>
      <c r="K2582" s="18"/>
      <c r="L2582">
        <v>0</v>
      </c>
      <c r="N2582" s="62">
        <f>+D2583</f>
        <v>0</v>
      </c>
      <c r="O2582" s="63">
        <f>+D2589</f>
        <v>0</v>
      </c>
      <c r="P2582" s="42"/>
      <c r="Q2582" s="31">
        <f>+F2493</f>
        <v>0</v>
      </c>
      <c r="R2582" s="31">
        <f>+F2498</f>
        <v>15852291.32</v>
      </c>
      <c r="S2582" s="31"/>
      <c r="U2582" s="18"/>
      <c r="V2582" s="10" t="s">
        <v>20</v>
      </c>
      <c r="W2582" s="10" t="s">
        <v>21</v>
      </c>
      <c r="X2582" s="10" t="s">
        <v>22</v>
      </c>
    </row>
    <row r="2583" spans="1:21" ht="28.5">
      <c r="A2583" s="4">
        <f>+A2582+1</f>
        <v>41</v>
      </c>
      <c r="B2583" s="88" t="s">
        <v>182</v>
      </c>
      <c r="C2583" s="11"/>
      <c r="D2583" s="26">
        <f>+V2528+V2562</f>
        <v>0</v>
      </c>
      <c r="E2583" s="26"/>
      <c r="F2583" s="26">
        <f>+W2528+W2562</f>
        <v>0</v>
      </c>
      <c r="G2583" s="18">
        <f>+D2583-F2583</f>
        <v>0</v>
      </c>
      <c r="H2583" s="56"/>
      <c r="I2583" s="58"/>
      <c r="J2583" s="18"/>
      <c r="K2583" s="18"/>
      <c r="L2583" s="60" t="s">
        <v>144</v>
      </c>
      <c r="N2583" s="62">
        <f>+F2582</f>
        <v>221521.27999999747</v>
      </c>
      <c r="O2583" s="63">
        <f>+F2588</f>
        <v>16781810.71</v>
      </c>
      <c r="P2583" s="42"/>
      <c r="R2583" s="31">
        <f>+F2499</f>
        <v>0</v>
      </c>
      <c r="S2583" s="31"/>
      <c r="U2583" s="18"/>
    </row>
    <row r="2584" spans="1:25" ht="24.75">
      <c r="A2584" s="4">
        <f>+A2583+1</f>
        <v>42</v>
      </c>
      <c r="B2584" s="89" t="s">
        <v>39</v>
      </c>
      <c r="C2584" s="40"/>
      <c r="D2584" s="30">
        <f>+V2529+V2563</f>
        <v>1045529.6499999999</v>
      </c>
      <c r="E2584" s="30"/>
      <c r="F2584" s="30">
        <f>+W2529+W2563</f>
        <v>16936.78</v>
      </c>
      <c r="G2584" s="18">
        <f>+D2584-F2584</f>
        <v>1028592.8699999999</v>
      </c>
      <c r="H2584" s="56"/>
      <c r="I2584" s="64" t="s">
        <v>145</v>
      </c>
      <c r="J2584" s="18"/>
      <c r="K2584" s="18"/>
      <c r="L2584" s="83">
        <f>+L2576-L2578-L2580-L2582</f>
        <v>7007191.280000001</v>
      </c>
      <c r="N2584" s="62">
        <f>+F2583</f>
        <v>0</v>
      </c>
      <c r="O2584" s="63">
        <f>+F2589</f>
        <v>0</v>
      </c>
      <c r="P2584" s="42"/>
      <c r="Q2584" s="31"/>
      <c r="R2584" s="31"/>
      <c r="S2584" s="31"/>
      <c r="U2584" s="65"/>
      <c r="V2584" s="66"/>
      <c r="W2584" s="66"/>
      <c r="X2584" s="65"/>
      <c r="Y2584" s="84"/>
    </row>
    <row r="2585" spans="1:25" ht="15">
      <c r="A2585" s="6" t="s">
        <v>41</v>
      </c>
      <c r="B2585" s="41"/>
      <c r="C2585" s="40"/>
      <c r="D2585" s="18"/>
      <c r="E2585" s="18"/>
      <c r="F2585" s="18"/>
      <c r="G2585" s="18"/>
      <c r="H2585" s="56"/>
      <c r="I2585" s="58"/>
      <c r="J2585" s="18"/>
      <c r="K2585" s="18"/>
      <c r="N2585" s="62">
        <f>+F2492</f>
        <v>202869.5700000003</v>
      </c>
      <c r="O2585" s="63">
        <f>+F2498</f>
        <v>15852291.32</v>
      </c>
      <c r="P2585" s="42"/>
      <c r="Q2585" s="31"/>
      <c r="U2585" s="65"/>
      <c r="V2585" s="67"/>
      <c r="W2585" s="67"/>
      <c r="X2585" s="68"/>
      <c r="Y2585" s="84"/>
    </row>
    <row r="2586" spans="1:25" ht="15">
      <c r="A2586" s="4">
        <f>+A2584+1</f>
        <v>43</v>
      </c>
      <c r="B2586" s="5" t="s">
        <v>42</v>
      </c>
      <c r="C2586" s="22" t="s">
        <v>38</v>
      </c>
      <c r="D2586" s="31">
        <f>+V2531+V2565</f>
        <v>22978309.29</v>
      </c>
      <c r="E2586" s="18"/>
      <c r="F2586" s="31">
        <f>+W2531+W2565</f>
        <v>16781810.71</v>
      </c>
      <c r="G2586" s="18">
        <f>+D2586-F2586</f>
        <v>6196498.579999998</v>
      </c>
      <c r="H2586" s="56"/>
      <c r="I2586" s="59" t="s">
        <v>22</v>
      </c>
      <c r="J2586" s="18"/>
      <c r="K2586" s="18"/>
      <c r="L2586" s="30">
        <f>+X2591</f>
        <v>7007191.399999991</v>
      </c>
      <c r="N2586" s="62"/>
      <c r="O2586" s="63">
        <f>+D2584</f>
        <v>1045529.6499999999</v>
      </c>
      <c r="P2586" s="42"/>
      <c r="Q2586" s="31"/>
      <c r="R2586" s="31"/>
      <c r="S2586" s="31"/>
      <c r="T2586" s="69" t="s">
        <v>78</v>
      </c>
      <c r="U2586" s="65"/>
      <c r="V2586" s="26">
        <f>+D2582+D2583-F2582-F2583+F2492</f>
        <v>-15030.480000004172</v>
      </c>
      <c r="W2586" s="26">
        <f>+F2492+F2493</f>
        <v>202869.5700000003</v>
      </c>
      <c r="X2586" s="26">
        <f>+V2586-W2586</f>
        <v>-217900.05000000447</v>
      </c>
      <c r="Y2586" s="85"/>
    </row>
    <row r="2587" spans="1:25" ht="15">
      <c r="A2587" s="4">
        <f>+A2586+1</f>
        <v>44</v>
      </c>
      <c r="B2587" s="5" t="s">
        <v>43</v>
      </c>
      <c r="C2587" s="11"/>
      <c r="D2587" s="31">
        <f>+V2532+V2566</f>
        <v>0</v>
      </c>
      <c r="E2587" s="18"/>
      <c r="F2587" s="31">
        <f>+W2532+W2566</f>
        <v>0</v>
      </c>
      <c r="G2587" s="18">
        <f>+D2587-F2587</f>
        <v>0</v>
      </c>
      <c r="H2587" s="56"/>
      <c r="I2587" s="59"/>
      <c r="J2587" s="18"/>
      <c r="K2587" s="18"/>
      <c r="L2587" s="60" t="s">
        <v>144</v>
      </c>
      <c r="O2587" s="63">
        <f>+F2584</f>
        <v>16936.78</v>
      </c>
      <c r="P2587" s="42"/>
      <c r="Q2587" s="31"/>
      <c r="R2587" s="31"/>
      <c r="S2587" s="31"/>
      <c r="T2587" s="11" t="s">
        <v>146</v>
      </c>
      <c r="U2587" s="65"/>
      <c r="V2587" s="30">
        <f>+D2588+D2589-F2588-F2589+F2498+D2584-F2584+F2494</f>
        <v>23077382.769999996</v>
      </c>
      <c r="W2587" s="30">
        <f>+F2494+F2498+F2499</f>
        <v>15852291.32</v>
      </c>
      <c r="X2587" s="30">
        <f>+V2587-W2587</f>
        <v>7225091.4499999955</v>
      </c>
      <c r="Y2587" s="85"/>
    </row>
    <row r="2588" spans="1:25" ht="26.25">
      <c r="A2588" s="4">
        <f>+A2587+1</f>
        <v>45</v>
      </c>
      <c r="B2588" s="24" t="s">
        <v>79</v>
      </c>
      <c r="C2588" s="11"/>
      <c r="D2588" s="30">
        <f>+D2586-D2587</f>
        <v>22978309.29</v>
      </c>
      <c r="E2588" s="18"/>
      <c r="F2588" s="30">
        <f>+F2586-F2587</f>
        <v>16781810.71</v>
      </c>
      <c r="G2588" s="18">
        <f>+G2586-G2587</f>
        <v>6196498.579999998</v>
      </c>
      <c r="H2588" s="56"/>
      <c r="I2588" s="58"/>
      <c r="J2588" s="18"/>
      <c r="K2588" s="18"/>
      <c r="N2588" s="62"/>
      <c r="O2588" s="63">
        <f>+F2494</f>
        <v>0</v>
      </c>
      <c r="P2588" s="42"/>
      <c r="Q2588" s="31"/>
      <c r="R2588" s="31"/>
      <c r="S2588" s="31"/>
      <c r="T2588" s="11"/>
      <c r="U2588" s="65"/>
      <c r="V2588" s="30"/>
      <c r="W2588" s="30"/>
      <c r="X2588" s="30"/>
      <c r="Y2588" s="65"/>
    </row>
    <row r="2589" spans="1:25" ht="28.5">
      <c r="A2589" s="4">
        <f>+A2588+1</f>
        <v>46</v>
      </c>
      <c r="B2589" s="88" t="s">
        <v>181</v>
      </c>
      <c r="C2589" s="11"/>
      <c r="D2589" s="30">
        <f>+V2534+V2568</f>
        <v>0</v>
      </c>
      <c r="E2589" s="30"/>
      <c r="F2589" s="30">
        <f>+W2534+W2568</f>
        <v>0</v>
      </c>
      <c r="G2589" s="18">
        <f>+D2589-F2589</f>
        <v>0</v>
      </c>
      <c r="H2589" s="56"/>
      <c r="N2589" s="62"/>
      <c r="O2589" s="62"/>
      <c r="P2589" s="42"/>
      <c r="Q2589" s="31"/>
      <c r="R2589" s="31"/>
      <c r="S2589" s="31"/>
      <c r="T2589" s="11"/>
      <c r="U2589" s="65"/>
      <c r="V2589" s="30"/>
      <c r="W2589" s="30"/>
      <c r="X2589" s="30"/>
      <c r="Y2589" s="65"/>
    </row>
    <row r="2590" spans="1:25" ht="15">
      <c r="A2590" s="4">
        <f>+A2589+1</f>
        <v>47</v>
      </c>
      <c r="B2590" s="24" t="s">
        <v>46</v>
      </c>
      <c r="C2590" s="11" t="s">
        <v>47</v>
      </c>
      <c r="D2590" s="18">
        <f>+D2582+D2583+D2588+D2589+D2584</f>
        <v>24027460.16999999</v>
      </c>
      <c r="E2590" s="18"/>
      <c r="F2590" s="18">
        <f>+F2582+F2583+F2588+F2589+F2584</f>
        <v>17020268.77</v>
      </c>
      <c r="G2590" s="18">
        <f>+G2582+G2583+G2588+G2589+G2584</f>
        <v>7007191.399999994</v>
      </c>
      <c r="H2590" s="56"/>
      <c r="I2590" s="59" t="s">
        <v>147</v>
      </c>
      <c r="J2590" s="18"/>
      <c r="K2590" s="18"/>
      <c r="L2590" s="61">
        <f>+L2584-L2586</f>
        <v>-0.11999998986721039</v>
      </c>
      <c r="N2590" s="70">
        <f>+N2581+N2582-N2583-N2584+N2585</f>
        <v>-15030.480000004172</v>
      </c>
      <c r="O2590" s="71">
        <f>+O2581+O2582-O2583-O2584+O2585+O2586-O2587+O2588</f>
        <v>23077382.769999996</v>
      </c>
      <c r="P2590" s="42"/>
      <c r="Q2590" s="26">
        <f>SUM(Q2581:Q2582)</f>
        <v>202869.5700000003</v>
      </c>
      <c r="R2590" s="30">
        <f>SUM(R2581:R2584)</f>
        <v>15852291.32</v>
      </c>
      <c r="S2590" s="30"/>
      <c r="T2590" s="11"/>
      <c r="U2590" s="65"/>
      <c r="V2590" s="30"/>
      <c r="W2590" s="30"/>
      <c r="X2590" s="30"/>
      <c r="Y2590" s="65"/>
    </row>
    <row r="2591" spans="1:25" ht="15">
      <c r="A2591" s="4"/>
      <c r="B2591" s="24"/>
      <c r="C2591" s="11"/>
      <c r="D2591" s="18"/>
      <c r="E2591" s="18"/>
      <c r="F2591" s="18"/>
      <c r="G2591" s="18"/>
      <c r="H2591" s="56"/>
      <c r="L2591" s="60" t="s">
        <v>148</v>
      </c>
      <c r="M2591" s="42"/>
      <c r="N2591" s="42"/>
      <c r="O2591" s="42"/>
      <c r="P2591" s="42"/>
      <c r="Q2591" s="42"/>
      <c r="R2591" s="42"/>
      <c r="S2591" s="42"/>
      <c r="T2591" s="10" t="s">
        <v>22</v>
      </c>
      <c r="U2591" s="65"/>
      <c r="V2591" s="36"/>
      <c r="W2591" s="36"/>
      <c r="X2591" s="36">
        <f>+X2586+X2587</f>
        <v>7007191.399999991</v>
      </c>
      <c r="Y2591" s="65"/>
    </row>
    <row r="2592" spans="1:25" ht="15">
      <c r="A2592" s="1"/>
      <c r="B2592" s="2"/>
      <c r="C2592" s="2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65"/>
    </row>
    <row r="2593" spans="1:25" ht="15">
      <c r="A2593" s="1"/>
      <c r="B2593" s="2"/>
      <c r="C2593" s="2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65"/>
    </row>
    <row r="2594" spans="1:6" ht="15">
      <c r="A2594" s="4" t="s">
        <v>0</v>
      </c>
      <c r="B2594" s="5"/>
      <c r="C2594" s="6" t="s">
        <v>1</v>
      </c>
      <c r="F2594"/>
    </row>
    <row r="2595" spans="1:6" ht="15">
      <c r="A2595" s="4"/>
      <c r="B2595" s="5"/>
      <c r="C2595" s="6" t="s">
        <v>2</v>
      </c>
      <c r="F2595"/>
    </row>
    <row r="2596" spans="1:6" ht="15">
      <c r="A2596" s="4"/>
      <c r="B2596" s="5"/>
      <c r="C2596" s="80" t="s">
        <v>172</v>
      </c>
      <c r="F2596"/>
    </row>
    <row r="2597" spans="1:6" ht="15">
      <c r="A2597" s="4"/>
      <c r="B2597" s="5"/>
      <c r="C2597" s="8"/>
      <c r="F2597"/>
    </row>
    <row r="2598" spans="1:25" ht="15">
      <c r="A2598" s="4"/>
      <c r="B2598" s="5"/>
      <c r="C2598" s="9"/>
      <c r="D2598" s="10" t="s">
        <v>4</v>
      </c>
      <c r="E2598" s="10"/>
      <c r="F2598" s="10" t="s">
        <v>5</v>
      </c>
      <c r="G2598" s="10" t="s">
        <v>6</v>
      </c>
      <c r="H2598" s="10"/>
      <c r="I2598" s="10" t="s">
        <v>7</v>
      </c>
      <c r="J2598" s="10" t="s">
        <v>8</v>
      </c>
      <c r="K2598" s="10" t="s">
        <v>9</v>
      </c>
      <c r="L2598" s="10" t="s">
        <v>10</v>
      </c>
      <c r="M2598" s="10" t="s">
        <v>11</v>
      </c>
      <c r="N2598" s="10" t="s">
        <v>12</v>
      </c>
      <c r="O2598" s="10" t="s">
        <v>13</v>
      </c>
      <c r="P2598" s="10"/>
      <c r="Q2598" s="10" t="s">
        <v>14</v>
      </c>
      <c r="R2598" s="10" t="s">
        <v>15</v>
      </c>
      <c r="S2598" s="10"/>
      <c r="T2598" s="10" t="s">
        <v>16</v>
      </c>
      <c r="U2598" s="10"/>
      <c r="V2598" s="10" t="s">
        <v>17</v>
      </c>
      <c r="W2598" s="10" t="s">
        <v>18</v>
      </c>
      <c r="X2598" s="10" t="s">
        <v>19</v>
      </c>
      <c r="Y2598" s="10"/>
    </row>
    <row r="2599" spans="1:24" ht="15">
      <c r="A2599" s="4"/>
      <c r="B2599" s="87" t="s">
        <v>174</v>
      </c>
      <c r="C2599" s="5"/>
      <c r="D2599" s="10" t="s">
        <v>20</v>
      </c>
      <c r="E2599" s="10"/>
      <c r="F2599" s="10" t="s">
        <v>21</v>
      </c>
      <c r="G2599" s="10" t="s">
        <v>22</v>
      </c>
      <c r="I2599" s="10" t="s">
        <v>20</v>
      </c>
      <c r="J2599" s="10" t="s">
        <v>20</v>
      </c>
      <c r="K2599" s="10" t="s">
        <v>20</v>
      </c>
      <c r="L2599" s="10" t="s">
        <v>20</v>
      </c>
      <c r="M2599" s="10" t="s">
        <v>20</v>
      </c>
      <c r="N2599" s="10" t="s">
        <v>20</v>
      </c>
      <c r="O2599" s="10" t="s">
        <v>20</v>
      </c>
      <c r="Q2599" s="10" t="s">
        <v>20</v>
      </c>
      <c r="R2599" s="10" t="s">
        <v>20</v>
      </c>
      <c r="S2599" s="10"/>
      <c r="T2599" s="10" t="s">
        <v>20</v>
      </c>
      <c r="V2599" s="10" t="s">
        <v>20</v>
      </c>
      <c r="W2599" s="10" t="s">
        <v>20</v>
      </c>
      <c r="X2599" s="10" t="s">
        <v>20</v>
      </c>
    </row>
    <row r="2600" spans="1:24" ht="42.75">
      <c r="A2600" s="4"/>
      <c r="B2600" s="5"/>
      <c r="C2600" s="11"/>
      <c r="D2600" s="12" t="s">
        <v>23</v>
      </c>
      <c r="E2600" s="13"/>
      <c r="F2600" s="12" t="s">
        <v>175</v>
      </c>
      <c r="G2600" s="13" t="s">
        <v>24</v>
      </c>
      <c r="I2600" s="13" t="s">
        <v>25</v>
      </c>
      <c r="J2600" s="8" t="s">
        <v>26</v>
      </c>
      <c r="K2600" s="13" t="s">
        <v>27</v>
      </c>
      <c r="L2600" s="13" t="s">
        <v>28</v>
      </c>
      <c r="M2600" s="13" t="s">
        <v>29</v>
      </c>
      <c r="N2600" s="13" t="s">
        <v>30</v>
      </c>
      <c r="O2600" s="13" t="s">
        <v>31</v>
      </c>
      <c r="Q2600" s="14">
        <v>4470115</v>
      </c>
      <c r="R2600" s="13" t="s">
        <v>32</v>
      </c>
      <c r="S2600" s="13"/>
      <c r="T2600" s="14">
        <v>4470119</v>
      </c>
      <c r="V2600" s="8" t="s">
        <v>33</v>
      </c>
      <c r="W2600" s="8" t="s">
        <v>34</v>
      </c>
      <c r="X2600" s="81" t="s">
        <v>35</v>
      </c>
    </row>
    <row r="2601" spans="1:23" ht="15">
      <c r="A2601" s="4"/>
      <c r="B2601" s="5"/>
      <c r="C2601" s="11"/>
      <c r="D2601" s="13"/>
      <c r="E2601" s="13"/>
      <c r="F2601" s="13"/>
      <c r="G2601" s="15"/>
      <c r="I2601" s="13"/>
      <c r="J2601" s="13"/>
      <c r="K2601" s="13"/>
      <c r="L2601" s="13"/>
      <c r="M2601" s="13"/>
      <c r="N2601" s="13"/>
      <c r="O2601" s="13"/>
      <c r="Q2601" s="14"/>
      <c r="R2601" s="13"/>
      <c r="S2601" s="14"/>
      <c r="T2601" s="16"/>
      <c r="V2601" s="14"/>
      <c r="W2601" s="13"/>
    </row>
    <row r="2602" spans="1:25" ht="15">
      <c r="A2602" s="4">
        <v>1</v>
      </c>
      <c r="B2602" s="5" t="s">
        <v>36</v>
      </c>
      <c r="C2602" s="17" t="s">
        <v>37</v>
      </c>
      <c r="D2602" s="78">
        <f>8829692.28+16208788.93</f>
        <v>25038481.21</v>
      </c>
      <c r="E2602" s="77"/>
      <c r="F2602" s="93">
        <f>15593004.63+615784.3</f>
        <v>16208788.930000002</v>
      </c>
      <c r="G2602" s="21">
        <f>+D2602-F2602</f>
        <v>8829692.28</v>
      </c>
      <c r="H2602" s="18"/>
      <c r="I2602" s="18">
        <v>0</v>
      </c>
      <c r="J2602" s="18">
        <v>0</v>
      </c>
      <c r="K2602" s="18">
        <v>0</v>
      </c>
      <c r="L2602" s="18">
        <v>-61431.05</v>
      </c>
      <c r="M2602" s="18">
        <v>0</v>
      </c>
      <c r="N2602" s="18">
        <v>0</v>
      </c>
      <c r="O2602" s="18">
        <v>-1641.69</v>
      </c>
      <c r="P2602" s="18"/>
      <c r="Q2602" s="18">
        <v>120.42</v>
      </c>
      <c r="R2602" s="18">
        <v>0</v>
      </c>
      <c r="S2602" s="18"/>
      <c r="T2602" s="18">
        <v>0</v>
      </c>
      <c r="U2602" s="18"/>
      <c r="V2602" s="18">
        <v>0</v>
      </c>
      <c r="W2602" s="18">
        <v>0</v>
      </c>
      <c r="X2602" s="18">
        <v>-1946562.18</v>
      </c>
      <c r="Y2602" s="18"/>
    </row>
    <row r="2603" spans="1:25" ht="15">
      <c r="A2603" s="4">
        <f>+A2602+1</f>
        <v>2</v>
      </c>
      <c r="B2603" s="5" t="s">
        <v>36</v>
      </c>
      <c r="C2603" s="22" t="s">
        <v>38</v>
      </c>
      <c r="D2603" s="78">
        <f>9186190.32+15852291.32</f>
        <v>25038481.64</v>
      </c>
      <c r="E2603" s="19"/>
      <c r="F2603" s="23">
        <f>15252976.81+599314.51</f>
        <v>15852291.32</v>
      </c>
      <c r="G2603" s="21">
        <f>+D2603-F2603</f>
        <v>9186190.32</v>
      </c>
      <c r="H2603" s="18"/>
      <c r="I2603" s="18">
        <v>0</v>
      </c>
      <c r="J2603" s="18">
        <v>0</v>
      </c>
      <c r="K2603" s="18">
        <v>0</v>
      </c>
      <c r="L2603" s="18">
        <v>-58518.93</v>
      </c>
      <c r="M2603" s="18">
        <v>0</v>
      </c>
      <c r="N2603" s="18">
        <v>0</v>
      </c>
      <c r="O2603" s="18">
        <v>0</v>
      </c>
      <c r="P2603" s="18"/>
      <c r="Q2603" s="18">
        <v>0</v>
      </c>
      <c r="R2603" s="18">
        <v>0</v>
      </c>
      <c r="S2603" s="18"/>
      <c r="T2603" s="18">
        <v>0</v>
      </c>
      <c r="U2603" s="18"/>
      <c r="V2603" s="18">
        <v>0</v>
      </c>
      <c r="W2603" s="18">
        <v>0</v>
      </c>
      <c r="X2603" s="18">
        <v>-1949032.87</v>
      </c>
      <c r="Y2603" s="18"/>
    </row>
    <row r="2604" spans="1:25" ht="22.5">
      <c r="A2604" s="4">
        <f>+A2603+1</f>
        <v>3</v>
      </c>
      <c r="B2604" s="24" t="s">
        <v>176</v>
      </c>
      <c r="C2604" s="25" t="s">
        <v>177</v>
      </c>
      <c r="D2604" s="18">
        <f>+D2602-D2603</f>
        <v>-0.4299999997019768</v>
      </c>
      <c r="E2604" s="19"/>
      <c r="F2604" s="26">
        <f>+F2602-F2603</f>
        <v>356497.61000000127</v>
      </c>
      <c r="G2604" s="18">
        <v>0</v>
      </c>
      <c r="H2604" s="18"/>
      <c r="I2604" s="18">
        <f>+I2602-I2603</f>
        <v>0</v>
      </c>
      <c r="J2604" s="18">
        <f>+J2602-J2603</f>
        <v>0</v>
      </c>
      <c r="K2604" s="18">
        <f>+K2602-K2603</f>
        <v>0</v>
      </c>
      <c r="L2604" s="18">
        <f>+L2602-L2603</f>
        <v>-2912.1200000000026</v>
      </c>
      <c r="M2604" s="18">
        <f>+M2602-M2603</f>
        <v>0</v>
      </c>
      <c r="N2604" s="18">
        <f>+N2602-N2603</f>
        <v>0</v>
      </c>
      <c r="O2604" s="18">
        <f>+O2602-O2603</f>
        <v>-1641.69</v>
      </c>
      <c r="P2604" s="18"/>
      <c r="Q2604" s="18">
        <f>+Q2602-Q2603</f>
        <v>120.42</v>
      </c>
      <c r="R2604" s="18">
        <f>+R2602-R2603</f>
        <v>0</v>
      </c>
      <c r="S2604" s="18"/>
      <c r="T2604" s="18">
        <f>+T2602-T2603</f>
        <v>0</v>
      </c>
      <c r="U2604" s="18"/>
      <c r="V2604" s="18">
        <f>+V2602-V2603</f>
        <v>0</v>
      </c>
      <c r="W2604" s="18">
        <f>+W2602-W2603</f>
        <v>0</v>
      </c>
      <c r="X2604" s="18">
        <f>+X2602-X2603</f>
        <v>2470.690000000177</v>
      </c>
      <c r="Y2604" s="18"/>
    </row>
    <row r="2605" spans="1:25" ht="28.5">
      <c r="A2605" s="4">
        <f>+A2604+1</f>
        <v>4</v>
      </c>
      <c r="B2605" s="88" t="s">
        <v>178</v>
      </c>
      <c r="C2605" s="25" t="s">
        <v>179</v>
      </c>
      <c r="D2605" s="18">
        <v>0</v>
      </c>
      <c r="E2605" s="19"/>
      <c r="F2605" s="26">
        <v>0</v>
      </c>
      <c r="G2605" s="18">
        <f>+D2605-F2605</f>
        <v>0</v>
      </c>
      <c r="H2605" s="18"/>
      <c r="I2605" s="27">
        <v>0</v>
      </c>
      <c r="J2605" s="18">
        <v>0</v>
      </c>
      <c r="K2605" s="18">
        <v>0</v>
      </c>
      <c r="L2605" s="18">
        <v>0</v>
      </c>
      <c r="M2605" s="18">
        <v>0</v>
      </c>
      <c r="N2605" s="18">
        <v>0</v>
      </c>
      <c r="O2605" s="18">
        <v>0</v>
      </c>
      <c r="P2605" s="18"/>
      <c r="Q2605" s="18">
        <v>0</v>
      </c>
      <c r="R2605" s="18">
        <v>0</v>
      </c>
      <c r="S2605" s="18"/>
      <c r="T2605" s="18">
        <v>0</v>
      </c>
      <c r="U2605" s="18"/>
      <c r="V2605" s="18">
        <v>0</v>
      </c>
      <c r="W2605" s="18">
        <v>0</v>
      </c>
      <c r="X2605" s="18">
        <v>0</v>
      </c>
      <c r="Y2605" s="18"/>
    </row>
    <row r="2606" spans="1:25" ht="24.75">
      <c r="A2606" s="4">
        <f>+A2605+1</f>
        <v>5</v>
      </c>
      <c r="B2606" s="89" t="s">
        <v>39</v>
      </c>
      <c r="C2606" s="28" t="s">
        <v>40</v>
      </c>
      <c r="D2606" s="27">
        <v>0</v>
      </c>
      <c r="E2606" s="29"/>
      <c r="F2606" s="30">
        <v>0</v>
      </c>
      <c r="G2606" s="31">
        <f>+D2606-F2606</f>
        <v>0</v>
      </c>
      <c r="H2606" s="18"/>
      <c r="I2606" s="27">
        <v>0</v>
      </c>
      <c r="J2606" s="27">
        <v>32.33</v>
      </c>
      <c r="K2606" s="27">
        <v>0</v>
      </c>
      <c r="L2606" s="27">
        <f>58.45-2866.31+17.53+68.02-2602.17</f>
        <v>-5324.48</v>
      </c>
      <c r="M2606" s="27">
        <v>0</v>
      </c>
      <c r="N2606" s="27">
        <v>0</v>
      </c>
      <c r="O2606" s="27">
        <f>-772.96-0.44</f>
        <v>-773.4000000000001</v>
      </c>
      <c r="P2606" s="18"/>
      <c r="Q2606" s="27">
        <f>-10231.41-1639.46+1178.6+2725.99</f>
        <v>-7966.279999999999</v>
      </c>
      <c r="R2606" s="27">
        <v>0</v>
      </c>
      <c r="S2606" s="27"/>
      <c r="T2606" s="27">
        <v>0</v>
      </c>
      <c r="U2606" s="27"/>
      <c r="V2606" s="27">
        <v>0</v>
      </c>
      <c r="W2606" s="27">
        <v>0</v>
      </c>
      <c r="X2606" s="27">
        <v>7805.07</v>
      </c>
      <c r="Y2606" s="18"/>
    </row>
    <row r="2607" spans="1:25" ht="15">
      <c r="A2607" s="6" t="s">
        <v>41</v>
      </c>
      <c r="B2607" s="90"/>
      <c r="C2607" s="11"/>
      <c r="D2607" s="18"/>
      <c r="E2607" s="19"/>
      <c r="F2607" s="18"/>
      <c r="G2607" s="18"/>
      <c r="H2607" s="18"/>
      <c r="I2607" s="18"/>
      <c r="J2607" s="18"/>
      <c r="K2607" s="18"/>
      <c r="L2607" s="18"/>
      <c r="M2607" s="18"/>
      <c r="N2607" s="18"/>
      <c r="O2607" s="18" t="s">
        <v>0</v>
      </c>
      <c r="P2607" s="18"/>
      <c r="Q2607" s="18"/>
      <c r="R2607" s="18"/>
      <c r="S2607" s="18"/>
      <c r="T2607" s="18"/>
      <c r="U2607" s="18"/>
      <c r="V2607" s="18"/>
      <c r="W2607" s="18"/>
      <c r="X2607" s="18"/>
      <c r="Y2607" s="18"/>
    </row>
    <row r="2608" spans="1:25" ht="15">
      <c r="A2608" s="4">
        <f>+A2606+1</f>
        <v>6</v>
      </c>
      <c r="B2608" s="5" t="s">
        <v>42</v>
      </c>
      <c r="C2608" s="22" t="s">
        <v>38</v>
      </c>
      <c r="D2608" s="27">
        <f>7976482.48+17643857.05</f>
        <v>25620339.53</v>
      </c>
      <c r="E2608" s="19"/>
      <c r="F2608" s="23">
        <f>16985884.52+657972.53</f>
        <v>17643857.05</v>
      </c>
      <c r="G2608" s="18">
        <f>+D2608-F2608</f>
        <v>7976482.48</v>
      </c>
      <c r="H2608" s="18"/>
      <c r="I2608" s="18">
        <v>0</v>
      </c>
      <c r="J2608" s="18">
        <v>0</v>
      </c>
      <c r="K2608" s="18">
        <v>0</v>
      </c>
      <c r="L2608" s="18">
        <v>-62049.42</v>
      </c>
      <c r="M2608" s="18">
        <v>0</v>
      </c>
      <c r="N2608" s="18">
        <v>0</v>
      </c>
      <c r="O2608" s="18">
        <v>51.38</v>
      </c>
      <c r="P2608" s="18"/>
      <c r="Q2608" s="18">
        <v>0</v>
      </c>
      <c r="R2608" s="18">
        <v>0</v>
      </c>
      <c r="S2608" s="18"/>
      <c r="T2608" s="18">
        <v>0</v>
      </c>
      <c r="U2608" s="18"/>
      <c r="V2608" s="18">
        <v>0</v>
      </c>
      <c r="W2608" s="18">
        <v>0</v>
      </c>
      <c r="X2608" s="18">
        <v>-549745.24</v>
      </c>
      <c r="Y2608" s="18"/>
    </row>
    <row r="2609" spans="1:25" ht="15">
      <c r="A2609" s="4">
        <f>+A2608+1</f>
        <v>7</v>
      </c>
      <c r="B2609" s="5" t="s">
        <v>43</v>
      </c>
      <c r="C2609" s="11"/>
      <c r="E2609" s="19"/>
      <c r="F2609" s="23">
        <v>0</v>
      </c>
      <c r="G2609" s="18">
        <f>+D2608-F2609</f>
        <v>25620339.53</v>
      </c>
      <c r="H2609" s="18"/>
      <c r="I2609" s="18">
        <v>0</v>
      </c>
      <c r="J2609" s="18">
        <v>0</v>
      </c>
      <c r="K2609" s="18">
        <v>0</v>
      </c>
      <c r="L2609" s="18">
        <v>0</v>
      </c>
      <c r="M2609" s="18">
        <v>0</v>
      </c>
      <c r="N2609" s="18">
        <v>0</v>
      </c>
      <c r="O2609" s="31">
        <v>0</v>
      </c>
      <c r="P2609" s="18"/>
      <c r="Q2609" s="18">
        <v>0</v>
      </c>
      <c r="R2609" s="18">
        <v>0</v>
      </c>
      <c r="S2609" s="18"/>
      <c r="T2609" s="18">
        <v>0</v>
      </c>
      <c r="U2609" s="18"/>
      <c r="V2609" s="18">
        <v>0</v>
      </c>
      <c r="W2609" s="18">
        <v>0</v>
      </c>
      <c r="X2609" s="18">
        <v>0</v>
      </c>
      <c r="Y2609" s="18"/>
    </row>
    <row r="2610" spans="1:25" ht="35.25">
      <c r="A2610" s="4">
        <f>+A2609+1</f>
        <v>8</v>
      </c>
      <c r="B2610" s="24" t="s">
        <v>180</v>
      </c>
      <c r="C2610" s="32" t="s">
        <v>44</v>
      </c>
      <c r="D2610" s="33">
        <v>25620339.53</v>
      </c>
      <c r="E2610" s="34"/>
      <c r="F2610" s="91">
        <f>16985884.52+657972.53</f>
        <v>17643857.05</v>
      </c>
      <c r="G2610" s="18">
        <f>+G2608-G2609</f>
        <v>-17643857.05</v>
      </c>
      <c r="H2610" s="18"/>
      <c r="I2610" s="18">
        <f aca="true" t="shared" si="299" ref="I2610:O2610">+I2608-I2609</f>
        <v>0</v>
      </c>
      <c r="J2610" s="18">
        <f t="shared" si="299"/>
        <v>0</v>
      </c>
      <c r="K2610" s="18">
        <f t="shared" si="299"/>
        <v>0</v>
      </c>
      <c r="L2610" s="18">
        <f t="shared" si="299"/>
        <v>-62049.42</v>
      </c>
      <c r="M2610" s="18">
        <f t="shared" si="299"/>
        <v>0</v>
      </c>
      <c r="N2610" s="18">
        <f t="shared" si="299"/>
        <v>0</v>
      </c>
      <c r="O2610" s="18">
        <f t="shared" si="299"/>
        <v>51.38</v>
      </c>
      <c r="P2610" s="18"/>
      <c r="Q2610" s="18">
        <f>+Q2608-Q2609</f>
        <v>0</v>
      </c>
      <c r="R2610" s="18">
        <f>+R2608-R2609</f>
        <v>0</v>
      </c>
      <c r="S2610" s="18"/>
      <c r="T2610" s="18">
        <f>+T2608-T2609</f>
        <v>0</v>
      </c>
      <c r="U2610" s="18"/>
      <c r="V2610" s="18">
        <f>+V2608-V2609</f>
        <v>0</v>
      </c>
      <c r="W2610" s="18">
        <f>+W2608-W2609</f>
        <v>0</v>
      </c>
      <c r="X2610" s="18">
        <f>+X2608-X2609</f>
        <v>-549745.24</v>
      </c>
      <c r="Y2610" s="18"/>
    </row>
    <row r="2611" spans="1:25" ht="28.5">
      <c r="A2611" s="4">
        <f>+A2610+1</f>
        <v>9</v>
      </c>
      <c r="B2611" s="88" t="s">
        <v>181</v>
      </c>
      <c r="C2611" s="35" t="s">
        <v>45</v>
      </c>
      <c r="D2611" s="18">
        <v>0</v>
      </c>
      <c r="E2611" s="19"/>
      <c r="F2611" s="31">
        <v>0</v>
      </c>
      <c r="G2611" s="31">
        <f>+D2611-F2611</f>
        <v>0</v>
      </c>
      <c r="H2611" s="18"/>
      <c r="I2611" s="18">
        <v>0</v>
      </c>
      <c r="J2611" s="18">
        <v>0</v>
      </c>
      <c r="K2611" s="18">
        <v>0</v>
      </c>
      <c r="L2611" s="18">
        <v>0</v>
      </c>
      <c r="M2611" s="18">
        <v>0</v>
      </c>
      <c r="N2611" s="18">
        <v>0</v>
      </c>
      <c r="O2611" s="31">
        <v>0</v>
      </c>
      <c r="P2611" s="18"/>
      <c r="Q2611" s="18">
        <v>0</v>
      </c>
      <c r="R2611" s="18">
        <v>0</v>
      </c>
      <c r="S2611" s="18"/>
      <c r="T2611" s="18">
        <v>0</v>
      </c>
      <c r="U2611" s="18"/>
      <c r="V2611" s="18">
        <v>0</v>
      </c>
      <c r="W2611" s="18">
        <v>0</v>
      </c>
      <c r="X2611" s="18">
        <v>0</v>
      </c>
      <c r="Y2611" s="18"/>
    </row>
    <row r="2612" spans="1:25" ht="15">
      <c r="A2612" s="4">
        <f>+A2611+1</f>
        <v>10</v>
      </c>
      <c r="B2612" s="24" t="s">
        <v>46</v>
      </c>
      <c r="C2612" s="11" t="s">
        <v>47</v>
      </c>
      <c r="D2612" s="36">
        <f>+D2604+D2605+D2606+D2610+D2611</f>
        <v>25620339.1</v>
      </c>
      <c r="E2612" s="19"/>
      <c r="F2612" s="36">
        <f>+F2604+F2605+F2606+F2610+F2611</f>
        <v>18000354.660000004</v>
      </c>
      <c r="G2612" s="18">
        <f>+G2604+G2605+G2610+G2611+G2606</f>
        <v>-17643857.05</v>
      </c>
      <c r="H2612" s="18"/>
      <c r="I2612" s="18">
        <f>+I2604+I2605+I2610+I2611+I2606</f>
        <v>0</v>
      </c>
      <c r="J2612" s="21">
        <f>+J2604+J2605+J2610+J2611+J2606</f>
        <v>32.33</v>
      </c>
      <c r="K2612" s="18">
        <f>+K2604+K2605+K2610+K2611+K2606</f>
        <v>0</v>
      </c>
      <c r="L2612" s="18">
        <f>+L2604+L2605+L2610+L2611+L2606</f>
        <v>-70286.02</v>
      </c>
      <c r="M2612" s="18">
        <f>+M2604+M2605+M2610+M2611+M2606</f>
        <v>0</v>
      </c>
      <c r="N2612" s="18">
        <f>+N2604+N2605+N2610+N2611+N2606</f>
        <v>0</v>
      </c>
      <c r="O2612" s="18">
        <f>+O2604+O2605+O2610+O2611+O2606</f>
        <v>-2363.71</v>
      </c>
      <c r="P2612" s="18"/>
      <c r="Q2612" s="18">
        <f>+Q2604+Q2605+Q2610+Q2611+Q2606</f>
        <v>-7845.859999999999</v>
      </c>
      <c r="R2612" s="18">
        <f>+R2604+R2605+R2610+R2611+R2606</f>
        <v>0</v>
      </c>
      <c r="S2612" s="18"/>
      <c r="T2612" s="18">
        <f>+T2604+T2605+T2610+T2611+T2606</f>
        <v>0</v>
      </c>
      <c r="U2612" s="18"/>
      <c r="V2612" s="18">
        <f>+V2604+V2605+V2610+V2611+V2606</f>
        <v>0</v>
      </c>
      <c r="W2612" s="18">
        <f>+W2604+W2605+W2610+W2611+W2606</f>
        <v>0</v>
      </c>
      <c r="X2612" s="18">
        <f>+X2604+X2605+X2610+X2611+X2606</f>
        <v>-539469.4799999999</v>
      </c>
      <c r="Y2612" s="18"/>
    </row>
    <row r="2613" spans="1:25" ht="15">
      <c r="A2613" s="4"/>
      <c r="B2613" s="24"/>
      <c r="C2613" s="11" t="s">
        <v>0</v>
      </c>
      <c r="D2613" s="27"/>
      <c r="E2613" s="18"/>
      <c r="F2613" s="36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  <c r="W2613" s="18"/>
      <c r="X2613" s="18"/>
      <c r="Y2613" s="18"/>
    </row>
    <row r="2614" spans="1:25" ht="15">
      <c r="A2614" s="4"/>
      <c r="B2614" s="94" t="s">
        <v>0</v>
      </c>
      <c r="C2614" s="37" t="s">
        <v>0</v>
      </c>
      <c r="D2614" s="27"/>
      <c r="E2614" s="18"/>
      <c r="F2614" s="92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8"/>
      <c r="S2614" s="18"/>
      <c r="T2614" s="18"/>
      <c r="U2614" s="18"/>
      <c r="V2614" s="18"/>
      <c r="W2614" s="18"/>
      <c r="X2614" s="18"/>
      <c r="Y2614" s="18"/>
    </row>
    <row r="2615" spans="1:25" ht="15">
      <c r="A2615" s="4"/>
      <c r="B2615" s="24"/>
      <c r="C2615" s="11"/>
      <c r="D2615" s="6" t="s">
        <v>48</v>
      </c>
      <c r="E2615" s="6"/>
      <c r="F2615" s="10" t="s">
        <v>49</v>
      </c>
      <c r="G2615" s="10" t="s">
        <v>50</v>
      </c>
      <c r="I2615" s="10" t="s">
        <v>51</v>
      </c>
      <c r="J2615" s="10" t="s">
        <v>52</v>
      </c>
      <c r="K2615" s="10" t="s">
        <v>53</v>
      </c>
      <c r="L2615" s="10" t="s">
        <v>54</v>
      </c>
      <c r="M2615" s="10" t="s">
        <v>55</v>
      </c>
      <c r="N2615" s="10" t="s">
        <v>56</v>
      </c>
      <c r="O2615" s="10" t="s">
        <v>57</v>
      </c>
      <c r="P2615" s="18"/>
      <c r="Q2615" s="10" t="s">
        <v>58</v>
      </c>
      <c r="R2615" s="10" t="s">
        <v>59</v>
      </c>
      <c r="S2615" s="10"/>
      <c r="T2615" s="10" t="s">
        <v>60</v>
      </c>
      <c r="U2615" s="18"/>
      <c r="V2615" s="10" t="s">
        <v>61</v>
      </c>
      <c r="W2615" s="10" t="s">
        <v>62</v>
      </c>
      <c r="X2615" s="10" t="s">
        <v>63</v>
      </c>
      <c r="Y2615" s="18"/>
    </row>
    <row r="2616" spans="1:25" ht="15">
      <c r="A2616" s="4"/>
      <c r="B2616"/>
      <c r="C2616" s="11"/>
      <c r="D2616" s="10" t="s">
        <v>20</v>
      </c>
      <c r="E2616" s="38"/>
      <c r="F2616" s="10" t="s">
        <v>20</v>
      </c>
      <c r="G2616" s="10" t="s">
        <v>20</v>
      </c>
      <c r="I2616" s="10" t="s">
        <v>20</v>
      </c>
      <c r="J2616" s="10" t="s">
        <v>20</v>
      </c>
      <c r="K2616" s="10" t="s">
        <v>20</v>
      </c>
      <c r="L2616" s="10" t="s">
        <v>20</v>
      </c>
      <c r="M2616" s="10" t="s">
        <v>20</v>
      </c>
      <c r="N2616" s="10" t="s">
        <v>20</v>
      </c>
      <c r="O2616" s="10" t="s">
        <v>20</v>
      </c>
      <c r="P2616" s="18"/>
      <c r="Q2616" s="10" t="s">
        <v>20</v>
      </c>
      <c r="R2616" s="10" t="s">
        <v>20</v>
      </c>
      <c r="S2616" s="14"/>
      <c r="T2616" s="10" t="s">
        <v>20</v>
      </c>
      <c r="U2616" s="18"/>
      <c r="W2616" s="39" t="s">
        <v>64</v>
      </c>
      <c r="Y2616" s="18"/>
    </row>
    <row r="2617" spans="1:25" ht="15">
      <c r="A2617" s="4"/>
      <c r="B2617" s="87" t="s">
        <v>174</v>
      </c>
      <c r="C2617" s="11"/>
      <c r="D2617" s="8" t="s">
        <v>155</v>
      </c>
      <c r="E2617" s="6"/>
      <c r="F2617" s="8" t="s">
        <v>66</v>
      </c>
      <c r="G2617" s="8" t="s">
        <v>67</v>
      </c>
      <c r="H2617" s="19"/>
      <c r="I2617" s="8" t="s">
        <v>68</v>
      </c>
      <c r="J2617" s="8" t="s">
        <v>69</v>
      </c>
      <c r="K2617" s="8" t="s">
        <v>70</v>
      </c>
      <c r="L2617" s="8" t="s">
        <v>71</v>
      </c>
      <c r="M2617" s="8" t="s">
        <v>72</v>
      </c>
      <c r="N2617" s="8" t="s">
        <v>73</v>
      </c>
      <c r="O2617" s="8" t="s">
        <v>74</v>
      </c>
      <c r="P2617" s="6"/>
      <c r="Q2617" s="8" t="s">
        <v>75</v>
      </c>
      <c r="R2617" s="8" t="s">
        <v>76</v>
      </c>
      <c r="S2617" s="8"/>
      <c r="T2617" s="8" t="s">
        <v>77</v>
      </c>
      <c r="U2617" s="18"/>
      <c r="V2617" s="10" t="s">
        <v>20</v>
      </c>
      <c r="W2617" s="14" t="s">
        <v>21</v>
      </c>
      <c r="X2617" s="10" t="s">
        <v>22</v>
      </c>
      <c r="Y2617" s="18"/>
    </row>
    <row r="2618" spans="1:8" ht="15">
      <c r="A2618" s="4"/>
      <c r="B2618" s="24"/>
      <c r="C2618" s="11"/>
      <c r="E2618" s="14"/>
      <c r="F2618"/>
      <c r="H2618" s="18"/>
    </row>
    <row r="2619" spans="1:24" ht="15">
      <c r="A2619" s="4">
        <f>+A2612+1</f>
        <v>11</v>
      </c>
      <c r="B2619" s="5" t="s">
        <v>36</v>
      </c>
      <c r="C2619" s="17" t="s">
        <v>37</v>
      </c>
      <c r="D2619" s="18">
        <v>645.42</v>
      </c>
      <c r="E2619" s="18"/>
      <c r="F2619" s="18">
        <v>0</v>
      </c>
      <c r="G2619" s="18">
        <v>0</v>
      </c>
      <c r="I2619" s="27">
        <v>-18655.54</v>
      </c>
      <c r="J2619" s="18">
        <v>0</v>
      </c>
      <c r="K2619" s="18">
        <v>0</v>
      </c>
      <c r="L2619" s="18">
        <v>0</v>
      </c>
      <c r="M2619" s="18">
        <v>138397.39</v>
      </c>
      <c r="N2619" s="18">
        <v>-1322632.14</v>
      </c>
      <c r="O2619" s="18">
        <v>0.21</v>
      </c>
      <c r="Q2619" s="18">
        <v>0</v>
      </c>
      <c r="R2619" s="18">
        <v>0</v>
      </c>
      <c r="S2619" s="18"/>
      <c r="T2619" s="18">
        <v>0</v>
      </c>
      <c r="V2619" s="18">
        <f>+D2602+I2602+J2602+K2602+L2602+M2602+N2602+O2602+Q2602+R2602+T2602+V2602+W2602+X2602+D2619+F2619+G2619+I2619+J2619+K2619+L2619+M2619+N2619+O2619+Q2619+R2619+T2619</f>
        <v>21826722.050000004</v>
      </c>
      <c r="W2619" s="18">
        <f>+F2602</f>
        <v>16208788.930000002</v>
      </c>
      <c r="X2619" s="18">
        <f>+V2619-W2619</f>
        <v>5617933.120000003</v>
      </c>
    </row>
    <row r="2620" spans="1:24" ht="15">
      <c r="A2620" s="4">
        <f>+A2619+1</f>
        <v>12</v>
      </c>
      <c r="B2620" s="5" t="s">
        <v>36</v>
      </c>
      <c r="C2620" s="22" t="s">
        <v>38</v>
      </c>
      <c r="D2620" s="18">
        <v>645.42</v>
      </c>
      <c r="E2620" s="18"/>
      <c r="F2620" s="18">
        <v>0</v>
      </c>
      <c r="G2620" s="18">
        <v>0</v>
      </c>
      <c r="I2620" s="27">
        <v>-17803.41</v>
      </c>
      <c r="J2620" s="18">
        <v>0</v>
      </c>
      <c r="K2620" s="18">
        <v>0</v>
      </c>
      <c r="L2620" s="18">
        <v>0</v>
      </c>
      <c r="M2620" s="18">
        <v>133757.57</v>
      </c>
      <c r="N2620" s="18">
        <v>-1325027.2</v>
      </c>
      <c r="O2620" s="18">
        <v>0.21</v>
      </c>
      <c r="Q2620" s="18">
        <v>0</v>
      </c>
      <c r="R2620" s="18">
        <v>0</v>
      </c>
      <c r="S2620" s="18"/>
      <c r="T2620" s="18">
        <v>0</v>
      </c>
      <c r="V2620" s="18">
        <f>+D2603+I2603+J2603+K2603+L2603+M2603+N2603+O2603+Q2603+R2603+T2603+V2603+W2603+X2603+D2620+F2620+G2620+I2620+J2620+K2620+L2620+M2620+N2620+O2620+Q2620+R2620+T2620</f>
        <v>21822502.430000003</v>
      </c>
      <c r="W2620" s="18">
        <f>+F2603</f>
        <v>15852291.32</v>
      </c>
      <c r="X2620" s="18">
        <f>+V2620-W2620</f>
        <v>5970211.110000003</v>
      </c>
    </row>
    <row r="2621" spans="1:24" ht="15">
      <c r="A2621" s="4">
        <f>+A2620+1</f>
        <v>13</v>
      </c>
      <c r="B2621" s="24" t="s">
        <v>46</v>
      </c>
      <c r="C2621" s="40" t="s">
        <v>78</v>
      </c>
      <c r="D2621" s="18">
        <f>+D2619-D2620</f>
        <v>0</v>
      </c>
      <c r="E2621" s="18"/>
      <c r="F2621" s="18">
        <f>+F2619-F2620</f>
        <v>0</v>
      </c>
      <c r="G2621" s="18">
        <f>+G2619-G2620</f>
        <v>0</v>
      </c>
      <c r="I2621" s="18">
        <f>+I2619-I2620</f>
        <v>-852.130000000001</v>
      </c>
      <c r="J2621" s="18">
        <f>+J2619-J2620</f>
        <v>0</v>
      </c>
      <c r="K2621" s="18">
        <f>+K2619-K2620</f>
        <v>0</v>
      </c>
      <c r="L2621" s="18">
        <f>+L2619-L2620</f>
        <v>0</v>
      </c>
      <c r="M2621" s="18">
        <f>+M2619-M2620</f>
        <v>4639.820000000007</v>
      </c>
      <c r="N2621" s="18">
        <f>+N2619-N2620</f>
        <v>2395.060000000056</v>
      </c>
      <c r="O2621" s="18">
        <f>+O2619-O2620</f>
        <v>0</v>
      </c>
      <c r="Q2621" s="18">
        <f>+Q2619-Q2620</f>
        <v>0</v>
      </c>
      <c r="R2621" s="18">
        <f>+R2619-R2620</f>
        <v>0</v>
      </c>
      <c r="S2621" s="18"/>
      <c r="T2621" s="18">
        <f>+T2619-T2620</f>
        <v>0</v>
      </c>
      <c r="V2621" s="27">
        <f>+V2619-V2620</f>
        <v>4219.620000001043</v>
      </c>
      <c r="W2621" s="27">
        <f>+W2619-W2620</f>
        <v>356497.61000000127</v>
      </c>
      <c r="X2621" s="18">
        <f>+X2619-X2620</f>
        <v>-352277.9900000002</v>
      </c>
    </row>
    <row r="2622" spans="1:24" ht="28.5">
      <c r="A2622" s="4">
        <f>+A2621+1</f>
        <v>14</v>
      </c>
      <c r="B2622" s="88" t="s">
        <v>182</v>
      </c>
      <c r="C2622" s="11"/>
      <c r="D2622" s="18">
        <v>0</v>
      </c>
      <c r="E2622" s="18"/>
      <c r="F2622" s="18">
        <v>0</v>
      </c>
      <c r="G2622" s="18">
        <v>0</v>
      </c>
      <c r="I2622" s="18">
        <v>0</v>
      </c>
      <c r="J2622" s="18">
        <v>0</v>
      </c>
      <c r="K2622" s="18">
        <v>0</v>
      </c>
      <c r="L2622" s="18">
        <v>0</v>
      </c>
      <c r="M2622" s="18">
        <v>0</v>
      </c>
      <c r="N2622" s="18">
        <v>0</v>
      </c>
      <c r="O2622" s="18">
        <v>0</v>
      </c>
      <c r="Q2622" s="18">
        <v>0</v>
      </c>
      <c r="R2622" s="18">
        <v>0</v>
      </c>
      <c r="S2622" s="18"/>
      <c r="T2622" s="18">
        <v>0</v>
      </c>
      <c r="V2622" s="18">
        <f>+D2605+I2605+J2605+K2605+L2605+M2605+N2605+O2605+Q2605+R2605+T2605+V2605+W2605+X2605+D2622+F2622+G2622+I2622+J2622+K2622+L2622+M2622+N2622+O2622+Q2622+R2622+T2622</f>
        <v>0</v>
      </c>
      <c r="W2622" s="18">
        <f>+F2605</f>
        <v>0</v>
      </c>
      <c r="X2622" s="18">
        <f>+V2622-W2622</f>
        <v>0</v>
      </c>
    </row>
    <row r="2623" spans="1:24" ht="24.75">
      <c r="A2623" s="4">
        <f>+A2622+1</f>
        <v>15</v>
      </c>
      <c r="B2623" s="89" t="s">
        <v>39</v>
      </c>
      <c r="C2623" s="40"/>
      <c r="D2623" s="27">
        <v>0</v>
      </c>
      <c r="E2623" s="18" t="s">
        <v>0</v>
      </c>
      <c r="F2623" s="27">
        <v>0</v>
      </c>
      <c r="G2623" s="27">
        <v>0</v>
      </c>
      <c r="H2623" t="s">
        <v>0</v>
      </c>
      <c r="I2623" s="27">
        <v>-302.59</v>
      </c>
      <c r="J2623" s="27">
        <v>0</v>
      </c>
      <c r="K2623" s="27">
        <v>0</v>
      </c>
      <c r="L2623" s="27">
        <v>0</v>
      </c>
      <c r="M2623" s="27">
        <v>0</v>
      </c>
      <c r="N2623" s="27">
        <v>0</v>
      </c>
      <c r="O2623" s="27">
        <v>0</v>
      </c>
      <c r="Q2623" s="27">
        <v>0</v>
      </c>
      <c r="R2623" s="27">
        <v>0</v>
      </c>
      <c r="S2623" s="27"/>
      <c r="T2623" s="27">
        <v>0</v>
      </c>
      <c r="V2623" s="18">
        <f>+D2606+I2606+J2606+K2606+L2606+M2606+N2606+O2606+Q2606+R2606+T2606+V2606+W2606+X2606+D2623+F2623+G2623+I2623+J2623+K2623+L2623+M2623+N2623+O2623+Q2623+R2623+T2623</f>
        <v>-6529.3499999999985</v>
      </c>
      <c r="W2623" s="18">
        <f>+F2606</f>
        <v>0</v>
      </c>
      <c r="X2623" s="18">
        <f>+V2623-W2623</f>
        <v>-6529.3499999999985</v>
      </c>
    </row>
    <row r="2624" spans="1:24" ht="15">
      <c r="A2624" s="6" t="s">
        <v>41</v>
      </c>
      <c r="B2624" s="41"/>
      <c r="C2624" s="40"/>
      <c r="D2624" s="18"/>
      <c r="E2624" s="18"/>
      <c r="F2624" s="18"/>
      <c r="G2624" s="18"/>
      <c r="I2624" s="18"/>
      <c r="J2624" s="18"/>
      <c r="K2624" s="18"/>
      <c r="L2624" s="18"/>
      <c r="M2624" s="18"/>
      <c r="N2624" s="18"/>
      <c r="O2624" s="18"/>
      <c r="Q2624" s="18"/>
      <c r="R2624" s="18"/>
      <c r="S2624" s="18"/>
      <c r="T2624" s="18"/>
      <c r="V2624" s="18"/>
      <c r="W2624" s="18"/>
      <c r="X2624" s="18"/>
    </row>
    <row r="2625" spans="1:24" ht="15">
      <c r="A2625" s="4">
        <f>+A2623+1</f>
        <v>16</v>
      </c>
      <c r="B2625" s="5" t="s">
        <v>42</v>
      </c>
      <c r="C2625" s="22" t="s">
        <v>38</v>
      </c>
      <c r="D2625" s="18">
        <v>20603.09</v>
      </c>
      <c r="E2625" s="18"/>
      <c r="F2625" s="18">
        <v>0</v>
      </c>
      <c r="G2625" s="18">
        <v>0</v>
      </c>
      <c r="I2625" s="27">
        <v>0</v>
      </c>
      <c r="J2625" s="18">
        <v>0</v>
      </c>
      <c r="K2625" s="18">
        <v>0</v>
      </c>
      <c r="L2625" s="18">
        <v>0</v>
      </c>
      <c r="M2625" s="18">
        <v>112017.71</v>
      </c>
      <c r="N2625" s="18">
        <v>-1062363.66</v>
      </c>
      <c r="O2625" s="18">
        <v>0.21</v>
      </c>
      <c r="P2625" s="18"/>
      <c r="Q2625" s="18">
        <v>0</v>
      </c>
      <c r="R2625" s="18">
        <v>0</v>
      </c>
      <c r="S2625" s="18"/>
      <c r="T2625" s="18">
        <v>0</v>
      </c>
      <c r="U2625" s="18"/>
      <c r="V2625" s="18">
        <f>+D2608+I2608+J2608+K2608+L2608+M2608+N2608+O2608+Q2608+R2608+T2608+V2608+W2608+X2608+D2625+F2625+G2625+I2625+J2625+K2625+L2625+M2625+N2625+O2625+Q2625+R2625+T2625</f>
        <v>24078853.6</v>
      </c>
      <c r="W2625" s="18">
        <f>+F2608</f>
        <v>17643857.05</v>
      </c>
      <c r="X2625" s="18">
        <f>+V2625-W2625</f>
        <v>6434996.550000001</v>
      </c>
    </row>
    <row r="2626" spans="1:24" ht="15">
      <c r="A2626" s="4">
        <f>+A2625+1</f>
        <v>17</v>
      </c>
      <c r="B2626" s="5" t="s">
        <v>43</v>
      </c>
      <c r="C2626" s="11"/>
      <c r="D2626" s="18">
        <v>0</v>
      </c>
      <c r="E2626" s="18"/>
      <c r="F2626" s="18">
        <v>0</v>
      </c>
      <c r="G2626" s="18">
        <v>0</v>
      </c>
      <c r="I2626" s="27">
        <v>0</v>
      </c>
      <c r="J2626" s="18">
        <v>0</v>
      </c>
      <c r="K2626" s="18">
        <v>0</v>
      </c>
      <c r="L2626" s="18">
        <v>0</v>
      </c>
      <c r="M2626" s="18">
        <v>0</v>
      </c>
      <c r="N2626" s="18">
        <v>0</v>
      </c>
      <c r="O2626" s="18">
        <v>0</v>
      </c>
      <c r="P2626" s="18"/>
      <c r="Q2626" s="18">
        <v>0</v>
      </c>
      <c r="R2626" s="18">
        <v>0</v>
      </c>
      <c r="S2626" s="18"/>
      <c r="T2626" s="18">
        <v>0</v>
      </c>
      <c r="U2626" s="18"/>
      <c r="V2626" s="18">
        <f>+D2609+I2609+J2609+K2609+L2609+M2609+N2609+O2609+Q2609+R2609+T2609+V2609+W2609+X2609+D2626+F2626+G2626+I2626+J2626+K2626+L2626+M2626+N2626+O2626+Q2626+R2626+T2626</f>
        <v>0</v>
      </c>
      <c r="W2626" s="18">
        <f>+F2609</f>
        <v>0</v>
      </c>
      <c r="X2626" s="18">
        <f>+V2626-W2626</f>
        <v>0</v>
      </c>
    </row>
    <row r="2627" spans="1:24" ht="26.25">
      <c r="A2627" s="4">
        <f>+A2626+1</f>
        <v>18</v>
      </c>
      <c r="B2627" s="24" t="s">
        <v>79</v>
      </c>
      <c r="C2627" s="11"/>
      <c r="D2627" s="18">
        <f>+D2625-D2626</f>
        <v>20603.09</v>
      </c>
      <c r="E2627" s="18"/>
      <c r="F2627" s="18">
        <f>+F2625-F2626</f>
        <v>0</v>
      </c>
      <c r="G2627" s="18">
        <f>+G2625-G2626</f>
        <v>0</v>
      </c>
      <c r="I2627" s="18">
        <f aca="true" t="shared" si="300" ref="I2627:O2627">+I2625-I2626</f>
        <v>0</v>
      </c>
      <c r="J2627" s="18">
        <f t="shared" si="300"/>
        <v>0</v>
      </c>
      <c r="K2627" s="18">
        <f t="shared" si="300"/>
        <v>0</v>
      </c>
      <c r="L2627" s="18">
        <f t="shared" si="300"/>
        <v>0</v>
      </c>
      <c r="M2627" s="18">
        <f t="shared" si="300"/>
        <v>112017.71</v>
      </c>
      <c r="N2627" s="18">
        <f t="shared" si="300"/>
        <v>-1062363.66</v>
      </c>
      <c r="O2627" s="18">
        <f t="shared" si="300"/>
        <v>0.21</v>
      </c>
      <c r="P2627" s="18"/>
      <c r="Q2627" s="18">
        <f>+Q2625-Q2626</f>
        <v>0</v>
      </c>
      <c r="R2627" s="18">
        <f>+R2625-R2626</f>
        <v>0</v>
      </c>
      <c r="S2627" s="18"/>
      <c r="T2627" s="18">
        <f>+T2625-T2626</f>
        <v>0</v>
      </c>
      <c r="U2627" s="18"/>
      <c r="V2627" s="27">
        <f>+V2625-V2626</f>
        <v>24078853.6</v>
      </c>
      <c r="W2627" s="27">
        <f>+W2625-W2626</f>
        <v>17643857.05</v>
      </c>
      <c r="X2627" s="18">
        <f>+X2625-X2626</f>
        <v>6434996.550000001</v>
      </c>
    </row>
    <row r="2628" spans="1:24" ht="28.5">
      <c r="A2628" s="4">
        <f>+A2627+1</f>
        <v>19</v>
      </c>
      <c r="B2628" s="88" t="s">
        <v>181</v>
      </c>
      <c r="C2628" s="11"/>
      <c r="D2628" s="18">
        <v>0</v>
      </c>
      <c r="E2628" s="18"/>
      <c r="F2628" s="18">
        <v>0</v>
      </c>
      <c r="G2628" s="18">
        <v>0</v>
      </c>
      <c r="I2628" s="18">
        <v>0</v>
      </c>
      <c r="J2628" s="18">
        <v>0</v>
      </c>
      <c r="K2628" s="18">
        <v>0</v>
      </c>
      <c r="L2628" s="18">
        <v>0</v>
      </c>
      <c r="M2628" s="18">
        <v>0</v>
      </c>
      <c r="N2628" s="18">
        <v>0</v>
      </c>
      <c r="O2628" s="18">
        <v>0</v>
      </c>
      <c r="P2628" s="18"/>
      <c r="Q2628" s="18">
        <v>0</v>
      </c>
      <c r="R2628" s="18">
        <v>0</v>
      </c>
      <c r="S2628" s="18"/>
      <c r="T2628" s="18">
        <v>0</v>
      </c>
      <c r="U2628" s="18"/>
      <c r="V2628" s="18">
        <f>+D2611+I2611+J2611+K2611+L2611+M2611+N2611+O2611+Q2611+R2611+T2611+V2611+W2611+X2611+D2628+F2628+G2628+I2628+J2628+K2628+L2628+M2628+N2628+O2628+Q2628+R2628+T2628</f>
        <v>0</v>
      </c>
      <c r="W2628" s="18">
        <f>+F2611+K2628+L2628+M2628+N2628+O2628+Q2628+R2628+T2628</f>
        <v>0</v>
      </c>
      <c r="X2628" s="18">
        <f>+V2628-W2628</f>
        <v>0</v>
      </c>
    </row>
    <row r="2629" spans="1:24" ht="15">
      <c r="A2629" s="4">
        <f>+A2628+1</f>
        <v>20</v>
      </c>
      <c r="B2629" s="24" t="s">
        <v>46</v>
      </c>
      <c r="C2629" s="11" t="s">
        <v>47</v>
      </c>
      <c r="D2629" s="18">
        <f>+D2621+D2622+D2627+D2628+D2623</f>
        <v>20603.09</v>
      </c>
      <c r="E2629" s="18"/>
      <c r="F2629" s="18">
        <f>+F2621+F2622+F2627+F2628+F2623</f>
        <v>0</v>
      </c>
      <c r="G2629" s="18">
        <f>+G2621+G2622+G2627+G2628+G2623</f>
        <v>0</v>
      </c>
      <c r="I2629" s="18">
        <f aca="true" t="shared" si="301" ref="I2629:O2629">+I2621+I2622+I2627+I2628+I2623</f>
        <v>-1154.720000000001</v>
      </c>
      <c r="J2629" s="18">
        <f t="shared" si="301"/>
        <v>0</v>
      </c>
      <c r="K2629" s="18">
        <f t="shared" si="301"/>
        <v>0</v>
      </c>
      <c r="L2629" s="18">
        <f t="shared" si="301"/>
        <v>0</v>
      </c>
      <c r="M2629" s="18">
        <f t="shared" si="301"/>
        <v>116657.53000000001</v>
      </c>
      <c r="N2629" s="18">
        <f t="shared" si="301"/>
        <v>-1059968.5999999999</v>
      </c>
      <c r="O2629" s="18">
        <f t="shared" si="301"/>
        <v>0.21</v>
      </c>
      <c r="P2629" s="42"/>
      <c r="Q2629" s="18">
        <f>+Q2621+Q2622+Q2627+Q2628+Q2623</f>
        <v>0</v>
      </c>
      <c r="R2629" s="18">
        <f>+R2621+R2622+R2627+R2628+R2623</f>
        <v>0</v>
      </c>
      <c r="S2629" s="18"/>
      <c r="T2629" s="18">
        <f>+T2621+T2622+T2627+T2628+T2623</f>
        <v>0</v>
      </c>
      <c r="U2629" s="42"/>
      <c r="V2629" s="18">
        <f>SUM(V2621,V2623,V2627,V2628)</f>
        <v>24076543.87</v>
      </c>
      <c r="W2629" s="18">
        <f>+W2621+W2622+W2627+W2628+W2623</f>
        <v>18000354.660000004</v>
      </c>
      <c r="X2629" s="18">
        <f>+X2621+X2622+X2627+X2628+X2623</f>
        <v>6076189.210000001</v>
      </c>
    </row>
    <row r="2630" spans="1:24" ht="15">
      <c r="A2630" s="4"/>
      <c r="B2630" s="24"/>
      <c r="C2630" s="11"/>
      <c r="D2630" s="18"/>
      <c r="E2630" s="18"/>
      <c r="F2630" s="18"/>
      <c r="G2630" s="18"/>
      <c r="I2630" s="21"/>
      <c r="J2630" s="18"/>
      <c r="K2630" s="18"/>
      <c r="L2630" s="18"/>
      <c r="M2630" s="18"/>
      <c r="N2630" s="18"/>
      <c r="O2630" s="18"/>
      <c r="P2630" s="42"/>
      <c r="Q2630" s="18"/>
      <c r="R2630" s="18"/>
      <c r="S2630" s="18"/>
      <c r="T2630" s="18"/>
      <c r="U2630" s="42"/>
      <c r="V2630" s="18"/>
      <c r="W2630" s="18"/>
      <c r="X2630" s="18"/>
    </row>
    <row r="2631" spans="1:24" ht="15">
      <c r="A2631" s="4"/>
      <c r="B2631" s="24"/>
      <c r="C2631" s="11"/>
      <c r="D2631" s="18"/>
      <c r="E2631" s="18"/>
      <c r="F2631" s="18"/>
      <c r="G2631" s="18"/>
      <c r="I2631" s="18"/>
      <c r="J2631" s="18"/>
      <c r="K2631" s="18"/>
      <c r="L2631" s="18"/>
      <c r="M2631" s="18"/>
      <c r="N2631" s="18"/>
      <c r="O2631" s="18"/>
      <c r="P2631" s="42"/>
      <c r="Q2631" s="18"/>
      <c r="R2631" s="18"/>
      <c r="S2631" s="18"/>
      <c r="T2631" s="18"/>
      <c r="U2631" s="42"/>
      <c r="V2631" s="18"/>
      <c r="W2631" s="18"/>
      <c r="X2631" s="18"/>
    </row>
    <row r="2632" spans="1:24" ht="15">
      <c r="A2632" s="4"/>
      <c r="B2632" s="24"/>
      <c r="C2632" s="11"/>
      <c r="D2632" s="18"/>
      <c r="E2632" s="18"/>
      <c r="F2632" s="18"/>
      <c r="G2632" s="18"/>
      <c r="I2632" s="18"/>
      <c r="J2632" s="18"/>
      <c r="K2632" s="18"/>
      <c r="L2632" s="18"/>
      <c r="M2632" s="18"/>
      <c r="N2632" s="18"/>
      <c r="O2632" s="18"/>
      <c r="P2632" s="42"/>
      <c r="Q2632" s="18"/>
      <c r="R2632" s="18"/>
      <c r="S2632" s="18"/>
      <c r="T2632" s="18"/>
      <c r="U2632" s="42"/>
      <c r="V2632" s="18"/>
      <c r="W2632" s="18"/>
      <c r="X2632" s="18"/>
    </row>
    <row r="2633" spans="1:25" ht="15">
      <c r="A2633" s="4"/>
      <c r="B2633" s="24"/>
      <c r="C2633" s="11"/>
      <c r="D2633" s="10" t="s">
        <v>80</v>
      </c>
      <c r="E2633" s="10"/>
      <c r="F2633" s="10" t="s">
        <v>81</v>
      </c>
      <c r="G2633" s="10" t="s">
        <v>82</v>
      </c>
      <c r="I2633" s="10" t="s">
        <v>83</v>
      </c>
      <c r="J2633" s="10" t="s">
        <v>84</v>
      </c>
      <c r="K2633" s="10" t="s">
        <v>85</v>
      </c>
      <c r="L2633" s="10" t="s">
        <v>86</v>
      </c>
      <c r="M2633" s="43" t="s">
        <v>87</v>
      </c>
      <c r="N2633" s="43" t="s">
        <v>88</v>
      </c>
      <c r="O2633" s="44" t="s">
        <v>89</v>
      </c>
      <c r="P2633" s="42"/>
      <c r="Q2633" s="43" t="s">
        <v>90</v>
      </c>
      <c r="R2633" s="43" t="s">
        <v>91</v>
      </c>
      <c r="S2633" s="43"/>
      <c r="T2633" s="43" t="s">
        <v>92</v>
      </c>
      <c r="U2633" s="42"/>
      <c r="V2633" s="43" t="s">
        <v>93</v>
      </c>
      <c r="W2633" s="43" t="s">
        <v>94</v>
      </c>
      <c r="X2633" s="43" t="s">
        <v>95</v>
      </c>
      <c r="Y2633" s="18"/>
    </row>
    <row r="2634" spans="1:25" ht="15">
      <c r="A2634" s="4"/>
      <c r="B2634"/>
      <c r="C2634" s="11"/>
      <c r="D2634" s="10" t="s">
        <v>20</v>
      </c>
      <c r="E2634" s="38"/>
      <c r="F2634" s="10" t="s">
        <v>20</v>
      </c>
      <c r="G2634" s="10" t="s">
        <v>20</v>
      </c>
      <c r="I2634" s="10" t="s">
        <v>20</v>
      </c>
      <c r="J2634" s="10" t="s">
        <v>20</v>
      </c>
      <c r="K2634" s="10" t="s">
        <v>20</v>
      </c>
      <c r="L2634" s="10" t="s">
        <v>20</v>
      </c>
      <c r="M2634" s="10" t="s">
        <v>20</v>
      </c>
      <c r="N2634" s="10" t="s">
        <v>20</v>
      </c>
      <c r="O2634" s="10" t="s">
        <v>20</v>
      </c>
      <c r="P2634" s="18"/>
      <c r="Q2634" s="10" t="s">
        <v>20</v>
      </c>
      <c r="R2634" s="10" t="s">
        <v>20</v>
      </c>
      <c r="S2634" s="14"/>
      <c r="T2634" s="10" t="s">
        <v>20</v>
      </c>
      <c r="U2634" s="18"/>
      <c r="W2634" s="39" t="s">
        <v>96</v>
      </c>
      <c r="Y2634" s="18"/>
    </row>
    <row r="2635" spans="1:25" ht="15">
      <c r="A2635" s="4"/>
      <c r="B2635" s="87" t="s">
        <v>174</v>
      </c>
      <c r="C2635" s="11"/>
      <c r="D2635" s="8" t="s">
        <v>156</v>
      </c>
      <c r="E2635" s="6"/>
      <c r="F2635" s="8" t="s">
        <v>157</v>
      </c>
      <c r="G2635" s="45" t="s">
        <v>99</v>
      </c>
      <c r="H2635" s="19"/>
      <c r="I2635" s="45" t="s">
        <v>100</v>
      </c>
      <c r="J2635" s="45" t="s">
        <v>101</v>
      </c>
      <c r="K2635" s="82" t="s">
        <v>102</v>
      </c>
      <c r="L2635" s="45" t="s">
        <v>103</v>
      </c>
      <c r="M2635" s="45" t="s">
        <v>104</v>
      </c>
      <c r="N2635" s="45" t="s">
        <v>105</v>
      </c>
      <c r="O2635" s="45" t="s">
        <v>106</v>
      </c>
      <c r="P2635" s="6"/>
      <c r="Q2635" s="45" t="s">
        <v>107</v>
      </c>
      <c r="R2635" s="45" t="s">
        <v>108</v>
      </c>
      <c r="S2635" s="45"/>
      <c r="T2635" s="45" t="s">
        <v>109</v>
      </c>
      <c r="U2635" s="18"/>
      <c r="V2635" s="10" t="s">
        <v>20</v>
      </c>
      <c r="W2635" s="10" t="s">
        <v>21</v>
      </c>
      <c r="X2635" s="10" t="s">
        <v>22</v>
      </c>
      <c r="Y2635" s="18"/>
    </row>
    <row r="2636" spans="1:9" ht="15">
      <c r="A2636" s="4"/>
      <c r="B2636" s="24"/>
      <c r="C2636" s="11"/>
      <c r="E2636" s="14"/>
      <c r="F2636"/>
      <c r="H2636" s="18"/>
      <c r="I2636" s="16"/>
    </row>
    <row r="2637" spans="1:24" ht="15">
      <c r="A2637" s="4">
        <f>+A2630+1</f>
        <v>1</v>
      </c>
      <c r="B2637" s="5" t="s">
        <v>36</v>
      </c>
      <c r="C2637" s="17" t="s">
        <v>37</v>
      </c>
      <c r="D2637" s="18">
        <v>401.28</v>
      </c>
      <c r="E2637" s="18"/>
      <c r="F2637" s="18">
        <v>50603.78</v>
      </c>
      <c r="G2637" s="18">
        <v>-2556.29</v>
      </c>
      <c r="I2637" s="18">
        <v>0</v>
      </c>
      <c r="J2637" s="18">
        <v>0</v>
      </c>
      <c r="K2637" s="46">
        <v>17780.31</v>
      </c>
      <c r="L2637" s="27">
        <f>-6897.47</f>
        <v>-6897.47</v>
      </c>
      <c r="M2637" s="18">
        <f>-29298.1-7452.71-7593.76</f>
        <v>-44344.57</v>
      </c>
      <c r="N2637" s="18">
        <v>0</v>
      </c>
      <c r="O2637" s="18">
        <v>-50505.5</v>
      </c>
      <c r="Q2637" s="18">
        <v>0</v>
      </c>
      <c r="R2637" s="18">
        <v>-11263.75</v>
      </c>
      <c r="S2637" s="18"/>
      <c r="T2637" s="18">
        <v>-53967.24</v>
      </c>
      <c r="V2637" s="18">
        <f>+V2619+D2637+F2637+G2637+I2637+J2637+K2637+L2637+M2637+N2637+O2637+Q2637+R2637+T2637</f>
        <v>21725972.60000001</v>
      </c>
      <c r="W2637" s="18">
        <f>+W2619</f>
        <v>16208788.930000002</v>
      </c>
      <c r="X2637" s="18">
        <f>+V2637-W2637</f>
        <v>5517183.670000007</v>
      </c>
    </row>
    <row r="2638" spans="1:24" ht="15">
      <c r="A2638" s="4">
        <f>+A2637+1</f>
        <v>2</v>
      </c>
      <c r="B2638" s="5" t="s">
        <v>36</v>
      </c>
      <c r="C2638" s="22" t="s">
        <v>38</v>
      </c>
      <c r="D2638" s="18">
        <v>281.11</v>
      </c>
      <c r="E2638" s="18"/>
      <c r="F2638" s="18">
        <v>50330.67</v>
      </c>
      <c r="G2638" s="18">
        <v>-2647.26</v>
      </c>
      <c r="I2638" s="18">
        <v>0</v>
      </c>
      <c r="J2638" s="18">
        <v>0</v>
      </c>
      <c r="K2638" s="46">
        <v>1706.18</v>
      </c>
      <c r="L2638" s="27">
        <v>-7387.57</v>
      </c>
      <c r="M2638" s="18">
        <f>-29298.1-7452.71-7593.76</f>
        <v>-44344.57</v>
      </c>
      <c r="N2638" s="18">
        <v>0</v>
      </c>
      <c r="O2638" s="18">
        <v>-44301.76</v>
      </c>
      <c r="Q2638" s="18">
        <v>0</v>
      </c>
      <c r="R2638" s="18">
        <v>-10632.16</v>
      </c>
      <c r="S2638" s="18"/>
      <c r="T2638" s="18">
        <v>-49937</v>
      </c>
      <c r="V2638" s="18">
        <f>+V2620+D2638+F2638+G2638+I2638+J2638+K2638+L2638+M2638+N2638+O2638+Q2638+R2638+T2638</f>
        <v>21715570.07</v>
      </c>
      <c r="W2638" s="18">
        <f>+W2620</f>
        <v>15852291.32</v>
      </c>
      <c r="X2638" s="18">
        <f>+V2638-W2638</f>
        <v>5863278.75</v>
      </c>
    </row>
    <row r="2639" spans="1:24" ht="15">
      <c r="A2639" s="4">
        <f>+A2638+1</f>
        <v>3</v>
      </c>
      <c r="B2639" s="24" t="s">
        <v>46</v>
      </c>
      <c r="C2639" s="40" t="s">
        <v>78</v>
      </c>
      <c r="D2639" s="18">
        <f>+D2637-D2638</f>
        <v>120.16999999999996</v>
      </c>
      <c r="E2639" s="18"/>
      <c r="F2639" s="18">
        <f>+F2637-F2638</f>
        <v>273.1100000000006</v>
      </c>
      <c r="G2639" s="18">
        <f>+G2637-G2638</f>
        <v>90.97000000000025</v>
      </c>
      <c r="I2639" s="18">
        <f>+I2637-I2638</f>
        <v>0</v>
      </c>
      <c r="J2639" s="18">
        <f>+J2637-J2638</f>
        <v>0</v>
      </c>
      <c r="K2639" s="18">
        <f>+K2637-K2638</f>
        <v>16074.130000000001</v>
      </c>
      <c r="L2639" s="18">
        <f>+L2637-L2638</f>
        <v>490.09999999999945</v>
      </c>
      <c r="M2639" s="18">
        <f>+M2637-M2638</f>
        <v>0</v>
      </c>
      <c r="N2639" s="18">
        <f>+N2637-N2638</f>
        <v>0</v>
      </c>
      <c r="O2639" s="18">
        <f>+O2637-O2638</f>
        <v>-6203.739999999998</v>
      </c>
      <c r="Q2639" s="18">
        <f>+Q2637-Q2638</f>
        <v>0</v>
      </c>
      <c r="R2639" s="18">
        <f>+R2637-R2638</f>
        <v>-631.5900000000001</v>
      </c>
      <c r="S2639" s="18"/>
      <c r="T2639" s="18">
        <f>+T2637-T2638</f>
        <v>-4030.239999999998</v>
      </c>
      <c r="V2639" s="27">
        <f>+V2637-V2638</f>
        <v>10402.530000008643</v>
      </c>
      <c r="W2639" s="27">
        <f>+W2637-W2638</f>
        <v>356497.61000000127</v>
      </c>
      <c r="X2639" s="18">
        <f>+X2637-X2638</f>
        <v>-346095.0799999926</v>
      </c>
    </row>
    <row r="2640" spans="1:24" ht="28.5">
      <c r="A2640" s="4">
        <f>+A2639+1</f>
        <v>4</v>
      </c>
      <c r="B2640" s="88" t="s">
        <v>182</v>
      </c>
      <c r="C2640" s="11"/>
      <c r="D2640" s="18">
        <v>0</v>
      </c>
      <c r="E2640" s="18"/>
      <c r="F2640" s="18">
        <v>0</v>
      </c>
      <c r="G2640" s="18">
        <v>0</v>
      </c>
      <c r="I2640" s="18">
        <v>0</v>
      </c>
      <c r="J2640" s="27">
        <v>0</v>
      </c>
      <c r="K2640" s="18">
        <v>0</v>
      </c>
      <c r="L2640" s="18">
        <v>0</v>
      </c>
      <c r="M2640" s="18">
        <v>0</v>
      </c>
      <c r="N2640" s="18">
        <v>0</v>
      </c>
      <c r="O2640" s="18">
        <v>0</v>
      </c>
      <c r="Q2640" s="18">
        <v>0</v>
      </c>
      <c r="R2640" s="18">
        <v>0</v>
      </c>
      <c r="S2640" s="18"/>
      <c r="T2640" s="18">
        <v>0</v>
      </c>
      <c r="V2640" s="18">
        <f>+V2622+D2640+F2640+G2640+I2640+J2640+K2640+L2640+M2640+N2640+O2640+Q2640+R2640+T2640</f>
        <v>0</v>
      </c>
      <c r="W2640" s="18">
        <f>+W2622</f>
        <v>0</v>
      </c>
      <c r="X2640" s="18">
        <f>+V2640-W2640</f>
        <v>0</v>
      </c>
    </row>
    <row r="2641" spans="1:24" ht="24.75">
      <c r="A2641" s="4">
        <f>+A2640+1</f>
        <v>5</v>
      </c>
      <c r="B2641" s="89" t="s">
        <v>39</v>
      </c>
      <c r="C2641" s="40"/>
      <c r="D2641" s="27">
        <v>0</v>
      </c>
      <c r="E2641" s="18"/>
      <c r="F2641" s="27">
        <v>21.74</v>
      </c>
      <c r="G2641" s="27">
        <v>-210.9</v>
      </c>
      <c r="I2641" s="27">
        <v>0</v>
      </c>
      <c r="J2641" s="27">
        <v>0</v>
      </c>
      <c r="K2641" s="55">
        <v>0</v>
      </c>
      <c r="L2641" s="27">
        <v>650.45</v>
      </c>
      <c r="M2641" s="27">
        <v>0</v>
      </c>
      <c r="N2641" s="27">
        <v>0</v>
      </c>
      <c r="O2641" s="27">
        <v>0</v>
      </c>
      <c r="Q2641" s="27">
        <v>0</v>
      </c>
      <c r="R2641" s="27">
        <v>0</v>
      </c>
      <c r="S2641" s="27"/>
      <c r="T2641" s="27">
        <v>0.06</v>
      </c>
      <c r="V2641" s="18">
        <f>+V2623+D2641+F2641+G2641+I2641+J2641+K2641+L2641+M2641+N2641+O2641+Q2641+R2641+T2641</f>
        <v>-6067.999999999998</v>
      </c>
      <c r="W2641" s="18">
        <f>+W2623</f>
        <v>0</v>
      </c>
      <c r="X2641" s="18">
        <f>+V2641-W2641</f>
        <v>-6067.999999999998</v>
      </c>
    </row>
    <row r="2642" spans="1:24" ht="15">
      <c r="A2642" s="6" t="s">
        <v>41</v>
      </c>
      <c r="B2642" s="41"/>
      <c r="C2642" s="40"/>
      <c r="D2642" s="18"/>
      <c r="E2642" s="18"/>
      <c r="F2642" s="18"/>
      <c r="G2642" s="18"/>
      <c r="I2642" s="18"/>
      <c r="J2642" s="18"/>
      <c r="K2642" s="27"/>
      <c r="L2642" s="18"/>
      <c r="M2642" s="18"/>
      <c r="N2642" s="18"/>
      <c r="O2642" s="18"/>
      <c r="Q2642" s="18"/>
      <c r="R2642" s="18"/>
      <c r="S2642" s="18"/>
      <c r="T2642" s="18"/>
      <c r="V2642" s="18"/>
      <c r="W2642" s="18"/>
      <c r="X2642" s="18"/>
    </row>
    <row r="2643" spans="1:24" ht="15">
      <c r="A2643" s="4">
        <f>+A2641+1</f>
        <v>6</v>
      </c>
      <c r="B2643" s="5" t="s">
        <v>42</v>
      </c>
      <c r="C2643" s="22" t="s">
        <v>38</v>
      </c>
      <c r="D2643" s="18">
        <v>0</v>
      </c>
      <c r="E2643" s="18"/>
      <c r="F2643" s="18">
        <v>48484.31</v>
      </c>
      <c r="G2643" s="18">
        <v>-1984.31</v>
      </c>
      <c r="I2643" s="18">
        <v>0</v>
      </c>
      <c r="J2643" s="18">
        <v>0</v>
      </c>
      <c r="K2643" s="46">
        <v>0</v>
      </c>
      <c r="L2643" s="27">
        <v>-7142.52</v>
      </c>
      <c r="M2643" s="18">
        <f>-29298.1-9169.8-5876.67</f>
        <v>-44344.56999999999</v>
      </c>
      <c r="N2643" s="18">
        <v>0</v>
      </c>
      <c r="O2643" s="18">
        <v>-39217.71</v>
      </c>
      <c r="P2643" s="18"/>
      <c r="Q2643" s="18">
        <v>0</v>
      </c>
      <c r="R2643" s="18">
        <v>-10913.18</v>
      </c>
      <c r="S2643" s="18"/>
      <c r="T2643" s="18">
        <v>-49429.1</v>
      </c>
      <c r="U2643" s="18"/>
      <c r="V2643" s="18">
        <f>+V2625+D2643+F2643+G2643+I2643+J2643+K2643+L2643+M2643+N2643+O2643+Q2643+R2643+T2643</f>
        <v>23974306.52</v>
      </c>
      <c r="W2643" s="18">
        <f>+W2625</f>
        <v>17643857.05</v>
      </c>
      <c r="X2643" s="18">
        <f>+V2643-W2643</f>
        <v>6330449.469999999</v>
      </c>
    </row>
    <row r="2644" spans="1:24" ht="15">
      <c r="A2644" s="4">
        <f>+A2643+1</f>
        <v>7</v>
      </c>
      <c r="B2644" s="5" t="s">
        <v>43</v>
      </c>
      <c r="C2644" s="11"/>
      <c r="D2644" s="18">
        <v>0</v>
      </c>
      <c r="E2644" s="18"/>
      <c r="F2644" s="18">
        <v>0</v>
      </c>
      <c r="G2644" s="18">
        <v>0</v>
      </c>
      <c r="I2644" s="18">
        <v>0</v>
      </c>
      <c r="J2644" s="18">
        <v>0</v>
      </c>
      <c r="K2644" s="18">
        <v>0</v>
      </c>
      <c r="L2644" s="18">
        <v>0</v>
      </c>
      <c r="M2644" s="18">
        <v>0</v>
      </c>
      <c r="N2644" s="18">
        <v>0</v>
      </c>
      <c r="O2644" s="18">
        <v>0</v>
      </c>
      <c r="P2644" s="18"/>
      <c r="Q2644" s="18">
        <v>0</v>
      </c>
      <c r="R2644" s="18">
        <v>0</v>
      </c>
      <c r="S2644" s="18"/>
      <c r="T2644" s="18">
        <v>0</v>
      </c>
      <c r="U2644" s="18"/>
      <c r="V2644" s="18">
        <f>+V2626+D2644+F2644+G2644+I2644+J2644+K2644+L2644+M2644+N2644+O2644+Q2644+R2644+T2644</f>
        <v>0</v>
      </c>
      <c r="W2644" s="18">
        <f>+W2626</f>
        <v>0</v>
      </c>
      <c r="X2644" s="18">
        <f>+V2644-W2644</f>
        <v>0</v>
      </c>
    </row>
    <row r="2645" spans="1:24" ht="26.25">
      <c r="A2645" s="4">
        <f>+A2644+1</f>
        <v>8</v>
      </c>
      <c r="B2645" s="24" t="s">
        <v>79</v>
      </c>
      <c r="C2645" s="11"/>
      <c r="D2645" s="18">
        <f>+D2643-D2644</f>
        <v>0</v>
      </c>
      <c r="E2645" s="18"/>
      <c r="F2645" s="18">
        <f>+F2643-F2644</f>
        <v>48484.31</v>
      </c>
      <c r="G2645" s="18">
        <f>+G2643-G2644</f>
        <v>-1984.31</v>
      </c>
      <c r="I2645" s="18">
        <f aca="true" t="shared" si="302" ref="I2645:O2645">+I2643-I2644</f>
        <v>0</v>
      </c>
      <c r="J2645" s="18">
        <f t="shared" si="302"/>
        <v>0</v>
      </c>
      <c r="K2645" s="18">
        <f t="shared" si="302"/>
        <v>0</v>
      </c>
      <c r="L2645" s="18">
        <f t="shared" si="302"/>
        <v>-7142.52</v>
      </c>
      <c r="M2645" s="18">
        <f t="shared" si="302"/>
        <v>-44344.56999999999</v>
      </c>
      <c r="N2645" s="18">
        <f t="shared" si="302"/>
        <v>0</v>
      </c>
      <c r="O2645" s="18">
        <f t="shared" si="302"/>
        <v>-39217.71</v>
      </c>
      <c r="P2645" s="18"/>
      <c r="Q2645" s="18">
        <f>+Q2643-Q2644</f>
        <v>0</v>
      </c>
      <c r="R2645" s="18">
        <f>+R2643-R2644</f>
        <v>-10913.18</v>
      </c>
      <c r="S2645" s="18"/>
      <c r="T2645" s="18">
        <f>+T2643-T2644</f>
        <v>-49429.1</v>
      </c>
      <c r="U2645" s="18"/>
      <c r="V2645" s="27">
        <f>+V2643-V2644</f>
        <v>23974306.52</v>
      </c>
      <c r="W2645" s="27">
        <f>+W2643-W2644</f>
        <v>17643857.05</v>
      </c>
      <c r="X2645" s="18">
        <f>+X2643-X2644</f>
        <v>6330449.469999999</v>
      </c>
    </row>
    <row r="2646" spans="1:24" ht="28.5">
      <c r="A2646" s="4">
        <f>+A2645+1</f>
        <v>9</v>
      </c>
      <c r="B2646" s="88" t="s">
        <v>181</v>
      </c>
      <c r="C2646" s="11"/>
      <c r="D2646" s="18">
        <v>0</v>
      </c>
      <c r="E2646" s="18"/>
      <c r="F2646" s="18">
        <v>0</v>
      </c>
      <c r="G2646" s="18">
        <v>0</v>
      </c>
      <c r="I2646" s="18">
        <v>0</v>
      </c>
      <c r="J2646" s="18">
        <v>0</v>
      </c>
      <c r="K2646" s="18">
        <v>0</v>
      </c>
      <c r="L2646" s="18">
        <v>0</v>
      </c>
      <c r="M2646" s="18">
        <v>0</v>
      </c>
      <c r="N2646" s="18">
        <v>0</v>
      </c>
      <c r="O2646" s="18">
        <v>0</v>
      </c>
      <c r="P2646" s="18"/>
      <c r="Q2646" s="18">
        <v>0</v>
      </c>
      <c r="R2646" s="18">
        <v>0</v>
      </c>
      <c r="S2646" s="18"/>
      <c r="T2646" s="18">
        <v>0</v>
      </c>
      <c r="U2646" s="18"/>
      <c r="V2646" s="18">
        <f>+V2628+D2646+F2646+G2646+I2646+J2646+K2646+L2646+M2646+N2646+O2646+Q2646+R2646+T2646</f>
        <v>0</v>
      </c>
      <c r="W2646" s="18">
        <f>+W2628</f>
        <v>0</v>
      </c>
      <c r="X2646" s="18">
        <f>+V2646-W2646</f>
        <v>0</v>
      </c>
    </row>
    <row r="2647" spans="1:24" ht="15">
      <c r="A2647" s="4">
        <f>+A2646+1</f>
        <v>10</v>
      </c>
      <c r="B2647" s="24" t="s">
        <v>46</v>
      </c>
      <c r="C2647" s="11" t="s">
        <v>47</v>
      </c>
      <c r="D2647" s="18">
        <f>+D2639+D2640+D2645+D2646+D2641</f>
        <v>120.16999999999996</v>
      </c>
      <c r="E2647" s="18"/>
      <c r="F2647" s="18">
        <f>+F2639+F2640+F2645+F2646+F2641</f>
        <v>48779.159999999996</v>
      </c>
      <c r="G2647" s="18">
        <f>+G2639+G2640+G2645+G2646+G2641</f>
        <v>-2104.24</v>
      </c>
      <c r="I2647" s="18">
        <f aca="true" t="shared" si="303" ref="I2647:O2647">+I2639+I2640+I2645+I2646+I2641</f>
        <v>0</v>
      </c>
      <c r="J2647" s="18">
        <f t="shared" si="303"/>
        <v>0</v>
      </c>
      <c r="K2647" s="18">
        <f t="shared" si="303"/>
        <v>16074.130000000001</v>
      </c>
      <c r="L2647" s="18">
        <f t="shared" si="303"/>
        <v>-6001.970000000001</v>
      </c>
      <c r="M2647" s="18">
        <f t="shared" si="303"/>
        <v>-44344.56999999999</v>
      </c>
      <c r="N2647" s="18">
        <f t="shared" si="303"/>
        <v>0</v>
      </c>
      <c r="O2647" s="18">
        <f t="shared" si="303"/>
        <v>-45421.45</v>
      </c>
      <c r="P2647" s="42"/>
      <c r="Q2647" s="18">
        <f>+Q2639+Q2640+Q2645+Q2646+Q2641</f>
        <v>0</v>
      </c>
      <c r="R2647" s="18">
        <f>+R2639+R2640+R2645+R2646+R2641</f>
        <v>-11544.77</v>
      </c>
      <c r="S2647" s="18"/>
      <c r="T2647" s="18">
        <f>+T2639+T2640+T2645+T2646+T2641</f>
        <v>-53459.28</v>
      </c>
      <c r="U2647" s="42"/>
      <c r="V2647" s="18">
        <f>+V2639+V2640+V2645+V2646+V2641</f>
        <v>23978641.05000001</v>
      </c>
      <c r="W2647" s="18">
        <f>+W2639+W2640+W2645+W2646+W2641</f>
        <v>18000354.660000004</v>
      </c>
      <c r="X2647" s="18">
        <f>+X2639+X2640+X2645+X2646+X2641</f>
        <v>5978286.390000006</v>
      </c>
    </row>
    <row r="2648" spans="1:24" ht="15">
      <c r="A2648" s="4"/>
      <c r="B2648" s="24"/>
      <c r="C2648" s="11"/>
      <c r="D2648" s="18"/>
      <c r="E2648" s="18"/>
      <c r="F2648" s="18"/>
      <c r="G2648" s="18"/>
      <c r="I2648" s="18"/>
      <c r="J2648" s="18"/>
      <c r="K2648" s="27" t="s">
        <v>0</v>
      </c>
      <c r="L2648" s="18"/>
      <c r="M2648" s="18"/>
      <c r="N2648" s="18"/>
      <c r="O2648" s="18"/>
      <c r="P2648" s="42"/>
      <c r="Q2648" s="18"/>
      <c r="R2648" s="18"/>
      <c r="S2648" s="18"/>
      <c r="T2648" s="18"/>
      <c r="U2648" s="42"/>
      <c r="V2648" s="18"/>
      <c r="W2648" s="18"/>
      <c r="X2648" s="18"/>
    </row>
    <row r="2649" spans="1:24" ht="15">
      <c r="A2649" s="4"/>
      <c r="B2649" s="24"/>
      <c r="C2649" s="11"/>
      <c r="D2649" s="18"/>
      <c r="E2649" s="18"/>
      <c r="F2649" s="18"/>
      <c r="G2649" s="18"/>
      <c r="I2649" s="18"/>
      <c r="J2649" s="18"/>
      <c r="K2649" s="27"/>
      <c r="L2649" s="18"/>
      <c r="M2649" s="18"/>
      <c r="N2649" s="18"/>
      <c r="O2649" s="18"/>
      <c r="P2649" s="42"/>
      <c r="Q2649" s="18"/>
      <c r="R2649" s="18"/>
      <c r="S2649" s="18"/>
      <c r="T2649" s="18"/>
      <c r="U2649" s="42"/>
      <c r="V2649" s="18"/>
      <c r="W2649" s="18"/>
      <c r="X2649" s="18"/>
    </row>
    <row r="2650" spans="1:24" ht="15">
      <c r="A2650" s="4"/>
      <c r="B2650" s="24"/>
      <c r="C2650" s="11"/>
      <c r="D2650" s="18"/>
      <c r="E2650" s="18"/>
      <c r="F2650" s="18"/>
      <c r="G2650" s="18"/>
      <c r="I2650" s="18"/>
      <c r="J2650" s="18"/>
      <c r="K2650" s="18"/>
      <c r="L2650" s="18"/>
      <c r="M2650" s="18"/>
      <c r="N2650" s="18"/>
      <c r="O2650" s="18"/>
      <c r="P2650" s="42"/>
      <c r="Q2650" s="18"/>
      <c r="R2650" s="18"/>
      <c r="S2650" s="18"/>
      <c r="T2650" s="18"/>
      <c r="U2650" s="42"/>
      <c r="V2650" s="18"/>
      <c r="W2650" s="18"/>
      <c r="X2650" s="18"/>
    </row>
    <row r="2651" spans="1:24" ht="15">
      <c r="A2651" s="4"/>
      <c r="B2651" s="24"/>
      <c r="C2651" s="11"/>
      <c r="D2651" s="10" t="s">
        <v>4</v>
      </c>
      <c r="E2651" s="10"/>
      <c r="F2651" s="10" t="s">
        <v>5</v>
      </c>
      <c r="G2651" s="10" t="s">
        <v>6</v>
      </c>
      <c r="H2651" s="10"/>
      <c r="I2651" s="10" t="s">
        <v>7</v>
      </c>
      <c r="J2651" s="10" t="s">
        <v>8</v>
      </c>
      <c r="K2651" s="10" t="s">
        <v>9</v>
      </c>
      <c r="L2651" s="10" t="s">
        <v>10</v>
      </c>
      <c r="M2651" s="10" t="s">
        <v>11</v>
      </c>
      <c r="N2651" s="10" t="s">
        <v>12</v>
      </c>
      <c r="O2651" s="10" t="s">
        <v>13</v>
      </c>
      <c r="P2651" s="10"/>
      <c r="Q2651" s="10" t="s">
        <v>14</v>
      </c>
      <c r="R2651" s="10" t="s">
        <v>15</v>
      </c>
      <c r="S2651" s="10"/>
      <c r="T2651" s="10" t="s">
        <v>16</v>
      </c>
      <c r="U2651" s="10"/>
      <c r="V2651" s="10" t="s">
        <v>17</v>
      </c>
      <c r="W2651" s="10" t="s">
        <v>18</v>
      </c>
      <c r="X2651" s="10" t="s">
        <v>19</v>
      </c>
    </row>
    <row r="2652" spans="1:23" ht="15">
      <c r="A2652" s="4"/>
      <c r="B2652" s="24"/>
      <c r="C2652" s="11"/>
      <c r="D2652" s="10" t="s">
        <v>20</v>
      </c>
      <c r="E2652" s="10"/>
      <c r="F2652" s="14" t="s">
        <v>21</v>
      </c>
      <c r="G2652" s="10"/>
      <c r="I2652" s="39" t="s">
        <v>110</v>
      </c>
      <c r="J2652" s="47" t="s">
        <v>111</v>
      </c>
      <c r="K2652" s="39"/>
      <c r="L2652" s="10" t="s">
        <v>20</v>
      </c>
      <c r="M2652" s="10" t="s">
        <v>20</v>
      </c>
      <c r="N2652" s="10" t="s">
        <v>20</v>
      </c>
      <c r="O2652" s="10" t="s">
        <v>20</v>
      </c>
      <c r="P2652" s="42"/>
      <c r="Q2652" s="10" t="s">
        <v>20</v>
      </c>
      <c r="R2652" s="10" t="s">
        <v>20</v>
      </c>
      <c r="S2652" s="48"/>
      <c r="T2652" s="10" t="s">
        <v>20</v>
      </c>
      <c r="U2652" s="42"/>
      <c r="W2652" s="39" t="s">
        <v>112</v>
      </c>
    </row>
    <row r="2653" spans="1:24" ht="15">
      <c r="A2653" s="4"/>
      <c r="B2653" s="87" t="s">
        <v>183</v>
      </c>
      <c r="C2653" s="11"/>
      <c r="D2653" s="8" t="s">
        <v>113</v>
      </c>
      <c r="E2653" s="6"/>
      <c r="F2653" s="6" t="s">
        <v>114</v>
      </c>
      <c r="G2653" s="49" t="s">
        <v>22</v>
      </c>
      <c r="I2653" s="8" t="s">
        <v>113</v>
      </c>
      <c r="J2653" s="6" t="s">
        <v>114</v>
      </c>
      <c r="K2653" s="49" t="s">
        <v>24</v>
      </c>
      <c r="L2653" s="13" t="s">
        <v>115</v>
      </c>
      <c r="M2653" s="13" t="s">
        <v>116</v>
      </c>
      <c r="N2653" s="13" t="s">
        <v>117</v>
      </c>
      <c r="O2653" s="13" t="s">
        <v>118</v>
      </c>
      <c r="P2653" s="42"/>
      <c r="Q2653" s="13" t="s">
        <v>119</v>
      </c>
      <c r="R2653" s="13" t="s">
        <v>120</v>
      </c>
      <c r="T2653" s="13" t="s">
        <v>121</v>
      </c>
      <c r="U2653" s="42"/>
      <c r="V2653" s="10" t="s">
        <v>20</v>
      </c>
      <c r="W2653" s="10" t="s">
        <v>21</v>
      </c>
      <c r="X2653" s="10" t="s">
        <v>22</v>
      </c>
    </row>
    <row r="2654" spans="1:24" ht="15">
      <c r="A2654" s="4"/>
      <c r="B2654" s="24"/>
      <c r="C2654" s="11"/>
      <c r="D2654" s="18"/>
      <c r="E2654" s="18"/>
      <c r="F2654" s="18"/>
      <c r="G2654" s="18"/>
      <c r="I2654" s="72" t="s">
        <v>0</v>
      </c>
      <c r="K2654" s="42"/>
      <c r="L2654" s="42"/>
      <c r="N2654" s="42"/>
      <c r="O2654" s="18"/>
      <c r="P2654" s="42"/>
      <c r="U2654" s="42"/>
      <c r="V2654" s="18"/>
      <c r="W2654" s="39" t="s">
        <v>122</v>
      </c>
      <c r="X2654" s="18"/>
    </row>
    <row r="2655" spans="1:24" ht="15">
      <c r="A2655" s="4">
        <f>+A2627+1</f>
        <v>19</v>
      </c>
      <c r="B2655" s="5" t="s">
        <v>36</v>
      </c>
      <c r="C2655" s="17" t="s">
        <v>37</v>
      </c>
      <c r="D2655" s="27">
        <v>1310801.05</v>
      </c>
      <c r="E2655" s="18" t="s">
        <v>0</v>
      </c>
      <c r="F2655" s="27">
        <v>923399.17</v>
      </c>
      <c r="G2655" s="18">
        <f>D2655-F2655</f>
        <v>387401.88</v>
      </c>
      <c r="I2655" s="27">
        <v>-1152.8</v>
      </c>
      <c r="J2655" s="27">
        <v>1150.82</v>
      </c>
      <c r="K2655" s="36">
        <f>+I2655-J2655</f>
        <v>-2303.62</v>
      </c>
      <c r="L2655" s="18">
        <v>0</v>
      </c>
      <c r="M2655" s="27">
        <v>-138274.21</v>
      </c>
      <c r="N2655" s="27">
        <f>5502.78+51174.8</f>
        <v>56677.58</v>
      </c>
      <c r="O2655" s="18">
        <v>0</v>
      </c>
      <c r="P2655" s="42"/>
      <c r="Q2655" s="31">
        <v>0</v>
      </c>
      <c r="R2655" s="18">
        <v>0</v>
      </c>
      <c r="S2655" s="18"/>
      <c r="T2655" s="18">
        <v>0</v>
      </c>
      <c r="U2655" s="42"/>
      <c r="V2655" s="31">
        <f>+D2655+I2655+L2655+M2655+N2655+O2655+Q2655+R2655+T2655</f>
        <v>1228051.62</v>
      </c>
      <c r="W2655" s="18">
        <f>+F2655+J2655</f>
        <v>924549.99</v>
      </c>
      <c r="X2655" s="18">
        <f>+V2655-W2655</f>
        <v>303501.6300000001</v>
      </c>
    </row>
    <row r="2656" spans="1:24" ht="15">
      <c r="A2656" s="4">
        <f>+A2655+1</f>
        <v>20</v>
      </c>
      <c r="B2656" s="5" t="s">
        <v>36</v>
      </c>
      <c r="C2656" s="22" t="s">
        <v>38</v>
      </c>
      <c r="D2656" s="27">
        <v>1447386.41</v>
      </c>
      <c r="E2656" s="18" t="s">
        <v>0</v>
      </c>
      <c r="F2656" s="27">
        <v>929023.04</v>
      </c>
      <c r="G2656" s="18">
        <f>D2656-F2656</f>
        <v>518363.3699999999</v>
      </c>
      <c r="I2656" s="27">
        <v>628.74</v>
      </c>
      <c r="J2656" s="31">
        <v>-647.85</v>
      </c>
      <c r="K2656" s="36">
        <f>+I2656-J2656</f>
        <v>1276.5900000000001</v>
      </c>
      <c r="L2656" s="18">
        <v>0</v>
      </c>
      <c r="M2656" s="27">
        <v>-138279.19</v>
      </c>
      <c r="N2656" s="27">
        <f>5502.78+51520.28</f>
        <v>57023.06</v>
      </c>
      <c r="O2656" s="18">
        <v>0</v>
      </c>
      <c r="P2656" s="42"/>
      <c r="Q2656" s="31">
        <v>0</v>
      </c>
      <c r="R2656" s="18"/>
      <c r="S2656" s="18"/>
      <c r="T2656" s="18">
        <v>0</v>
      </c>
      <c r="U2656" s="42"/>
      <c r="V2656" s="31">
        <f>+D2656+I2656+L2656+M2656+N2656+O2656+Q2656+R2656+T2656</f>
        <v>1366759.02</v>
      </c>
      <c r="W2656" s="18">
        <f>+F2656+J2656</f>
        <v>928375.1900000001</v>
      </c>
      <c r="X2656" s="18">
        <f>+V2656-W2656</f>
        <v>438383.82999999996</v>
      </c>
    </row>
    <row r="2657" spans="1:24" ht="15">
      <c r="A2657" s="4">
        <f>+A2656+1</f>
        <v>21</v>
      </c>
      <c r="B2657" s="24" t="s">
        <v>46</v>
      </c>
      <c r="C2657" s="40" t="s">
        <v>78</v>
      </c>
      <c r="D2657" s="18">
        <f>+D2655-D2656</f>
        <v>-136585.35999999987</v>
      </c>
      <c r="E2657" s="18"/>
      <c r="F2657" s="18">
        <f>+F2655-F2656</f>
        <v>-5623.869999999995</v>
      </c>
      <c r="G2657" s="18">
        <f>+G2655-G2656</f>
        <v>-130961.48999999987</v>
      </c>
      <c r="I2657" s="18">
        <f>+I2655-I2656</f>
        <v>-1781.54</v>
      </c>
      <c r="J2657" s="18">
        <f>+J2655-J2656</f>
        <v>1798.67</v>
      </c>
      <c r="K2657" s="18">
        <f>K2655-K2656</f>
        <v>-3580.21</v>
      </c>
      <c r="L2657" s="18">
        <f>+L2655-L2656</f>
        <v>0</v>
      </c>
      <c r="M2657" s="18">
        <f>+M2655-M2656</f>
        <v>4.980000000010477</v>
      </c>
      <c r="N2657" s="18">
        <f>+N2655-N2656</f>
        <v>-345.4799999999959</v>
      </c>
      <c r="O2657" s="18">
        <f>+O2655-O2656</f>
        <v>0</v>
      </c>
      <c r="P2657" s="42"/>
      <c r="Q2657" s="18">
        <f>+Q2655-Q2656</f>
        <v>0</v>
      </c>
      <c r="R2657" s="18">
        <f>+R2655-R2656</f>
        <v>0</v>
      </c>
      <c r="S2657" s="18"/>
      <c r="T2657" s="18">
        <f>+T2655-T2656</f>
        <v>0</v>
      </c>
      <c r="U2657" s="42"/>
      <c r="V2657" s="31">
        <f>+V2655-V2656</f>
        <v>-138707.3999999999</v>
      </c>
      <c r="W2657" s="31">
        <f>+W2655-W2656</f>
        <v>-3825.20000000007</v>
      </c>
      <c r="X2657" s="18">
        <f>+X2655-X2656</f>
        <v>-134882.19999999984</v>
      </c>
    </row>
    <row r="2658" spans="1:24" ht="28.5">
      <c r="A2658" s="4">
        <f>+A2657+1</f>
        <v>22</v>
      </c>
      <c r="B2658" s="88" t="s">
        <v>182</v>
      </c>
      <c r="C2658" s="11"/>
      <c r="D2658" s="18">
        <v>0</v>
      </c>
      <c r="E2658" s="18"/>
      <c r="F2658" s="18">
        <v>0</v>
      </c>
      <c r="G2658" s="18">
        <f>+D2658-F2658</f>
        <v>0</v>
      </c>
      <c r="I2658" s="18">
        <v>0</v>
      </c>
      <c r="J2658" s="18">
        <v>0</v>
      </c>
      <c r="K2658" s="18">
        <f>+I2658-J2658</f>
        <v>0</v>
      </c>
      <c r="L2658" s="18">
        <v>0</v>
      </c>
      <c r="M2658" s="18">
        <v>0</v>
      </c>
      <c r="N2658" s="18">
        <f>+L2658-M2658</f>
        <v>0</v>
      </c>
      <c r="O2658" s="18">
        <v>0</v>
      </c>
      <c r="P2658" s="42"/>
      <c r="Q2658" s="18">
        <v>0</v>
      </c>
      <c r="R2658" s="18">
        <v>0</v>
      </c>
      <c r="S2658" s="18"/>
      <c r="T2658" s="18">
        <v>0</v>
      </c>
      <c r="U2658" s="42"/>
      <c r="V2658" s="31">
        <f>+D2658+I2658+L2658+M2658+N2658+O2658+Q2658+R2658+T2658</f>
        <v>0</v>
      </c>
      <c r="W2658" s="18">
        <f>+F2658+J2658</f>
        <v>0</v>
      </c>
      <c r="X2658" s="18">
        <f>+V2658-W2658</f>
        <v>0</v>
      </c>
    </row>
    <row r="2659" spans="1:24" ht="24.75">
      <c r="A2659" s="4">
        <f>+A2658+1</f>
        <v>23</v>
      </c>
      <c r="B2659" s="89" t="s">
        <v>39</v>
      </c>
      <c r="C2659" s="40"/>
      <c r="D2659" s="55">
        <v>-603.72</v>
      </c>
      <c r="E2659" s="18" t="s">
        <v>0</v>
      </c>
      <c r="F2659" s="27">
        <v>56397.96</v>
      </c>
      <c r="G2659" s="18">
        <f>D2659-F2659</f>
        <v>-57001.68</v>
      </c>
      <c r="I2659" s="27">
        <v>0</v>
      </c>
      <c r="J2659" s="27"/>
      <c r="K2659" s="18">
        <f>+I2659-J2659</f>
        <v>0</v>
      </c>
      <c r="L2659" s="18">
        <v>2754.41</v>
      </c>
      <c r="M2659" s="27">
        <f>39055.36-102619.45-158704.54+127705.61+193.57-13422.31</f>
        <v>-107791.76</v>
      </c>
      <c r="N2659" s="27">
        <f>11555.58+345.49</f>
        <v>11901.07</v>
      </c>
      <c r="O2659" s="27">
        <v>-23402.9</v>
      </c>
      <c r="P2659" s="42"/>
      <c r="Q2659" s="55">
        <v>0</v>
      </c>
      <c r="R2659" s="21">
        <v>0</v>
      </c>
      <c r="S2659" s="18"/>
      <c r="T2659" s="18">
        <v>0</v>
      </c>
      <c r="U2659" s="42"/>
      <c r="V2659" s="31">
        <f>+D2659+I2659+M2659+N2659+L2659+O2659+Q2659+R2659+T2659</f>
        <v>-117142.9</v>
      </c>
      <c r="W2659" s="18">
        <f>+F2659+J2659</f>
        <v>56397.96</v>
      </c>
      <c r="X2659" s="36">
        <f>+V2659-W2659</f>
        <v>-173540.86</v>
      </c>
    </row>
    <row r="2660" spans="1:24" ht="15">
      <c r="A2660" s="6" t="s">
        <v>41</v>
      </c>
      <c r="B2660" s="41"/>
      <c r="C2660" s="40"/>
      <c r="D2660" s="18"/>
      <c r="E2660" s="18"/>
      <c r="F2660" s="18" t="s">
        <v>0</v>
      </c>
      <c r="G2660" s="18"/>
      <c r="I2660" s="18"/>
      <c r="J2660" s="18"/>
      <c r="K2660" s="18"/>
      <c r="L2660" s="18"/>
      <c r="M2660" s="18"/>
      <c r="N2660" s="18"/>
      <c r="O2660" s="18"/>
      <c r="P2660" s="42"/>
      <c r="Q2660" s="18"/>
      <c r="R2660" s="18"/>
      <c r="S2660" s="18"/>
      <c r="T2660" s="18" t="s">
        <v>0</v>
      </c>
      <c r="U2660" s="42"/>
      <c r="V2660" s="30"/>
      <c r="W2660" s="30"/>
      <c r="X2660" s="36"/>
    </row>
    <row r="2661" spans="1:24" ht="15">
      <c r="A2661" s="4">
        <f>+A2659+1</f>
        <v>24</v>
      </c>
      <c r="B2661" s="5" t="s">
        <v>42</v>
      </c>
      <c r="C2661" s="22" t="s">
        <v>38</v>
      </c>
      <c r="D2661" s="27">
        <v>1395561.46</v>
      </c>
      <c r="E2661" s="18" t="s">
        <v>0</v>
      </c>
      <c r="F2661" s="27">
        <v>802726.15</v>
      </c>
      <c r="G2661" s="18">
        <f>D2661-F2661</f>
        <v>592835.3099999999</v>
      </c>
      <c r="I2661" s="18">
        <v>931.75</v>
      </c>
      <c r="J2661" s="26">
        <v>-931.75</v>
      </c>
      <c r="K2661" s="18">
        <f>+I2661-J2661</f>
        <v>1863.5</v>
      </c>
      <c r="L2661" s="27">
        <v>0</v>
      </c>
      <c r="M2661" s="27">
        <v>-127679.37</v>
      </c>
      <c r="N2661" s="27">
        <f>5502.78+39619.2</f>
        <v>45121.979999999996</v>
      </c>
      <c r="O2661" s="18">
        <v>0</v>
      </c>
      <c r="P2661" s="42"/>
      <c r="Q2661" s="31">
        <v>0</v>
      </c>
      <c r="R2661" s="18">
        <v>0</v>
      </c>
      <c r="S2661" s="18" t="s">
        <v>0</v>
      </c>
      <c r="T2661" s="18">
        <v>0</v>
      </c>
      <c r="U2661" s="42"/>
      <c r="V2661" s="31">
        <f>+D2661+I2661+L2661+M2661+N2661+O2661+Q2661+R2661+T2661</f>
        <v>1313935.8199999998</v>
      </c>
      <c r="W2661" s="18">
        <f>+F2661+J2661</f>
        <v>801794.4</v>
      </c>
      <c r="X2661" s="18">
        <f>+V2661-W2661</f>
        <v>512141.4199999998</v>
      </c>
    </row>
    <row r="2662" spans="1:24" ht="15">
      <c r="A2662" s="4">
        <f>+A2661+1</f>
        <v>25</v>
      </c>
      <c r="B2662" s="5" t="s">
        <v>43</v>
      </c>
      <c r="C2662" s="11"/>
      <c r="D2662" s="18"/>
      <c r="E2662" s="18"/>
      <c r="F2662" s="18">
        <v>0</v>
      </c>
      <c r="G2662" s="18">
        <f>+D2662-F2662</f>
        <v>0</v>
      </c>
      <c r="I2662" s="18">
        <v>0</v>
      </c>
      <c r="J2662" s="18">
        <v>0</v>
      </c>
      <c r="K2662" s="18">
        <f>+I2662-J2662</f>
        <v>0</v>
      </c>
      <c r="L2662" s="18">
        <v>0</v>
      </c>
      <c r="M2662" s="18">
        <v>0</v>
      </c>
      <c r="N2662" s="18">
        <f>+L2662-M2662</f>
        <v>0</v>
      </c>
      <c r="O2662" s="18">
        <v>0</v>
      </c>
      <c r="P2662" s="42"/>
      <c r="Q2662" s="18">
        <v>0</v>
      </c>
      <c r="R2662" s="18">
        <v>0</v>
      </c>
      <c r="S2662" s="18"/>
      <c r="T2662" s="18">
        <v>0</v>
      </c>
      <c r="U2662" s="42"/>
      <c r="V2662" s="31">
        <f>+D2662+I2662+L2662+O2662+Q2662+R2662+T2662</f>
        <v>0</v>
      </c>
      <c r="W2662" s="18">
        <f>+F2662+J2662+M2662</f>
        <v>0</v>
      </c>
      <c r="X2662" s="18">
        <f>+V2662-W2662</f>
        <v>0</v>
      </c>
    </row>
    <row r="2663" spans="1:24" ht="26.25">
      <c r="A2663" s="4">
        <f>+A2662+1</f>
        <v>26</v>
      </c>
      <c r="B2663" s="24" t="s">
        <v>79</v>
      </c>
      <c r="C2663" s="11"/>
      <c r="D2663" s="18">
        <f>+D2661-D2662</f>
        <v>1395561.46</v>
      </c>
      <c r="E2663" s="18"/>
      <c r="F2663" s="18">
        <f>+F2661-F2662</f>
        <v>802726.15</v>
      </c>
      <c r="G2663" s="18">
        <f>+G2661-G2662</f>
        <v>592835.3099999999</v>
      </c>
      <c r="I2663" s="18">
        <f>+I2661-I2662</f>
        <v>931.75</v>
      </c>
      <c r="J2663" s="18">
        <f>+J2661-J2662</f>
        <v>-931.75</v>
      </c>
      <c r="K2663" s="18">
        <f>+K2661-K2662</f>
        <v>1863.5</v>
      </c>
      <c r="L2663" s="18">
        <f>+L2661-L2662</f>
        <v>0</v>
      </c>
      <c r="M2663" s="18">
        <f>+M2661-M2662</f>
        <v>-127679.37</v>
      </c>
      <c r="N2663" s="18">
        <f>+N2661-N2662</f>
        <v>45121.979999999996</v>
      </c>
      <c r="O2663" s="18">
        <v>0</v>
      </c>
      <c r="P2663" s="42"/>
      <c r="Q2663" s="18">
        <f>+Q2661-Q2662</f>
        <v>0</v>
      </c>
      <c r="R2663" s="18">
        <f>+R2661-R2662</f>
        <v>0</v>
      </c>
      <c r="S2663" s="18"/>
      <c r="T2663" s="18">
        <f>+T2661-T2662</f>
        <v>0</v>
      </c>
      <c r="U2663" s="42"/>
      <c r="V2663" s="27">
        <f>+V2661-V2662</f>
        <v>1313935.8199999998</v>
      </c>
      <c r="W2663" s="27">
        <f>+W2661-W2662</f>
        <v>801794.4</v>
      </c>
      <c r="X2663" s="31">
        <f>+X2661-X2662</f>
        <v>512141.4199999998</v>
      </c>
    </row>
    <row r="2664" spans="1:24" ht="28.5">
      <c r="A2664" s="4">
        <f>+A2663+1</f>
        <v>27</v>
      </c>
      <c r="B2664" s="88" t="s">
        <v>181</v>
      </c>
      <c r="C2664" s="11"/>
      <c r="D2664" s="18">
        <v>0</v>
      </c>
      <c r="E2664" s="18"/>
      <c r="F2664" s="18">
        <v>0</v>
      </c>
      <c r="G2664" s="18">
        <f>+D2664-F2664</f>
        <v>0</v>
      </c>
      <c r="I2664" s="18">
        <v>0</v>
      </c>
      <c r="J2664" s="18">
        <v>0</v>
      </c>
      <c r="K2664" s="18">
        <f>+I2664-J2664</f>
        <v>0</v>
      </c>
      <c r="L2664" s="18">
        <v>0</v>
      </c>
      <c r="M2664" s="18">
        <v>0</v>
      </c>
      <c r="N2664" s="18">
        <f>+L2664-M2664</f>
        <v>0</v>
      </c>
      <c r="O2664" s="18">
        <v>0</v>
      </c>
      <c r="P2664" s="42"/>
      <c r="Q2664" s="18">
        <v>0</v>
      </c>
      <c r="R2664" s="18">
        <v>0</v>
      </c>
      <c r="S2664" s="18"/>
      <c r="T2664" s="18">
        <v>0</v>
      </c>
      <c r="U2664" s="42"/>
      <c r="V2664" s="31">
        <f>+D2664+I2664+L2664+O2664+Q2664+R2664+T2664</f>
        <v>0</v>
      </c>
      <c r="W2664" s="18">
        <f>+F2664+J2664+M2664</f>
        <v>0</v>
      </c>
      <c r="X2664" s="18">
        <f>+V2664-W2664</f>
        <v>0</v>
      </c>
    </row>
    <row r="2665" spans="1:24" ht="15">
      <c r="A2665" s="4">
        <f>+A2664+1</f>
        <v>28</v>
      </c>
      <c r="B2665" s="24" t="s">
        <v>46</v>
      </c>
      <c r="C2665" s="11" t="s">
        <v>47</v>
      </c>
      <c r="D2665" s="51">
        <f>+D2657+D2658+D2663+D2664+D2659</f>
        <v>1258372.3800000001</v>
      </c>
      <c r="E2665" s="18"/>
      <c r="F2665" s="52">
        <f>+F2657+F2658+F2663+F2664+F2659</f>
        <v>853500.24</v>
      </c>
      <c r="G2665" s="18">
        <f>+G2657+G2658+G2663+G2664+G2659</f>
        <v>404872.1400000001</v>
      </c>
      <c r="I2665" s="51">
        <f>+I2657+I2658+I2663+I2664+I2659</f>
        <v>-849.79</v>
      </c>
      <c r="J2665" s="52">
        <f>+J2657+J2658+J2663+J2664+J2659</f>
        <v>866.9200000000001</v>
      </c>
      <c r="K2665" s="18">
        <f>+K2657+K2658+K2663+K2664+K2659</f>
        <v>-1716.71</v>
      </c>
      <c r="L2665" s="18">
        <f>+L2657+L2658+L2663+L2664+L2659</f>
        <v>2754.41</v>
      </c>
      <c r="M2665" s="18">
        <f>+M2657+M2658+M2663+M2664+M2659</f>
        <v>-235466.14999999997</v>
      </c>
      <c r="N2665" s="18">
        <f>+N2657+N2658+N2663+N2664+N2659</f>
        <v>56677.57</v>
      </c>
      <c r="O2665" s="18">
        <f>+O2657+O2658+O2663+O2664+O2659</f>
        <v>-23402.9</v>
      </c>
      <c r="P2665" s="42"/>
      <c r="Q2665" s="18">
        <f>+Q2657+Q2658+Q2663+Q2664+Q2659</f>
        <v>0</v>
      </c>
      <c r="R2665" s="18">
        <f>+R2657+R2658+R2663+R2664+R2659</f>
        <v>0</v>
      </c>
      <c r="S2665" s="18"/>
      <c r="T2665" s="18">
        <f>+T2657+T2658+T2663+T2664+T2659</f>
        <v>0</v>
      </c>
      <c r="U2665" s="42"/>
      <c r="V2665" s="18">
        <f>+V2657+V2658+V2663+V2664+V2659</f>
        <v>1058085.52</v>
      </c>
      <c r="W2665" s="18">
        <f>+W2657+W2658+W2663+W2664+W2659</f>
        <v>854367.1599999999</v>
      </c>
      <c r="X2665" s="18">
        <f>+X2657+X2658+X2663+X2664+X2659</f>
        <v>203718.36</v>
      </c>
    </row>
    <row r="2666" spans="1:24" ht="15">
      <c r="A2666" s="4"/>
      <c r="B2666" s="24" t="s">
        <v>0</v>
      </c>
      <c r="C2666" s="11"/>
      <c r="D2666" s="27">
        <f>D2665+I2665</f>
        <v>1257522.59</v>
      </c>
      <c r="E2666" s="79" t="s">
        <v>0</v>
      </c>
      <c r="F2666" s="27">
        <f>F2665+J2665</f>
        <v>854367.16</v>
      </c>
      <c r="G2666" s="79" t="s">
        <v>0</v>
      </c>
      <c r="I2666" s="18"/>
      <c r="J2666" s="18"/>
      <c r="K2666" s="18"/>
      <c r="L2666" s="18"/>
      <c r="M2666" s="42"/>
      <c r="N2666" s="73" t="s">
        <v>0</v>
      </c>
      <c r="O2666" s="42"/>
      <c r="P2666" s="42"/>
      <c r="Q2666" s="42"/>
      <c r="U2666" s="42"/>
      <c r="V2666" s="18"/>
      <c r="W2666" s="18"/>
      <c r="X2666" s="18"/>
    </row>
    <row r="2667" spans="1:24" ht="15">
      <c r="A2667" s="4"/>
      <c r="B2667" s="92"/>
      <c r="C2667" s="79" t="s">
        <v>0</v>
      </c>
      <c r="D2667" s="6" t="s">
        <v>48</v>
      </c>
      <c r="E2667" s="6"/>
      <c r="F2667" s="10" t="s">
        <v>49</v>
      </c>
      <c r="G2667" s="10" t="s">
        <v>50</v>
      </c>
      <c r="I2667" s="10" t="s">
        <v>51</v>
      </c>
      <c r="J2667" s="10" t="s">
        <v>52</v>
      </c>
      <c r="K2667" s="10" t="s">
        <v>53</v>
      </c>
      <c r="L2667" s="10" t="s">
        <v>54</v>
      </c>
      <c r="M2667" s="10" t="s">
        <v>55</v>
      </c>
      <c r="N2667" s="10" t="s">
        <v>56</v>
      </c>
      <c r="O2667" s="10" t="s">
        <v>57</v>
      </c>
      <c r="P2667" s="18"/>
      <c r="Q2667" s="10" t="s">
        <v>58</v>
      </c>
      <c r="R2667" s="10" t="s">
        <v>59</v>
      </c>
      <c r="S2667" s="10"/>
      <c r="T2667" s="10" t="s">
        <v>60</v>
      </c>
      <c r="U2667" s="18"/>
      <c r="V2667" s="10" t="s">
        <v>61</v>
      </c>
      <c r="W2667" s="10" t="s">
        <v>62</v>
      </c>
      <c r="X2667" s="10" t="s">
        <v>63</v>
      </c>
    </row>
    <row r="2668" spans="1:24" ht="15">
      <c r="A2668" s="4"/>
      <c r="B2668" s="24"/>
      <c r="C2668" s="11"/>
      <c r="D2668" s="14" t="s">
        <v>20</v>
      </c>
      <c r="E2668" s="18"/>
      <c r="F2668" s="14" t="s">
        <v>20</v>
      </c>
      <c r="G2668" s="14" t="s">
        <v>20</v>
      </c>
      <c r="I2668" s="14" t="s">
        <v>20</v>
      </c>
      <c r="J2668" s="14" t="s">
        <v>21</v>
      </c>
      <c r="K2668" s="14" t="s">
        <v>21</v>
      </c>
      <c r="L2668" s="14" t="s">
        <v>21</v>
      </c>
      <c r="M2668" s="14" t="s">
        <v>21</v>
      </c>
      <c r="N2668" s="14" t="s">
        <v>21</v>
      </c>
      <c r="O2668" s="14" t="s">
        <v>21</v>
      </c>
      <c r="P2668" s="14"/>
      <c r="Q2668" s="14" t="s">
        <v>21</v>
      </c>
      <c r="R2668" s="14" t="s">
        <v>21</v>
      </c>
      <c r="T2668" s="14" t="s">
        <v>21</v>
      </c>
      <c r="U2668" s="42"/>
      <c r="V2668" s="18"/>
      <c r="W2668" s="39" t="s">
        <v>123</v>
      </c>
      <c r="X2668" s="18"/>
    </row>
    <row r="2669" spans="1:24" ht="15">
      <c r="A2669" s="4"/>
      <c r="B2669" s="87" t="s">
        <v>183</v>
      </c>
      <c r="C2669" s="11"/>
      <c r="D2669" s="53" t="s">
        <v>124</v>
      </c>
      <c r="E2669" s="18"/>
      <c r="F2669" s="53" t="s">
        <v>125</v>
      </c>
      <c r="G2669" s="53" t="s">
        <v>126</v>
      </c>
      <c r="I2669" s="53" t="s">
        <v>127</v>
      </c>
      <c r="J2669" s="53" t="s">
        <v>128</v>
      </c>
      <c r="K2669" s="53" t="s">
        <v>129</v>
      </c>
      <c r="L2669" s="53" t="s">
        <v>130</v>
      </c>
      <c r="M2669" s="53" t="s">
        <v>131</v>
      </c>
      <c r="N2669" s="24" t="s">
        <v>132</v>
      </c>
      <c r="O2669" s="24" t="s">
        <v>98</v>
      </c>
      <c r="P2669" s="24"/>
      <c r="Q2669" s="24" t="s">
        <v>99</v>
      </c>
      <c r="R2669" s="24" t="s">
        <v>133</v>
      </c>
      <c r="S2669" s="42"/>
      <c r="T2669" s="24" t="s">
        <v>134</v>
      </c>
      <c r="U2669" s="42"/>
      <c r="V2669" s="10" t="s">
        <v>20</v>
      </c>
      <c r="W2669" s="10" t="s">
        <v>21</v>
      </c>
      <c r="X2669" s="10" t="s">
        <v>22</v>
      </c>
    </row>
    <row r="2670" spans="1:24" ht="15">
      <c r="A2670" s="4"/>
      <c r="B2670" s="24"/>
      <c r="C2670" s="11"/>
      <c r="D2670" s="18"/>
      <c r="E2670" s="18"/>
      <c r="F2670" s="18"/>
      <c r="I2670" s="18"/>
      <c r="J2670" s="18"/>
      <c r="O2670" s="42"/>
      <c r="P2670" s="42"/>
      <c r="Q2670" s="42"/>
      <c r="R2670" s="42"/>
      <c r="S2670" s="42"/>
      <c r="T2670" s="42"/>
      <c r="U2670" s="42"/>
      <c r="V2670" s="18"/>
      <c r="W2670" s="39"/>
      <c r="X2670" s="18"/>
    </row>
    <row r="2671" spans="1:24" ht="15">
      <c r="A2671" s="4">
        <f>+A2665+1</f>
        <v>29</v>
      </c>
      <c r="B2671" s="5" t="s">
        <v>36</v>
      </c>
      <c r="C2671" s="17" t="s">
        <v>37</v>
      </c>
      <c r="D2671" s="18">
        <v>-29.36</v>
      </c>
      <c r="E2671" s="18"/>
      <c r="F2671" s="18">
        <v>0</v>
      </c>
      <c r="G2671" s="18">
        <v>0</v>
      </c>
      <c r="I2671" s="18">
        <v>0</v>
      </c>
      <c r="J2671" s="18">
        <v>-69.13</v>
      </c>
      <c r="K2671" s="18">
        <v>0</v>
      </c>
      <c r="L2671" s="18">
        <v>0</v>
      </c>
      <c r="M2671" s="18">
        <v>0</v>
      </c>
      <c r="N2671" s="18">
        <v>0</v>
      </c>
      <c r="O2671" s="18">
        <v>0</v>
      </c>
      <c r="P2671" s="18"/>
      <c r="Q2671" s="18">
        <v>0</v>
      </c>
      <c r="R2671" s="18">
        <v>0</v>
      </c>
      <c r="S2671" s="42"/>
      <c r="T2671" s="18">
        <v>0</v>
      </c>
      <c r="U2671" s="42"/>
      <c r="V2671" s="18">
        <f>+V2655+D2671+F2671+G2671+I2671</f>
        <v>1228022.26</v>
      </c>
      <c r="W2671" s="18">
        <f>+W2655+J2671+K2671+L2671+M2671+N2671+O2671+Q2671+R2671+T2671</f>
        <v>924480.86</v>
      </c>
      <c r="X2671" s="18">
        <f>+V2671-W2671</f>
        <v>303541.4</v>
      </c>
    </row>
    <row r="2672" spans="1:24" ht="15">
      <c r="A2672" s="4">
        <f>+A2671+1</f>
        <v>30</v>
      </c>
      <c r="B2672" s="5" t="s">
        <v>36</v>
      </c>
      <c r="C2672" s="22" t="s">
        <v>38</v>
      </c>
      <c r="D2672" s="18">
        <v>-29.36</v>
      </c>
      <c r="E2672" s="18"/>
      <c r="F2672" s="18">
        <v>0</v>
      </c>
      <c r="G2672" s="18">
        <v>0</v>
      </c>
      <c r="I2672" s="18">
        <v>0</v>
      </c>
      <c r="J2672" s="18">
        <v>-69.13</v>
      </c>
      <c r="K2672" s="18">
        <v>0</v>
      </c>
      <c r="L2672" s="18">
        <v>0</v>
      </c>
      <c r="M2672" s="18">
        <v>0</v>
      </c>
      <c r="N2672" s="18">
        <v>0</v>
      </c>
      <c r="O2672" s="18">
        <v>0</v>
      </c>
      <c r="P2672" s="18"/>
      <c r="Q2672" s="18">
        <v>0</v>
      </c>
      <c r="R2672" s="18">
        <v>0</v>
      </c>
      <c r="S2672" s="42"/>
      <c r="T2672" s="18">
        <v>0</v>
      </c>
      <c r="U2672" s="42"/>
      <c r="V2672" s="18">
        <f>+V2656+D2672+F2672+G2672+I2672</f>
        <v>1366729.66</v>
      </c>
      <c r="W2672" s="18">
        <f>+W2656+J2672+K2672+L2672+M2672+N2672+O2672+Q2672+R2672+T2672</f>
        <v>928306.06</v>
      </c>
      <c r="X2672" s="18">
        <f>+V2672-W2672</f>
        <v>438423.59999999986</v>
      </c>
    </row>
    <row r="2673" spans="1:24" ht="15">
      <c r="A2673" s="4">
        <f>+A2672+1</f>
        <v>31</v>
      </c>
      <c r="B2673" s="24" t="s">
        <v>46</v>
      </c>
      <c r="C2673" s="40" t="s">
        <v>78</v>
      </c>
      <c r="D2673" s="18">
        <f>+D2671-D2672</f>
        <v>0</v>
      </c>
      <c r="E2673" s="18"/>
      <c r="F2673" s="18">
        <f>+F2671-F2672</f>
        <v>0</v>
      </c>
      <c r="G2673" s="18">
        <f>+G2671-G2672</f>
        <v>0</v>
      </c>
      <c r="I2673" s="18">
        <f aca="true" t="shared" si="304" ref="I2673:O2673">+I2671-I2672</f>
        <v>0</v>
      </c>
      <c r="J2673" s="18">
        <f t="shared" si="304"/>
        <v>0</v>
      </c>
      <c r="K2673" s="18">
        <f t="shared" si="304"/>
        <v>0</v>
      </c>
      <c r="L2673" s="18">
        <f t="shared" si="304"/>
        <v>0</v>
      </c>
      <c r="M2673" s="18">
        <f t="shared" si="304"/>
        <v>0</v>
      </c>
      <c r="N2673" s="18">
        <f t="shared" si="304"/>
        <v>0</v>
      </c>
      <c r="O2673" s="18">
        <f t="shared" si="304"/>
        <v>0</v>
      </c>
      <c r="P2673" s="18"/>
      <c r="Q2673" s="18">
        <f>+Q2671-Q2672</f>
        <v>0</v>
      </c>
      <c r="R2673" s="18">
        <f>+R2671-R2672</f>
        <v>0</v>
      </c>
      <c r="S2673" s="42"/>
      <c r="T2673" s="18">
        <f>+T2671-T2672</f>
        <v>0</v>
      </c>
      <c r="U2673" s="42"/>
      <c r="V2673" s="27">
        <f>+V2671-V2672</f>
        <v>-138707.3999999999</v>
      </c>
      <c r="W2673" s="27">
        <f>+W2671-W2672</f>
        <v>-3825.20000000007</v>
      </c>
      <c r="X2673" s="18">
        <f>+X2671-X2672</f>
        <v>-134882.19999999984</v>
      </c>
    </row>
    <row r="2674" spans="1:24" ht="28.5">
      <c r="A2674" s="4">
        <f>+A2673+1</f>
        <v>32</v>
      </c>
      <c r="B2674" s="88" t="s">
        <v>182</v>
      </c>
      <c r="C2674" s="11"/>
      <c r="D2674" s="18">
        <v>0</v>
      </c>
      <c r="E2674" s="18"/>
      <c r="F2674" s="18">
        <v>0</v>
      </c>
      <c r="G2674" s="18">
        <v>0</v>
      </c>
      <c r="I2674" s="18">
        <v>0</v>
      </c>
      <c r="J2674" s="18">
        <v>0</v>
      </c>
      <c r="K2674" s="18">
        <v>0</v>
      </c>
      <c r="L2674" s="18">
        <v>0</v>
      </c>
      <c r="M2674" s="18">
        <v>0</v>
      </c>
      <c r="N2674" s="18">
        <v>0</v>
      </c>
      <c r="O2674" s="18">
        <v>0</v>
      </c>
      <c r="P2674" s="18"/>
      <c r="Q2674" s="18">
        <v>0</v>
      </c>
      <c r="R2674" s="18">
        <v>0</v>
      </c>
      <c r="S2674" s="42"/>
      <c r="T2674" s="18">
        <v>0</v>
      </c>
      <c r="U2674" s="42"/>
      <c r="V2674" s="18">
        <f>+V2658+D2674+F2674+G2674+I2674</f>
        <v>0</v>
      </c>
      <c r="W2674" s="18">
        <f>+W2658+J2674+K2674+L2674+M2674+N2674+O2674+Q2674+R2674+T2674</f>
        <v>0</v>
      </c>
      <c r="X2674" s="18">
        <f>+V2674-W2674</f>
        <v>0</v>
      </c>
    </row>
    <row r="2675" spans="1:24" ht="24.75">
      <c r="A2675" s="4">
        <f>+A2674+1</f>
        <v>33</v>
      </c>
      <c r="B2675" s="89" t="s">
        <v>39</v>
      </c>
      <c r="C2675" s="40"/>
      <c r="D2675" s="27">
        <f>-2213.13+847580.65+508528.25+65.81</f>
        <v>1353961.58</v>
      </c>
      <c r="E2675" s="27" t="s">
        <v>0</v>
      </c>
      <c r="F2675" s="27">
        <v>0</v>
      </c>
      <c r="G2675" s="27">
        <v>-1505.02</v>
      </c>
      <c r="H2675" t="s">
        <v>0</v>
      </c>
      <c r="I2675" s="27">
        <v>0</v>
      </c>
      <c r="J2675" s="27">
        <v>-4.11</v>
      </c>
      <c r="K2675" s="27">
        <v>0</v>
      </c>
      <c r="L2675" s="27">
        <v>0</v>
      </c>
      <c r="M2675" s="18">
        <v>0</v>
      </c>
      <c r="N2675" s="18">
        <v>0</v>
      </c>
      <c r="O2675" s="18">
        <v>0</v>
      </c>
      <c r="P2675" s="18"/>
      <c r="Q2675" s="18">
        <v>0</v>
      </c>
      <c r="R2675" s="18">
        <v>0</v>
      </c>
      <c r="S2675" s="42"/>
      <c r="T2675" s="18">
        <v>0</v>
      </c>
      <c r="U2675" s="42"/>
      <c r="V2675" s="18">
        <f>+V2659+D2675+F2675+G2675+I2675</f>
        <v>1235313.6600000001</v>
      </c>
      <c r="W2675" s="18">
        <f>+W2659+J2675+K2675+L2675+M2675+N2675+O2675+Q2675+R2675+T2675</f>
        <v>56393.85</v>
      </c>
      <c r="X2675" s="36">
        <f>+V2675-W2675</f>
        <v>1178919.81</v>
      </c>
    </row>
    <row r="2676" spans="1:24" ht="15">
      <c r="A2676" s="6" t="s">
        <v>41</v>
      </c>
      <c r="B2676" s="41"/>
      <c r="C2676" s="40"/>
      <c r="D2676" s="18"/>
      <c r="E2676" s="18"/>
      <c r="F2676" s="18"/>
      <c r="G2676" s="18"/>
      <c r="I2676" s="18"/>
      <c r="J2676" s="18"/>
      <c r="K2676" s="18"/>
      <c r="L2676" s="18"/>
      <c r="M2676" s="18"/>
      <c r="N2676" s="18"/>
      <c r="O2676" s="18"/>
      <c r="P2676" s="18"/>
      <c r="Q2676" s="18"/>
      <c r="R2676" s="18"/>
      <c r="S2676" s="42"/>
      <c r="T2676" s="18"/>
      <c r="U2676" s="42"/>
      <c r="V2676" s="18"/>
      <c r="W2676" s="54"/>
      <c r="X2676" s="36"/>
    </row>
    <row r="2677" spans="1:24" ht="15">
      <c r="A2677" s="4">
        <f>+A2675+1</f>
        <v>34</v>
      </c>
      <c r="B2677" s="5" t="s">
        <v>42</v>
      </c>
      <c r="C2677" s="22" t="s">
        <v>38</v>
      </c>
      <c r="D2677" s="18">
        <v>-325.9</v>
      </c>
      <c r="E2677" s="18"/>
      <c r="F2677" s="18">
        <v>0</v>
      </c>
      <c r="G2677" s="18">
        <v>0</v>
      </c>
      <c r="I2677" s="18">
        <v>0</v>
      </c>
      <c r="J2677" s="18">
        <v>-289.6</v>
      </c>
      <c r="K2677" s="18">
        <v>0</v>
      </c>
      <c r="L2677" s="18"/>
      <c r="M2677" s="18">
        <v>0</v>
      </c>
      <c r="N2677" s="18">
        <v>0</v>
      </c>
      <c r="O2677" s="18">
        <v>0</v>
      </c>
      <c r="P2677" s="18"/>
      <c r="Q2677" s="18">
        <v>0</v>
      </c>
      <c r="R2677" s="18">
        <v>0</v>
      </c>
      <c r="S2677" s="42"/>
      <c r="T2677" s="18">
        <v>0</v>
      </c>
      <c r="U2677" s="42"/>
      <c r="V2677" s="18">
        <f>+V2661+D2677+F2677+G2677+I2677</f>
        <v>1313609.92</v>
      </c>
      <c r="W2677" s="18">
        <f>+W2661+J2677+K2677+L2677+M2677+N2677+O2677+Q2677+R2677+T2677</f>
        <v>801504.8</v>
      </c>
      <c r="X2677" s="18">
        <f>+V2677-W2677</f>
        <v>512105.1199999999</v>
      </c>
    </row>
    <row r="2678" spans="1:24" ht="15">
      <c r="A2678" s="4">
        <f>+A2677+1</f>
        <v>35</v>
      </c>
      <c r="B2678" s="5" t="s">
        <v>43</v>
      </c>
      <c r="C2678" s="11"/>
      <c r="D2678" s="18">
        <v>0</v>
      </c>
      <c r="E2678" s="18"/>
      <c r="F2678" s="18">
        <v>0</v>
      </c>
      <c r="G2678" s="18">
        <v>0</v>
      </c>
      <c r="I2678" s="18">
        <v>0</v>
      </c>
      <c r="J2678" s="18">
        <v>0</v>
      </c>
      <c r="K2678" s="18">
        <v>0</v>
      </c>
      <c r="L2678" s="18">
        <v>0</v>
      </c>
      <c r="M2678" s="18">
        <v>0</v>
      </c>
      <c r="N2678" s="18">
        <v>0</v>
      </c>
      <c r="O2678" s="18">
        <v>0</v>
      </c>
      <c r="P2678" s="18"/>
      <c r="Q2678" s="18">
        <v>0</v>
      </c>
      <c r="R2678" s="18">
        <v>0</v>
      </c>
      <c r="S2678" s="42"/>
      <c r="T2678" s="18">
        <v>0</v>
      </c>
      <c r="U2678" s="42"/>
      <c r="V2678" s="18">
        <f>+V2662+D2678+F2678+G2678+I2678</f>
        <v>0</v>
      </c>
      <c r="W2678" s="18">
        <f>+W2662+J2678+K2678+L2678+M2678+N2678+O2678+Q2678+R2678+T2678</f>
        <v>0</v>
      </c>
      <c r="X2678" s="18">
        <f>+V2678-W2678</f>
        <v>0</v>
      </c>
    </row>
    <row r="2679" spans="1:24" ht="26.25">
      <c r="A2679" s="4">
        <f>+A2678+1</f>
        <v>36</v>
      </c>
      <c r="B2679" s="24" t="s">
        <v>79</v>
      </c>
      <c r="C2679" s="11"/>
      <c r="D2679" s="18">
        <f>+D2677-D2678</f>
        <v>-325.9</v>
      </c>
      <c r="E2679" s="18"/>
      <c r="F2679" s="18">
        <f>+F2677-F2678</f>
        <v>0</v>
      </c>
      <c r="G2679" s="18">
        <f>+G2677-G2678</f>
        <v>0</v>
      </c>
      <c r="I2679" s="18">
        <f aca="true" t="shared" si="305" ref="I2679:O2679">+I2677-I2678</f>
        <v>0</v>
      </c>
      <c r="J2679" s="18">
        <f t="shared" si="305"/>
        <v>-289.6</v>
      </c>
      <c r="K2679" s="18">
        <f t="shared" si="305"/>
        <v>0</v>
      </c>
      <c r="L2679" s="18">
        <f t="shared" si="305"/>
        <v>0</v>
      </c>
      <c r="M2679" s="18">
        <f t="shared" si="305"/>
        <v>0</v>
      </c>
      <c r="N2679" s="18">
        <f t="shared" si="305"/>
        <v>0</v>
      </c>
      <c r="O2679" s="18">
        <f t="shared" si="305"/>
        <v>0</v>
      </c>
      <c r="P2679" s="18"/>
      <c r="Q2679" s="18">
        <f>+Q2677-Q2678</f>
        <v>0</v>
      </c>
      <c r="R2679" s="18">
        <f>+R2677-R2678</f>
        <v>0</v>
      </c>
      <c r="S2679" s="42"/>
      <c r="T2679" s="18">
        <f>+T2677-T2678</f>
        <v>0</v>
      </c>
      <c r="U2679" s="42"/>
      <c r="V2679" s="55">
        <f>+V2677-V2678</f>
        <v>1313609.92</v>
      </c>
      <c r="W2679" s="55">
        <f>+W2677-W2678</f>
        <v>801504.8</v>
      </c>
      <c r="X2679" s="31">
        <f>+X2677-X2678</f>
        <v>512105.1199999999</v>
      </c>
    </row>
    <row r="2680" spans="1:24" ht="28.5">
      <c r="A2680" s="4">
        <f>+A2679+1</f>
        <v>37</v>
      </c>
      <c r="B2680" s="88" t="s">
        <v>181</v>
      </c>
      <c r="C2680" s="11"/>
      <c r="D2680" s="18">
        <v>0</v>
      </c>
      <c r="E2680" s="18"/>
      <c r="F2680" s="18">
        <v>0</v>
      </c>
      <c r="G2680" s="18">
        <v>0</v>
      </c>
      <c r="I2680" s="18">
        <v>0</v>
      </c>
      <c r="J2680" s="18">
        <v>0</v>
      </c>
      <c r="K2680" s="18">
        <v>0</v>
      </c>
      <c r="L2680" s="18">
        <v>0</v>
      </c>
      <c r="M2680" s="18">
        <v>0</v>
      </c>
      <c r="N2680" s="18">
        <v>0</v>
      </c>
      <c r="O2680" s="18">
        <v>0</v>
      </c>
      <c r="P2680" s="18"/>
      <c r="Q2680" s="18">
        <v>0</v>
      </c>
      <c r="R2680" s="18">
        <v>0</v>
      </c>
      <c r="S2680" s="42"/>
      <c r="T2680" s="18">
        <v>0</v>
      </c>
      <c r="U2680" s="42"/>
      <c r="V2680" s="18">
        <f>+V2664+D2680+F2680+G2680+I2680</f>
        <v>0</v>
      </c>
      <c r="W2680" s="18">
        <f>+W2664+J2680+K2680+L2680+M2680+N2680+O2680+Q2680+R2680+T2680</f>
        <v>0</v>
      </c>
      <c r="X2680" s="18">
        <f>+V2680-W2680</f>
        <v>0</v>
      </c>
    </row>
    <row r="2681" spans="1:24" ht="15">
      <c r="A2681" s="4">
        <f>+A2680+1</f>
        <v>38</v>
      </c>
      <c r="B2681" s="24" t="s">
        <v>46</v>
      </c>
      <c r="C2681" s="11" t="s">
        <v>47</v>
      </c>
      <c r="D2681" s="18">
        <f>+D2673+D2674+D2679+D2680+D2675</f>
        <v>1353635.6800000002</v>
      </c>
      <c r="E2681" s="18"/>
      <c r="F2681" s="18">
        <f>+F2673+F2674+F2679+F2680+F2675</f>
        <v>0</v>
      </c>
      <c r="G2681" s="18">
        <f>+G2673+G2674+G2679+G2680+G2675</f>
        <v>-1505.02</v>
      </c>
      <c r="I2681" s="18">
        <f>+I2673+I2674+I2679+I2680+I2675</f>
        <v>0</v>
      </c>
      <c r="J2681" s="18">
        <f>+J2673+J2674+J2679+J2680+J2675</f>
        <v>-293.71000000000004</v>
      </c>
      <c r="K2681" s="18">
        <f>+K2673+K2674+K2679+K2680+K2675</f>
        <v>0</v>
      </c>
      <c r="L2681" s="18">
        <f>+L2673+L2674+L2679+L2680+L2675</f>
        <v>0</v>
      </c>
      <c r="M2681" s="18">
        <f>+M2673+M2674+M2679+M2680+M2675</f>
        <v>0</v>
      </c>
      <c r="N2681" s="18">
        <f>+N2673+N2674+N2679+N2680+N2675</f>
        <v>0</v>
      </c>
      <c r="O2681" s="18">
        <f>+O2673+O2674+O2679+O2680+O2675</f>
        <v>0</v>
      </c>
      <c r="P2681" s="18"/>
      <c r="Q2681" s="18">
        <f>+Q2673+Q2674+Q2679+Q2680+Q2675</f>
        <v>0</v>
      </c>
      <c r="R2681" s="18">
        <f>+R2673+R2674+R2679+R2680+R2675</f>
        <v>0</v>
      </c>
      <c r="S2681" s="18"/>
      <c r="T2681" s="18">
        <f>+T2673+T2674+T2679+T2680+T2675</f>
        <v>0</v>
      </c>
      <c r="U2681" s="42"/>
      <c r="V2681" s="18">
        <f>+V2673+V2674+V2679+V2680+V2675</f>
        <v>2410216.18</v>
      </c>
      <c r="W2681" s="18">
        <f>+W2673+W2674+W2679+W2680+W2675</f>
        <v>854073.45</v>
      </c>
      <c r="X2681" s="18">
        <f>+X2673+X2674+X2679+X2680+X2675</f>
        <v>1556142.73</v>
      </c>
    </row>
    <row r="2682" spans="1:24" ht="15">
      <c r="A2682" s="4"/>
      <c r="B2682" s="24"/>
      <c r="C2682" s="11"/>
      <c r="D2682" s="18"/>
      <c r="E2682" s="18"/>
      <c r="F2682" s="18"/>
      <c r="G2682" s="18"/>
      <c r="N2682" s="42"/>
      <c r="O2682" s="42"/>
      <c r="P2682" s="42"/>
      <c r="Q2682" s="42"/>
      <c r="R2682" s="42"/>
      <c r="S2682" s="42"/>
      <c r="T2682" s="42"/>
      <c r="U2682" s="42"/>
      <c r="V2682" s="18"/>
      <c r="W2682" s="18"/>
      <c r="X2682" s="18"/>
    </row>
    <row r="2683" spans="1:24" ht="15">
      <c r="A2683" s="4"/>
      <c r="B2683" s="24"/>
      <c r="C2683" s="11"/>
      <c r="D2683" s="18"/>
      <c r="E2683" s="18"/>
      <c r="F2683" s="18"/>
      <c r="G2683" s="18"/>
      <c r="L2683" s="42"/>
      <c r="M2683" s="42"/>
      <c r="N2683" s="42"/>
      <c r="O2683" s="42"/>
      <c r="P2683" s="42"/>
      <c r="Q2683" s="42"/>
      <c r="R2683" s="42"/>
      <c r="S2683" s="42"/>
      <c r="T2683" s="42"/>
      <c r="U2683" s="42"/>
      <c r="V2683" s="18"/>
      <c r="W2683" s="18"/>
      <c r="X2683" s="18"/>
    </row>
    <row r="2684" spans="1:24" ht="15">
      <c r="A2684" s="4"/>
      <c r="B2684" s="24"/>
      <c r="C2684" s="11"/>
      <c r="D2684" s="18"/>
      <c r="E2684" s="18"/>
      <c r="F2684" s="18"/>
      <c r="G2684" s="18"/>
      <c r="L2684" s="42"/>
      <c r="M2684" s="42"/>
      <c r="N2684" s="42"/>
      <c r="O2684" s="42"/>
      <c r="P2684" s="42"/>
      <c r="Q2684" s="42"/>
      <c r="R2684" s="42"/>
      <c r="S2684" s="42"/>
      <c r="T2684" s="42"/>
      <c r="U2684" s="42"/>
      <c r="V2684" s="18"/>
      <c r="W2684" s="18"/>
      <c r="X2684" s="18"/>
    </row>
    <row r="2685" spans="1:24" ht="15">
      <c r="A2685" s="4"/>
      <c r="B2685" s="24"/>
      <c r="C2685" s="11"/>
      <c r="D2685" s="18"/>
      <c r="E2685" s="18"/>
      <c r="F2685" s="18"/>
      <c r="G2685" s="18"/>
      <c r="H2685" s="56"/>
      <c r="L2685" s="42"/>
      <c r="M2685" s="42"/>
      <c r="N2685" s="42"/>
      <c r="O2685" s="42"/>
      <c r="P2685" s="42"/>
      <c r="Q2685" s="42"/>
      <c r="R2685" s="42"/>
      <c r="S2685" s="42"/>
      <c r="T2685" s="42"/>
      <c r="U2685" s="42"/>
      <c r="V2685" s="18"/>
      <c r="W2685" s="18"/>
      <c r="X2685" s="18"/>
    </row>
    <row r="2686" spans="1:24" ht="15">
      <c r="A2686" s="4"/>
      <c r="B2686" s="24"/>
      <c r="C2686" s="11"/>
      <c r="D2686" s="18"/>
      <c r="E2686" s="18"/>
      <c r="F2686" s="18"/>
      <c r="G2686" s="18"/>
      <c r="H2686" s="56"/>
      <c r="I2686" s="57" t="s">
        <v>135</v>
      </c>
      <c r="L2686" s="42"/>
      <c r="M2686" s="42"/>
      <c r="N2686" s="42"/>
      <c r="O2686" s="42"/>
      <c r="P2686" s="42"/>
      <c r="Q2686" s="42"/>
      <c r="R2686" s="42"/>
      <c r="S2686" s="42"/>
      <c r="T2686" s="42"/>
      <c r="U2686" s="42"/>
      <c r="V2686" s="18"/>
      <c r="W2686" s="18"/>
      <c r="X2686" s="18"/>
    </row>
    <row r="2687" spans="1:24" ht="15">
      <c r="A2687" s="4"/>
      <c r="B2687" s="24"/>
      <c r="C2687" s="11"/>
      <c r="D2687" s="18"/>
      <c r="E2687" s="18"/>
      <c r="F2687" s="18"/>
      <c r="G2687" s="18"/>
      <c r="H2687" s="56"/>
      <c r="I2687" s="58"/>
      <c r="L2687" s="42"/>
      <c r="T2687" s="42"/>
      <c r="U2687" s="42"/>
      <c r="V2687" s="18"/>
      <c r="W2687" s="18"/>
      <c r="X2687" s="18"/>
    </row>
    <row r="2688" spans="1:24" ht="15">
      <c r="A2688" s="4"/>
      <c r="B2688" s="24"/>
      <c r="C2688" s="11"/>
      <c r="D2688" s="18"/>
      <c r="E2688" s="18"/>
      <c r="F2688" s="18"/>
      <c r="G2688" s="18"/>
      <c r="H2688" s="56"/>
      <c r="I2688" s="59" t="s">
        <v>136</v>
      </c>
      <c r="L2688" s="75">
        <v>25534784</v>
      </c>
      <c r="T2688" s="42"/>
      <c r="U2688" s="42"/>
      <c r="V2688" s="18"/>
      <c r="W2688" s="18"/>
      <c r="X2688" s="18"/>
    </row>
    <row r="2689" spans="1:24" ht="15">
      <c r="A2689" s="4"/>
      <c r="B2689" s="24"/>
      <c r="C2689" s="11"/>
      <c r="D2689" s="18"/>
      <c r="E2689" s="18"/>
      <c r="F2689" s="18"/>
      <c r="G2689" s="18"/>
      <c r="H2689" s="56"/>
      <c r="I2689" s="59"/>
      <c r="L2689" s="18"/>
      <c r="T2689" s="42"/>
      <c r="U2689" s="42"/>
      <c r="V2689" s="18"/>
      <c r="W2689" s="18"/>
      <c r="X2689" s="18"/>
    </row>
    <row r="2690" spans="1:24" ht="15">
      <c r="A2690" s="4"/>
      <c r="B2690" s="24"/>
      <c r="C2690" s="11"/>
      <c r="D2690" s="44" t="s">
        <v>137</v>
      </c>
      <c r="E2690" s="18"/>
      <c r="F2690" s="10" t="s">
        <v>138</v>
      </c>
      <c r="G2690" s="44" t="s">
        <v>24</v>
      </c>
      <c r="H2690" s="56"/>
      <c r="I2690" s="59" t="s">
        <v>139</v>
      </c>
      <c r="L2690" s="27">
        <v>0</v>
      </c>
      <c r="N2690" s="6" t="s">
        <v>137</v>
      </c>
      <c r="O2690" s="6" t="s">
        <v>137</v>
      </c>
      <c r="P2690" s="42"/>
      <c r="Q2690" s="6" t="s">
        <v>138</v>
      </c>
      <c r="R2690" s="6" t="s">
        <v>138</v>
      </c>
      <c r="S2690" s="6"/>
      <c r="T2690" s="42"/>
      <c r="U2690" s="42"/>
      <c r="V2690" s="18"/>
      <c r="W2690" s="18"/>
      <c r="X2690" s="18"/>
    </row>
    <row r="2691" spans="1:24" ht="15">
      <c r="A2691" s="4"/>
      <c r="B2691" s="24"/>
      <c r="C2691" s="11"/>
      <c r="D2691" s="18"/>
      <c r="E2691" s="18"/>
      <c r="F2691" s="18"/>
      <c r="G2691" s="18"/>
      <c r="H2691" s="56"/>
      <c r="I2691" s="59"/>
      <c r="L2691" s="18"/>
      <c r="N2691" s="8" t="s">
        <v>140</v>
      </c>
      <c r="O2691" s="49" t="s">
        <v>141</v>
      </c>
      <c r="P2691" s="42"/>
      <c r="Q2691" s="8" t="s">
        <v>140</v>
      </c>
      <c r="R2691" s="49" t="s">
        <v>141</v>
      </c>
      <c r="S2691" s="49"/>
      <c r="T2691" s="42"/>
      <c r="U2691" s="42"/>
      <c r="V2691" s="18"/>
      <c r="W2691" s="18"/>
      <c r="X2691" s="18"/>
    </row>
    <row r="2692" spans="1:24" ht="15">
      <c r="A2692" s="4">
        <f>+A2680+1</f>
        <v>38</v>
      </c>
      <c r="B2692" s="5" t="s">
        <v>36</v>
      </c>
      <c r="C2692" s="17" t="s">
        <v>37</v>
      </c>
      <c r="D2692" s="31">
        <f>+V2637+V2671</f>
        <v>22953994.86000001</v>
      </c>
      <c r="E2692" s="18"/>
      <c r="F2692" s="31">
        <f>+W2637+W2671</f>
        <v>17133269.790000003</v>
      </c>
      <c r="G2692" s="18">
        <f>+D2692-F2692</f>
        <v>5820725.070000008</v>
      </c>
      <c r="H2692" s="56"/>
      <c r="I2692" s="59" t="s">
        <v>142</v>
      </c>
      <c r="J2692" s="18"/>
      <c r="K2692" s="18"/>
      <c r="L2692" s="36">
        <v>18000355</v>
      </c>
      <c r="N2692" s="60"/>
      <c r="O2692" s="6"/>
      <c r="P2692" s="42"/>
      <c r="Q2692" s="61"/>
      <c r="R2692" s="61"/>
      <c r="S2692" s="61"/>
      <c r="T2692" s="42"/>
      <c r="U2692" s="42"/>
      <c r="V2692" s="18"/>
      <c r="W2692" s="18"/>
      <c r="X2692" s="18"/>
    </row>
    <row r="2693" spans="1:21" ht="15">
      <c r="A2693" s="4">
        <f>+A2692+1</f>
        <v>39</v>
      </c>
      <c r="B2693" s="5" t="s">
        <v>36</v>
      </c>
      <c r="C2693" s="22" t="s">
        <v>38</v>
      </c>
      <c r="D2693" s="31">
        <f>+V2638+V2672</f>
        <v>23082299.73</v>
      </c>
      <c r="E2693" s="18"/>
      <c r="F2693" s="31">
        <f>+W2638+W2672</f>
        <v>16780597.38</v>
      </c>
      <c r="G2693" s="18">
        <f>+D2693-F2693</f>
        <v>6301702.3500000015</v>
      </c>
      <c r="H2693" s="56"/>
      <c r="I2693" s="58"/>
      <c r="J2693" s="18"/>
      <c r="K2693" s="18"/>
      <c r="L2693" s="60"/>
      <c r="N2693" s="62">
        <f>+D2694</f>
        <v>-128304.86999998987</v>
      </c>
      <c r="O2693" s="63">
        <f>+D2700</f>
        <v>25287916.439999998</v>
      </c>
      <c r="P2693" s="42"/>
      <c r="Q2693" s="31">
        <f>+F2604</f>
        <v>356497.61000000127</v>
      </c>
      <c r="R2693" s="31">
        <f>+F2606</f>
        <v>0</v>
      </c>
      <c r="S2693" s="31"/>
      <c r="T2693" s="42"/>
      <c r="U2693" s="42"/>
    </row>
    <row r="2694" spans="1:24" ht="15">
      <c r="A2694" s="4">
        <f>+A2693+1</f>
        <v>40</v>
      </c>
      <c r="B2694" s="24" t="s">
        <v>46</v>
      </c>
      <c r="C2694" s="40" t="s">
        <v>78</v>
      </c>
      <c r="D2694" s="26">
        <f>+D2692-D2693</f>
        <v>-128304.86999998987</v>
      </c>
      <c r="E2694" s="18"/>
      <c r="F2694" s="26">
        <f>+F2692-F2693</f>
        <v>352672.4100000039</v>
      </c>
      <c r="G2694" s="18">
        <f>+G2692-G2693</f>
        <v>-480977.27999999374</v>
      </c>
      <c r="H2694" s="56"/>
      <c r="I2694" s="58" t="s">
        <v>143</v>
      </c>
      <c r="J2694" s="18"/>
      <c r="K2694" s="18"/>
      <c r="L2694">
        <v>0</v>
      </c>
      <c r="N2694" s="62">
        <f>+D2695</f>
        <v>0</v>
      </c>
      <c r="O2694" s="63">
        <f>+D2701</f>
        <v>0</v>
      </c>
      <c r="P2694" s="42"/>
      <c r="Q2694" s="31">
        <f>+F2605</f>
        <v>0</v>
      </c>
      <c r="R2694" s="31">
        <f>+F2610</f>
        <v>17643857.05</v>
      </c>
      <c r="S2694" s="31"/>
      <c r="U2694" s="18"/>
      <c r="V2694" s="10" t="s">
        <v>20</v>
      </c>
      <c r="W2694" s="10" t="s">
        <v>21</v>
      </c>
      <c r="X2694" s="10" t="s">
        <v>22</v>
      </c>
    </row>
    <row r="2695" spans="1:21" ht="28.5">
      <c r="A2695" s="4">
        <f>+A2694+1</f>
        <v>41</v>
      </c>
      <c r="B2695" s="88" t="s">
        <v>182</v>
      </c>
      <c r="C2695" s="11"/>
      <c r="D2695" s="26">
        <f>+V2640+V2674</f>
        <v>0</v>
      </c>
      <c r="E2695" s="26"/>
      <c r="F2695" s="26">
        <f>+W2640+W2674</f>
        <v>0</v>
      </c>
      <c r="G2695" s="18">
        <f>+D2695-F2695</f>
        <v>0</v>
      </c>
      <c r="H2695" s="56"/>
      <c r="I2695" s="58"/>
      <c r="J2695" s="18"/>
      <c r="K2695" s="18"/>
      <c r="L2695" s="60" t="s">
        <v>144</v>
      </c>
      <c r="N2695" s="62">
        <f>+F2694</f>
        <v>352672.4100000039</v>
      </c>
      <c r="O2695" s="63">
        <f>+F2700</f>
        <v>18445361.85</v>
      </c>
      <c r="P2695" s="42"/>
      <c r="R2695" s="31">
        <f>+F2611</f>
        <v>0</v>
      </c>
      <c r="S2695" s="31"/>
      <c r="U2695" s="18"/>
    </row>
    <row r="2696" spans="1:25" ht="24.75">
      <c r="A2696" s="4">
        <f>+A2695+1</f>
        <v>42</v>
      </c>
      <c r="B2696" s="89" t="s">
        <v>39</v>
      </c>
      <c r="C2696" s="40"/>
      <c r="D2696" s="30">
        <f>+V2641+V2675</f>
        <v>1229245.6600000001</v>
      </c>
      <c r="E2696" s="30"/>
      <c r="F2696" s="30">
        <f>+W2641+W2675</f>
        <v>56393.85</v>
      </c>
      <c r="G2696" s="18">
        <f>+D2696-F2696</f>
        <v>1172851.81</v>
      </c>
      <c r="H2696" s="56"/>
      <c r="I2696" s="64" t="s">
        <v>145</v>
      </c>
      <c r="J2696" s="18"/>
      <c r="K2696" s="18"/>
      <c r="L2696" s="83">
        <f>+L2688-L2690-L2692-L2694</f>
        <v>7534429</v>
      </c>
      <c r="N2696" s="62">
        <f>+F2695</f>
        <v>0</v>
      </c>
      <c r="O2696" s="63">
        <f>+F2701</f>
        <v>0</v>
      </c>
      <c r="P2696" s="42"/>
      <c r="Q2696" s="31"/>
      <c r="R2696" s="31"/>
      <c r="S2696" s="31"/>
      <c r="U2696" s="65"/>
      <c r="V2696" s="66"/>
      <c r="W2696" s="66"/>
      <c r="X2696" s="65"/>
      <c r="Y2696" s="84"/>
    </row>
    <row r="2697" spans="1:25" ht="15">
      <c r="A2697" s="6" t="s">
        <v>41</v>
      </c>
      <c r="B2697" s="41"/>
      <c r="C2697" s="40"/>
      <c r="D2697" s="18"/>
      <c r="E2697" s="18"/>
      <c r="F2697" s="18"/>
      <c r="G2697" s="18"/>
      <c r="H2697" s="56"/>
      <c r="I2697" s="58"/>
      <c r="J2697" s="18"/>
      <c r="K2697" s="18"/>
      <c r="N2697" s="62">
        <f>+F2604</f>
        <v>356497.61000000127</v>
      </c>
      <c r="O2697" s="63">
        <f>+F2610</f>
        <v>17643857.05</v>
      </c>
      <c r="P2697" s="42"/>
      <c r="Q2697" s="31"/>
      <c r="U2697" s="65"/>
      <c r="V2697" s="67"/>
      <c r="W2697" s="67"/>
      <c r="X2697" s="68"/>
      <c r="Y2697" s="84"/>
    </row>
    <row r="2698" spans="1:25" ht="15">
      <c r="A2698" s="4">
        <f>+A2696+1</f>
        <v>43</v>
      </c>
      <c r="B2698" s="5" t="s">
        <v>42</v>
      </c>
      <c r="C2698" s="22" t="s">
        <v>38</v>
      </c>
      <c r="D2698" s="31">
        <f>+V2643+V2677</f>
        <v>25287916.439999998</v>
      </c>
      <c r="E2698" s="18"/>
      <c r="F2698" s="31">
        <f>+W2643+W2677</f>
        <v>18445361.85</v>
      </c>
      <c r="G2698" s="18">
        <f>+D2698-F2698</f>
        <v>6842554.589999996</v>
      </c>
      <c r="H2698" s="56"/>
      <c r="I2698" s="59" t="s">
        <v>22</v>
      </c>
      <c r="J2698" s="18"/>
      <c r="K2698" s="18"/>
      <c r="L2698" s="30">
        <f>+X2703</f>
        <v>7534429.120000001</v>
      </c>
      <c r="N2698" s="62"/>
      <c r="O2698" s="63">
        <f>+D2696</f>
        <v>1229245.6600000001</v>
      </c>
      <c r="P2698" s="42"/>
      <c r="Q2698" s="31"/>
      <c r="R2698" s="31"/>
      <c r="S2698" s="31"/>
      <c r="T2698" s="69" t="s">
        <v>78</v>
      </c>
      <c r="U2698" s="65"/>
      <c r="V2698" s="26">
        <f>+D2694+D2695-F2694-F2695+F2604</f>
        <v>-124479.66999999247</v>
      </c>
      <c r="W2698" s="26">
        <f>+F2604+F2605</f>
        <v>356497.61000000127</v>
      </c>
      <c r="X2698" s="26">
        <f>+V2698-W2698</f>
        <v>-480977.27999999374</v>
      </c>
      <c r="Y2698" s="85"/>
    </row>
    <row r="2699" spans="1:25" ht="15">
      <c r="A2699" s="4">
        <f>+A2698+1</f>
        <v>44</v>
      </c>
      <c r="B2699" s="5" t="s">
        <v>43</v>
      </c>
      <c r="C2699" s="11"/>
      <c r="D2699" s="31">
        <f>+V2644+V2678</f>
        <v>0</v>
      </c>
      <c r="E2699" s="18"/>
      <c r="F2699" s="31">
        <f>+W2644+W2678</f>
        <v>0</v>
      </c>
      <c r="G2699" s="18">
        <f>+D2699-F2699</f>
        <v>0</v>
      </c>
      <c r="H2699" s="56"/>
      <c r="I2699" s="59"/>
      <c r="J2699" s="18"/>
      <c r="K2699" s="18"/>
      <c r="L2699" s="60" t="s">
        <v>144</v>
      </c>
      <c r="O2699" s="63">
        <f>+F2696</f>
        <v>56393.85</v>
      </c>
      <c r="P2699" s="42"/>
      <c r="Q2699" s="31"/>
      <c r="R2699" s="31"/>
      <c r="S2699" s="31"/>
      <c r="T2699" s="11" t="s">
        <v>146</v>
      </c>
      <c r="U2699" s="65"/>
      <c r="V2699" s="30">
        <f>+D2700+D2701-F2700-F2701+F2610+D2696-F2696+F2606</f>
        <v>25659263.449999996</v>
      </c>
      <c r="W2699" s="30">
        <f>+F2606+F2610+F2611</f>
        <v>17643857.05</v>
      </c>
      <c r="X2699" s="30">
        <f>+V2699-W2699</f>
        <v>8015406.399999995</v>
      </c>
      <c r="Y2699" s="85"/>
    </row>
    <row r="2700" spans="1:25" ht="26.25">
      <c r="A2700" s="4">
        <f>+A2699+1</f>
        <v>45</v>
      </c>
      <c r="B2700" s="24" t="s">
        <v>79</v>
      </c>
      <c r="C2700" s="11"/>
      <c r="D2700" s="30">
        <f>+D2698-D2699</f>
        <v>25287916.439999998</v>
      </c>
      <c r="E2700" s="18"/>
      <c r="F2700" s="30">
        <f>+F2698-F2699</f>
        <v>18445361.85</v>
      </c>
      <c r="G2700" s="18">
        <f>+G2698-G2699</f>
        <v>6842554.589999996</v>
      </c>
      <c r="H2700" s="56"/>
      <c r="I2700" s="58"/>
      <c r="J2700" s="18"/>
      <c r="K2700" s="18"/>
      <c r="N2700" s="62"/>
      <c r="O2700" s="63">
        <f>+F2606</f>
        <v>0</v>
      </c>
      <c r="P2700" s="42"/>
      <c r="Q2700" s="31"/>
      <c r="R2700" s="31"/>
      <c r="S2700" s="31"/>
      <c r="T2700" s="11"/>
      <c r="U2700" s="65"/>
      <c r="V2700" s="30"/>
      <c r="W2700" s="30"/>
      <c r="X2700" s="30"/>
      <c r="Y2700" s="65"/>
    </row>
    <row r="2701" spans="1:25" ht="28.5">
      <c r="A2701" s="4">
        <f>+A2700+1</f>
        <v>46</v>
      </c>
      <c r="B2701" s="88" t="s">
        <v>181</v>
      </c>
      <c r="C2701" s="11"/>
      <c r="D2701" s="30">
        <f>+V2646+V2680</f>
        <v>0</v>
      </c>
      <c r="E2701" s="30"/>
      <c r="F2701" s="30">
        <f>+W2646+W2680</f>
        <v>0</v>
      </c>
      <c r="G2701" s="18">
        <f>+D2701-F2701</f>
        <v>0</v>
      </c>
      <c r="H2701" s="56"/>
      <c r="N2701" s="62"/>
      <c r="O2701" s="62"/>
      <c r="P2701" s="42"/>
      <c r="Q2701" s="31"/>
      <c r="R2701" s="31"/>
      <c r="S2701" s="31"/>
      <c r="T2701" s="11"/>
      <c r="U2701" s="65"/>
      <c r="V2701" s="30"/>
      <c r="W2701" s="30"/>
      <c r="X2701" s="30"/>
      <c r="Y2701" s="65"/>
    </row>
    <row r="2702" spans="1:25" ht="15">
      <c r="A2702" s="4">
        <f>+A2701+1</f>
        <v>47</v>
      </c>
      <c r="B2702" s="24" t="s">
        <v>46</v>
      </c>
      <c r="C2702" s="11" t="s">
        <v>47</v>
      </c>
      <c r="D2702" s="18">
        <f>+D2694+D2695+D2700+D2701+D2696</f>
        <v>26388857.230000008</v>
      </c>
      <c r="E2702" s="18"/>
      <c r="F2702" s="18">
        <f>+F2694+F2695+F2700+F2701+F2696</f>
        <v>18854428.110000007</v>
      </c>
      <c r="G2702" s="18">
        <f>+G2694+G2695+G2700+G2701+G2696</f>
        <v>7534429.120000003</v>
      </c>
      <c r="H2702" s="56"/>
      <c r="I2702" s="59" t="s">
        <v>147</v>
      </c>
      <c r="J2702" s="18"/>
      <c r="K2702" s="18"/>
      <c r="L2702" s="61">
        <f>+L2696-L2698</f>
        <v>-0.12000000104308128</v>
      </c>
      <c r="N2702" s="70">
        <f>+N2693+N2694-N2695-N2696+N2697</f>
        <v>-124479.66999999247</v>
      </c>
      <c r="O2702" s="71">
        <f>+O2693+O2694-O2695-O2696+O2697+O2698-O2699+O2700</f>
        <v>25659263.449999996</v>
      </c>
      <c r="P2702" s="42"/>
      <c r="Q2702" s="26">
        <f>SUM(Q2693:Q2694)</f>
        <v>356497.61000000127</v>
      </c>
      <c r="R2702" s="30">
        <f>SUM(R2693:R2696)</f>
        <v>17643857.05</v>
      </c>
      <c r="S2702" s="30"/>
      <c r="T2702" s="11"/>
      <c r="U2702" s="65"/>
      <c r="V2702" s="30"/>
      <c r="W2702" s="30"/>
      <c r="X2702" s="30"/>
      <c r="Y2702" s="65"/>
    </row>
    <row r="2703" spans="1:25" ht="15">
      <c r="A2703" s="4"/>
      <c r="B2703" s="24"/>
      <c r="C2703" s="11"/>
      <c r="D2703" s="18"/>
      <c r="E2703" s="18"/>
      <c r="F2703" s="18"/>
      <c r="G2703" s="18"/>
      <c r="H2703" s="56"/>
      <c r="L2703" s="60" t="s">
        <v>148</v>
      </c>
      <c r="M2703" s="42"/>
      <c r="N2703" s="42"/>
      <c r="O2703" s="42"/>
      <c r="P2703" s="42"/>
      <c r="Q2703" s="42"/>
      <c r="R2703" s="42"/>
      <c r="S2703" s="42"/>
      <c r="T2703" s="10" t="s">
        <v>22</v>
      </c>
      <c r="U2703" s="65"/>
      <c r="V2703" s="36"/>
      <c r="W2703" s="36"/>
      <c r="X2703" s="36">
        <f>+X2698+X2699</f>
        <v>7534429.120000001</v>
      </c>
      <c r="Y2703" s="65"/>
    </row>
    <row r="2704" spans="1:25" ht="15">
      <c r="A2704" s="1"/>
      <c r="B2704" s="2"/>
      <c r="C2704" s="2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65"/>
    </row>
    <row r="2705" spans="1:6" ht="15">
      <c r="A2705" s="4" t="s">
        <v>0</v>
      </c>
      <c r="B2705" s="5"/>
      <c r="C2705" s="6" t="s">
        <v>1</v>
      </c>
      <c r="F2705"/>
    </row>
    <row r="2706" spans="1:6" ht="15">
      <c r="A2706" s="4"/>
      <c r="B2706" s="5"/>
      <c r="C2706" s="6" t="s">
        <v>2</v>
      </c>
      <c r="F2706"/>
    </row>
    <row r="2707" spans="1:6" ht="15">
      <c r="A2707" s="4"/>
      <c r="B2707" s="5"/>
      <c r="C2707" s="80" t="s">
        <v>173</v>
      </c>
      <c r="F2707"/>
    </row>
    <row r="2708" spans="1:6" ht="15">
      <c r="A2708" s="4"/>
      <c r="B2708" s="5"/>
      <c r="C2708" s="8"/>
      <c r="F2708"/>
    </row>
    <row r="2709" spans="1:25" ht="15">
      <c r="A2709" s="4"/>
      <c r="B2709" s="5"/>
      <c r="C2709" s="9"/>
      <c r="D2709" s="10" t="s">
        <v>4</v>
      </c>
      <c r="E2709" s="10"/>
      <c r="F2709" s="10" t="s">
        <v>5</v>
      </c>
      <c r="G2709" s="10" t="s">
        <v>6</v>
      </c>
      <c r="H2709" s="10"/>
      <c r="I2709" s="10" t="s">
        <v>7</v>
      </c>
      <c r="J2709" s="10" t="s">
        <v>8</v>
      </c>
      <c r="K2709" s="10" t="s">
        <v>9</v>
      </c>
      <c r="L2709" s="10" t="s">
        <v>10</v>
      </c>
      <c r="M2709" s="10" t="s">
        <v>11</v>
      </c>
      <c r="N2709" s="10" t="s">
        <v>12</v>
      </c>
      <c r="O2709" s="10" t="s">
        <v>13</v>
      </c>
      <c r="P2709" s="10"/>
      <c r="Q2709" s="10" t="s">
        <v>14</v>
      </c>
      <c r="R2709" s="10" t="s">
        <v>15</v>
      </c>
      <c r="S2709" s="10"/>
      <c r="T2709" s="10" t="s">
        <v>16</v>
      </c>
      <c r="U2709" s="10"/>
      <c r="V2709" s="10" t="s">
        <v>17</v>
      </c>
      <c r="W2709" s="10" t="s">
        <v>18</v>
      </c>
      <c r="X2709" s="10" t="s">
        <v>19</v>
      </c>
      <c r="Y2709" s="10"/>
    </row>
    <row r="2710" spans="1:24" ht="15">
      <c r="A2710" s="4"/>
      <c r="B2710" s="87" t="s">
        <v>174</v>
      </c>
      <c r="C2710" s="5"/>
      <c r="D2710" s="10" t="s">
        <v>20</v>
      </c>
      <c r="E2710" s="10"/>
      <c r="F2710" s="10" t="s">
        <v>21</v>
      </c>
      <c r="G2710" s="10" t="s">
        <v>22</v>
      </c>
      <c r="I2710" s="10" t="s">
        <v>20</v>
      </c>
      <c r="J2710" s="10" t="s">
        <v>20</v>
      </c>
      <c r="K2710" s="10" t="s">
        <v>20</v>
      </c>
      <c r="L2710" s="10" t="s">
        <v>20</v>
      </c>
      <c r="M2710" s="10" t="s">
        <v>20</v>
      </c>
      <c r="N2710" s="10" t="s">
        <v>20</v>
      </c>
      <c r="O2710" s="10" t="s">
        <v>20</v>
      </c>
      <c r="Q2710" s="10" t="s">
        <v>20</v>
      </c>
      <c r="R2710" s="10" t="s">
        <v>20</v>
      </c>
      <c r="S2710" s="10"/>
      <c r="T2710" s="10" t="s">
        <v>20</v>
      </c>
      <c r="V2710" s="10" t="s">
        <v>20</v>
      </c>
      <c r="W2710" s="10" t="s">
        <v>20</v>
      </c>
      <c r="X2710" s="10" t="s">
        <v>20</v>
      </c>
    </row>
    <row r="2711" spans="1:24" ht="42.75">
      <c r="A2711" s="4"/>
      <c r="B2711" s="5"/>
      <c r="C2711" s="11"/>
      <c r="D2711" s="12" t="s">
        <v>23</v>
      </c>
      <c r="E2711" s="13"/>
      <c r="F2711" s="12" t="s">
        <v>175</v>
      </c>
      <c r="G2711" s="13" t="s">
        <v>24</v>
      </c>
      <c r="I2711" s="13" t="s">
        <v>25</v>
      </c>
      <c r="J2711" s="8" t="s">
        <v>26</v>
      </c>
      <c r="K2711" s="13" t="s">
        <v>27</v>
      </c>
      <c r="L2711" s="13" t="s">
        <v>28</v>
      </c>
      <c r="M2711" s="13" t="s">
        <v>29</v>
      </c>
      <c r="N2711" s="13" t="s">
        <v>30</v>
      </c>
      <c r="O2711" s="13" t="s">
        <v>31</v>
      </c>
      <c r="Q2711" s="14">
        <v>4470115</v>
      </c>
      <c r="R2711" s="13" t="s">
        <v>32</v>
      </c>
      <c r="S2711" s="13"/>
      <c r="T2711" s="14">
        <v>4470119</v>
      </c>
      <c r="V2711" s="8" t="s">
        <v>33</v>
      </c>
      <c r="W2711" s="8" t="s">
        <v>34</v>
      </c>
      <c r="X2711" s="81" t="s">
        <v>35</v>
      </c>
    </row>
    <row r="2712" spans="1:23" ht="15">
      <c r="A2712" s="4"/>
      <c r="B2712" s="5"/>
      <c r="C2712" s="11"/>
      <c r="D2712" s="13"/>
      <c r="E2712" s="13"/>
      <c r="F2712" s="13"/>
      <c r="G2712" s="15"/>
      <c r="I2712" s="13"/>
      <c r="J2712" s="13"/>
      <c r="K2712" s="13"/>
      <c r="L2712" s="13"/>
      <c r="M2712" s="13"/>
      <c r="N2712" s="13"/>
      <c r="O2712" s="13"/>
      <c r="Q2712" s="14"/>
      <c r="R2712" s="13"/>
      <c r="S2712" s="14"/>
      <c r="T2712" s="16"/>
      <c r="V2712" s="14"/>
      <c r="W2712" s="13"/>
    </row>
    <row r="2713" spans="1:25" ht="15">
      <c r="A2713" s="4">
        <v>1</v>
      </c>
      <c r="B2713" s="5" t="s">
        <v>36</v>
      </c>
      <c r="C2713" s="17" t="s">
        <v>37</v>
      </c>
      <c r="D2713" s="78">
        <f>17816721.01+7803618.51</f>
        <v>25620339.520000003</v>
      </c>
      <c r="E2713" s="77"/>
      <c r="F2713" s="93">
        <f>17150488.28+666232.73</f>
        <v>17816721.01</v>
      </c>
      <c r="G2713" s="21">
        <f>+D2713-F2713</f>
        <v>7803618.510000002</v>
      </c>
      <c r="H2713" s="18"/>
      <c r="I2713" s="18">
        <v>0</v>
      </c>
      <c r="J2713" s="18">
        <v>0</v>
      </c>
      <c r="K2713" s="18">
        <v>0</v>
      </c>
      <c r="L2713" s="18">
        <v>-63819.17</v>
      </c>
      <c r="M2713" s="18">
        <v>0</v>
      </c>
      <c r="N2713" s="18">
        <v>0</v>
      </c>
      <c r="O2713" s="18">
        <v>-1590.31</v>
      </c>
      <c r="P2713" s="18"/>
      <c r="Q2713" s="18">
        <v>-38.06</v>
      </c>
      <c r="R2713" s="18">
        <v>0</v>
      </c>
      <c r="S2713" s="18"/>
      <c r="T2713" s="18">
        <v>0</v>
      </c>
      <c r="U2713" s="18"/>
      <c r="V2713" s="18">
        <v>0</v>
      </c>
      <c r="W2713" s="18">
        <v>0</v>
      </c>
      <c r="X2713" s="18">
        <v>-549697.36</v>
      </c>
      <c r="Y2713" s="18"/>
    </row>
    <row r="2714" spans="1:25" ht="15">
      <c r="A2714" s="4">
        <f>+A2713+1</f>
        <v>2</v>
      </c>
      <c r="B2714" s="5" t="s">
        <v>36</v>
      </c>
      <c r="C2714" s="22" t="s">
        <v>38</v>
      </c>
      <c r="D2714" s="78">
        <f>7976482.48+17643857.05</f>
        <v>25620339.53</v>
      </c>
      <c r="E2714" s="19"/>
      <c r="F2714" s="23">
        <f>657972.53+16985884.52</f>
        <v>17643857.05</v>
      </c>
      <c r="G2714" s="21">
        <f>+D2714-F2714</f>
        <v>7976482.48</v>
      </c>
      <c r="H2714" s="18"/>
      <c r="I2714" s="18">
        <v>0</v>
      </c>
      <c r="J2714" s="18">
        <v>0</v>
      </c>
      <c r="K2714" s="18">
        <v>0</v>
      </c>
      <c r="L2714" s="18">
        <v>-62049.42</v>
      </c>
      <c r="M2714" s="18">
        <v>0</v>
      </c>
      <c r="N2714" s="18">
        <v>0</v>
      </c>
      <c r="O2714" s="18">
        <v>51.38</v>
      </c>
      <c r="P2714" s="18"/>
      <c r="Q2714" s="18">
        <v>0</v>
      </c>
      <c r="R2714" s="18">
        <v>0</v>
      </c>
      <c r="S2714" s="18"/>
      <c r="T2714" s="18">
        <v>0</v>
      </c>
      <c r="U2714" s="18"/>
      <c r="V2714" s="18">
        <v>0</v>
      </c>
      <c r="W2714" s="18">
        <v>0</v>
      </c>
      <c r="X2714" s="18">
        <v>-549745.24</v>
      </c>
      <c r="Y2714" s="18"/>
    </row>
    <row r="2715" spans="1:25" ht="22.5">
      <c r="A2715" s="4">
        <f>+A2714+1</f>
        <v>3</v>
      </c>
      <c r="B2715" s="24" t="s">
        <v>176</v>
      </c>
      <c r="C2715" s="25" t="s">
        <v>177</v>
      </c>
      <c r="D2715" s="18">
        <f>+D2713-D2714</f>
        <v>-0.009999997913837433</v>
      </c>
      <c r="E2715" s="19"/>
      <c r="F2715" s="26">
        <f>+F2713-F2714</f>
        <v>172863.9600000009</v>
      </c>
      <c r="G2715" s="18">
        <v>0</v>
      </c>
      <c r="H2715" s="18"/>
      <c r="I2715" s="18">
        <f>+I2713-I2714</f>
        <v>0</v>
      </c>
      <c r="J2715" s="18">
        <f>+J2713-J2714</f>
        <v>0</v>
      </c>
      <c r="K2715" s="18">
        <f>+K2713-K2714</f>
        <v>0</v>
      </c>
      <c r="L2715" s="18">
        <f>+L2713-L2714</f>
        <v>-1769.75</v>
      </c>
      <c r="M2715" s="18">
        <f>+M2713-M2714</f>
        <v>0</v>
      </c>
      <c r="N2715" s="18">
        <f>+N2713-N2714</f>
        <v>0</v>
      </c>
      <c r="O2715" s="18">
        <f>+O2713-O2714</f>
        <v>-1641.69</v>
      </c>
      <c r="P2715" s="18"/>
      <c r="Q2715" s="18">
        <f>+Q2713-Q2714</f>
        <v>-38.06</v>
      </c>
      <c r="R2715" s="18">
        <f>+R2713-R2714</f>
        <v>0</v>
      </c>
      <c r="S2715" s="18"/>
      <c r="T2715" s="18">
        <f>+T2713-T2714</f>
        <v>0</v>
      </c>
      <c r="U2715" s="18"/>
      <c r="V2715" s="18">
        <f>+V2713-V2714</f>
        <v>0</v>
      </c>
      <c r="W2715" s="18">
        <f>+W2713-W2714</f>
        <v>0</v>
      </c>
      <c r="X2715" s="18">
        <f>+X2713-X2714</f>
        <v>47.88000000000466</v>
      </c>
      <c r="Y2715" s="18"/>
    </row>
    <row r="2716" spans="1:25" ht="28.5">
      <c r="A2716" s="4">
        <f>+A2715+1</f>
        <v>4</v>
      </c>
      <c r="B2716" s="88" t="s">
        <v>178</v>
      </c>
      <c r="C2716" s="25" t="s">
        <v>179</v>
      </c>
      <c r="D2716" s="18">
        <v>0</v>
      </c>
      <c r="E2716" s="19"/>
      <c r="F2716" s="26">
        <v>0</v>
      </c>
      <c r="G2716" s="18">
        <f>+D2716-F2716</f>
        <v>0</v>
      </c>
      <c r="H2716" s="18"/>
      <c r="I2716" s="27">
        <v>0</v>
      </c>
      <c r="J2716" s="18">
        <v>0</v>
      </c>
      <c r="K2716" s="18">
        <v>0</v>
      </c>
      <c r="L2716" s="18">
        <v>0</v>
      </c>
      <c r="M2716" s="18">
        <v>0</v>
      </c>
      <c r="N2716" s="18">
        <v>0</v>
      </c>
      <c r="O2716" s="18">
        <v>0</v>
      </c>
      <c r="P2716" s="18"/>
      <c r="Q2716" s="18">
        <v>0</v>
      </c>
      <c r="R2716" s="18">
        <v>0</v>
      </c>
      <c r="S2716" s="18"/>
      <c r="T2716" s="18">
        <v>0</v>
      </c>
      <c r="U2716" s="18"/>
      <c r="V2716" s="18">
        <v>0</v>
      </c>
      <c r="W2716" s="18">
        <v>0</v>
      </c>
      <c r="X2716" s="18">
        <v>0</v>
      </c>
      <c r="Y2716" s="18"/>
    </row>
    <row r="2717" spans="1:25" ht="24.75">
      <c r="A2717" s="4">
        <f>+A2716+1</f>
        <v>5</v>
      </c>
      <c r="B2717" s="89" t="s">
        <v>39</v>
      </c>
      <c r="C2717" s="28" t="s">
        <v>40</v>
      </c>
      <c r="D2717" s="27">
        <v>0</v>
      </c>
      <c r="E2717" s="29"/>
      <c r="F2717" s="30">
        <v>0</v>
      </c>
      <c r="G2717" s="31">
        <f>+D2717-F2717</f>
        <v>0</v>
      </c>
      <c r="H2717" s="18"/>
      <c r="I2717" s="27">
        <v>0</v>
      </c>
      <c r="J2717" s="27">
        <v>0</v>
      </c>
      <c r="K2717" s="27">
        <v>0</v>
      </c>
      <c r="L2717" s="27">
        <f>-3825.89+2602.17</f>
        <v>-1223.7199999999998</v>
      </c>
      <c r="M2717" s="27">
        <v>185253.12</v>
      </c>
      <c r="N2717" s="27">
        <v>0</v>
      </c>
      <c r="O2717" s="27">
        <v>-0.44</v>
      </c>
      <c r="P2717" s="18"/>
      <c r="Q2717" s="27">
        <v>-94.47</v>
      </c>
      <c r="R2717" s="27">
        <v>0</v>
      </c>
      <c r="S2717" s="27"/>
      <c r="T2717" s="27">
        <v>0</v>
      </c>
      <c r="U2717" s="27"/>
      <c r="V2717" s="27">
        <v>0</v>
      </c>
      <c r="W2717" s="27">
        <v>0</v>
      </c>
      <c r="X2717" s="27">
        <v>1891.83</v>
      </c>
      <c r="Y2717" s="18"/>
    </row>
    <row r="2718" spans="1:25" ht="15">
      <c r="A2718" s="6" t="s">
        <v>41</v>
      </c>
      <c r="B2718" s="90"/>
      <c r="C2718" s="11"/>
      <c r="D2718" s="18"/>
      <c r="E2718" s="19"/>
      <c r="F2718" s="18"/>
      <c r="G2718" s="18"/>
      <c r="H2718" s="18"/>
      <c r="I2718" s="18"/>
      <c r="J2718" s="18"/>
      <c r="K2718" s="18"/>
      <c r="L2718" s="18"/>
      <c r="M2718" s="18"/>
      <c r="N2718" s="18"/>
      <c r="O2718" s="18" t="s">
        <v>0</v>
      </c>
      <c r="P2718" s="18"/>
      <c r="Q2718" s="18"/>
      <c r="R2718" s="18"/>
      <c r="S2718" s="18"/>
      <c r="T2718" s="18"/>
      <c r="U2718" s="18"/>
      <c r="V2718" s="18"/>
      <c r="W2718" s="18"/>
      <c r="X2718" s="18"/>
      <c r="Y2718" s="18"/>
    </row>
    <row r="2719" spans="1:25" ht="15">
      <c r="A2719" s="4">
        <f>+A2717+1</f>
        <v>6</v>
      </c>
      <c r="B2719" s="5" t="s">
        <v>42</v>
      </c>
      <c r="C2719" s="22" t="s">
        <v>38</v>
      </c>
      <c r="D2719" s="27">
        <f>5511551.48+10372120.57</f>
        <v>15883672.05</v>
      </c>
      <c r="E2719" s="19"/>
      <c r="F2719" s="23">
        <f>9888785.32+483335.25</f>
        <v>10372120.57</v>
      </c>
      <c r="G2719" s="18">
        <f>+D2719-F2719</f>
        <v>5511551.48</v>
      </c>
      <c r="H2719" s="18"/>
      <c r="I2719" s="18">
        <v>0</v>
      </c>
      <c r="J2719" s="18">
        <v>0</v>
      </c>
      <c r="K2719" s="18">
        <v>0</v>
      </c>
      <c r="L2719" s="18">
        <v>-54496.5</v>
      </c>
      <c r="M2719" s="18">
        <v>0</v>
      </c>
      <c r="N2719" s="18">
        <v>0</v>
      </c>
      <c r="O2719" s="18">
        <v>0</v>
      </c>
      <c r="P2719" s="18"/>
      <c r="Q2719" s="18">
        <v>0</v>
      </c>
      <c r="R2719" s="18">
        <v>0</v>
      </c>
      <c r="S2719" s="18"/>
      <c r="T2719" s="18">
        <v>0</v>
      </c>
      <c r="U2719" s="18"/>
      <c r="V2719" s="18">
        <v>0</v>
      </c>
      <c r="W2719" s="18">
        <v>0</v>
      </c>
      <c r="X2719" s="18">
        <v>-1122121.77</v>
      </c>
      <c r="Y2719" s="18"/>
    </row>
    <row r="2720" spans="1:25" ht="15">
      <c r="A2720" s="4">
        <f>+A2719+1</f>
        <v>7</v>
      </c>
      <c r="B2720" s="5" t="s">
        <v>43</v>
      </c>
      <c r="C2720" s="11"/>
      <c r="E2720" s="19"/>
      <c r="F2720" s="23">
        <v>0</v>
      </c>
      <c r="G2720" s="18">
        <f>+D2719-F2720</f>
        <v>15883672.05</v>
      </c>
      <c r="H2720" s="18"/>
      <c r="I2720" s="18">
        <v>0</v>
      </c>
      <c r="J2720" s="18">
        <v>0</v>
      </c>
      <c r="K2720" s="18">
        <v>0</v>
      </c>
      <c r="L2720" s="18">
        <v>0</v>
      </c>
      <c r="M2720" s="18">
        <v>0</v>
      </c>
      <c r="N2720" s="18">
        <v>0</v>
      </c>
      <c r="O2720" s="31">
        <v>0</v>
      </c>
      <c r="P2720" s="18"/>
      <c r="Q2720" s="18">
        <v>0</v>
      </c>
      <c r="R2720" s="18">
        <v>0</v>
      </c>
      <c r="S2720" s="18"/>
      <c r="T2720" s="18">
        <v>0</v>
      </c>
      <c r="U2720" s="18"/>
      <c r="V2720" s="18">
        <v>0</v>
      </c>
      <c r="W2720" s="18">
        <v>0</v>
      </c>
      <c r="X2720" s="18">
        <v>0</v>
      </c>
      <c r="Y2720" s="18"/>
    </row>
    <row r="2721" spans="1:25" ht="35.25">
      <c r="A2721" s="4">
        <f>+A2720+1</f>
        <v>8</v>
      </c>
      <c r="B2721" s="24" t="s">
        <v>180</v>
      </c>
      <c r="C2721" s="32" t="s">
        <v>44</v>
      </c>
      <c r="D2721" s="33">
        <v>15883672.05</v>
      </c>
      <c r="E2721" s="34"/>
      <c r="F2721" s="91">
        <f>9888785.32+483335.25</f>
        <v>10372120.57</v>
      </c>
      <c r="G2721" s="18">
        <f>+G2719-G2720</f>
        <v>-10372120.57</v>
      </c>
      <c r="H2721" s="18"/>
      <c r="I2721" s="18">
        <f aca="true" t="shared" si="306" ref="I2721:O2721">+I2719-I2720</f>
        <v>0</v>
      </c>
      <c r="J2721" s="18">
        <f t="shared" si="306"/>
        <v>0</v>
      </c>
      <c r="K2721" s="18">
        <f t="shared" si="306"/>
        <v>0</v>
      </c>
      <c r="L2721" s="18">
        <f t="shared" si="306"/>
        <v>-54496.5</v>
      </c>
      <c r="M2721" s="18">
        <f t="shared" si="306"/>
        <v>0</v>
      </c>
      <c r="N2721" s="18">
        <f t="shared" si="306"/>
        <v>0</v>
      </c>
      <c r="O2721" s="18">
        <f t="shared" si="306"/>
        <v>0</v>
      </c>
      <c r="P2721" s="18"/>
      <c r="Q2721" s="18">
        <f>+Q2719-Q2720</f>
        <v>0</v>
      </c>
      <c r="R2721" s="18">
        <f>+R2719-R2720</f>
        <v>0</v>
      </c>
      <c r="S2721" s="18"/>
      <c r="T2721" s="18">
        <f>+T2719-T2720</f>
        <v>0</v>
      </c>
      <c r="U2721" s="18"/>
      <c r="V2721" s="18">
        <f>+V2719-V2720</f>
        <v>0</v>
      </c>
      <c r="W2721" s="18">
        <f>+W2719-W2720</f>
        <v>0</v>
      </c>
      <c r="X2721" s="18">
        <f>+X2719-X2720</f>
        <v>-1122121.77</v>
      </c>
      <c r="Y2721" s="18"/>
    </row>
    <row r="2722" spans="1:25" ht="28.5">
      <c r="A2722" s="4">
        <f>+A2721+1</f>
        <v>9</v>
      </c>
      <c r="B2722" s="88" t="s">
        <v>181</v>
      </c>
      <c r="C2722" s="35" t="s">
        <v>45</v>
      </c>
      <c r="D2722" s="18">
        <v>0</v>
      </c>
      <c r="E2722" s="19"/>
      <c r="F2722" s="31">
        <v>0</v>
      </c>
      <c r="G2722" s="31">
        <f>+D2722-F2722</f>
        <v>0</v>
      </c>
      <c r="H2722" s="18"/>
      <c r="I2722" s="18">
        <v>0</v>
      </c>
      <c r="J2722" s="18">
        <v>0</v>
      </c>
      <c r="K2722" s="18">
        <v>0</v>
      </c>
      <c r="L2722" s="18">
        <v>0</v>
      </c>
      <c r="M2722" s="18">
        <v>0</v>
      </c>
      <c r="N2722" s="18">
        <v>0</v>
      </c>
      <c r="O2722" s="31">
        <v>0</v>
      </c>
      <c r="P2722" s="18"/>
      <c r="Q2722" s="18">
        <v>0</v>
      </c>
      <c r="R2722" s="18">
        <v>0</v>
      </c>
      <c r="S2722" s="18"/>
      <c r="T2722" s="18">
        <v>0</v>
      </c>
      <c r="U2722" s="18"/>
      <c r="V2722" s="18">
        <v>0</v>
      </c>
      <c r="W2722" s="18">
        <v>0</v>
      </c>
      <c r="X2722" s="18">
        <v>0</v>
      </c>
      <c r="Y2722" s="18"/>
    </row>
    <row r="2723" spans="1:25" ht="15">
      <c r="A2723" s="4">
        <f>+A2722+1</f>
        <v>10</v>
      </c>
      <c r="B2723" s="24" t="s">
        <v>46</v>
      </c>
      <c r="C2723" s="11" t="s">
        <v>47</v>
      </c>
      <c r="D2723" s="36">
        <f>+D2715+D2716+D2717+D2721+D2722</f>
        <v>15883672.040000003</v>
      </c>
      <c r="E2723" s="19"/>
      <c r="F2723" s="36">
        <f>+F2715+F2716+F2717+F2721+F2722</f>
        <v>10544984.530000001</v>
      </c>
      <c r="G2723" s="18">
        <f>+G2715+G2716+G2721+G2722+G2717</f>
        <v>-10372120.57</v>
      </c>
      <c r="H2723" s="18"/>
      <c r="I2723" s="18">
        <f>+I2715+I2716+I2721+I2722+I2717</f>
        <v>0</v>
      </c>
      <c r="J2723" s="21">
        <f>+J2715+J2716+J2721+J2722+J2717</f>
        <v>0</v>
      </c>
      <c r="K2723" s="18">
        <f>+K2715+K2716+K2721+K2722+K2717</f>
        <v>0</v>
      </c>
      <c r="L2723" s="18">
        <f>+L2715+L2716+L2721+L2722+L2717</f>
        <v>-57489.97</v>
      </c>
      <c r="M2723" s="18">
        <f>+M2715+M2716+M2721+M2722+M2717</f>
        <v>185253.12</v>
      </c>
      <c r="N2723" s="18">
        <f>+N2715+N2716+N2721+N2722+N2717</f>
        <v>0</v>
      </c>
      <c r="O2723" s="18">
        <f>+O2715+O2716+O2721+O2722+O2717</f>
        <v>-1642.13</v>
      </c>
      <c r="P2723" s="18"/>
      <c r="Q2723" s="18">
        <f>+Q2715+Q2716+Q2721+Q2722+Q2717</f>
        <v>-132.53</v>
      </c>
      <c r="R2723" s="18">
        <f>+R2715+R2716+R2721+R2722+R2717</f>
        <v>0</v>
      </c>
      <c r="S2723" s="18"/>
      <c r="T2723" s="18">
        <f>+T2715+T2716+T2721+T2722+T2717</f>
        <v>0</v>
      </c>
      <c r="U2723" s="18"/>
      <c r="V2723" s="18">
        <f>+V2715+V2716+V2721+V2722+V2717</f>
        <v>0</v>
      </c>
      <c r="W2723" s="18">
        <f>+W2715+W2716+W2721+W2722+W2717</f>
        <v>0</v>
      </c>
      <c r="X2723" s="18">
        <f>+X2715+X2716+X2721+X2722+X2717</f>
        <v>-1120182.06</v>
      </c>
      <c r="Y2723" s="18"/>
    </row>
    <row r="2724" spans="1:25" ht="15">
      <c r="A2724" s="4"/>
      <c r="B2724" s="24"/>
      <c r="C2724" s="11" t="s">
        <v>0</v>
      </c>
      <c r="D2724" s="27"/>
      <c r="E2724" s="18"/>
      <c r="F2724" s="36"/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  <c r="R2724" s="18"/>
      <c r="S2724" s="18"/>
      <c r="T2724" s="18"/>
      <c r="U2724" s="18"/>
      <c r="V2724" s="18"/>
      <c r="W2724" s="18"/>
      <c r="X2724" s="18"/>
      <c r="Y2724" s="18"/>
    </row>
    <row r="2725" spans="1:25" ht="15">
      <c r="A2725" s="4"/>
      <c r="B2725" s="94" t="s">
        <v>0</v>
      </c>
      <c r="C2725" s="37" t="s">
        <v>0</v>
      </c>
      <c r="D2725" s="27"/>
      <c r="E2725" s="18"/>
      <c r="F2725" s="92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8"/>
      <c r="S2725" s="18"/>
      <c r="T2725" s="18"/>
      <c r="U2725" s="18"/>
      <c r="V2725" s="18"/>
      <c r="W2725" s="18"/>
      <c r="X2725" s="18"/>
      <c r="Y2725" s="18"/>
    </row>
    <row r="2726" spans="1:25" ht="15">
      <c r="A2726" s="4"/>
      <c r="B2726" s="24"/>
      <c r="C2726" s="11"/>
      <c r="D2726" s="6" t="s">
        <v>48</v>
      </c>
      <c r="E2726" s="6"/>
      <c r="F2726" s="10" t="s">
        <v>49</v>
      </c>
      <c r="G2726" s="10" t="s">
        <v>50</v>
      </c>
      <c r="I2726" s="10" t="s">
        <v>51</v>
      </c>
      <c r="J2726" s="10" t="s">
        <v>52</v>
      </c>
      <c r="K2726" s="10" t="s">
        <v>53</v>
      </c>
      <c r="L2726" s="10" t="s">
        <v>54</v>
      </c>
      <c r="M2726" s="10" t="s">
        <v>55</v>
      </c>
      <c r="N2726" s="10" t="s">
        <v>56</v>
      </c>
      <c r="O2726" s="10" t="s">
        <v>57</v>
      </c>
      <c r="P2726" s="18"/>
      <c r="Q2726" s="10" t="s">
        <v>58</v>
      </c>
      <c r="R2726" s="10" t="s">
        <v>59</v>
      </c>
      <c r="S2726" s="10"/>
      <c r="T2726" s="10" t="s">
        <v>60</v>
      </c>
      <c r="U2726" s="18"/>
      <c r="V2726" s="10" t="s">
        <v>61</v>
      </c>
      <c r="W2726" s="10" t="s">
        <v>62</v>
      </c>
      <c r="X2726" s="10" t="s">
        <v>63</v>
      </c>
      <c r="Y2726" s="18"/>
    </row>
    <row r="2727" spans="1:25" ht="15">
      <c r="A2727" s="4"/>
      <c r="B2727"/>
      <c r="C2727" s="11"/>
      <c r="D2727" s="10" t="s">
        <v>20</v>
      </c>
      <c r="E2727" s="38"/>
      <c r="F2727" s="10" t="s">
        <v>20</v>
      </c>
      <c r="G2727" s="10" t="s">
        <v>20</v>
      </c>
      <c r="I2727" s="10" t="s">
        <v>20</v>
      </c>
      <c r="J2727" s="10" t="s">
        <v>20</v>
      </c>
      <c r="K2727" s="10" t="s">
        <v>20</v>
      </c>
      <c r="L2727" s="10" t="s">
        <v>20</v>
      </c>
      <c r="M2727" s="10" t="s">
        <v>20</v>
      </c>
      <c r="N2727" s="10" t="s">
        <v>20</v>
      </c>
      <c r="O2727" s="10" t="s">
        <v>20</v>
      </c>
      <c r="P2727" s="18"/>
      <c r="Q2727" s="10" t="s">
        <v>20</v>
      </c>
      <c r="R2727" s="10" t="s">
        <v>20</v>
      </c>
      <c r="S2727" s="14"/>
      <c r="T2727" s="10" t="s">
        <v>20</v>
      </c>
      <c r="U2727" s="18"/>
      <c r="W2727" s="39" t="s">
        <v>64</v>
      </c>
      <c r="Y2727" s="18"/>
    </row>
    <row r="2728" spans="1:25" ht="15">
      <c r="A2728" s="4"/>
      <c r="B2728" s="87" t="s">
        <v>174</v>
      </c>
      <c r="C2728" s="11"/>
      <c r="D2728" s="8" t="s">
        <v>155</v>
      </c>
      <c r="E2728" s="6"/>
      <c r="F2728" s="8" t="s">
        <v>66</v>
      </c>
      <c r="G2728" s="8" t="s">
        <v>67</v>
      </c>
      <c r="H2728" s="19"/>
      <c r="I2728" s="8" t="s">
        <v>68</v>
      </c>
      <c r="J2728" s="8" t="s">
        <v>69</v>
      </c>
      <c r="K2728" s="8" t="s">
        <v>70</v>
      </c>
      <c r="L2728" s="8" t="s">
        <v>71</v>
      </c>
      <c r="M2728" s="8" t="s">
        <v>72</v>
      </c>
      <c r="N2728" s="8" t="s">
        <v>73</v>
      </c>
      <c r="O2728" s="8" t="s">
        <v>74</v>
      </c>
      <c r="P2728" s="6"/>
      <c r="Q2728" s="8" t="s">
        <v>75</v>
      </c>
      <c r="R2728" s="8" t="s">
        <v>76</v>
      </c>
      <c r="S2728" s="8"/>
      <c r="T2728" s="8" t="s">
        <v>77</v>
      </c>
      <c r="U2728" s="18"/>
      <c r="V2728" s="10" t="s">
        <v>20</v>
      </c>
      <c r="W2728" s="14" t="s">
        <v>21</v>
      </c>
      <c r="X2728" s="10" t="s">
        <v>22</v>
      </c>
      <c r="Y2728" s="18"/>
    </row>
    <row r="2729" spans="1:8" ht="15">
      <c r="A2729" s="4"/>
      <c r="B2729" s="24"/>
      <c r="C2729" s="11"/>
      <c r="E2729" s="14"/>
      <c r="F2729"/>
      <c r="H2729" s="18"/>
    </row>
    <row r="2730" spans="1:24" ht="15">
      <c r="A2730" s="4">
        <f>+A2723+1</f>
        <v>11</v>
      </c>
      <c r="B2730" s="5" t="s">
        <v>36</v>
      </c>
      <c r="C2730" s="17" t="s">
        <v>37</v>
      </c>
      <c r="D2730" s="18">
        <v>20603.1</v>
      </c>
      <c r="E2730" s="18"/>
      <c r="F2730" s="18">
        <v>0</v>
      </c>
      <c r="G2730" s="18">
        <v>0</v>
      </c>
      <c r="I2730" s="27">
        <v>0</v>
      </c>
      <c r="J2730" s="18">
        <v>0</v>
      </c>
      <c r="K2730" s="18">
        <v>0</v>
      </c>
      <c r="L2730" s="18">
        <v>0</v>
      </c>
      <c r="M2730" s="18">
        <v>112849.98</v>
      </c>
      <c r="N2730" s="18">
        <v>-1111391.43</v>
      </c>
      <c r="O2730" s="18">
        <v>0.21</v>
      </c>
      <c r="Q2730" s="18">
        <v>0</v>
      </c>
      <c r="R2730" s="18">
        <v>0</v>
      </c>
      <c r="S2730" s="18"/>
      <c r="T2730" s="18">
        <v>0</v>
      </c>
      <c r="V2730" s="18">
        <f>+D2713+I2713+J2713+K2713+L2713+M2713+N2713+O2713+Q2713+R2713+T2713+V2713+W2713+X2713+D2730+F2730+G2730+I2730+J2730+K2730+L2730+M2730+N2730+O2730+Q2730+R2730+T2730</f>
        <v>24027256.480000008</v>
      </c>
      <c r="W2730" s="18">
        <f>+F2713</f>
        <v>17816721.01</v>
      </c>
      <c r="X2730" s="18">
        <f>+V2730-W2730</f>
        <v>6210535.470000006</v>
      </c>
    </row>
    <row r="2731" spans="1:24" ht="15">
      <c r="A2731" s="4">
        <f>+A2730+1</f>
        <v>12</v>
      </c>
      <c r="B2731" s="5" t="s">
        <v>36</v>
      </c>
      <c r="C2731" s="22" t="s">
        <v>38</v>
      </c>
      <c r="D2731" s="18">
        <v>20603.09</v>
      </c>
      <c r="E2731" s="18"/>
      <c r="F2731" s="18">
        <v>0</v>
      </c>
      <c r="G2731" s="18">
        <v>0</v>
      </c>
      <c r="I2731" s="27">
        <v>0</v>
      </c>
      <c r="J2731" s="18">
        <v>0</v>
      </c>
      <c r="K2731" s="18">
        <v>0</v>
      </c>
      <c r="L2731" s="18">
        <v>0</v>
      </c>
      <c r="M2731" s="18">
        <v>112017.71</v>
      </c>
      <c r="N2731" s="18">
        <v>-1062363.66</v>
      </c>
      <c r="O2731" s="18">
        <v>0.21</v>
      </c>
      <c r="Q2731" s="18">
        <v>0</v>
      </c>
      <c r="R2731" s="18">
        <v>0</v>
      </c>
      <c r="S2731" s="18"/>
      <c r="T2731" s="18">
        <v>0</v>
      </c>
      <c r="V2731" s="18">
        <f>+D2714+I2714+J2714+K2714+L2714+M2714+N2714+O2714+Q2714+R2714+T2714+V2714+W2714+X2714+D2731+F2731+G2731+I2731+J2731+K2731+L2731+M2731+N2731+O2731+Q2731+R2731+T2731</f>
        <v>24078853.6</v>
      </c>
      <c r="W2731" s="18">
        <f>+F2714</f>
        <v>17643857.05</v>
      </c>
      <c r="X2731" s="18">
        <f>+V2731-W2731</f>
        <v>6434996.550000001</v>
      </c>
    </row>
    <row r="2732" spans="1:24" ht="15">
      <c r="A2732" s="4">
        <f>+A2731+1</f>
        <v>13</v>
      </c>
      <c r="B2732" s="24" t="s">
        <v>46</v>
      </c>
      <c r="C2732" s="40" t="s">
        <v>78</v>
      </c>
      <c r="D2732" s="18">
        <f>+D2730-D2731</f>
        <v>0.00999999999839929</v>
      </c>
      <c r="E2732" s="18"/>
      <c r="F2732" s="18">
        <f>+F2730-F2731</f>
        <v>0</v>
      </c>
      <c r="G2732" s="18">
        <f>+G2730-G2731</f>
        <v>0</v>
      </c>
      <c r="I2732" s="18">
        <f>+I2730-I2731</f>
        <v>0</v>
      </c>
      <c r="J2732" s="18">
        <f>+J2730-J2731</f>
        <v>0</v>
      </c>
      <c r="K2732" s="18">
        <f>+K2730-K2731</f>
        <v>0</v>
      </c>
      <c r="L2732" s="18">
        <f>+L2730-L2731</f>
        <v>0</v>
      </c>
      <c r="M2732" s="18">
        <f>+M2730-M2731</f>
        <v>832.2699999999895</v>
      </c>
      <c r="N2732" s="18">
        <f>+N2730-N2731</f>
        <v>-49027.77000000002</v>
      </c>
      <c r="O2732" s="18">
        <f>+O2730-O2731</f>
        <v>0</v>
      </c>
      <c r="Q2732" s="18">
        <f>+Q2730-Q2731</f>
        <v>0</v>
      </c>
      <c r="R2732" s="18">
        <f>+R2730-R2731</f>
        <v>0</v>
      </c>
      <c r="S2732" s="18"/>
      <c r="T2732" s="18">
        <f>+T2730-T2731</f>
        <v>0</v>
      </c>
      <c r="V2732" s="27">
        <f>+V2730-V2731</f>
        <v>-51597.11999999359</v>
      </c>
      <c r="W2732" s="27">
        <f>+W2730-W2731</f>
        <v>172863.9600000009</v>
      </c>
      <c r="X2732" s="18">
        <f>+X2730-X2731</f>
        <v>-224461.0799999945</v>
      </c>
    </row>
    <row r="2733" spans="1:24" ht="28.5">
      <c r="A2733" s="4">
        <f>+A2732+1</f>
        <v>14</v>
      </c>
      <c r="B2733" s="88" t="s">
        <v>182</v>
      </c>
      <c r="C2733" s="11"/>
      <c r="D2733" s="18">
        <v>0</v>
      </c>
      <c r="E2733" s="18"/>
      <c r="F2733" s="18">
        <v>0</v>
      </c>
      <c r="G2733" s="18">
        <v>0</v>
      </c>
      <c r="I2733" s="18">
        <v>0</v>
      </c>
      <c r="J2733" s="18">
        <v>0</v>
      </c>
      <c r="K2733" s="18">
        <v>0</v>
      </c>
      <c r="L2733" s="18">
        <v>0</v>
      </c>
      <c r="M2733" s="18">
        <v>0</v>
      </c>
      <c r="N2733" s="18">
        <v>0</v>
      </c>
      <c r="O2733" s="18">
        <v>0</v>
      </c>
      <c r="Q2733" s="18">
        <v>0</v>
      </c>
      <c r="R2733" s="18">
        <v>0</v>
      </c>
      <c r="S2733" s="18"/>
      <c r="T2733" s="18">
        <v>0</v>
      </c>
      <c r="V2733" s="18">
        <f>+D2716+I2716+J2716+K2716+L2716+M2716+N2716+O2716+Q2716+R2716+T2716+V2716+W2716+X2716+D2733+F2733+G2733+I2733+J2733+K2733+L2733+M2733+N2733+O2733+Q2733+R2733+T2733</f>
        <v>0</v>
      </c>
      <c r="W2733" s="18">
        <f>+F2716</f>
        <v>0</v>
      </c>
      <c r="X2733" s="18">
        <f>+V2733-W2733</f>
        <v>0</v>
      </c>
    </row>
    <row r="2734" spans="1:24" ht="24.75">
      <c r="A2734" s="4">
        <f>+A2733+1</f>
        <v>15</v>
      </c>
      <c r="B2734" s="89" t="s">
        <v>39</v>
      </c>
      <c r="C2734" s="40"/>
      <c r="D2734" s="27">
        <v>0</v>
      </c>
      <c r="E2734" s="18" t="s">
        <v>0</v>
      </c>
      <c r="F2734" s="27">
        <v>0</v>
      </c>
      <c r="G2734" s="27">
        <v>0</v>
      </c>
      <c r="H2734" t="s">
        <v>0</v>
      </c>
      <c r="I2734" s="27">
        <v>-302.59</v>
      </c>
      <c r="J2734" s="27">
        <v>0</v>
      </c>
      <c r="K2734" s="27">
        <v>0</v>
      </c>
      <c r="L2734" s="27">
        <v>0</v>
      </c>
      <c r="M2734" s="27">
        <v>0</v>
      </c>
      <c r="N2734" s="27">
        <v>-718</v>
      </c>
      <c r="O2734" s="27">
        <v>0</v>
      </c>
      <c r="Q2734" s="27">
        <v>0</v>
      </c>
      <c r="R2734" s="27">
        <v>0</v>
      </c>
      <c r="S2734" s="27"/>
      <c r="T2734" s="27">
        <v>0</v>
      </c>
      <c r="V2734" s="18">
        <f>+D2717+I2717+J2717+K2717+L2717+M2717+N2717+O2717+Q2717+R2717+T2717+V2717+W2717+X2717+D2734+F2734+G2734+I2734+J2734+K2734+L2734+M2734+N2734+O2734+Q2734+R2734+T2734</f>
        <v>184805.72999999998</v>
      </c>
      <c r="W2734" s="18">
        <f>+F2717</f>
        <v>0</v>
      </c>
      <c r="X2734" s="18">
        <f>+V2734-W2734</f>
        <v>184805.72999999998</v>
      </c>
    </row>
    <row r="2735" spans="1:24" ht="15">
      <c r="A2735" s="6" t="s">
        <v>41</v>
      </c>
      <c r="B2735" s="41"/>
      <c r="C2735" s="40"/>
      <c r="D2735" s="18"/>
      <c r="E2735" s="18"/>
      <c r="F2735" s="18"/>
      <c r="G2735" s="18"/>
      <c r="I2735" s="18"/>
      <c r="J2735" s="18"/>
      <c r="K2735" s="18"/>
      <c r="L2735" s="18"/>
      <c r="M2735" s="18"/>
      <c r="N2735" s="18"/>
      <c r="O2735" s="18"/>
      <c r="Q2735" s="18"/>
      <c r="R2735" s="18"/>
      <c r="S2735" s="18"/>
      <c r="T2735" s="18"/>
      <c r="V2735" s="18"/>
      <c r="W2735" s="18"/>
      <c r="X2735" s="18"/>
    </row>
    <row r="2736" spans="1:24" ht="15">
      <c r="A2736" s="4">
        <f>+A2734+1</f>
        <v>16</v>
      </c>
      <c r="B2736" s="5" t="s">
        <v>42</v>
      </c>
      <c r="C2736" s="22" t="s">
        <v>38</v>
      </c>
      <c r="D2736" s="18">
        <v>49171.55</v>
      </c>
      <c r="E2736" s="18"/>
      <c r="F2736" s="18">
        <v>0</v>
      </c>
      <c r="G2736" s="18">
        <v>0</v>
      </c>
      <c r="I2736" s="27">
        <v>0</v>
      </c>
      <c r="J2736" s="18">
        <v>0</v>
      </c>
      <c r="K2736" s="18">
        <v>0</v>
      </c>
      <c r="L2736" s="18">
        <v>0</v>
      </c>
      <c r="M2736" s="18">
        <v>83166.5</v>
      </c>
      <c r="N2736" s="18">
        <v>-748258.01</v>
      </c>
      <c r="O2736" s="18">
        <v>7.8</v>
      </c>
      <c r="P2736" s="18"/>
      <c r="Q2736" s="18">
        <v>0</v>
      </c>
      <c r="R2736" s="18">
        <v>0</v>
      </c>
      <c r="S2736" s="18"/>
      <c r="T2736" s="18">
        <v>0</v>
      </c>
      <c r="U2736" s="18"/>
      <c r="V2736" s="18">
        <f>+D2719+I2719+J2719+K2719+L2719+M2719+N2719+O2719+Q2719+R2719+T2719+V2719+W2719+X2719+D2736+F2736+G2736+I2736+J2736+K2736+L2736+M2736+N2736+O2736+Q2736+R2736+T2736</f>
        <v>14091141.620000003</v>
      </c>
      <c r="W2736" s="18">
        <f>+F2719</f>
        <v>10372120.57</v>
      </c>
      <c r="X2736" s="18">
        <f>+V2736-W2736</f>
        <v>3719021.0500000026</v>
      </c>
    </row>
    <row r="2737" spans="1:24" ht="15">
      <c r="A2737" s="4">
        <f>+A2736+1</f>
        <v>17</v>
      </c>
      <c r="B2737" s="5" t="s">
        <v>43</v>
      </c>
      <c r="C2737" s="11"/>
      <c r="D2737" s="18">
        <v>0</v>
      </c>
      <c r="E2737" s="18"/>
      <c r="F2737" s="18">
        <v>0</v>
      </c>
      <c r="G2737" s="18">
        <v>0</v>
      </c>
      <c r="I2737" s="27">
        <v>0</v>
      </c>
      <c r="J2737" s="18">
        <v>0</v>
      </c>
      <c r="K2737" s="18">
        <v>0</v>
      </c>
      <c r="L2737" s="18">
        <v>0</v>
      </c>
      <c r="M2737" s="18">
        <v>0</v>
      </c>
      <c r="N2737" s="18">
        <v>0</v>
      </c>
      <c r="O2737" s="18">
        <v>0</v>
      </c>
      <c r="P2737" s="18"/>
      <c r="Q2737" s="18">
        <v>0</v>
      </c>
      <c r="R2737" s="18">
        <v>0</v>
      </c>
      <c r="S2737" s="18"/>
      <c r="T2737" s="18">
        <v>0</v>
      </c>
      <c r="U2737" s="18"/>
      <c r="V2737" s="18">
        <f>+D2720+I2720+J2720+K2720+L2720+M2720+N2720+O2720+Q2720+R2720+T2720+V2720+W2720+X2720+D2737+F2737+G2737+I2737+J2737+K2737+L2737+M2737+N2737+O2737+Q2737+R2737+T2737</f>
        <v>0</v>
      </c>
      <c r="W2737" s="18">
        <f>+F2720</f>
        <v>0</v>
      </c>
      <c r="X2737" s="18">
        <f>+V2737-W2737</f>
        <v>0</v>
      </c>
    </row>
    <row r="2738" spans="1:24" ht="26.25">
      <c r="A2738" s="4">
        <f>+A2737+1</f>
        <v>18</v>
      </c>
      <c r="B2738" s="24" t="s">
        <v>79</v>
      </c>
      <c r="C2738" s="11"/>
      <c r="D2738" s="18">
        <f>+D2736-D2737</f>
        <v>49171.55</v>
      </c>
      <c r="E2738" s="18"/>
      <c r="F2738" s="18">
        <f>+F2736-F2737</f>
        <v>0</v>
      </c>
      <c r="G2738" s="18">
        <f>+G2736-G2737</f>
        <v>0</v>
      </c>
      <c r="I2738" s="18">
        <f aca="true" t="shared" si="307" ref="I2738:O2738">+I2736-I2737</f>
        <v>0</v>
      </c>
      <c r="J2738" s="18">
        <f t="shared" si="307"/>
        <v>0</v>
      </c>
      <c r="K2738" s="18">
        <f t="shared" si="307"/>
        <v>0</v>
      </c>
      <c r="L2738" s="18">
        <f t="shared" si="307"/>
        <v>0</v>
      </c>
      <c r="M2738" s="18">
        <f t="shared" si="307"/>
        <v>83166.5</v>
      </c>
      <c r="N2738" s="18">
        <f t="shared" si="307"/>
        <v>-748258.01</v>
      </c>
      <c r="O2738" s="18">
        <f t="shared" si="307"/>
        <v>7.8</v>
      </c>
      <c r="P2738" s="18"/>
      <c r="Q2738" s="18">
        <f>+Q2736-Q2737</f>
        <v>0</v>
      </c>
      <c r="R2738" s="18">
        <f>+R2736-R2737</f>
        <v>0</v>
      </c>
      <c r="S2738" s="18"/>
      <c r="T2738" s="18">
        <f>+T2736-T2737</f>
        <v>0</v>
      </c>
      <c r="U2738" s="18"/>
      <c r="V2738" s="27">
        <f>+V2736-V2737</f>
        <v>14091141.620000003</v>
      </c>
      <c r="W2738" s="27">
        <f>+W2736-W2737</f>
        <v>10372120.57</v>
      </c>
      <c r="X2738" s="18">
        <f>+X2736-X2737</f>
        <v>3719021.0500000026</v>
      </c>
    </row>
    <row r="2739" spans="1:24" ht="28.5">
      <c r="A2739" s="4">
        <f>+A2738+1</f>
        <v>19</v>
      </c>
      <c r="B2739" s="88" t="s">
        <v>181</v>
      </c>
      <c r="C2739" s="11"/>
      <c r="D2739" s="18">
        <v>0</v>
      </c>
      <c r="E2739" s="18"/>
      <c r="F2739" s="18">
        <v>0</v>
      </c>
      <c r="G2739" s="18">
        <v>0</v>
      </c>
      <c r="I2739" s="18">
        <v>0</v>
      </c>
      <c r="J2739" s="18">
        <v>0</v>
      </c>
      <c r="K2739" s="18">
        <v>0</v>
      </c>
      <c r="L2739" s="18">
        <v>0</v>
      </c>
      <c r="M2739" s="18">
        <v>0</v>
      </c>
      <c r="N2739" s="18">
        <v>0</v>
      </c>
      <c r="O2739" s="18">
        <v>0</v>
      </c>
      <c r="P2739" s="18"/>
      <c r="Q2739" s="18">
        <v>0</v>
      </c>
      <c r="R2739" s="18">
        <v>0</v>
      </c>
      <c r="S2739" s="18"/>
      <c r="T2739" s="18">
        <v>0</v>
      </c>
      <c r="U2739" s="18"/>
      <c r="V2739" s="18">
        <f>+D2722+I2722+J2722+K2722+L2722+M2722+N2722+O2722+Q2722+R2722+T2722+V2722+W2722+X2722+D2739+F2739+G2739+I2739+J2739+K2739+L2739+M2739+N2739+O2739+Q2739+R2739+T2739</f>
        <v>0</v>
      </c>
      <c r="W2739" s="18">
        <f>+F2722+K2739+L2739+M2739+N2739+O2739+Q2739+R2739+T2739</f>
        <v>0</v>
      </c>
      <c r="X2739" s="18">
        <f>+V2739-W2739</f>
        <v>0</v>
      </c>
    </row>
    <row r="2740" spans="1:24" ht="15">
      <c r="A2740" s="4">
        <f>+A2739+1</f>
        <v>20</v>
      </c>
      <c r="B2740" s="24" t="s">
        <v>46</v>
      </c>
      <c r="C2740" s="11" t="s">
        <v>47</v>
      </c>
      <c r="D2740" s="18">
        <f>+D2732+D2733+D2738+D2739+D2734</f>
        <v>49171.56</v>
      </c>
      <c r="E2740" s="18"/>
      <c r="F2740" s="18">
        <f>+F2732+F2733+F2738+F2739+F2734</f>
        <v>0</v>
      </c>
      <c r="G2740" s="18">
        <f>+G2732+G2733+G2738+G2739+G2734</f>
        <v>0</v>
      </c>
      <c r="I2740" s="18">
        <f aca="true" t="shared" si="308" ref="I2740:O2740">+I2732+I2733+I2738+I2739+I2734</f>
        <v>-302.59</v>
      </c>
      <c r="J2740" s="18">
        <f t="shared" si="308"/>
        <v>0</v>
      </c>
      <c r="K2740" s="18">
        <f t="shared" si="308"/>
        <v>0</v>
      </c>
      <c r="L2740" s="18">
        <f t="shared" si="308"/>
        <v>0</v>
      </c>
      <c r="M2740" s="18">
        <f t="shared" si="308"/>
        <v>83998.76999999999</v>
      </c>
      <c r="N2740" s="18">
        <f t="shared" si="308"/>
        <v>-798003.78</v>
      </c>
      <c r="O2740" s="18">
        <f t="shared" si="308"/>
        <v>7.8</v>
      </c>
      <c r="P2740" s="42"/>
      <c r="Q2740" s="18">
        <f>+Q2732+Q2733+Q2738+Q2739+Q2734</f>
        <v>0</v>
      </c>
      <c r="R2740" s="18">
        <f>+R2732+R2733+R2738+R2739+R2734</f>
        <v>0</v>
      </c>
      <c r="S2740" s="18"/>
      <c r="T2740" s="18">
        <f>+T2732+T2733+T2738+T2739+T2734</f>
        <v>0</v>
      </c>
      <c r="U2740" s="42"/>
      <c r="V2740" s="18">
        <f>SUM(V2732,V2734,V2738,V2739)</f>
        <v>14224350.23000001</v>
      </c>
      <c r="W2740" s="18">
        <f>+W2732+W2733+W2738+W2739+W2734</f>
        <v>10544984.530000001</v>
      </c>
      <c r="X2740" s="18">
        <f>+X2732+X2733+X2738+X2739+X2734</f>
        <v>3679365.700000008</v>
      </c>
    </row>
    <row r="2741" spans="1:24" ht="15">
      <c r="A2741" s="4"/>
      <c r="B2741" s="24"/>
      <c r="C2741" s="11"/>
      <c r="D2741" s="18"/>
      <c r="E2741" s="18"/>
      <c r="F2741" s="18"/>
      <c r="G2741" s="18"/>
      <c r="I2741" s="21"/>
      <c r="J2741" s="18"/>
      <c r="K2741" s="18"/>
      <c r="L2741" s="18"/>
      <c r="M2741" s="18"/>
      <c r="N2741" s="18"/>
      <c r="O2741" s="18"/>
      <c r="P2741" s="42"/>
      <c r="Q2741" s="18"/>
      <c r="R2741" s="18"/>
      <c r="S2741" s="18"/>
      <c r="T2741" s="18"/>
      <c r="U2741" s="42"/>
      <c r="V2741" s="18"/>
      <c r="W2741" s="18"/>
      <c r="X2741" s="18"/>
    </row>
    <row r="2742" spans="1:24" ht="15">
      <c r="A2742" s="4"/>
      <c r="B2742" s="24"/>
      <c r="C2742" s="11"/>
      <c r="D2742" s="18"/>
      <c r="E2742" s="18"/>
      <c r="F2742" s="18"/>
      <c r="G2742" s="18"/>
      <c r="I2742" s="18"/>
      <c r="J2742" s="18"/>
      <c r="K2742" s="18"/>
      <c r="L2742" s="18"/>
      <c r="M2742" s="18"/>
      <c r="N2742" s="18"/>
      <c r="O2742" s="18"/>
      <c r="P2742" s="42"/>
      <c r="Q2742" s="18"/>
      <c r="R2742" s="18"/>
      <c r="S2742" s="18"/>
      <c r="T2742" s="18"/>
      <c r="U2742" s="42"/>
      <c r="V2742" s="18"/>
      <c r="W2742" s="18"/>
      <c r="X2742" s="18"/>
    </row>
    <row r="2743" spans="1:24" ht="15">
      <c r="A2743" s="4"/>
      <c r="B2743" s="24"/>
      <c r="C2743" s="11"/>
      <c r="D2743" s="18"/>
      <c r="E2743" s="18"/>
      <c r="F2743" s="18"/>
      <c r="G2743" s="18"/>
      <c r="I2743" s="18"/>
      <c r="J2743" s="18"/>
      <c r="K2743" s="18"/>
      <c r="L2743" s="18"/>
      <c r="M2743" s="18"/>
      <c r="N2743" s="18"/>
      <c r="O2743" s="18"/>
      <c r="P2743" s="42"/>
      <c r="Q2743" s="18"/>
      <c r="R2743" s="18"/>
      <c r="S2743" s="18"/>
      <c r="T2743" s="18"/>
      <c r="U2743" s="42"/>
      <c r="V2743" s="18"/>
      <c r="W2743" s="18"/>
      <c r="X2743" s="18"/>
    </row>
    <row r="2744" spans="1:25" ht="15">
      <c r="A2744" s="4"/>
      <c r="B2744" s="24"/>
      <c r="C2744" s="11"/>
      <c r="D2744" s="10" t="s">
        <v>80</v>
      </c>
      <c r="E2744" s="10"/>
      <c r="F2744" s="10" t="s">
        <v>81</v>
      </c>
      <c r="G2744" s="10" t="s">
        <v>82</v>
      </c>
      <c r="I2744" s="10" t="s">
        <v>83</v>
      </c>
      <c r="J2744" s="10" t="s">
        <v>84</v>
      </c>
      <c r="K2744" s="10" t="s">
        <v>85</v>
      </c>
      <c r="L2744" s="10" t="s">
        <v>86</v>
      </c>
      <c r="M2744" s="43" t="s">
        <v>87</v>
      </c>
      <c r="N2744" s="43" t="s">
        <v>88</v>
      </c>
      <c r="O2744" s="44" t="s">
        <v>89</v>
      </c>
      <c r="P2744" s="42"/>
      <c r="Q2744" s="43" t="s">
        <v>90</v>
      </c>
      <c r="R2744" s="43" t="s">
        <v>91</v>
      </c>
      <c r="S2744" s="43"/>
      <c r="T2744" s="43" t="s">
        <v>92</v>
      </c>
      <c r="U2744" s="42"/>
      <c r="V2744" s="43" t="s">
        <v>93</v>
      </c>
      <c r="W2744" s="43" t="s">
        <v>94</v>
      </c>
      <c r="X2744" s="43" t="s">
        <v>95</v>
      </c>
      <c r="Y2744" s="18"/>
    </row>
    <row r="2745" spans="1:25" ht="15">
      <c r="A2745" s="4"/>
      <c r="B2745"/>
      <c r="C2745" s="11"/>
      <c r="D2745" s="10" t="s">
        <v>20</v>
      </c>
      <c r="E2745" s="38"/>
      <c r="F2745" s="10" t="s">
        <v>20</v>
      </c>
      <c r="G2745" s="10" t="s">
        <v>20</v>
      </c>
      <c r="I2745" s="10" t="s">
        <v>20</v>
      </c>
      <c r="J2745" s="10" t="s">
        <v>20</v>
      </c>
      <c r="K2745" s="10" t="s">
        <v>20</v>
      </c>
      <c r="L2745" s="10" t="s">
        <v>20</v>
      </c>
      <c r="M2745" s="10" t="s">
        <v>20</v>
      </c>
      <c r="N2745" s="10" t="s">
        <v>20</v>
      </c>
      <c r="O2745" s="10" t="s">
        <v>20</v>
      </c>
      <c r="P2745" s="18"/>
      <c r="Q2745" s="10" t="s">
        <v>20</v>
      </c>
      <c r="R2745" s="10" t="s">
        <v>20</v>
      </c>
      <c r="S2745" s="14"/>
      <c r="T2745" s="10" t="s">
        <v>20</v>
      </c>
      <c r="U2745" s="18"/>
      <c r="W2745" s="39" t="s">
        <v>96</v>
      </c>
      <c r="Y2745" s="18"/>
    </row>
    <row r="2746" spans="1:25" ht="15">
      <c r="A2746" s="4"/>
      <c r="B2746" s="87" t="s">
        <v>174</v>
      </c>
      <c r="C2746" s="11"/>
      <c r="D2746" s="8" t="s">
        <v>156</v>
      </c>
      <c r="E2746" s="6"/>
      <c r="F2746" s="8" t="s">
        <v>157</v>
      </c>
      <c r="G2746" s="45" t="s">
        <v>99</v>
      </c>
      <c r="H2746" s="19"/>
      <c r="I2746" s="45" t="s">
        <v>100</v>
      </c>
      <c r="J2746" s="45" t="s">
        <v>101</v>
      </c>
      <c r="K2746" s="82" t="s">
        <v>102</v>
      </c>
      <c r="L2746" s="45" t="s">
        <v>103</v>
      </c>
      <c r="M2746" s="45" t="s">
        <v>104</v>
      </c>
      <c r="N2746" s="45" t="s">
        <v>105</v>
      </c>
      <c r="O2746" s="45" t="s">
        <v>106</v>
      </c>
      <c r="P2746" s="6"/>
      <c r="Q2746" s="45" t="s">
        <v>107</v>
      </c>
      <c r="R2746" s="45" t="s">
        <v>108</v>
      </c>
      <c r="S2746" s="45"/>
      <c r="T2746" s="45" t="s">
        <v>109</v>
      </c>
      <c r="U2746" s="18"/>
      <c r="V2746" s="10" t="s">
        <v>20</v>
      </c>
      <c r="W2746" s="10" t="s">
        <v>21</v>
      </c>
      <c r="X2746" s="10" t="s">
        <v>22</v>
      </c>
      <c r="Y2746" s="18"/>
    </row>
    <row r="2747" spans="1:9" ht="15">
      <c r="A2747" s="4"/>
      <c r="B2747" s="24"/>
      <c r="C2747" s="11"/>
      <c r="E2747" s="14"/>
      <c r="F2747"/>
      <c r="H2747" s="18"/>
      <c r="I2747" s="16"/>
    </row>
    <row r="2748" spans="1:24" ht="15">
      <c r="A2748" s="4">
        <f>+A2741+1</f>
        <v>1</v>
      </c>
      <c r="B2748" s="5" t="s">
        <v>36</v>
      </c>
      <c r="C2748" s="17" t="s">
        <v>37</v>
      </c>
      <c r="D2748" s="18">
        <v>37.84</v>
      </c>
      <c r="E2748" s="18"/>
      <c r="F2748" s="18">
        <v>49255.9</v>
      </c>
      <c r="G2748" s="18">
        <v>-2174.77</v>
      </c>
      <c r="I2748" s="18">
        <v>0</v>
      </c>
      <c r="J2748" s="18">
        <v>0</v>
      </c>
      <c r="K2748" s="46">
        <v>1434.58</v>
      </c>
      <c r="L2748" s="27">
        <v>-7142.52</v>
      </c>
      <c r="M2748" s="18">
        <f>-29298.1-5004.94-2447.76-7593.76</f>
        <v>-44344.560000000005</v>
      </c>
      <c r="N2748" s="18">
        <v>0</v>
      </c>
      <c r="O2748" s="18">
        <v>-54294.3</v>
      </c>
      <c r="Q2748" s="18">
        <v>0</v>
      </c>
      <c r="R2748" s="18">
        <v>-12034.02</v>
      </c>
      <c r="S2748" s="18"/>
      <c r="T2748" s="18">
        <v>-59103.32</v>
      </c>
      <c r="V2748" s="18">
        <f>+V2730+D2748+F2748+G2748+I2748+J2748+K2748+L2748+M2748+N2748+O2748+Q2748+R2748+T2748</f>
        <v>23898891.310000006</v>
      </c>
      <c r="W2748" s="18">
        <f>+W2730</f>
        <v>17816721.01</v>
      </c>
      <c r="X2748" s="18">
        <f>+V2748-W2748</f>
        <v>6082170.3000000045</v>
      </c>
    </row>
    <row r="2749" spans="1:24" ht="15">
      <c r="A2749" s="4">
        <f>+A2748+1</f>
        <v>2</v>
      </c>
      <c r="B2749" s="5" t="s">
        <v>36</v>
      </c>
      <c r="C2749" s="22" t="s">
        <v>38</v>
      </c>
      <c r="D2749" s="18">
        <v>-126.95</v>
      </c>
      <c r="E2749" s="18"/>
      <c r="F2749" s="18">
        <v>48484.31</v>
      </c>
      <c r="G2749" s="18">
        <v>-1984.31</v>
      </c>
      <c r="I2749" s="18">
        <v>0</v>
      </c>
      <c r="J2749" s="18">
        <v>0</v>
      </c>
      <c r="K2749" s="46">
        <v>0</v>
      </c>
      <c r="L2749" s="27">
        <v>-7142.52</v>
      </c>
      <c r="M2749" s="18">
        <f>-29298.1-5004.95-2447.76-7593.76</f>
        <v>-44344.57</v>
      </c>
      <c r="N2749" s="18">
        <v>0</v>
      </c>
      <c r="O2749" s="18">
        <v>-39217.71</v>
      </c>
      <c r="Q2749" s="18">
        <v>0</v>
      </c>
      <c r="R2749" s="18">
        <v>-10913.18</v>
      </c>
      <c r="S2749" s="18"/>
      <c r="T2749" s="18">
        <v>-49429.1</v>
      </c>
      <c r="V2749" s="18">
        <f>+V2731+D2749+F2749+G2749+I2749+J2749+K2749+L2749+M2749+N2749+O2749+Q2749+R2749+T2749</f>
        <v>23974179.57</v>
      </c>
      <c r="W2749" s="18">
        <f>+W2731</f>
        <v>17643857.05</v>
      </c>
      <c r="X2749" s="18">
        <f>+V2749-W2749</f>
        <v>6330322.52</v>
      </c>
    </row>
    <row r="2750" spans="1:24" ht="15">
      <c r="A2750" s="4">
        <f>+A2749+1</f>
        <v>3</v>
      </c>
      <c r="B2750" s="24" t="s">
        <v>46</v>
      </c>
      <c r="C2750" s="40" t="s">
        <v>78</v>
      </c>
      <c r="D2750" s="18">
        <f>+D2748-D2749</f>
        <v>164.79000000000002</v>
      </c>
      <c r="E2750" s="18"/>
      <c r="F2750" s="18">
        <f>+F2748-F2749</f>
        <v>771.5900000000038</v>
      </c>
      <c r="G2750" s="18">
        <f>+G2748-G2749</f>
        <v>-190.46000000000004</v>
      </c>
      <c r="I2750" s="18">
        <f>+I2748-I2749</f>
        <v>0</v>
      </c>
      <c r="J2750" s="18">
        <f>+J2748-J2749</f>
        <v>0</v>
      </c>
      <c r="K2750" s="18">
        <f>+K2748-K2749</f>
        <v>1434.58</v>
      </c>
      <c r="L2750" s="18">
        <f>+L2748-L2749</f>
        <v>0</v>
      </c>
      <c r="M2750" s="18">
        <f>+M2748-M2749</f>
        <v>0.00999999999476131</v>
      </c>
      <c r="N2750" s="18">
        <f>+N2748-N2749</f>
        <v>0</v>
      </c>
      <c r="O2750" s="18">
        <f>+O2748-O2749</f>
        <v>-15076.590000000004</v>
      </c>
      <c r="Q2750" s="18">
        <f>+Q2748-Q2749</f>
        <v>0</v>
      </c>
      <c r="R2750" s="18">
        <f>+R2748-R2749</f>
        <v>-1120.8400000000001</v>
      </c>
      <c r="S2750" s="18"/>
      <c r="T2750" s="18">
        <f>+T2748-T2749</f>
        <v>-9674.220000000001</v>
      </c>
      <c r="V2750" s="27">
        <f>+V2748-V2749</f>
        <v>-75288.25999999419</v>
      </c>
      <c r="W2750" s="27">
        <f>+W2748-W2749</f>
        <v>172863.9600000009</v>
      </c>
      <c r="X2750" s="18">
        <f>+X2748-X2749</f>
        <v>-248152.21999999508</v>
      </c>
    </row>
    <row r="2751" spans="1:24" ht="28.5">
      <c r="A2751" s="4">
        <f>+A2750+1</f>
        <v>4</v>
      </c>
      <c r="B2751" s="88" t="s">
        <v>182</v>
      </c>
      <c r="C2751" s="11"/>
      <c r="D2751" s="18">
        <v>0</v>
      </c>
      <c r="E2751" s="18"/>
      <c r="F2751" s="18">
        <v>0</v>
      </c>
      <c r="G2751" s="18">
        <v>0</v>
      </c>
      <c r="I2751" s="18">
        <v>0</v>
      </c>
      <c r="J2751" s="27">
        <v>0</v>
      </c>
      <c r="K2751" s="18">
        <v>0</v>
      </c>
      <c r="L2751" s="18">
        <v>0</v>
      </c>
      <c r="M2751" s="18">
        <v>0</v>
      </c>
      <c r="N2751" s="18">
        <v>0</v>
      </c>
      <c r="O2751" s="18">
        <v>0</v>
      </c>
      <c r="Q2751" s="18">
        <v>0</v>
      </c>
      <c r="R2751" s="18">
        <v>0</v>
      </c>
      <c r="S2751" s="18"/>
      <c r="T2751" s="18">
        <v>0</v>
      </c>
      <c r="V2751" s="18">
        <f>+V2733+D2751+F2751+G2751+I2751+J2751+K2751+L2751+M2751+N2751+O2751+Q2751+R2751+T2751</f>
        <v>0</v>
      </c>
      <c r="W2751" s="18">
        <f>+W2733</f>
        <v>0</v>
      </c>
      <c r="X2751" s="18">
        <f>+V2751-W2751</f>
        <v>0</v>
      </c>
    </row>
    <row r="2752" spans="1:24" ht="24.75">
      <c r="A2752" s="4">
        <f>+A2751+1</f>
        <v>5</v>
      </c>
      <c r="B2752" s="89" t="s">
        <v>39</v>
      </c>
      <c r="C2752" s="40"/>
      <c r="D2752" s="27">
        <v>0</v>
      </c>
      <c r="E2752" s="18"/>
      <c r="F2752" s="27">
        <v>0</v>
      </c>
      <c r="G2752" s="27">
        <v>10.5</v>
      </c>
      <c r="I2752" s="27">
        <v>0</v>
      </c>
      <c r="J2752" s="27">
        <v>0</v>
      </c>
      <c r="K2752" s="55">
        <v>0</v>
      </c>
      <c r="L2752" s="27">
        <v>650.45</v>
      </c>
      <c r="M2752" s="27">
        <v>0</v>
      </c>
      <c r="N2752" s="27">
        <v>0</v>
      </c>
      <c r="O2752" s="27">
        <v>-4973.07</v>
      </c>
      <c r="Q2752" s="27">
        <v>0</v>
      </c>
      <c r="R2752" s="27">
        <v>658.54</v>
      </c>
      <c r="S2752" s="27"/>
      <c r="T2752" s="27">
        <v>4314.5</v>
      </c>
      <c r="V2752" s="18">
        <f>+V2734+D2752+F2752+G2752+I2752+J2752+K2752+L2752+M2752+N2752+O2752+Q2752+R2752+T2752</f>
        <v>185466.65</v>
      </c>
      <c r="W2752" s="18">
        <f>+W2734</f>
        <v>0</v>
      </c>
      <c r="X2752" s="18">
        <f>+V2752-W2752</f>
        <v>185466.65</v>
      </c>
    </row>
    <row r="2753" spans="1:24" ht="15">
      <c r="A2753" s="6" t="s">
        <v>41</v>
      </c>
      <c r="B2753" s="41"/>
      <c r="C2753" s="40"/>
      <c r="D2753" s="18"/>
      <c r="E2753" s="18"/>
      <c r="F2753" s="18"/>
      <c r="G2753" s="18"/>
      <c r="I2753" s="18"/>
      <c r="J2753" s="18"/>
      <c r="K2753" s="27"/>
      <c r="L2753" s="18"/>
      <c r="M2753" s="18"/>
      <c r="N2753" s="18"/>
      <c r="O2753" s="18"/>
      <c r="Q2753" s="18"/>
      <c r="R2753" s="18"/>
      <c r="S2753" s="18"/>
      <c r="T2753" s="18"/>
      <c r="V2753" s="18"/>
      <c r="W2753" s="18"/>
      <c r="X2753" s="18"/>
    </row>
    <row r="2754" spans="1:24" ht="15">
      <c r="A2754" s="4">
        <f>+A2752+1</f>
        <v>6</v>
      </c>
      <c r="B2754" s="5" t="s">
        <v>42</v>
      </c>
      <c r="C2754" s="22" t="s">
        <v>38</v>
      </c>
      <c r="D2754" s="18">
        <v>0</v>
      </c>
      <c r="E2754" s="18"/>
      <c r="F2754" s="18">
        <v>48588.3</v>
      </c>
      <c r="G2754" s="18">
        <v>-1854.92</v>
      </c>
      <c r="I2754" s="18">
        <v>0</v>
      </c>
      <c r="J2754" s="18">
        <v>0</v>
      </c>
      <c r="K2754" s="46">
        <v>0</v>
      </c>
      <c r="L2754" s="27">
        <v>-7142.52</v>
      </c>
      <c r="M2754" s="18">
        <f>-33669.58-2316.52-5497.53</f>
        <v>-41483.63</v>
      </c>
      <c r="N2754" s="18">
        <v>0</v>
      </c>
      <c r="O2754" s="18">
        <v>-29945.24</v>
      </c>
      <c r="P2754" s="18"/>
      <c r="Q2754" s="18">
        <v>0</v>
      </c>
      <c r="R2754" s="18">
        <v>-7178.38</v>
      </c>
      <c r="S2754" s="18"/>
      <c r="T2754" s="18">
        <v>-33177.77</v>
      </c>
      <c r="U2754" s="18"/>
      <c r="V2754" s="18">
        <f>+V2736+D2754+F2754+G2754+I2754+J2754+K2754+L2754+M2754+N2754+O2754+Q2754+R2754+T2754</f>
        <v>14018947.460000003</v>
      </c>
      <c r="W2754" s="18">
        <f>+W2736</f>
        <v>10372120.57</v>
      </c>
      <c r="X2754" s="18">
        <f>+V2754-W2754</f>
        <v>3646826.8900000025</v>
      </c>
    </row>
    <row r="2755" spans="1:24" ht="15">
      <c r="A2755" s="4">
        <f>+A2754+1</f>
        <v>7</v>
      </c>
      <c r="B2755" s="5" t="s">
        <v>43</v>
      </c>
      <c r="C2755" s="11"/>
      <c r="D2755" s="18">
        <v>0</v>
      </c>
      <c r="E2755" s="18"/>
      <c r="F2755" s="18">
        <v>0</v>
      </c>
      <c r="G2755" s="18">
        <v>0</v>
      </c>
      <c r="I2755" s="18">
        <v>0</v>
      </c>
      <c r="J2755" s="18">
        <v>0</v>
      </c>
      <c r="K2755" s="18">
        <v>0</v>
      </c>
      <c r="L2755" s="18">
        <v>0</v>
      </c>
      <c r="M2755" s="18">
        <v>0</v>
      </c>
      <c r="N2755" s="18">
        <v>0</v>
      </c>
      <c r="O2755" s="18">
        <v>0</v>
      </c>
      <c r="P2755" s="18"/>
      <c r="Q2755" s="18">
        <v>0</v>
      </c>
      <c r="R2755" s="18">
        <v>0</v>
      </c>
      <c r="S2755" s="18"/>
      <c r="T2755" s="18">
        <v>0</v>
      </c>
      <c r="U2755" s="18"/>
      <c r="V2755" s="18">
        <f>+V2737+D2755+F2755+G2755+I2755+J2755+K2755+L2755+M2755+N2755+O2755+Q2755+R2755+T2755</f>
        <v>0</v>
      </c>
      <c r="W2755" s="18">
        <f>+W2737</f>
        <v>0</v>
      </c>
      <c r="X2755" s="18">
        <f>+V2755-W2755</f>
        <v>0</v>
      </c>
    </row>
    <row r="2756" spans="1:24" ht="26.25">
      <c r="A2756" s="4">
        <f>+A2755+1</f>
        <v>8</v>
      </c>
      <c r="B2756" s="24" t="s">
        <v>79</v>
      </c>
      <c r="C2756" s="11"/>
      <c r="D2756" s="18">
        <f>+D2754-D2755</f>
        <v>0</v>
      </c>
      <c r="E2756" s="18"/>
      <c r="F2756" s="18">
        <f>+F2754-F2755</f>
        <v>48588.3</v>
      </c>
      <c r="G2756" s="18">
        <f>+G2754-G2755</f>
        <v>-1854.92</v>
      </c>
      <c r="I2756" s="18">
        <f aca="true" t="shared" si="309" ref="I2756:O2756">+I2754-I2755</f>
        <v>0</v>
      </c>
      <c r="J2756" s="18">
        <f t="shared" si="309"/>
        <v>0</v>
      </c>
      <c r="K2756" s="18">
        <f t="shared" si="309"/>
        <v>0</v>
      </c>
      <c r="L2756" s="18">
        <f t="shared" si="309"/>
        <v>-7142.52</v>
      </c>
      <c r="M2756" s="18">
        <f t="shared" si="309"/>
        <v>-41483.63</v>
      </c>
      <c r="N2756" s="18">
        <f t="shared" si="309"/>
        <v>0</v>
      </c>
      <c r="O2756" s="18">
        <f t="shared" si="309"/>
        <v>-29945.24</v>
      </c>
      <c r="P2756" s="18"/>
      <c r="Q2756" s="18">
        <f>+Q2754-Q2755</f>
        <v>0</v>
      </c>
      <c r="R2756" s="18">
        <f>+R2754-R2755</f>
        <v>-7178.38</v>
      </c>
      <c r="S2756" s="18"/>
      <c r="T2756" s="18">
        <f>+T2754-T2755</f>
        <v>-33177.77</v>
      </c>
      <c r="U2756" s="18"/>
      <c r="V2756" s="27">
        <f>+V2754-V2755</f>
        <v>14018947.460000003</v>
      </c>
      <c r="W2756" s="27">
        <f>+W2754-W2755</f>
        <v>10372120.57</v>
      </c>
      <c r="X2756" s="18">
        <f>+X2754-X2755</f>
        <v>3646826.8900000025</v>
      </c>
    </row>
    <row r="2757" spans="1:24" ht="28.5">
      <c r="A2757" s="4">
        <f>+A2756+1</f>
        <v>9</v>
      </c>
      <c r="B2757" s="88" t="s">
        <v>181</v>
      </c>
      <c r="C2757" s="11"/>
      <c r="D2757" s="18">
        <v>0</v>
      </c>
      <c r="E2757" s="18"/>
      <c r="F2757" s="18">
        <v>0</v>
      </c>
      <c r="G2757" s="18">
        <v>0</v>
      </c>
      <c r="I2757" s="18">
        <v>0</v>
      </c>
      <c r="J2757" s="18">
        <v>0</v>
      </c>
      <c r="K2757" s="18">
        <v>0</v>
      </c>
      <c r="L2757" s="18">
        <v>0</v>
      </c>
      <c r="M2757" s="18">
        <v>0</v>
      </c>
      <c r="N2757" s="18">
        <v>0</v>
      </c>
      <c r="O2757" s="18">
        <v>0</v>
      </c>
      <c r="P2757" s="18"/>
      <c r="Q2757" s="18">
        <v>0</v>
      </c>
      <c r="R2757" s="18">
        <v>0</v>
      </c>
      <c r="S2757" s="18"/>
      <c r="T2757" s="18">
        <v>0</v>
      </c>
      <c r="U2757" s="18"/>
      <c r="V2757" s="18">
        <f>+V2739+D2757+F2757+G2757+I2757+J2757+K2757+L2757+M2757+N2757+O2757+Q2757+R2757+T2757</f>
        <v>0</v>
      </c>
      <c r="W2757" s="18">
        <f>+W2739</f>
        <v>0</v>
      </c>
      <c r="X2757" s="18">
        <f>+V2757-W2757</f>
        <v>0</v>
      </c>
    </row>
    <row r="2758" spans="1:24" ht="15">
      <c r="A2758" s="4">
        <f>+A2757+1</f>
        <v>10</v>
      </c>
      <c r="B2758" s="24" t="s">
        <v>46</v>
      </c>
      <c r="C2758" s="11" t="s">
        <v>47</v>
      </c>
      <c r="D2758" s="18">
        <f>+D2750+D2751+D2756+D2757+D2752</f>
        <v>164.79000000000002</v>
      </c>
      <c r="E2758" s="18"/>
      <c r="F2758" s="18">
        <f>+F2750+F2751+F2756+F2757+F2752</f>
        <v>49359.89000000001</v>
      </c>
      <c r="G2758" s="18">
        <f>+G2750+G2751+G2756+G2757+G2752</f>
        <v>-2034.88</v>
      </c>
      <c r="I2758" s="18">
        <f aca="true" t="shared" si="310" ref="I2758:O2758">+I2750+I2751+I2756+I2757+I2752</f>
        <v>0</v>
      </c>
      <c r="J2758" s="18">
        <f t="shared" si="310"/>
        <v>0</v>
      </c>
      <c r="K2758" s="18">
        <f t="shared" si="310"/>
        <v>1434.58</v>
      </c>
      <c r="L2758" s="18">
        <f t="shared" si="310"/>
        <v>-6492.070000000001</v>
      </c>
      <c r="M2758" s="18">
        <f t="shared" si="310"/>
        <v>-41483.62</v>
      </c>
      <c r="N2758" s="18">
        <f t="shared" si="310"/>
        <v>0</v>
      </c>
      <c r="O2758" s="18">
        <f t="shared" si="310"/>
        <v>-49994.9</v>
      </c>
      <c r="P2758" s="42"/>
      <c r="Q2758" s="18">
        <f>+Q2750+Q2751+Q2756+Q2757+Q2752</f>
        <v>0</v>
      </c>
      <c r="R2758" s="18">
        <f>+R2750+R2751+R2756+R2757+R2752</f>
        <v>-7640.680000000001</v>
      </c>
      <c r="S2758" s="18"/>
      <c r="T2758" s="18">
        <f>+T2750+T2751+T2756+T2757+T2752</f>
        <v>-38537.49</v>
      </c>
      <c r="U2758" s="42"/>
      <c r="V2758" s="18">
        <f>+V2750+V2751+V2756+V2757+V2752</f>
        <v>14129125.850000009</v>
      </c>
      <c r="W2758" s="18">
        <f>+W2750+W2751+W2756+W2757+W2752</f>
        <v>10544984.530000001</v>
      </c>
      <c r="X2758" s="18">
        <f>+X2750+X2751+X2756+X2757+X2752</f>
        <v>3584141.3200000073</v>
      </c>
    </row>
    <row r="2759" spans="1:24" ht="15">
      <c r="A2759" s="4"/>
      <c r="B2759" s="24"/>
      <c r="C2759" s="11"/>
      <c r="D2759" s="18"/>
      <c r="E2759" s="18"/>
      <c r="F2759" s="18"/>
      <c r="G2759" s="18"/>
      <c r="I2759" s="18"/>
      <c r="J2759" s="18"/>
      <c r="K2759" s="27" t="s">
        <v>0</v>
      </c>
      <c r="L2759" s="18"/>
      <c r="M2759" s="18"/>
      <c r="N2759" s="18"/>
      <c r="O2759" s="18"/>
      <c r="P2759" s="42"/>
      <c r="Q2759" s="18"/>
      <c r="R2759" s="18"/>
      <c r="S2759" s="18"/>
      <c r="T2759" s="18"/>
      <c r="U2759" s="42"/>
      <c r="V2759" s="18"/>
      <c r="W2759" s="18"/>
      <c r="X2759" s="18"/>
    </row>
    <row r="2760" spans="1:24" ht="15">
      <c r="A2760" s="4"/>
      <c r="B2760" s="24"/>
      <c r="C2760" s="11"/>
      <c r="D2760" s="18"/>
      <c r="E2760" s="18"/>
      <c r="F2760" s="18"/>
      <c r="G2760" s="18"/>
      <c r="I2760" s="18"/>
      <c r="J2760" s="18"/>
      <c r="K2760" s="27"/>
      <c r="L2760" s="18"/>
      <c r="M2760" s="18"/>
      <c r="N2760" s="18"/>
      <c r="O2760" s="18"/>
      <c r="P2760" s="42"/>
      <c r="Q2760" s="18"/>
      <c r="R2760" s="18"/>
      <c r="S2760" s="18"/>
      <c r="T2760" s="18"/>
      <c r="U2760" s="42"/>
      <c r="V2760" s="18"/>
      <c r="W2760" s="18"/>
      <c r="X2760" s="18"/>
    </row>
    <row r="2761" spans="1:24" ht="15">
      <c r="A2761" s="4"/>
      <c r="B2761" s="24"/>
      <c r="C2761" s="11"/>
      <c r="D2761" s="18"/>
      <c r="E2761" s="18"/>
      <c r="F2761" s="18"/>
      <c r="G2761" s="18"/>
      <c r="I2761" s="18"/>
      <c r="J2761" s="18"/>
      <c r="K2761" s="18"/>
      <c r="L2761" s="18"/>
      <c r="M2761" s="18"/>
      <c r="N2761" s="18"/>
      <c r="O2761" s="18"/>
      <c r="P2761" s="42"/>
      <c r="Q2761" s="18"/>
      <c r="R2761" s="18"/>
      <c r="S2761" s="18"/>
      <c r="T2761" s="18"/>
      <c r="U2761" s="42"/>
      <c r="V2761" s="18"/>
      <c r="W2761" s="18"/>
      <c r="X2761" s="18"/>
    </row>
    <row r="2762" spans="1:24" ht="15">
      <c r="A2762" s="4"/>
      <c r="B2762" s="24"/>
      <c r="C2762" s="11"/>
      <c r="D2762" s="10" t="s">
        <v>4</v>
      </c>
      <c r="E2762" s="10"/>
      <c r="F2762" s="10" t="s">
        <v>5</v>
      </c>
      <c r="G2762" s="10" t="s">
        <v>6</v>
      </c>
      <c r="H2762" s="10"/>
      <c r="I2762" s="10" t="s">
        <v>7</v>
      </c>
      <c r="J2762" s="10" t="s">
        <v>8</v>
      </c>
      <c r="K2762" s="10" t="s">
        <v>9</v>
      </c>
      <c r="L2762" s="10" t="s">
        <v>10</v>
      </c>
      <c r="M2762" s="10" t="s">
        <v>11</v>
      </c>
      <c r="N2762" s="10" t="s">
        <v>12</v>
      </c>
      <c r="O2762" s="10" t="s">
        <v>13</v>
      </c>
      <c r="P2762" s="10"/>
      <c r="Q2762" s="10" t="s">
        <v>14</v>
      </c>
      <c r="R2762" s="10" t="s">
        <v>15</v>
      </c>
      <c r="S2762" s="10"/>
      <c r="T2762" s="10" t="s">
        <v>16</v>
      </c>
      <c r="U2762" s="10"/>
      <c r="V2762" s="10" t="s">
        <v>17</v>
      </c>
      <c r="W2762" s="10" t="s">
        <v>18</v>
      </c>
      <c r="X2762" s="10" t="s">
        <v>19</v>
      </c>
    </row>
    <row r="2763" spans="1:23" ht="15">
      <c r="A2763" s="4"/>
      <c r="B2763" s="24"/>
      <c r="C2763" s="11"/>
      <c r="D2763" s="10" t="s">
        <v>20</v>
      </c>
      <c r="E2763" s="10"/>
      <c r="F2763" s="14" t="s">
        <v>21</v>
      </c>
      <c r="G2763" s="10"/>
      <c r="I2763" s="39" t="s">
        <v>110</v>
      </c>
      <c r="J2763" s="47" t="s">
        <v>111</v>
      </c>
      <c r="K2763" s="39"/>
      <c r="L2763" s="10" t="s">
        <v>20</v>
      </c>
      <c r="M2763" s="10" t="s">
        <v>20</v>
      </c>
      <c r="N2763" s="10" t="s">
        <v>20</v>
      </c>
      <c r="O2763" s="10" t="s">
        <v>20</v>
      </c>
      <c r="P2763" s="42"/>
      <c r="Q2763" s="10" t="s">
        <v>20</v>
      </c>
      <c r="R2763" s="10" t="s">
        <v>20</v>
      </c>
      <c r="S2763" s="48"/>
      <c r="T2763" s="10" t="s">
        <v>20</v>
      </c>
      <c r="U2763" s="42"/>
      <c r="W2763" s="39" t="s">
        <v>112</v>
      </c>
    </row>
    <row r="2764" spans="1:24" ht="15">
      <c r="A2764" s="4"/>
      <c r="B2764" s="87" t="s">
        <v>183</v>
      </c>
      <c r="C2764" s="11"/>
      <c r="D2764" s="8" t="s">
        <v>113</v>
      </c>
      <c r="E2764" s="6"/>
      <c r="F2764" s="6" t="s">
        <v>114</v>
      </c>
      <c r="G2764" s="49" t="s">
        <v>22</v>
      </c>
      <c r="I2764" s="8" t="s">
        <v>113</v>
      </c>
      <c r="J2764" s="6" t="s">
        <v>114</v>
      </c>
      <c r="K2764" s="49" t="s">
        <v>24</v>
      </c>
      <c r="L2764" s="13" t="s">
        <v>115</v>
      </c>
      <c r="M2764" s="13" t="s">
        <v>116</v>
      </c>
      <c r="N2764" s="13" t="s">
        <v>117</v>
      </c>
      <c r="O2764" s="13" t="s">
        <v>118</v>
      </c>
      <c r="P2764" s="42"/>
      <c r="Q2764" s="13" t="s">
        <v>119</v>
      </c>
      <c r="R2764" s="13" t="s">
        <v>120</v>
      </c>
      <c r="T2764" s="13" t="s">
        <v>121</v>
      </c>
      <c r="U2764" s="42"/>
      <c r="V2764" s="10" t="s">
        <v>20</v>
      </c>
      <c r="W2764" s="10" t="s">
        <v>21</v>
      </c>
      <c r="X2764" s="10" t="s">
        <v>22</v>
      </c>
    </row>
    <row r="2765" spans="1:24" ht="15">
      <c r="A2765" s="4"/>
      <c r="B2765" s="24"/>
      <c r="C2765" s="11"/>
      <c r="D2765" s="18"/>
      <c r="E2765" s="18"/>
      <c r="F2765" s="18"/>
      <c r="G2765" s="18"/>
      <c r="I2765" s="72" t="s">
        <v>0</v>
      </c>
      <c r="K2765" s="42"/>
      <c r="L2765" s="42"/>
      <c r="N2765" s="42"/>
      <c r="O2765" s="18"/>
      <c r="P2765" s="42"/>
      <c r="U2765" s="42"/>
      <c r="V2765" s="18"/>
      <c r="W2765" s="39" t="s">
        <v>122</v>
      </c>
      <c r="X2765" s="18"/>
    </row>
    <row r="2766" spans="1:24" ht="15">
      <c r="A2766" s="4">
        <f>+A2738+1</f>
        <v>19</v>
      </c>
      <c r="B2766" s="5" t="s">
        <v>36</v>
      </c>
      <c r="C2766" s="17" t="s">
        <v>37</v>
      </c>
      <c r="D2766" s="27">
        <v>1300033.38</v>
      </c>
      <c r="E2766" s="18" t="s">
        <v>0</v>
      </c>
      <c r="F2766" s="27">
        <v>896873.7</v>
      </c>
      <c r="G2766" s="18">
        <f>D2766-F2766</f>
        <v>403159.67999999993</v>
      </c>
      <c r="I2766" s="27">
        <v>-1058.68</v>
      </c>
      <c r="J2766" s="27">
        <v>1075.75</v>
      </c>
      <c r="K2766" s="36">
        <f>+I2766-J2766</f>
        <v>-2134.4300000000003</v>
      </c>
      <c r="L2766" s="18">
        <v>0</v>
      </c>
      <c r="M2766" s="27">
        <v>-127678.93</v>
      </c>
      <c r="N2766" s="27">
        <f>5502.78+51174.8</f>
        <v>56677.58</v>
      </c>
      <c r="O2766" s="18">
        <v>0</v>
      </c>
      <c r="P2766" s="42"/>
      <c r="Q2766" s="31">
        <v>0</v>
      </c>
      <c r="R2766" s="18">
        <v>0</v>
      </c>
      <c r="S2766" s="18"/>
      <c r="T2766" s="18">
        <v>0</v>
      </c>
      <c r="U2766" s="42"/>
      <c r="V2766" s="31">
        <f>+D2766+I2766+L2766+M2766+N2766+O2766+Q2766+R2766+T2766</f>
        <v>1227973.35</v>
      </c>
      <c r="W2766" s="18">
        <f>+F2766+J2766</f>
        <v>897949.45</v>
      </c>
      <c r="X2766" s="18">
        <f>+V2766-W2766</f>
        <v>330023.90000000014</v>
      </c>
    </row>
    <row r="2767" spans="1:24" ht="15">
      <c r="A2767" s="4">
        <f>+A2766+1</f>
        <v>20</v>
      </c>
      <c r="B2767" s="5" t="s">
        <v>36</v>
      </c>
      <c r="C2767" s="22" t="s">
        <v>38</v>
      </c>
      <c r="D2767" s="27">
        <v>984356.85</v>
      </c>
      <c r="E2767" s="18" t="s">
        <v>0</v>
      </c>
      <c r="F2767" s="27">
        <v>802726.15</v>
      </c>
      <c r="G2767" s="18">
        <f>D2767-F2767</f>
        <v>181630.69999999995</v>
      </c>
      <c r="I2767" s="27">
        <v>-1058.21</v>
      </c>
      <c r="J2767" s="31">
        <v>1051.82</v>
      </c>
      <c r="K2767" s="36">
        <f>+I2767-J2767</f>
        <v>-2110.0299999999997</v>
      </c>
      <c r="L2767" s="18">
        <v>0</v>
      </c>
      <c r="M2767" s="27">
        <v>-127679.37</v>
      </c>
      <c r="N2767" s="27">
        <f>5502.78+39619.2</f>
        <v>45121.979999999996</v>
      </c>
      <c r="O2767" s="18">
        <v>0</v>
      </c>
      <c r="P2767" s="42"/>
      <c r="Q2767" s="31">
        <v>0</v>
      </c>
      <c r="R2767" s="18"/>
      <c r="S2767" s="18"/>
      <c r="T2767" s="18">
        <v>0</v>
      </c>
      <c r="U2767" s="42"/>
      <c r="V2767" s="31">
        <f>+D2767+I2767+L2767+M2767+N2767+O2767+Q2767+R2767+T2767</f>
        <v>900741.25</v>
      </c>
      <c r="W2767" s="18">
        <f>+F2767+J2767</f>
        <v>803777.97</v>
      </c>
      <c r="X2767" s="18">
        <f>+V2767-W2767</f>
        <v>96963.28000000003</v>
      </c>
    </row>
    <row r="2768" spans="1:24" ht="15">
      <c r="A2768" s="4">
        <f>+A2767+1</f>
        <v>21</v>
      </c>
      <c r="B2768" s="24" t="s">
        <v>46</v>
      </c>
      <c r="C2768" s="40" t="s">
        <v>78</v>
      </c>
      <c r="D2768" s="18">
        <f>+D2766-D2767</f>
        <v>315676.5299999999</v>
      </c>
      <c r="E2768" s="18"/>
      <c r="F2768" s="18">
        <f>+F2766-F2767</f>
        <v>94147.54999999993</v>
      </c>
      <c r="G2768" s="18">
        <f>+G2766-G2767</f>
        <v>221528.97999999998</v>
      </c>
      <c r="I2768" s="18">
        <f>+I2766-I2767</f>
        <v>-0.4700000000000273</v>
      </c>
      <c r="J2768" s="18">
        <f>+J2766-J2767</f>
        <v>23.930000000000064</v>
      </c>
      <c r="K2768" s="18">
        <f>K2766-K2767</f>
        <v>-24.400000000000546</v>
      </c>
      <c r="L2768" s="18">
        <f>+L2766-L2767</f>
        <v>0</v>
      </c>
      <c r="M2768" s="18">
        <f>+M2766-M2767</f>
        <v>0.4400000000023283</v>
      </c>
      <c r="N2768" s="18">
        <f>+N2766-N2767</f>
        <v>11555.600000000006</v>
      </c>
      <c r="O2768" s="18">
        <f>+O2766-O2767</f>
        <v>0</v>
      </c>
      <c r="P2768" s="42"/>
      <c r="Q2768" s="18">
        <f>+Q2766-Q2767</f>
        <v>0</v>
      </c>
      <c r="R2768" s="18">
        <f>+R2766-R2767</f>
        <v>0</v>
      </c>
      <c r="S2768" s="18"/>
      <c r="T2768" s="18">
        <f>+T2766-T2767</f>
        <v>0</v>
      </c>
      <c r="U2768" s="42"/>
      <c r="V2768" s="31">
        <f>+V2766-V2767</f>
        <v>327232.1000000001</v>
      </c>
      <c r="W2768" s="31">
        <f>+W2766-W2767</f>
        <v>94171.47999999998</v>
      </c>
      <c r="X2768" s="18">
        <f>+X2766-X2767</f>
        <v>233060.6200000001</v>
      </c>
    </row>
    <row r="2769" spans="1:24" ht="28.5">
      <c r="A2769" s="4">
        <f>+A2768+1</f>
        <v>22</v>
      </c>
      <c r="B2769" s="88" t="s">
        <v>182</v>
      </c>
      <c r="C2769" s="11"/>
      <c r="D2769" s="18">
        <v>0</v>
      </c>
      <c r="E2769" s="18"/>
      <c r="F2769" s="18">
        <v>0</v>
      </c>
      <c r="G2769" s="18">
        <f>+D2769-F2769</f>
        <v>0</v>
      </c>
      <c r="I2769" s="18">
        <v>0</v>
      </c>
      <c r="J2769" s="18">
        <v>0</v>
      </c>
      <c r="K2769" s="18">
        <f>+I2769-J2769</f>
        <v>0</v>
      </c>
      <c r="L2769" s="18">
        <v>0</v>
      </c>
      <c r="M2769" s="18">
        <v>0</v>
      </c>
      <c r="N2769" s="18">
        <f>+L2769-M2769</f>
        <v>0</v>
      </c>
      <c r="O2769" s="18">
        <v>0</v>
      </c>
      <c r="P2769" s="42"/>
      <c r="Q2769" s="18">
        <v>0</v>
      </c>
      <c r="R2769" s="18">
        <v>0</v>
      </c>
      <c r="S2769" s="18"/>
      <c r="T2769" s="18">
        <v>0</v>
      </c>
      <c r="U2769" s="42"/>
      <c r="V2769" s="31">
        <f>+D2769+I2769+L2769+M2769+N2769+O2769+Q2769+R2769+T2769</f>
        <v>0</v>
      </c>
      <c r="W2769" s="18">
        <f>+F2769+J2769</f>
        <v>0</v>
      </c>
      <c r="X2769" s="18">
        <f>+V2769-W2769</f>
        <v>0</v>
      </c>
    </row>
    <row r="2770" spans="1:24" ht="24.75">
      <c r="A2770" s="4">
        <f>+A2769+1</f>
        <v>23</v>
      </c>
      <c r="B2770" s="89" t="s">
        <v>39</v>
      </c>
      <c r="C2770" s="40"/>
      <c r="D2770" s="55">
        <v>-26821.79</v>
      </c>
      <c r="E2770" s="18" t="s">
        <v>0</v>
      </c>
      <c r="F2770" s="27">
        <v>-91391.66</v>
      </c>
      <c r="G2770" s="18">
        <f>D2770-F2770</f>
        <v>64569.87</v>
      </c>
      <c r="I2770" s="27">
        <v>0</v>
      </c>
      <c r="J2770" s="27"/>
      <c r="K2770" s="18">
        <f>+I2770-J2770</f>
        <v>0</v>
      </c>
      <c r="L2770" s="18">
        <v>2846.24</v>
      </c>
      <c r="M2770" s="27">
        <f>111298.29-7453.73-127208.26-69823.87+13422.31</f>
        <v>-79765.26</v>
      </c>
      <c r="N2770" s="27">
        <f>1959.04-11555.58</f>
        <v>-9596.54</v>
      </c>
      <c r="O2770" s="27">
        <v>2884.88</v>
      </c>
      <c r="P2770" s="42"/>
      <c r="Q2770" s="55">
        <v>0</v>
      </c>
      <c r="R2770" s="21">
        <v>0</v>
      </c>
      <c r="S2770" s="18"/>
      <c r="T2770" s="18">
        <v>0</v>
      </c>
      <c r="U2770" s="42"/>
      <c r="V2770" s="31">
        <f>+D2770+I2770+M2770+N2770+L2770+O2770+Q2770+R2770+T2770</f>
        <v>-110452.46999999999</v>
      </c>
      <c r="W2770" s="18">
        <f>+F2770+J2770</f>
        <v>-91391.66</v>
      </c>
      <c r="X2770" s="36">
        <f>+V2770-W2770</f>
        <v>-19060.809999999983</v>
      </c>
    </row>
    <row r="2771" spans="1:24" ht="15">
      <c r="A2771" s="6" t="s">
        <v>41</v>
      </c>
      <c r="B2771" s="41"/>
      <c r="C2771" s="40"/>
      <c r="D2771" s="18"/>
      <c r="E2771" s="18"/>
      <c r="F2771" s="18" t="s">
        <v>0</v>
      </c>
      <c r="G2771" s="18"/>
      <c r="I2771" s="18"/>
      <c r="J2771" s="18"/>
      <c r="K2771" s="18"/>
      <c r="L2771" s="18"/>
      <c r="M2771" s="18"/>
      <c r="N2771" s="18"/>
      <c r="O2771" s="18"/>
      <c r="P2771" s="42"/>
      <c r="Q2771" s="18"/>
      <c r="R2771" s="18"/>
      <c r="S2771" s="18"/>
      <c r="T2771" s="18" t="s">
        <v>0</v>
      </c>
      <c r="U2771" s="42"/>
      <c r="V2771" s="30"/>
      <c r="W2771" s="30"/>
      <c r="X2771" s="36"/>
    </row>
    <row r="2772" spans="1:24" ht="15">
      <c r="A2772" s="4">
        <f>+A2770+1</f>
        <v>24</v>
      </c>
      <c r="B2772" s="5" t="s">
        <v>42</v>
      </c>
      <c r="C2772" s="22" t="s">
        <v>38</v>
      </c>
      <c r="D2772" s="27">
        <v>745064.04</v>
      </c>
      <c r="E2772" s="18" t="s">
        <v>0</v>
      </c>
      <c r="F2772" s="27">
        <v>687495.93</v>
      </c>
      <c r="G2772" s="18">
        <f>D2772-F2772</f>
        <v>57568.109999999986</v>
      </c>
      <c r="I2772" s="18">
        <v>-945.42</v>
      </c>
      <c r="J2772" s="26">
        <v>877.93</v>
      </c>
      <c r="K2772" s="18">
        <f>+I2772-J2772</f>
        <v>-1823.35</v>
      </c>
      <c r="L2772" s="27">
        <v>0</v>
      </c>
      <c r="M2772" s="27">
        <v>-113399.65</v>
      </c>
      <c r="N2772" s="27">
        <f>5334.9+49524</f>
        <v>54858.9</v>
      </c>
      <c r="O2772" s="18">
        <v>0</v>
      </c>
      <c r="P2772" s="42"/>
      <c r="Q2772" s="31">
        <v>0</v>
      </c>
      <c r="R2772" s="18">
        <v>0</v>
      </c>
      <c r="S2772" s="18" t="s">
        <v>0</v>
      </c>
      <c r="T2772" s="18">
        <v>0</v>
      </c>
      <c r="U2772" s="42"/>
      <c r="V2772" s="31">
        <f>+D2772+I2772+L2772+M2772+N2772+O2772+Q2772+R2772+T2772</f>
        <v>685577.87</v>
      </c>
      <c r="W2772" s="18">
        <f>+F2772+J2772</f>
        <v>688373.8600000001</v>
      </c>
      <c r="X2772" s="18">
        <f>+V2772-W2772</f>
        <v>-2795.990000000107</v>
      </c>
    </row>
    <row r="2773" spans="1:24" ht="15">
      <c r="A2773" s="4">
        <f>+A2772+1</f>
        <v>25</v>
      </c>
      <c r="B2773" s="5" t="s">
        <v>43</v>
      </c>
      <c r="C2773" s="11"/>
      <c r="D2773" s="18"/>
      <c r="E2773" s="18"/>
      <c r="F2773" s="18">
        <v>0</v>
      </c>
      <c r="G2773" s="18">
        <f>+D2773-F2773</f>
        <v>0</v>
      </c>
      <c r="I2773" s="18">
        <v>0</v>
      </c>
      <c r="J2773" s="18">
        <v>0</v>
      </c>
      <c r="K2773" s="18">
        <f>+I2773-J2773</f>
        <v>0</v>
      </c>
      <c r="L2773" s="18">
        <v>0</v>
      </c>
      <c r="M2773" s="18">
        <v>0</v>
      </c>
      <c r="N2773" s="18">
        <f>+L2773-M2773</f>
        <v>0</v>
      </c>
      <c r="O2773" s="18">
        <v>0</v>
      </c>
      <c r="P2773" s="42"/>
      <c r="Q2773" s="18">
        <v>0</v>
      </c>
      <c r="R2773" s="18">
        <v>0</v>
      </c>
      <c r="S2773" s="18"/>
      <c r="T2773" s="18">
        <v>0</v>
      </c>
      <c r="U2773" s="42"/>
      <c r="V2773" s="31">
        <f>+D2773+I2773+L2773+O2773+Q2773+R2773+T2773</f>
        <v>0</v>
      </c>
      <c r="W2773" s="18">
        <f>+F2773+J2773+M2773</f>
        <v>0</v>
      </c>
      <c r="X2773" s="18">
        <f>+V2773-W2773</f>
        <v>0</v>
      </c>
    </row>
    <row r="2774" spans="1:24" ht="26.25">
      <c r="A2774" s="4">
        <f>+A2773+1</f>
        <v>26</v>
      </c>
      <c r="B2774" s="24" t="s">
        <v>79</v>
      </c>
      <c r="C2774" s="11"/>
      <c r="D2774" s="18">
        <f>+D2772-D2773</f>
        <v>745064.04</v>
      </c>
      <c r="E2774" s="18"/>
      <c r="F2774" s="18">
        <f>+F2772-F2773</f>
        <v>687495.93</v>
      </c>
      <c r="G2774" s="18">
        <f>+G2772-G2773</f>
        <v>57568.109999999986</v>
      </c>
      <c r="I2774" s="18">
        <f>+I2772-I2773</f>
        <v>-945.42</v>
      </c>
      <c r="J2774" s="18">
        <f>+J2772-J2773</f>
        <v>877.93</v>
      </c>
      <c r="K2774" s="18">
        <f>+K2772-K2773</f>
        <v>-1823.35</v>
      </c>
      <c r="L2774" s="18">
        <f>+L2772-L2773</f>
        <v>0</v>
      </c>
      <c r="M2774" s="18">
        <f>+M2772-M2773</f>
        <v>-113399.65</v>
      </c>
      <c r="N2774" s="18">
        <f>+N2772-N2773</f>
        <v>54858.9</v>
      </c>
      <c r="O2774" s="18">
        <v>0</v>
      </c>
      <c r="P2774" s="42"/>
      <c r="Q2774" s="18">
        <f>+Q2772-Q2773</f>
        <v>0</v>
      </c>
      <c r="R2774" s="18">
        <f>+R2772-R2773</f>
        <v>0</v>
      </c>
      <c r="S2774" s="18"/>
      <c r="T2774" s="18">
        <f>+T2772-T2773</f>
        <v>0</v>
      </c>
      <c r="U2774" s="42"/>
      <c r="V2774" s="27">
        <f>+V2772-V2773</f>
        <v>685577.87</v>
      </c>
      <c r="W2774" s="27">
        <f>+W2772-W2773</f>
        <v>688373.8600000001</v>
      </c>
      <c r="X2774" s="31">
        <f>+X2772-X2773</f>
        <v>-2795.990000000107</v>
      </c>
    </row>
    <row r="2775" spans="1:24" ht="28.5">
      <c r="A2775" s="4">
        <f>+A2774+1</f>
        <v>27</v>
      </c>
      <c r="B2775" s="88" t="s">
        <v>181</v>
      </c>
      <c r="C2775" s="11"/>
      <c r="D2775" s="18">
        <v>0</v>
      </c>
      <c r="E2775" s="18"/>
      <c r="F2775" s="18">
        <v>0</v>
      </c>
      <c r="G2775" s="18">
        <f>+D2775-F2775</f>
        <v>0</v>
      </c>
      <c r="I2775" s="18">
        <v>0</v>
      </c>
      <c r="J2775" s="18">
        <v>0</v>
      </c>
      <c r="K2775" s="18">
        <f>+I2775-J2775</f>
        <v>0</v>
      </c>
      <c r="L2775" s="18">
        <v>0</v>
      </c>
      <c r="M2775" s="18">
        <v>0</v>
      </c>
      <c r="N2775" s="18">
        <f>+L2775-M2775</f>
        <v>0</v>
      </c>
      <c r="O2775" s="18">
        <v>0</v>
      </c>
      <c r="P2775" s="42"/>
      <c r="Q2775" s="18">
        <v>0</v>
      </c>
      <c r="R2775" s="18">
        <v>0</v>
      </c>
      <c r="S2775" s="18"/>
      <c r="T2775" s="18">
        <v>0</v>
      </c>
      <c r="U2775" s="42"/>
      <c r="V2775" s="31">
        <f>+D2775+I2775+L2775+O2775+Q2775+R2775+T2775</f>
        <v>0</v>
      </c>
      <c r="W2775" s="18">
        <f>+F2775+J2775+M2775</f>
        <v>0</v>
      </c>
      <c r="X2775" s="18">
        <f>+V2775-W2775</f>
        <v>0</v>
      </c>
    </row>
    <row r="2776" spans="1:24" ht="15">
      <c r="A2776" s="4">
        <f>+A2775+1</f>
        <v>28</v>
      </c>
      <c r="B2776" s="24" t="s">
        <v>46</v>
      </c>
      <c r="C2776" s="11" t="s">
        <v>47</v>
      </c>
      <c r="D2776" s="51">
        <f>+D2768+D2769+D2774+D2775+D2770</f>
        <v>1033918.7799999998</v>
      </c>
      <c r="E2776" s="18"/>
      <c r="F2776" s="52">
        <f>+F2768+F2769+F2774+F2775+F2770</f>
        <v>690251.82</v>
      </c>
      <c r="G2776" s="18">
        <f>+G2768+G2769+G2774+G2775+G2770</f>
        <v>343666.95999999996</v>
      </c>
      <c r="I2776" s="51">
        <f>+I2768+I2769+I2774+I2775+I2770</f>
        <v>-945.89</v>
      </c>
      <c r="J2776" s="52">
        <f>+J2768+J2769+J2774+J2775+J2770</f>
        <v>901.86</v>
      </c>
      <c r="K2776" s="18">
        <f>+K2768+K2769+K2774+K2775+K2770</f>
        <v>-1847.7500000000005</v>
      </c>
      <c r="L2776" s="18">
        <f>+L2768+L2769+L2774+L2775+L2770</f>
        <v>2846.24</v>
      </c>
      <c r="M2776" s="18">
        <f>+M2768+M2769+M2774+M2775+M2770</f>
        <v>-193164.46999999997</v>
      </c>
      <c r="N2776" s="18">
        <f>+N2768+N2769+N2774+N2775+N2770</f>
        <v>56817.96</v>
      </c>
      <c r="O2776" s="18">
        <f>+O2768+O2769+O2774+O2775+O2770</f>
        <v>2884.88</v>
      </c>
      <c r="P2776" s="42"/>
      <c r="Q2776" s="18">
        <f>+Q2768+Q2769+Q2774+Q2775+Q2770</f>
        <v>0</v>
      </c>
      <c r="R2776" s="18">
        <f>+R2768+R2769+R2774+R2775+R2770</f>
        <v>0</v>
      </c>
      <c r="S2776" s="18"/>
      <c r="T2776" s="18">
        <f>+T2768+T2769+T2774+T2775+T2770</f>
        <v>0</v>
      </c>
      <c r="U2776" s="42"/>
      <c r="V2776" s="18">
        <f>+V2768+V2769+V2774+V2775+V2770</f>
        <v>902357.5000000001</v>
      </c>
      <c r="W2776" s="18">
        <f>+W2768+W2769+W2774+W2775+W2770</f>
        <v>691153.68</v>
      </c>
      <c r="X2776" s="18">
        <f>+X2768+X2769+X2774+X2775+X2770</f>
        <v>211203.82</v>
      </c>
    </row>
    <row r="2777" spans="1:24" ht="15">
      <c r="A2777" s="4"/>
      <c r="B2777" s="24" t="s">
        <v>0</v>
      </c>
      <c r="C2777" s="11"/>
      <c r="D2777" s="27">
        <f>D2776+I2776</f>
        <v>1032972.8899999998</v>
      </c>
      <c r="E2777" s="79" t="s">
        <v>0</v>
      </c>
      <c r="F2777" s="27">
        <f>F2776+J2776</f>
        <v>691153.6799999999</v>
      </c>
      <c r="G2777" s="79" t="s">
        <v>0</v>
      </c>
      <c r="I2777" s="18"/>
      <c r="J2777" s="18"/>
      <c r="K2777" s="18"/>
      <c r="L2777" s="18"/>
      <c r="M2777" s="42"/>
      <c r="N2777" s="73" t="s">
        <v>0</v>
      </c>
      <c r="O2777" s="42"/>
      <c r="P2777" s="42"/>
      <c r="Q2777" s="42"/>
      <c r="U2777" s="42"/>
      <c r="V2777" s="18"/>
      <c r="W2777" s="18"/>
      <c r="X2777" s="18"/>
    </row>
    <row r="2778" spans="1:24" ht="15">
      <c r="A2778" s="4"/>
      <c r="B2778" s="92"/>
      <c r="C2778" s="79" t="s">
        <v>0</v>
      </c>
      <c r="D2778" s="6" t="s">
        <v>48</v>
      </c>
      <c r="E2778" s="6"/>
      <c r="F2778" s="10" t="s">
        <v>49</v>
      </c>
      <c r="G2778" s="10" t="s">
        <v>50</v>
      </c>
      <c r="I2778" s="10" t="s">
        <v>51</v>
      </c>
      <c r="J2778" s="10" t="s">
        <v>52</v>
      </c>
      <c r="K2778" s="10" t="s">
        <v>53</v>
      </c>
      <c r="L2778" s="10" t="s">
        <v>54</v>
      </c>
      <c r="M2778" s="10" t="s">
        <v>55</v>
      </c>
      <c r="N2778" s="10" t="s">
        <v>56</v>
      </c>
      <c r="O2778" s="10" t="s">
        <v>57</v>
      </c>
      <c r="P2778" s="18"/>
      <c r="Q2778" s="10" t="s">
        <v>58</v>
      </c>
      <c r="R2778" s="10" t="s">
        <v>59</v>
      </c>
      <c r="S2778" s="10"/>
      <c r="T2778" s="10" t="s">
        <v>60</v>
      </c>
      <c r="U2778" s="18"/>
      <c r="V2778" s="10" t="s">
        <v>61</v>
      </c>
      <c r="W2778" s="10" t="s">
        <v>62</v>
      </c>
      <c r="X2778" s="10" t="s">
        <v>63</v>
      </c>
    </row>
    <row r="2779" spans="1:24" ht="15">
      <c r="A2779" s="4"/>
      <c r="B2779" s="24"/>
      <c r="C2779" s="11"/>
      <c r="D2779" s="14" t="s">
        <v>20</v>
      </c>
      <c r="E2779" s="18"/>
      <c r="F2779" s="14" t="s">
        <v>20</v>
      </c>
      <c r="G2779" s="14" t="s">
        <v>20</v>
      </c>
      <c r="I2779" s="14" t="s">
        <v>20</v>
      </c>
      <c r="J2779" s="14" t="s">
        <v>21</v>
      </c>
      <c r="K2779" s="14" t="s">
        <v>21</v>
      </c>
      <c r="L2779" s="14" t="s">
        <v>21</v>
      </c>
      <c r="M2779" s="14" t="s">
        <v>21</v>
      </c>
      <c r="N2779" s="14" t="s">
        <v>21</v>
      </c>
      <c r="O2779" s="14" t="s">
        <v>21</v>
      </c>
      <c r="P2779" s="14"/>
      <c r="Q2779" s="14" t="s">
        <v>21</v>
      </c>
      <c r="R2779" s="14" t="s">
        <v>21</v>
      </c>
      <c r="T2779" s="14" t="s">
        <v>21</v>
      </c>
      <c r="U2779" s="42"/>
      <c r="V2779" s="18"/>
      <c r="W2779" s="39" t="s">
        <v>123</v>
      </c>
      <c r="X2779" s="18"/>
    </row>
    <row r="2780" spans="1:24" ht="15">
      <c r="A2780" s="4"/>
      <c r="B2780" s="87" t="s">
        <v>183</v>
      </c>
      <c r="C2780" s="11"/>
      <c r="D2780" s="53" t="s">
        <v>124</v>
      </c>
      <c r="E2780" s="18"/>
      <c r="F2780" s="53" t="s">
        <v>125</v>
      </c>
      <c r="G2780" s="53" t="s">
        <v>126</v>
      </c>
      <c r="I2780" s="53" t="s">
        <v>127</v>
      </c>
      <c r="J2780" s="53" t="s">
        <v>128</v>
      </c>
      <c r="K2780" s="53" t="s">
        <v>129</v>
      </c>
      <c r="L2780" s="53" t="s">
        <v>130</v>
      </c>
      <c r="M2780" s="53" t="s">
        <v>131</v>
      </c>
      <c r="N2780" s="24" t="s">
        <v>132</v>
      </c>
      <c r="O2780" s="24" t="s">
        <v>98</v>
      </c>
      <c r="P2780" s="24"/>
      <c r="Q2780" s="24" t="s">
        <v>99</v>
      </c>
      <c r="R2780" s="24" t="s">
        <v>133</v>
      </c>
      <c r="S2780" s="42"/>
      <c r="T2780" s="24" t="s">
        <v>134</v>
      </c>
      <c r="U2780" s="42"/>
      <c r="V2780" s="10" t="s">
        <v>20</v>
      </c>
      <c r="W2780" s="10" t="s">
        <v>21</v>
      </c>
      <c r="X2780" s="10" t="s">
        <v>22</v>
      </c>
    </row>
    <row r="2781" spans="1:24" ht="15">
      <c r="A2781" s="4"/>
      <c r="B2781" s="24"/>
      <c r="C2781" s="11"/>
      <c r="D2781" s="18"/>
      <c r="E2781" s="18"/>
      <c r="F2781" s="18"/>
      <c r="I2781" s="18"/>
      <c r="J2781" s="18"/>
      <c r="O2781" s="42"/>
      <c r="P2781" s="42"/>
      <c r="Q2781" s="42"/>
      <c r="R2781" s="42"/>
      <c r="S2781" s="42"/>
      <c r="T2781" s="42"/>
      <c r="U2781" s="42"/>
      <c r="V2781" s="18"/>
      <c r="W2781" s="39"/>
      <c r="X2781" s="18"/>
    </row>
    <row r="2782" spans="1:24" ht="15">
      <c r="A2782" s="4">
        <f>+A2776+1</f>
        <v>29</v>
      </c>
      <c r="B2782" s="5" t="s">
        <v>36</v>
      </c>
      <c r="C2782" s="17" t="s">
        <v>37</v>
      </c>
      <c r="D2782" s="18">
        <v>-325.9</v>
      </c>
      <c r="E2782" s="18"/>
      <c r="F2782" s="18">
        <v>0</v>
      </c>
      <c r="G2782" s="18">
        <v>0</v>
      </c>
      <c r="I2782" s="18">
        <v>0</v>
      </c>
      <c r="J2782" s="18">
        <v>-153.45</v>
      </c>
      <c r="K2782" s="18">
        <v>0</v>
      </c>
      <c r="L2782" s="18">
        <v>0</v>
      </c>
      <c r="M2782" s="18">
        <v>0</v>
      </c>
      <c r="N2782" s="18">
        <v>0</v>
      </c>
      <c r="O2782" s="18">
        <v>0</v>
      </c>
      <c r="P2782" s="18"/>
      <c r="Q2782" s="18">
        <v>0</v>
      </c>
      <c r="R2782" s="18">
        <v>0</v>
      </c>
      <c r="S2782" s="42"/>
      <c r="T2782" s="18">
        <v>0</v>
      </c>
      <c r="U2782" s="42"/>
      <c r="V2782" s="18">
        <f>+V2766+D2782+F2782+G2782+I2782</f>
        <v>1227647.4500000002</v>
      </c>
      <c r="W2782" s="18">
        <f>+W2766+J2782+K2782+L2782+M2782+N2782+O2782+Q2782+R2782+T2782</f>
        <v>897796</v>
      </c>
      <c r="X2782" s="18">
        <f>+V2782-W2782</f>
        <v>329851.4500000002</v>
      </c>
    </row>
    <row r="2783" spans="1:24" ht="15">
      <c r="A2783" s="4">
        <f>+A2782+1</f>
        <v>30</v>
      </c>
      <c r="B2783" s="5" t="s">
        <v>36</v>
      </c>
      <c r="C2783" s="22" t="s">
        <v>38</v>
      </c>
      <c r="D2783" s="18">
        <v>-325.9</v>
      </c>
      <c r="E2783" s="18"/>
      <c r="F2783" s="18">
        <v>0</v>
      </c>
      <c r="G2783" s="18">
        <v>0</v>
      </c>
      <c r="I2783" s="18">
        <v>0</v>
      </c>
      <c r="J2783" s="18">
        <v>-289.6</v>
      </c>
      <c r="K2783" s="18">
        <v>0</v>
      </c>
      <c r="L2783" s="18">
        <v>0</v>
      </c>
      <c r="M2783" s="18">
        <v>0</v>
      </c>
      <c r="N2783" s="18">
        <v>0</v>
      </c>
      <c r="O2783" s="18">
        <v>0</v>
      </c>
      <c r="P2783" s="18"/>
      <c r="Q2783" s="18">
        <v>0</v>
      </c>
      <c r="R2783" s="18">
        <v>0</v>
      </c>
      <c r="S2783" s="42"/>
      <c r="T2783" s="18">
        <v>0</v>
      </c>
      <c r="U2783" s="42"/>
      <c r="V2783" s="18">
        <f>+V2767+D2783+F2783+G2783+I2783</f>
        <v>900415.35</v>
      </c>
      <c r="W2783" s="18">
        <f>+W2767+J2783+K2783+L2783+M2783+N2783+O2783+Q2783+R2783+T2783</f>
        <v>803488.37</v>
      </c>
      <c r="X2783" s="18">
        <f>+V2783-W2783</f>
        <v>96926.97999999998</v>
      </c>
    </row>
    <row r="2784" spans="1:24" ht="15">
      <c r="A2784" s="4">
        <f>+A2783+1</f>
        <v>31</v>
      </c>
      <c r="B2784" s="24" t="s">
        <v>46</v>
      </c>
      <c r="C2784" s="40" t="s">
        <v>78</v>
      </c>
      <c r="D2784" s="18">
        <f>+D2782-D2783</f>
        <v>0</v>
      </c>
      <c r="E2784" s="18"/>
      <c r="F2784" s="18">
        <f>+F2782-F2783</f>
        <v>0</v>
      </c>
      <c r="G2784" s="18">
        <f>+G2782-G2783</f>
        <v>0</v>
      </c>
      <c r="I2784" s="18">
        <f aca="true" t="shared" si="311" ref="I2784:O2784">+I2782-I2783</f>
        <v>0</v>
      </c>
      <c r="J2784" s="18">
        <f t="shared" si="311"/>
        <v>136.15000000000003</v>
      </c>
      <c r="K2784" s="18">
        <f t="shared" si="311"/>
        <v>0</v>
      </c>
      <c r="L2784" s="18">
        <f t="shared" si="311"/>
        <v>0</v>
      </c>
      <c r="M2784" s="18">
        <f t="shared" si="311"/>
        <v>0</v>
      </c>
      <c r="N2784" s="18">
        <f t="shared" si="311"/>
        <v>0</v>
      </c>
      <c r="O2784" s="18">
        <f t="shared" si="311"/>
        <v>0</v>
      </c>
      <c r="P2784" s="18"/>
      <c r="Q2784" s="18">
        <f>+Q2782-Q2783</f>
        <v>0</v>
      </c>
      <c r="R2784" s="18">
        <f>+R2782-R2783</f>
        <v>0</v>
      </c>
      <c r="S2784" s="42"/>
      <c r="T2784" s="18">
        <f>+T2782-T2783</f>
        <v>0</v>
      </c>
      <c r="U2784" s="42"/>
      <c r="V2784" s="27">
        <f>+V2782-V2783</f>
        <v>327232.1000000002</v>
      </c>
      <c r="W2784" s="27">
        <f>+W2782-W2783</f>
        <v>94307.63</v>
      </c>
      <c r="X2784" s="18">
        <f>+X2782-X2783</f>
        <v>232924.4700000002</v>
      </c>
    </row>
    <row r="2785" spans="1:24" ht="28.5">
      <c r="A2785" s="4">
        <f>+A2784+1</f>
        <v>32</v>
      </c>
      <c r="B2785" s="88" t="s">
        <v>182</v>
      </c>
      <c r="C2785" s="11"/>
      <c r="D2785" s="18">
        <v>0</v>
      </c>
      <c r="E2785" s="18"/>
      <c r="F2785" s="18">
        <v>0</v>
      </c>
      <c r="G2785" s="18">
        <v>0</v>
      </c>
      <c r="I2785" s="18">
        <v>0</v>
      </c>
      <c r="J2785" s="18">
        <v>0</v>
      </c>
      <c r="K2785" s="18">
        <v>0</v>
      </c>
      <c r="L2785" s="18">
        <v>0</v>
      </c>
      <c r="M2785" s="18">
        <v>0</v>
      </c>
      <c r="N2785" s="18">
        <v>0</v>
      </c>
      <c r="O2785" s="18">
        <v>0</v>
      </c>
      <c r="P2785" s="18"/>
      <c r="Q2785" s="18">
        <v>0</v>
      </c>
      <c r="R2785" s="18">
        <v>0</v>
      </c>
      <c r="S2785" s="42"/>
      <c r="T2785" s="18">
        <v>0</v>
      </c>
      <c r="U2785" s="42"/>
      <c r="V2785" s="18">
        <f>+V2769+D2785+F2785+G2785+I2785</f>
        <v>0</v>
      </c>
      <c r="W2785" s="18">
        <f>+W2769+J2785+K2785+L2785+M2785+N2785+O2785+Q2785+R2785+T2785</f>
        <v>0</v>
      </c>
      <c r="X2785" s="18">
        <f>+V2785-W2785</f>
        <v>0</v>
      </c>
    </row>
    <row r="2786" spans="1:24" ht="24.75">
      <c r="A2786" s="4">
        <f>+A2785+1</f>
        <v>33</v>
      </c>
      <c r="B2786" s="89" t="s">
        <v>39</v>
      </c>
      <c r="C2786" s="40"/>
      <c r="D2786" s="27">
        <f>10995.25+20618.61-3531.54</f>
        <v>28082.32</v>
      </c>
      <c r="E2786" s="27" t="s">
        <v>0</v>
      </c>
      <c r="F2786" s="27">
        <v>0</v>
      </c>
      <c r="G2786" s="27">
        <v>-2560.94</v>
      </c>
      <c r="H2786" t="s">
        <v>0</v>
      </c>
      <c r="I2786" s="27">
        <v>0</v>
      </c>
      <c r="J2786" s="27">
        <v>0</v>
      </c>
      <c r="K2786" s="27">
        <v>0</v>
      </c>
      <c r="L2786" s="27">
        <v>0</v>
      </c>
      <c r="M2786" s="18">
        <v>0</v>
      </c>
      <c r="N2786" s="18">
        <v>0</v>
      </c>
      <c r="O2786" s="18">
        <v>0</v>
      </c>
      <c r="P2786" s="18"/>
      <c r="Q2786" s="18">
        <v>0</v>
      </c>
      <c r="R2786" s="18">
        <v>0</v>
      </c>
      <c r="S2786" s="42"/>
      <c r="T2786" s="18">
        <v>0</v>
      </c>
      <c r="U2786" s="42"/>
      <c r="V2786" s="18">
        <f>+V2770+D2786+F2786+G2786+I2786</f>
        <v>-84931.09</v>
      </c>
      <c r="W2786" s="18">
        <f>+W2770+J2786+K2786+L2786+M2786+N2786+O2786+Q2786+R2786+T2786</f>
        <v>-91391.66</v>
      </c>
      <c r="X2786" s="36">
        <f>+V2786-W2786</f>
        <v>6460.570000000007</v>
      </c>
    </row>
    <row r="2787" spans="1:24" ht="15">
      <c r="A2787" s="6" t="s">
        <v>41</v>
      </c>
      <c r="B2787" s="41"/>
      <c r="C2787" s="40"/>
      <c r="D2787" s="18"/>
      <c r="E2787" s="18"/>
      <c r="F2787" s="18"/>
      <c r="G2787" s="18"/>
      <c r="I2787" s="18"/>
      <c r="J2787" s="18"/>
      <c r="K2787" s="18"/>
      <c r="L2787" s="18"/>
      <c r="M2787" s="18"/>
      <c r="N2787" s="18"/>
      <c r="O2787" s="18"/>
      <c r="P2787" s="18"/>
      <c r="Q2787" s="18"/>
      <c r="R2787" s="18"/>
      <c r="S2787" s="42"/>
      <c r="T2787" s="18"/>
      <c r="U2787" s="42"/>
      <c r="V2787" s="18"/>
      <c r="W2787" s="54"/>
      <c r="X2787" s="36"/>
    </row>
    <row r="2788" spans="1:24" ht="15">
      <c r="A2788" s="4">
        <f>+A2786+1</f>
        <v>34</v>
      </c>
      <c r="B2788" s="5" t="s">
        <v>42</v>
      </c>
      <c r="C2788" s="22" t="s">
        <v>38</v>
      </c>
      <c r="D2788" s="18">
        <v>-202.73</v>
      </c>
      <c r="E2788" s="18"/>
      <c r="F2788" s="18">
        <v>0</v>
      </c>
      <c r="G2788" s="18">
        <v>0</v>
      </c>
      <c r="I2788" s="18">
        <v>0</v>
      </c>
      <c r="J2788" s="18">
        <v>0</v>
      </c>
      <c r="K2788" s="18">
        <v>0</v>
      </c>
      <c r="L2788" s="18"/>
      <c r="M2788" s="18">
        <v>0</v>
      </c>
      <c r="N2788" s="18">
        <v>0</v>
      </c>
      <c r="O2788" s="18">
        <v>0</v>
      </c>
      <c r="P2788" s="18"/>
      <c r="Q2788" s="18">
        <v>0</v>
      </c>
      <c r="R2788" s="18">
        <v>0</v>
      </c>
      <c r="S2788" s="42"/>
      <c r="T2788" s="18">
        <v>0</v>
      </c>
      <c r="U2788" s="42"/>
      <c r="V2788" s="18">
        <f>+V2772+D2788+F2788+G2788+I2788</f>
        <v>685375.14</v>
      </c>
      <c r="W2788" s="18">
        <f>+W2772+J2788+K2788+L2788+M2788+N2788+O2788+Q2788+R2788+T2788</f>
        <v>688373.8600000001</v>
      </c>
      <c r="X2788" s="18">
        <f>+V2788-W2788</f>
        <v>-2998.7200000000885</v>
      </c>
    </row>
    <row r="2789" spans="1:24" ht="15">
      <c r="A2789" s="4">
        <f>+A2788+1</f>
        <v>35</v>
      </c>
      <c r="B2789" s="5" t="s">
        <v>43</v>
      </c>
      <c r="C2789" s="11"/>
      <c r="D2789" s="18">
        <v>0</v>
      </c>
      <c r="E2789" s="18"/>
      <c r="F2789" s="18">
        <v>0</v>
      </c>
      <c r="G2789" s="18">
        <v>0</v>
      </c>
      <c r="I2789" s="18">
        <v>0</v>
      </c>
      <c r="J2789" s="18">
        <v>0</v>
      </c>
      <c r="K2789" s="18">
        <v>0</v>
      </c>
      <c r="L2789" s="18">
        <v>0</v>
      </c>
      <c r="M2789" s="18">
        <v>0</v>
      </c>
      <c r="N2789" s="18">
        <v>0</v>
      </c>
      <c r="O2789" s="18">
        <v>0</v>
      </c>
      <c r="P2789" s="18"/>
      <c r="Q2789" s="18">
        <v>0</v>
      </c>
      <c r="R2789" s="18">
        <v>0</v>
      </c>
      <c r="S2789" s="42"/>
      <c r="T2789" s="18">
        <v>0</v>
      </c>
      <c r="U2789" s="42"/>
      <c r="V2789" s="18">
        <f>+V2773+D2789+F2789+G2789+I2789</f>
        <v>0</v>
      </c>
      <c r="W2789" s="18">
        <f>+W2773+J2789+K2789+L2789+M2789+N2789+O2789+Q2789+R2789+T2789</f>
        <v>0</v>
      </c>
      <c r="X2789" s="18">
        <f>+V2789-W2789</f>
        <v>0</v>
      </c>
    </row>
    <row r="2790" spans="1:24" ht="26.25">
      <c r="A2790" s="4">
        <f>+A2789+1</f>
        <v>36</v>
      </c>
      <c r="B2790" s="24" t="s">
        <v>79</v>
      </c>
      <c r="C2790" s="11"/>
      <c r="D2790" s="18">
        <f>+D2788-D2789</f>
        <v>-202.73</v>
      </c>
      <c r="E2790" s="18"/>
      <c r="F2790" s="18">
        <f>+F2788-F2789</f>
        <v>0</v>
      </c>
      <c r="G2790" s="18">
        <f>+G2788-G2789</f>
        <v>0</v>
      </c>
      <c r="I2790" s="18">
        <f aca="true" t="shared" si="312" ref="I2790:O2790">+I2788-I2789</f>
        <v>0</v>
      </c>
      <c r="J2790" s="18">
        <f t="shared" si="312"/>
        <v>0</v>
      </c>
      <c r="K2790" s="18">
        <f t="shared" si="312"/>
        <v>0</v>
      </c>
      <c r="L2790" s="18">
        <f t="shared" si="312"/>
        <v>0</v>
      </c>
      <c r="M2790" s="18">
        <f t="shared" si="312"/>
        <v>0</v>
      </c>
      <c r="N2790" s="18">
        <f t="shared" si="312"/>
        <v>0</v>
      </c>
      <c r="O2790" s="18">
        <f t="shared" si="312"/>
        <v>0</v>
      </c>
      <c r="P2790" s="18"/>
      <c r="Q2790" s="18">
        <f>+Q2788-Q2789</f>
        <v>0</v>
      </c>
      <c r="R2790" s="18">
        <f>+R2788-R2789</f>
        <v>0</v>
      </c>
      <c r="S2790" s="42"/>
      <c r="T2790" s="18">
        <f>+T2788-T2789</f>
        <v>0</v>
      </c>
      <c r="U2790" s="42"/>
      <c r="V2790" s="55">
        <f>+V2788-V2789</f>
        <v>685375.14</v>
      </c>
      <c r="W2790" s="55">
        <f>+W2788-W2789</f>
        <v>688373.8600000001</v>
      </c>
      <c r="X2790" s="31">
        <f>+X2788-X2789</f>
        <v>-2998.7200000000885</v>
      </c>
    </row>
    <row r="2791" spans="1:24" ht="28.5">
      <c r="A2791" s="4">
        <f>+A2790+1</f>
        <v>37</v>
      </c>
      <c r="B2791" s="88" t="s">
        <v>181</v>
      </c>
      <c r="C2791" s="11"/>
      <c r="D2791" s="18">
        <v>0</v>
      </c>
      <c r="E2791" s="18"/>
      <c r="F2791" s="18">
        <v>0</v>
      </c>
      <c r="G2791" s="18">
        <v>0</v>
      </c>
      <c r="I2791" s="18">
        <v>0</v>
      </c>
      <c r="J2791" s="18">
        <v>0</v>
      </c>
      <c r="K2791" s="18">
        <v>0</v>
      </c>
      <c r="L2791" s="18">
        <v>0</v>
      </c>
      <c r="M2791" s="18">
        <v>0</v>
      </c>
      <c r="N2791" s="18">
        <v>0</v>
      </c>
      <c r="O2791" s="18">
        <v>0</v>
      </c>
      <c r="P2791" s="18"/>
      <c r="Q2791" s="18">
        <v>0</v>
      </c>
      <c r="R2791" s="18">
        <v>0</v>
      </c>
      <c r="S2791" s="42"/>
      <c r="T2791" s="18">
        <v>0</v>
      </c>
      <c r="U2791" s="42"/>
      <c r="V2791" s="18">
        <f>+V2775+D2791+F2791+G2791+I2791</f>
        <v>0</v>
      </c>
      <c r="W2791" s="18">
        <f>+W2775+J2791+K2791+L2791+M2791+N2791+O2791+Q2791+R2791+T2791</f>
        <v>0</v>
      </c>
      <c r="X2791" s="18">
        <f>+V2791-W2791</f>
        <v>0</v>
      </c>
    </row>
    <row r="2792" spans="1:24" ht="15">
      <c r="A2792" s="4">
        <f>+A2791+1</f>
        <v>38</v>
      </c>
      <c r="B2792" s="24" t="s">
        <v>46</v>
      </c>
      <c r="C2792" s="11" t="s">
        <v>47</v>
      </c>
      <c r="D2792" s="18">
        <f>+D2784+D2785+D2790+D2791+D2786</f>
        <v>27879.59</v>
      </c>
      <c r="E2792" s="18"/>
      <c r="F2792" s="18">
        <f>+F2784+F2785+F2790+F2791+F2786</f>
        <v>0</v>
      </c>
      <c r="G2792" s="18">
        <f>+G2784+G2785+G2790+G2791+G2786</f>
        <v>-2560.94</v>
      </c>
      <c r="I2792" s="18">
        <f>+I2784+I2785+I2790+I2791+I2786</f>
        <v>0</v>
      </c>
      <c r="J2792" s="18">
        <f>+J2784+J2785+J2790+J2791+J2786</f>
        <v>136.15000000000003</v>
      </c>
      <c r="K2792" s="18">
        <f>+K2784+K2785+K2790+K2791+K2786</f>
        <v>0</v>
      </c>
      <c r="L2792" s="18">
        <f>+L2784+L2785+L2790+L2791+L2786</f>
        <v>0</v>
      </c>
      <c r="M2792" s="18">
        <f>+M2784+M2785+M2790+M2791+M2786</f>
        <v>0</v>
      </c>
      <c r="N2792" s="18">
        <f>+N2784+N2785+N2790+N2791+N2786</f>
        <v>0</v>
      </c>
      <c r="O2792" s="18">
        <f>+O2784+O2785+O2790+O2791+O2786</f>
        <v>0</v>
      </c>
      <c r="P2792" s="18"/>
      <c r="Q2792" s="18">
        <f>+Q2784+Q2785+Q2790+Q2791+Q2786</f>
        <v>0</v>
      </c>
      <c r="R2792" s="18">
        <f>+R2784+R2785+R2790+R2791+R2786</f>
        <v>0</v>
      </c>
      <c r="S2792" s="18"/>
      <c r="T2792" s="18">
        <f>+T2784+T2785+T2790+T2791+T2786</f>
        <v>0</v>
      </c>
      <c r="U2792" s="42"/>
      <c r="V2792" s="18">
        <f>+V2784+V2785+V2790+V2791+V2786</f>
        <v>927676.1500000003</v>
      </c>
      <c r="W2792" s="18">
        <f>+W2784+W2785+W2790+W2791+W2786</f>
        <v>691289.8300000001</v>
      </c>
      <c r="X2792" s="18">
        <f>+X2784+X2785+X2790+X2791+X2786</f>
        <v>236386.32000000012</v>
      </c>
    </row>
    <row r="2793" spans="1:24" ht="15">
      <c r="A2793" s="4"/>
      <c r="B2793" s="24"/>
      <c r="C2793" s="11"/>
      <c r="D2793" s="18"/>
      <c r="E2793" s="18"/>
      <c r="F2793" s="18"/>
      <c r="G2793" s="18"/>
      <c r="N2793" s="42"/>
      <c r="O2793" s="42"/>
      <c r="P2793" s="42"/>
      <c r="Q2793" s="42"/>
      <c r="R2793" s="42"/>
      <c r="S2793" s="42"/>
      <c r="T2793" s="42"/>
      <c r="U2793" s="42"/>
      <c r="V2793" s="18"/>
      <c r="W2793" s="18"/>
      <c r="X2793" s="18"/>
    </row>
    <row r="2794" spans="1:24" ht="15">
      <c r="A2794" s="4"/>
      <c r="B2794" s="24"/>
      <c r="C2794" s="11"/>
      <c r="D2794" s="18"/>
      <c r="E2794" s="18"/>
      <c r="F2794" s="18"/>
      <c r="G2794" s="18"/>
      <c r="L2794" s="42"/>
      <c r="M2794" s="42"/>
      <c r="N2794" s="42"/>
      <c r="O2794" s="42"/>
      <c r="P2794" s="42"/>
      <c r="Q2794" s="42"/>
      <c r="R2794" s="42"/>
      <c r="S2794" s="42"/>
      <c r="T2794" s="42"/>
      <c r="U2794" s="42"/>
      <c r="V2794" s="18"/>
      <c r="W2794" s="18"/>
      <c r="X2794" s="18"/>
    </row>
    <row r="2795" spans="1:24" ht="15">
      <c r="A2795" s="4"/>
      <c r="B2795" s="24"/>
      <c r="C2795" s="11"/>
      <c r="D2795" s="18"/>
      <c r="E2795" s="18"/>
      <c r="F2795" s="18"/>
      <c r="G2795" s="18"/>
      <c r="L2795" s="42"/>
      <c r="M2795" s="42"/>
      <c r="N2795" s="42"/>
      <c r="O2795" s="42"/>
      <c r="P2795" s="42"/>
      <c r="Q2795" s="42"/>
      <c r="R2795" s="42"/>
      <c r="S2795" s="42"/>
      <c r="T2795" s="42"/>
      <c r="U2795" s="42"/>
      <c r="V2795" s="18"/>
      <c r="W2795" s="18"/>
      <c r="X2795" s="18"/>
    </row>
    <row r="2796" spans="1:24" ht="15">
      <c r="A2796" s="4"/>
      <c r="B2796" s="24"/>
      <c r="C2796" s="11"/>
      <c r="D2796" s="18"/>
      <c r="E2796" s="18"/>
      <c r="F2796" s="18"/>
      <c r="G2796" s="18"/>
      <c r="H2796" s="56"/>
      <c r="L2796" s="42"/>
      <c r="M2796" s="42"/>
      <c r="N2796" s="42"/>
      <c r="O2796" s="42"/>
      <c r="P2796" s="42"/>
      <c r="Q2796" s="42"/>
      <c r="R2796" s="42"/>
      <c r="S2796" s="42"/>
      <c r="T2796" s="42"/>
      <c r="U2796" s="42"/>
      <c r="V2796" s="18"/>
      <c r="W2796" s="18"/>
      <c r="X2796" s="18"/>
    </row>
    <row r="2797" spans="1:24" ht="15">
      <c r="A2797" s="4"/>
      <c r="B2797" s="24"/>
      <c r="C2797" s="11"/>
      <c r="D2797" s="18"/>
      <c r="E2797" s="18"/>
      <c r="F2797" s="18"/>
      <c r="G2797" s="18"/>
      <c r="H2797" s="56"/>
      <c r="I2797" s="57" t="s">
        <v>135</v>
      </c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18"/>
      <c r="W2797" s="18"/>
      <c r="X2797" s="18"/>
    </row>
    <row r="2798" spans="1:24" ht="15">
      <c r="A2798" s="4"/>
      <c r="B2798" s="24"/>
      <c r="C2798" s="11"/>
      <c r="D2798" s="18"/>
      <c r="E2798" s="18"/>
      <c r="F2798" s="18"/>
      <c r="G2798" s="18"/>
      <c r="H2798" s="56"/>
      <c r="I2798" s="58"/>
      <c r="L2798" s="42"/>
      <c r="T2798" s="42"/>
      <c r="U2798" s="42"/>
      <c r="V2798" s="18"/>
      <c r="W2798" s="18"/>
      <c r="X2798" s="18"/>
    </row>
    <row r="2799" spans="1:24" ht="15">
      <c r="A2799" s="4"/>
      <c r="B2799" s="24"/>
      <c r="C2799" s="11"/>
      <c r="D2799" s="18"/>
      <c r="E2799" s="18"/>
      <c r="F2799" s="18"/>
      <c r="G2799" s="18"/>
      <c r="H2799" s="56"/>
      <c r="I2799" s="59" t="s">
        <v>136</v>
      </c>
      <c r="L2799" s="75">
        <v>14365512.21</v>
      </c>
      <c r="T2799" s="42"/>
      <c r="U2799" s="42"/>
      <c r="V2799" s="18"/>
      <c r="W2799" s="18"/>
      <c r="X2799" s="18"/>
    </row>
    <row r="2800" spans="1:24" ht="15">
      <c r="A2800" s="4"/>
      <c r="B2800" s="24"/>
      <c r="C2800" s="11"/>
      <c r="D2800" s="18"/>
      <c r="E2800" s="18"/>
      <c r="F2800" s="18"/>
      <c r="G2800" s="18"/>
      <c r="H2800" s="56"/>
      <c r="I2800" s="59"/>
      <c r="L2800" s="18"/>
      <c r="T2800" s="42"/>
      <c r="U2800" s="42"/>
      <c r="V2800" s="18"/>
      <c r="W2800" s="18"/>
      <c r="X2800" s="18"/>
    </row>
    <row r="2801" spans="1:24" ht="15">
      <c r="A2801" s="4"/>
      <c r="B2801" s="24"/>
      <c r="C2801" s="11"/>
      <c r="D2801" s="44" t="s">
        <v>137</v>
      </c>
      <c r="E2801" s="18"/>
      <c r="F2801" s="10" t="s">
        <v>138</v>
      </c>
      <c r="G2801" s="44" t="s">
        <v>24</v>
      </c>
      <c r="H2801" s="56"/>
      <c r="I2801" s="59" t="s">
        <v>139</v>
      </c>
      <c r="L2801" s="27">
        <v>0</v>
      </c>
      <c r="N2801" s="6" t="s">
        <v>137</v>
      </c>
      <c r="O2801" s="6" t="s">
        <v>137</v>
      </c>
      <c r="P2801" s="42"/>
      <c r="Q2801" s="6" t="s">
        <v>138</v>
      </c>
      <c r="R2801" s="6" t="s">
        <v>138</v>
      </c>
      <c r="S2801" s="6"/>
      <c r="T2801" s="42"/>
      <c r="U2801" s="42"/>
      <c r="V2801" s="18"/>
      <c r="W2801" s="18"/>
      <c r="X2801" s="18"/>
    </row>
    <row r="2802" spans="1:24" ht="15">
      <c r="A2802" s="4"/>
      <c r="B2802" s="24"/>
      <c r="C2802" s="11"/>
      <c r="D2802" s="18"/>
      <c r="E2802" s="18"/>
      <c r="F2802" s="18"/>
      <c r="G2802" s="18"/>
      <c r="H2802" s="56"/>
      <c r="I2802" s="59"/>
      <c r="L2802" s="18"/>
      <c r="N2802" s="8" t="s">
        <v>140</v>
      </c>
      <c r="O2802" s="49" t="s">
        <v>141</v>
      </c>
      <c r="P2802" s="42"/>
      <c r="Q2802" s="8" t="s">
        <v>140</v>
      </c>
      <c r="R2802" s="49" t="s">
        <v>141</v>
      </c>
      <c r="S2802" s="49"/>
      <c r="T2802" s="42"/>
      <c r="U2802" s="42"/>
      <c r="V2802" s="18"/>
      <c r="W2802" s="18"/>
      <c r="X2802" s="18"/>
    </row>
    <row r="2803" spans="1:24" ht="15">
      <c r="A2803" s="4">
        <f>+A2791+1</f>
        <v>38</v>
      </c>
      <c r="B2803" s="5" t="s">
        <v>36</v>
      </c>
      <c r="C2803" s="17" t="s">
        <v>37</v>
      </c>
      <c r="D2803" s="31">
        <f>+V2748+V2782</f>
        <v>25126538.760000005</v>
      </c>
      <c r="E2803" s="18"/>
      <c r="F2803" s="31">
        <f>+W2748+W2782</f>
        <v>18714517.01</v>
      </c>
      <c r="G2803" s="18">
        <f>+D2803-F2803</f>
        <v>6412021.750000004</v>
      </c>
      <c r="H2803" s="56"/>
      <c r="I2803" s="59" t="s">
        <v>142</v>
      </c>
      <c r="J2803" s="18"/>
      <c r="K2803" s="18"/>
      <c r="L2803" s="36">
        <v>10544985</v>
      </c>
      <c r="N2803" s="60"/>
      <c r="O2803" s="6"/>
      <c r="P2803" s="42"/>
      <c r="Q2803" s="61"/>
      <c r="R2803" s="61"/>
      <c r="S2803" s="61"/>
      <c r="T2803" s="42"/>
      <c r="U2803" s="42"/>
      <c r="V2803" s="18"/>
      <c r="W2803" s="18"/>
      <c r="X2803" s="18"/>
    </row>
    <row r="2804" spans="1:21" ht="15">
      <c r="A2804" s="4">
        <f>+A2803+1</f>
        <v>39</v>
      </c>
      <c r="B2804" s="5" t="s">
        <v>36</v>
      </c>
      <c r="C2804" s="22" t="s">
        <v>38</v>
      </c>
      <c r="D2804" s="31">
        <f>+V2749+V2783</f>
        <v>24874594.92</v>
      </c>
      <c r="E2804" s="18"/>
      <c r="F2804" s="31">
        <f>+W2749+W2783</f>
        <v>18447345.42</v>
      </c>
      <c r="G2804" s="18">
        <f>+D2804-F2804</f>
        <v>6427249.5</v>
      </c>
      <c r="H2804" s="56"/>
      <c r="I2804" s="58"/>
      <c r="J2804" s="18"/>
      <c r="K2804" s="18"/>
      <c r="L2804" s="60"/>
      <c r="N2804" s="62">
        <f>+D2805</f>
        <v>251943.84000000358</v>
      </c>
      <c r="O2804" s="63">
        <f>+D2811</f>
        <v>14704322.600000003</v>
      </c>
      <c r="P2804" s="42"/>
      <c r="Q2804" s="31">
        <f>+F2715</f>
        <v>172863.9600000009</v>
      </c>
      <c r="R2804" s="31">
        <f>+F2717</f>
        <v>0</v>
      </c>
      <c r="S2804" s="31"/>
      <c r="T2804" s="42"/>
      <c r="U2804" s="42"/>
    </row>
    <row r="2805" spans="1:24" ht="15">
      <c r="A2805" s="4">
        <f>+A2804+1</f>
        <v>40</v>
      </c>
      <c r="B2805" s="24" t="s">
        <v>46</v>
      </c>
      <c r="C2805" s="40" t="s">
        <v>78</v>
      </c>
      <c r="D2805" s="26">
        <f>+D2803-D2804</f>
        <v>251943.84000000358</v>
      </c>
      <c r="E2805" s="18"/>
      <c r="F2805" s="26">
        <f>+F2803-F2804</f>
        <v>267171.58999999985</v>
      </c>
      <c r="G2805" s="18">
        <f>+G2803-G2804</f>
        <v>-15227.749999996275</v>
      </c>
      <c r="H2805" s="56"/>
      <c r="I2805" s="58" t="s">
        <v>143</v>
      </c>
      <c r="J2805" s="18"/>
      <c r="K2805" s="18"/>
      <c r="L2805">
        <v>0</v>
      </c>
      <c r="N2805" s="62">
        <f>+D2806</f>
        <v>0</v>
      </c>
      <c r="O2805" s="63">
        <f>+D2812</f>
        <v>0</v>
      </c>
      <c r="P2805" s="42"/>
      <c r="Q2805" s="31">
        <f>+F2716</f>
        <v>0</v>
      </c>
      <c r="R2805" s="31">
        <f>+F2721</f>
        <v>10372120.57</v>
      </c>
      <c r="S2805" s="31"/>
      <c r="U2805" s="18"/>
      <c r="V2805" s="10" t="s">
        <v>20</v>
      </c>
      <c r="W2805" s="10" t="s">
        <v>21</v>
      </c>
      <c r="X2805" s="10" t="s">
        <v>22</v>
      </c>
    </row>
    <row r="2806" spans="1:21" ht="28.5">
      <c r="A2806" s="4">
        <f>+A2805+1</f>
        <v>41</v>
      </c>
      <c r="B2806" s="88" t="s">
        <v>182</v>
      </c>
      <c r="C2806" s="11"/>
      <c r="D2806" s="26">
        <f>+V2751+V2785</f>
        <v>0</v>
      </c>
      <c r="E2806" s="26"/>
      <c r="F2806" s="26">
        <f>+W2751+W2785</f>
        <v>0</v>
      </c>
      <c r="G2806" s="18">
        <f>+D2806-F2806</f>
        <v>0</v>
      </c>
      <c r="H2806" s="56"/>
      <c r="I2806" s="58"/>
      <c r="J2806" s="18"/>
      <c r="K2806" s="18"/>
      <c r="L2806" s="60" t="s">
        <v>144</v>
      </c>
      <c r="N2806" s="62">
        <f>+F2805</f>
        <v>267171.58999999985</v>
      </c>
      <c r="O2806" s="63">
        <f>+F2811</f>
        <v>11060494.43</v>
      </c>
      <c r="P2806" s="42"/>
      <c r="R2806" s="31">
        <f>+F2722</f>
        <v>0</v>
      </c>
      <c r="S2806" s="31"/>
      <c r="U2806" s="18"/>
    </row>
    <row r="2807" spans="1:25" ht="24.75">
      <c r="A2807" s="4">
        <f>+A2806+1</f>
        <v>42</v>
      </c>
      <c r="B2807" s="89" t="s">
        <v>39</v>
      </c>
      <c r="C2807" s="40"/>
      <c r="D2807" s="30">
        <f>+V2752+V2786</f>
        <v>100535.56</v>
      </c>
      <c r="E2807" s="30"/>
      <c r="F2807" s="30">
        <f>+W2752+W2786</f>
        <v>-91391.66</v>
      </c>
      <c r="G2807" s="18">
        <f>+D2807-F2807</f>
        <v>191927.22</v>
      </c>
      <c r="H2807" s="56"/>
      <c r="I2807" s="64" t="s">
        <v>145</v>
      </c>
      <c r="J2807" s="18"/>
      <c r="K2807" s="18"/>
      <c r="L2807" s="83">
        <f>+L2799-L2801-L2803-L2805</f>
        <v>3820527.210000001</v>
      </c>
      <c r="N2807" s="62">
        <f>+F2806</f>
        <v>0</v>
      </c>
      <c r="O2807" s="63">
        <f>+F2812</f>
        <v>0</v>
      </c>
      <c r="P2807" s="42"/>
      <c r="Q2807" s="31"/>
      <c r="R2807" s="31"/>
      <c r="S2807" s="31"/>
      <c r="U2807" s="65"/>
      <c r="V2807" s="66"/>
      <c r="W2807" s="66"/>
      <c r="X2807" s="65"/>
      <c r="Y2807" s="84"/>
    </row>
    <row r="2808" spans="1:25" ht="15">
      <c r="A2808" s="6" t="s">
        <v>41</v>
      </c>
      <c r="B2808" s="41"/>
      <c r="C2808" s="40"/>
      <c r="D2808" s="18"/>
      <c r="E2808" s="18"/>
      <c r="F2808" s="18"/>
      <c r="G2808" s="18"/>
      <c r="H2808" s="56"/>
      <c r="I2808" s="58"/>
      <c r="J2808" s="18"/>
      <c r="K2808" s="18"/>
      <c r="N2808" s="62">
        <f>+F2715</f>
        <v>172863.9600000009</v>
      </c>
      <c r="O2808" s="63">
        <f>+F2721</f>
        <v>10372120.57</v>
      </c>
      <c r="P2808" s="42"/>
      <c r="Q2808" s="31"/>
      <c r="U2808" s="65"/>
      <c r="V2808" s="67"/>
      <c r="W2808" s="67"/>
      <c r="X2808" s="68"/>
      <c r="Y2808" s="84"/>
    </row>
    <row r="2809" spans="1:25" ht="15">
      <c r="A2809" s="4">
        <f>+A2807+1</f>
        <v>43</v>
      </c>
      <c r="B2809" s="5" t="s">
        <v>42</v>
      </c>
      <c r="C2809" s="22" t="s">
        <v>38</v>
      </c>
      <c r="D2809" s="31">
        <f>+V2754+V2788</f>
        <v>14704322.600000003</v>
      </c>
      <c r="E2809" s="18"/>
      <c r="F2809" s="31">
        <f>+W2754+W2788</f>
        <v>11060494.43</v>
      </c>
      <c r="G2809" s="18">
        <f>+D2809-F2809</f>
        <v>3643828.1700000037</v>
      </c>
      <c r="H2809" s="56"/>
      <c r="I2809" s="59" t="s">
        <v>22</v>
      </c>
      <c r="J2809" s="18"/>
      <c r="K2809" s="18"/>
      <c r="L2809" s="30">
        <f>+X2814</f>
        <v>3820527.640000008</v>
      </c>
      <c r="N2809" s="62"/>
      <c r="O2809" s="63">
        <f>+D2807</f>
        <v>100535.56</v>
      </c>
      <c r="P2809" s="42"/>
      <c r="Q2809" s="31"/>
      <c r="R2809" s="31"/>
      <c r="S2809" s="31"/>
      <c r="T2809" s="69" t="s">
        <v>78</v>
      </c>
      <c r="U2809" s="65"/>
      <c r="V2809" s="26">
        <f>+D2805+D2806-F2805-F2806+F2715</f>
        <v>157636.21000000462</v>
      </c>
      <c r="W2809" s="26">
        <f>+F2715+F2716</f>
        <v>172863.9600000009</v>
      </c>
      <c r="X2809" s="26">
        <f>+V2809-W2809</f>
        <v>-15227.749999996275</v>
      </c>
      <c r="Y2809" s="85"/>
    </row>
    <row r="2810" spans="1:25" ht="15">
      <c r="A2810" s="4">
        <f>+A2809+1</f>
        <v>44</v>
      </c>
      <c r="B2810" s="5" t="s">
        <v>43</v>
      </c>
      <c r="C2810" s="11"/>
      <c r="D2810" s="31">
        <f>+V2755+V2789</f>
        <v>0</v>
      </c>
      <c r="E2810" s="18"/>
      <c r="F2810" s="31">
        <f>+W2755+W2789</f>
        <v>0</v>
      </c>
      <c r="G2810" s="18">
        <f>+D2810-F2810</f>
        <v>0</v>
      </c>
      <c r="H2810" s="56"/>
      <c r="I2810" s="59"/>
      <c r="J2810" s="18"/>
      <c r="K2810" s="18"/>
      <c r="L2810" s="60" t="s">
        <v>144</v>
      </c>
      <c r="O2810" s="63">
        <f>+F2807</f>
        <v>-91391.66</v>
      </c>
      <c r="P2810" s="42"/>
      <c r="Q2810" s="31"/>
      <c r="R2810" s="31"/>
      <c r="S2810" s="31"/>
      <c r="T2810" s="11" t="s">
        <v>146</v>
      </c>
      <c r="U2810" s="65"/>
      <c r="V2810" s="30">
        <f>+D2811+D2812-F2811-F2812+F2721+D2807-F2807+F2717</f>
        <v>14207875.960000005</v>
      </c>
      <c r="W2810" s="30">
        <f>+F2717+F2721+F2722</f>
        <v>10372120.57</v>
      </c>
      <c r="X2810" s="30">
        <f>+V2810-W2810</f>
        <v>3835755.3900000043</v>
      </c>
      <c r="Y2810" s="85"/>
    </row>
    <row r="2811" spans="1:25" ht="26.25">
      <c r="A2811" s="4">
        <f>+A2810+1</f>
        <v>45</v>
      </c>
      <c r="B2811" s="24" t="s">
        <v>79</v>
      </c>
      <c r="C2811" s="11"/>
      <c r="D2811" s="30">
        <f>+D2809-D2810</f>
        <v>14704322.600000003</v>
      </c>
      <c r="E2811" s="18"/>
      <c r="F2811" s="30">
        <f>+F2809-F2810</f>
        <v>11060494.43</v>
      </c>
      <c r="G2811" s="18">
        <f>+G2809-G2810</f>
        <v>3643828.1700000037</v>
      </c>
      <c r="H2811" s="56"/>
      <c r="I2811" s="58"/>
      <c r="J2811" s="18"/>
      <c r="K2811" s="18"/>
      <c r="N2811" s="62"/>
      <c r="O2811" s="63">
        <f>+F2717</f>
        <v>0</v>
      </c>
      <c r="P2811" s="42"/>
      <c r="Q2811" s="31"/>
      <c r="R2811" s="31"/>
      <c r="S2811" s="31"/>
      <c r="T2811" s="11"/>
      <c r="U2811" s="65"/>
      <c r="V2811" s="30"/>
      <c r="W2811" s="30"/>
      <c r="X2811" s="30"/>
      <c r="Y2811" s="65"/>
    </row>
    <row r="2812" spans="1:25" ht="28.5">
      <c r="A2812" s="4">
        <f>+A2811+1</f>
        <v>46</v>
      </c>
      <c r="B2812" s="88" t="s">
        <v>181</v>
      </c>
      <c r="C2812" s="11"/>
      <c r="D2812" s="30">
        <f>+V2757+V2791</f>
        <v>0</v>
      </c>
      <c r="E2812" s="30"/>
      <c r="F2812" s="30">
        <f>+W2757+W2791</f>
        <v>0</v>
      </c>
      <c r="G2812" s="18">
        <f>+D2812-F2812</f>
        <v>0</v>
      </c>
      <c r="H2812" s="56"/>
      <c r="N2812" s="62"/>
      <c r="O2812" s="62"/>
      <c r="P2812" s="42"/>
      <c r="Q2812" s="31"/>
      <c r="R2812" s="31"/>
      <c r="S2812" s="31"/>
      <c r="T2812" s="11"/>
      <c r="U2812" s="65"/>
      <c r="V2812" s="30"/>
      <c r="W2812" s="30"/>
      <c r="X2812" s="30"/>
      <c r="Y2812" s="65"/>
    </row>
    <row r="2813" spans="1:25" ht="15">
      <c r="A2813" s="4">
        <f>+A2812+1</f>
        <v>47</v>
      </c>
      <c r="B2813" s="24" t="s">
        <v>46</v>
      </c>
      <c r="C2813" s="11" t="s">
        <v>47</v>
      </c>
      <c r="D2813" s="18">
        <f>+D2805+D2806+D2811+D2812+D2807</f>
        <v>15056802.000000007</v>
      </c>
      <c r="E2813" s="18"/>
      <c r="F2813" s="18">
        <f>+F2805+F2806+F2811+F2812+F2807</f>
        <v>11236274.36</v>
      </c>
      <c r="G2813" s="18">
        <f>+G2805+G2806+G2811+G2812+G2807</f>
        <v>3820527.6400000076</v>
      </c>
      <c r="H2813" s="56"/>
      <c r="I2813" s="59" t="s">
        <v>147</v>
      </c>
      <c r="J2813" s="18"/>
      <c r="K2813" s="18"/>
      <c r="L2813" s="61">
        <f>+L2807-L2809</f>
        <v>-0.4300000071525574</v>
      </c>
      <c r="N2813" s="70">
        <f>+N2804+N2805-N2806-N2807+N2808</f>
        <v>157636.21000000462</v>
      </c>
      <c r="O2813" s="71">
        <f>+O2804+O2805-O2806-O2807+O2808+O2809-O2810+O2811</f>
        <v>14207875.960000005</v>
      </c>
      <c r="P2813" s="42"/>
      <c r="Q2813" s="26">
        <f>SUM(Q2804:Q2805)</f>
        <v>172863.9600000009</v>
      </c>
      <c r="R2813" s="30">
        <f>SUM(R2804:R2807)</f>
        <v>10372120.57</v>
      </c>
      <c r="S2813" s="30"/>
      <c r="T2813" s="11"/>
      <c r="U2813" s="65"/>
      <c r="V2813" s="30"/>
      <c r="W2813" s="30"/>
      <c r="X2813" s="30"/>
      <c r="Y2813" s="65"/>
    </row>
    <row r="2814" spans="1:25" ht="15">
      <c r="A2814" s="4"/>
      <c r="B2814" s="24"/>
      <c r="C2814" s="11"/>
      <c r="D2814" s="18"/>
      <c r="E2814" s="18"/>
      <c r="F2814" s="18"/>
      <c r="G2814" s="18"/>
      <c r="H2814" s="56"/>
      <c r="L2814" s="60" t="s">
        <v>148</v>
      </c>
      <c r="M2814" s="42"/>
      <c r="N2814" s="42"/>
      <c r="O2814" s="42"/>
      <c r="P2814" s="42"/>
      <c r="Q2814" s="42"/>
      <c r="R2814" s="42"/>
      <c r="S2814" s="42"/>
      <c r="T2814" s="10" t="s">
        <v>22</v>
      </c>
      <c r="U2814" s="65"/>
      <c r="V2814" s="36"/>
      <c r="W2814" s="36"/>
      <c r="X2814" s="36">
        <f>+X2809+X2810</f>
        <v>3820527.640000008</v>
      </c>
      <c r="Y2814" s="65"/>
    </row>
    <row r="2815" spans="1:6" ht="15">
      <c r="A2815" s="4"/>
      <c r="B2815"/>
      <c r="F2815"/>
    </row>
    <row r="2816" spans="1:25" ht="15">
      <c r="A2816" s="1"/>
      <c r="B2816" s="2"/>
      <c r="C2816" s="2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65"/>
    </row>
    <row r="2817" spans="1:6" ht="15">
      <c r="A2817" s="4" t="s">
        <v>0</v>
      </c>
      <c r="B2817" s="5"/>
      <c r="C2817" s="6" t="s">
        <v>1</v>
      </c>
      <c r="F2817"/>
    </row>
    <row r="2818" spans="1:6" ht="15">
      <c r="A2818" s="4"/>
      <c r="B2818" s="5"/>
      <c r="C2818" s="6" t="s">
        <v>2</v>
      </c>
      <c r="F2818"/>
    </row>
    <row r="2819" spans="1:6" ht="15">
      <c r="A2819" s="4"/>
      <c r="B2819" s="5"/>
      <c r="C2819" s="80" t="s">
        <v>184</v>
      </c>
      <c r="F2819"/>
    </row>
    <row r="2820" spans="1:6" ht="15">
      <c r="A2820" s="4"/>
      <c r="B2820" s="5"/>
      <c r="C2820" s="8"/>
      <c r="F2820"/>
    </row>
    <row r="2821" spans="1:25" ht="15">
      <c r="A2821" s="4"/>
      <c r="B2821" s="5"/>
      <c r="C2821" s="9"/>
      <c r="D2821" s="10" t="s">
        <v>4</v>
      </c>
      <c r="E2821" s="10"/>
      <c r="F2821" s="10" t="s">
        <v>5</v>
      </c>
      <c r="G2821" s="10" t="s">
        <v>6</v>
      </c>
      <c r="H2821" s="10"/>
      <c r="I2821" s="10" t="s">
        <v>7</v>
      </c>
      <c r="J2821" s="10" t="s">
        <v>8</v>
      </c>
      <c r="K2821" s="10" t="s">
        <v>9</v>
      </c>
      <c r="L2821" s="10" t="s">
        <v>10</v>
      </c>
      <c r="M2821" s="10" t="s">
        <v>11</v>
      </c>
      <c r="N2821" s="10" t="s">
        <v>12</v>
      </c>
      <c r="O2821" s="10" t="s">
        <v>13</v>
      </c>
      <c r="P2821" s="10"/>
      <c r="Q2821" s="10" t="s">
        <v>14</v>
      </c>
      <c r="R2821" s="10" t="s">
        <v>15</v>
      </c>
      <c r="S2821" s="10"/>
      <c r="T2821" s="10" t="s">
        <v>16</v>
      </c>
      <c r="U2821" s="10"/>
      <c r="V2821" s="10" t="s">
        <v>17</v>
      </c>
      <c r="W2821" s="10" t="s">
        <v>18</v>
      </c>
      <c r="X2821" s="10" t="s">
        <v>19</v>
      </c>
      <c r="Y2821" s="10"/>
    </row>
    <row r="2822" spans="1:24" ht="15">
      <c r="A2822" s="4"/>
      <c r="B2822" s="87" t="s">
        <v>174</v>
      </c>
      <c r="C2822" s="5"/>
      <c r="D2822" s="10" t="s">
        <v>20</v>
      </c>
      <c r="E2822" s="10"/>
      <c r="F2822" s="10" t="s">
        <v>21</v>
      </c>
      <c r="G2822" s="10" t="s">
        <v>22</v>
      </c>
      <c r="I2822" s="10" t="s">
        <v>20</v>
      </c>
      <c r="J2822" s="10" t="s">
        <v>20</v>
      </c>
      <c r="K2822" s="10" t="s">
        <v>20</v>
      </c>
      <c r="L2822" s="10" t="s">
        <v>20</v>
      </c>
      <c r="M2822" s="10" t="s">
        <v>20</v>
      </c>
      <c r="N2822" s="10" t="s">
        <v>20</v>
      </c>
      <c r="O2822" s="10" t="s">
        <v>20</v>
      </c>
      <c r="Q2822" s="10" t="s">
        <v>20</v>
      </c>
      <c r="R2822" s="10" t="s">
        <v>20</v>
      </c>
      <c r="S2822" s="10"/>
      <c r="T2822" s="10" t="s">
        <v>20</v>
      </c>
      <c r="V2822" s="10" t="s">
        <v>20</v>
      </c>
      <c r="W2822" s="10" t="s">
        <v>20</v>
      </c>
      <c r="X2822" s="10" t="s">
        <v>20</v>
      </c>
    </row>
    <row r="2823" spans="1:24" ht="42.75">
      <c r="A2823" s="4"/>
      <c r="B2823" s="5"/>
      <c r="C2823" s="11"/>
      <c r="D2823" s="12" t="s">
        <v>23</v>
      </c>
      <c r="E2823" s="13"/>
      <c r="F2823" s="12" t="s">
        <v>175</v>
      </c>
      <c r="G2823" s="13" t="s">
        <v>24</v>
      </c>
      <c r="I2823" s="13" t="s">
        <v>25</v>
      </c>
      <c r="J2823" s="8" t="s">
        <v>26</v>
      </c>
      <c r="K2823" s="13" t="s">
        <v>27</v>
      </c>
      <c r="L2823" s="13" t="s">
        <v>28</v>
      </c>
      <c r="M2823" s="13" t="s">
        <v>29</v>
      </c>
      <c r="N2823" s="13" t="s">
        <v>30</v>
      </c>
      <c r="O2823" s="13" t="s">
        <v>31</v>
      </c>
      <c r="Q2823" s="14">
        <v>4470115</v>
      </c>
      <c r="R2823" s="13" t="s">
        <v>32</v>
      </c>
      <c r="S2823" s="13"/>
      <c r="T2823" s="14">
        <v>4470119</v>
      </c>
      <c r="V2823" s="8" t="s">
        <v>33</v>
      </c>
      <c r="W2823" s="8" t="s">
        <v>34</v>
      </c>
      <c r="X2823" s="81" t="s">
        <v>35</v>
      </c>
    </row>
    <row r="2824" spans="1:23" ht="15">
      <c r="A2824" s="4"/>
      <c r="B2824" s="5"/>
      <c r="C2824" s="11"/>
      <c r="D2824" s="13"/>
      <c r="E2824" s="13"/>
      <c r="F2824" s="13"/>
      <c r="G2824" s="15"/>
      <c r="I2824" s="13"/>
      <c r="J2824" s="13"/>
      <c r="K2824" s="13"/>
      <c r="L2824" s="13"/>
      <c r="M2824" s="13"/>
      <c r="N2824" s="13"/>
      <c r="O2824" s="13"/>
      <c r="Q2824" s="14"/>
      <c r="R2824" s="13"/>
      <c r="S2824" s="14"/>
      <c r="T2824" s="16"/>
      <c r="V2824" s="14"/>
      <c r="W2824" s="13"/>
    </row>
    <row r="2825" spans="1:25" ht="15">
      <c r="A2825" s="4">
        <v>1</v>
      </c>
      <c r="B2825" s="5" t="s">
        <v>36</v>
      </c>
      <c r="C2825" s="17" t="s">
        <v>37</v>
      </c>
      <c r="D2825" s="78">
        <f>10477463.64+5406208.41</f>
        <v>15883672.05</v>
      </c>
      <c r="E2825" s="77"/>
      <c r="F2825" s="93">
        <f>487314.64+9990149</f>
        <v>10477463.64</v>
      </c>
      <c r="G2825" s="21">
        <f>+D2825-F2825</f>
        <v>5406208.41</v>
      </c>
      <c r="H2825" s="18"/>
      <c r="I2825" s="18">
        <v>0</v>
      </c>
      <c r="J2825" s="18">
        <v>0</v>
      </c>
      <c r="K2825" s="18">
        <v>0</v>
      </c>
      <c r="L2825" s="18">
        <v>-57026.66</v>
      </c>
      <c r="M2825" s="18">
        <v>0</v>
      </c>
      <c r="N2825" s="18">
        <v>0</v>
      </c>
      <c r="O2825" s="18">
        <v>-1626.34</v>
      </c>
      <c r="P2825" s="18"/>
      <c r="Q2825" s="18">
        <v>4.5</v>
      </c>
      <c r="R2825" s="18">
        <v>0</v>
      </c>
      <c r="S2825" s="18"/>
      <c r="T2825" s="18">
        <v>0</v>
      </c>
      <c r="U2825" s="18"/>
      <c r="V2825" s="18">
        <v>0</v>
      </c>
      <c r="W2825" s="18">
        <v>0</v>
      </c>
      <c r="X2825" s="18">
        <v>-1083310.05</v>
      </c>
      <c r="Y2825" s="18"/>
    </row>
    <row r="2826" spans="1:25" ht="15">
      <c r="A2826" s="4">
        <f>+A2825+1</f>
        <v>2</v>
      </c>
      <c r="B2826" s="5" t="s">
        <v>36</v>
      </c>
      <c r="C2826" s="22" t="s">
        <v>38</v>
      </c>
      <c r="D2826" s="78">
        <f>5511551.48+10372120.57</f>
        <v>15883672.05</v>
      </c>
      <c r="E2826" s="19"/>
      <c r="F2826" s="23">
        <f>483335.25+9888785.32</f>
        <v>10372120.57</v>
      </c>
      <c r="G2826" s="21">
        <f>+D2826-F2826</f>
        <v>5511551.48</v>
      </c>
      <c r="H2826" s="18"/>
      <c r="I2826" s="18">
        <v>0</v>
      </c>
      <c r="J2826" s="18">
        <v>0</v>
      </c>
      <c r="K2826" s="18">
        <v>0</v>
      </c>
      <c r="L2826" s="18">
        <v>-54496.5</v>
      </c>
      <c r="M2826" s="18">
        <v>0</v>
      </c>
      <c r="N2826" s="18">
        <v>0</v>
      </c>
      <c r="O2826" s="18">
        <v>0</v>
      </c>
      <c r="P2826" s="18"/>
      <c r="Q2826" s="18">
        <v>0</v>
      </c>
      <c r="R2826" s="18">
        <v>0</v>
      </c>
      <c r="S2826" s="18"/>
      <c r="T2826" s="18">
        <v>0</v>
      </c>
      <c r="U2826" s="18"/>
      <c r="V2826" s="18">
        <v>0</v>
      </c>
      <c r="W2826" s="18">
        <v>0</v>
      </c>
      <c r="X2826" s="18">
        <v>-1122121.77</v>
      </c>
      <c r="Y2826" s="18"/>
    </row>
    <row r="2827" spans="1:25" ht="22.5">
      <c r="A2827" s="4">
        <f>+A2826+1</f>
        <v>3</v>
      </c>
      <c r="B2827" s="24" t="s">
        <v>176</v>
      </c>
      <c r="C2827" s="25" t="s">
        <v>177</v>
      </c>
      <c r="D2827" s="18">
        <f>+D2825-D2826</f>
        <v>0</v>
      </c>
      <c r="E2827" s="19"/>
      <c r="F2827" s="26">
        <f>+F2825-F2826</f>
        <v>105343.0700000003</v>
      </c>
      <c r="G2827" s="18">
        <v>0</v>
      </c>
      <c r="H2827" s="18"/>
      <c r="I2827" s="18">
        <f>+I2825-I2826</f>
        <v>0</v>
      </c>
      <c r="J2827" s="18">
        <f>+J2825-J2826</f>
        <v>0</v>
      </c>
      <c r="K2827" s="18">
        <f>+K2825-K2826</f>
        <v>0</v>
      </c>
      <c r="L2827" s="18">
        <f>+L2825-L2826</f>
        <v>-2530.1600000000035</v>
      </c>
      <c r="M2827" s="18">
        <f>+M2825-M2826</f>
        <v>0</v>
      </c>
      <c r="N2827" s="18">
        <f>+N2825-N2826</f>
        <v>0</v>
      </c>
      <c r="O2827" s="18">
        <f>+O2825-O2826</f>
        <v>-1626.34</v>
      </c>
      <c r="P2827" s="18"/>
      <c r="Q2827" s="18">
        <f>+Q2825-Q2826</f>
        <v>4.5</v>
      </c>
      <c r="R2827" s="18">
        <f>+R2825-R2826</f>
        <v>0</v>
      </c>
      <c r="S2827" s="18"/>
      <c r="T2827" s="18">
        <f>+T2825-T2826</f>
        <v>0</v>
      </c>
      <c r="U2827" s="18"/>
      <c r="V2827" s="18">
        <f>+V2825-V2826</f>
        <v>0</v>
      </c>
      <c r="W2827" s="18">
        <f>+W2825-W2826</f>
        <v>0</v>
      </c>
      <c r="X2827" s="18">
        <f>+X2825-X2826</f>
        <v>38811.71999999997</v>
      </c>
      <c r="Y2827" s="18"/>
    </row>
    <row r="2828" spans="1:25" ht="28.5">
      <c r="A2828" s="4">
        <f>+A2827+1</f>
        <v>4</v>
      </c>
      <c r="B2828" s="88" t="s">
        <v>178</v>
      </c>
      <c r="C2828" s="25" t="s">
        <v>179</v>
      </c>
      <c r="D2828" s="18">
        <v>0</v>
      </c>
      <c r="E2828" s="19"/>
      <c r="F2828" s="26">
        <v>0</v>
      </c>
      <c r="G2828" s="18">
        <f>+D2828-F2828</f>
        <v>0</v>
      </c>
      <c r="H2828" s="18"/>
      <c r="I2828" s="27">
        <v>0</v>
      </c>
      <c r="J2828" s="18">
        <v>0</v>
      </c>
      <c r="K2828" s="18">
        <v>0</v>
      </c>
      <c r="L2828" s="18">
        <v>0</v>
      </c>
      <c r="M2828" s="18">
        <v>0</v>
      </c>
      <c r="N2828" s="18">
        <v>0</v>
      </c>
      <c r="O2828" s="18">
        <v>0</v>
      </c>
      <c r="P2828" s="18"/>
      <c r="Q2828" s="18">
        <v>0</v>
      </c>
      <c r="R2828" s="18">
        <v>0</v>
      </c>
      <c r="S2828" s="18"/>
      <c r="T2828" s="18">
        <v>0</v>
      </c>
      <c r="U2828" s="18"/>
      <c r="V2828" s="18">
        <v>0</v>
      </c>
      <c r="W2828" s="18">
        <v>0</v>
      </c>
      <c r="X2828" s="18">
        <v>0</v>
      </c>
      <c r="Y2828" s="18"/>
    </row>
    <row r="2829" spans="1:25" ht="24.75">
      <c r="A2829" s="4">
        <f>+A2828+1</f>
        <v>5</v>
      </c>
      <c r="B2829" s="89" t="s">
        <v>39</v>
      </c>
      <c r="C2829" s="28" t="s">
        <v>40</v>
      </c>
      <c r="D2829" s="27">
        <v>0</v>
      </c>
      <c r="E2829" s="29"/>
      <c r="F2829" s="30">
        <v>0</v>
      </c>
      <c r="G2829" s="31">
        <f>+D2829-F2829</f>
        <v>0</v>
      </c>
      <c r="H2829" s="18"/>
      <c r="I2829" s="27">
        <v>0</v>
      </c>
      <c r="J2829" s="27">
        <v>0</v>
      </c>
      <c r="K2829" s="27">
        <v>0</v>
      </c>
      <c r="L2829" s="27">
        <v>-1358.82</v>
      </c>
      <c r="M2829" s="27">
        <v>4558.67</v>
      </c>
      <c r="N2829" s="27">
        <v>0</v>
      </c>
      <c r="O2829" s="27">
        <v>-0.43</v>
      </c>
      <c r="P2829" s="18"/>
      <c r="Q2829" s="27">
        <v>-1274.71</v>
      </c>
      <c r="R2829" s="27">
        <v>0</v>
      </c>
      <c r="S2829" s="27"/>
      <c r="T2829" s="27">
        <v>0</v>
      </c>
      <c r="U2829" s="27"/>
      <c r="V2829" s="27">
        <v>0</v>
      </c>
      <c r="W2829" s="27">
        <v>0</v>
      </c>
      <c r="X2829" s="27">
        <f>306.04-2015.76</f>
        <v>-1709.72</v>
      </c>
      <c r="Y2829" s="18"/>
    </row>
    <row r="2830" spans="1:25" ht="15">
      <c r="A2830" s="6" t="s">
        <v>41</v>
      </c>
      <c r="B2830" s="90"/>
      <c r="C2830" s="11"/>
      <c r="D2830" s="18"/>
      <c r="E2830" s="19"/>
      <c r="F2830" s="18"/>
      <c r="G2830" s="18"/>
      <c r="H2830" s="18"/>
      <c r="I2830" s="18"/>
      <c r="J2830" s="18"/>
      <c r="K2830" s="18"/>
      <c r="L2830" s="18"/>
      <c r="M2830" s="18"/>
      <c r="N2830" s="18"/>
      <c r="O2830" s="18" t="s">
        <v>0</v>
      </c>
      <c r="P2830" s="18"/>
      <c r="Q2830" s="18"/>
      <c r="R2830" s="18"/>
      <c r="S2830" s="18"/>
      <c r="T2830" s="18"/>
      <c r="U2830" s="18"/>
      <c r="V2830" s="18"/>
      <c r="W2830" s="18"/>
      <c r="X2830" s="18"/>
      <c r="Y2830" s="18"/>
    </row>
    <row r="2831" spans="1:25" ht="15">
      <c r="A2831" s="4">
        <f>+A2829+1</f>
        <v>6</v>
      </c>
      <c r="B2831" s="5" t="s">
        <v>42</v>
      </c>
      <c r="C2831" s="22" t="s">
        <v>38</v>
      </c>
      <c r="D2831" s="27">
        <f>460621.17+2330062.55</f>
        <v>2790683.7199999997</v>
      </c>
      <c r="E2831" s="19"/>
      <c r="F2831" s="23">
        <f>537169.76+1792892.79</f>
        <v>2330062.55</v>
      </c>
      <c r="G2831" s="18">
        <f>+D2831-F2831</f>
        <v>460621.1699999999</v>
      </c>
      <c r="H2831" s="18"/>
      <c r="I2831" s="18">
        <v>0</v>
      </c>
      <c r="J2831" s="18">
        <v>0</v>
      </c>
      <c r="K2831" s="18">
        <v>0</v>
      </c>
      <c r="L2831" s="18">
        <v>-14240.29</v>
      </c>
      <c r="M2831" s="18">
        <v>0</v>
      </c>
      <c r="N2831" s="18">
        <v>0</v>
      </c>
      <c r="O2831" s="18">
        <v>-1591.6</v>
      </c>
      <c r="P2831" s="18"/>
      <c r="Q2831" s="18">
        <v>-0.04</v>
      </c>
      <c r="R2831" s="18">
        <v>0</v>
      </c>
      <c r="S2831" s="18"/>
      <c r="T2831" s="18">
        <v>0</v>
      </c>
      <c r="U2831" s="18"/>
      <c r="V2831" s="18">
        <v>0</v>
      </c>
      <c r="W2831" s="18">
        <v>0</v>
      </c>
      <c r="X2831" s="18">
        <v>-30403.89</v>
      </c>
      <c r="Y2831" s="18"/>
    </row>
    <row r="2832" spans="1:25" ht="15">
      <c r="A2832" s="4">
        <f>+A2831+1</f>
        <v>7</v>
      </c>
      <c r="B2832" s="5" t="s">
        <v>43</v>
      </c>
      <c r="C2832" s="11"/>
      <c r="E2832" s="19"/>
      <c r="F2832" s="23">
        <v>0</v>
      </c>
      <c r="G2832" s="18">
        <f>+D2831-F2832</f>
        <v>2790683.7199999997</v>
      </c>
      <c r="H2832" s="18"/>
      <c r="I2832" s="18">
        <v>0</v>
      </c>
      <c r="J2832" s="18">
        <v>0</v>
      </c>
      <c r="K2832" s="18">
        <v>0</v>
      </c>
      <c r="L2832" s="18">
        <v>0</v>
      </c>
      <c r="M2832" s="18">
        <v>0</v>
      </c>
      <c r="N2832" s="18">
        <v>0</v>
      </c>
      <c r="O2832" s="31">
        <v>0</v>
      </c>
      <c r="P2832" s="18"/>
      <c r="Q2832" s="18">
        <v>0</v>
      </c>
      <c r="R2832" s="18">
        <v>0</v>
      </c>
      <c r="S2832" s="18"/>
      <c r="T2832" s="18">
        <v>0</v>
      </c>
      <c r="U2832" s="18"/>
      <c r="V2832" s="18">
        <v>0</v>
      </c>
      <c r="W2832" s="18">
        <v>0</v>
      </c>
      <c r="X2832" s="18">
        <v>0</v>
      </c>
      <c r="Y2832" s="18"/>
    </row>
    <row r="2833" spans="1:25" ht="35.25">
      <c r="A2833" s="4">
        <f>+A2832+1</f>
        <v>8</v>
      </c>
      <c r="B2833" s="24" t="s">
        <v>180</v>
      </c>
      <c r="C2833" s="32" t="s">
        <v>44</v>
      </c>
      <c r="D2833" s="33"/>
      <c r="E2833" s="34"/>
      <c r="F2833" s="91">
        <v>2330062.55</v>
      </c>
      <c r="G2833" s="18">
        <f>+G2831-G2832</f>
        <v>-2330062.55</v>
      </c>
      <c r="H2833" s="18"/>
      <c r="I2833" s="18">
        <f aca="true" t="shared" si="313" ref="I2833:O2833">+I2831-I2832</f>
        <v>0</v>
      </c>
      <c r="J2833" s="18">
        <f t="shared" si="313"/>
        <v>0</v>
      </c>
      <c r="K2833" s="18">
        <f t="shared" si="313"/>
        <v>0</v>
      </c>
      <c r="L2833" s="18">
        <f t="shared" si="313"/>
        <v>-14240.29</v>
      </c>
      <c r="M2833" s="18">
        <f t="shared" si="313"/>
        <v>0</v>
      </c>
      <c r="N2833" s="18">
        <f t="shared" si="313"/>
        <v>0</v>
      </c>
      <c r="O2833" s="18">
        <f t="shared" si="313"/>
        <v>-1591.6</v>
      </c>
      <c r="P2833" s="18"/>
      <c r="Q2833" s="18">
        <f>+Q2831-Q2832</f>
        <v>-0.04</v>
      </c>
      <c r="R2833" s="18">
        <f>+R2831-R2832</f>
        <v>0</v>
      </c>
      <c r="S2833" s="18"/>
      <c r="T2833" s="18">
        <f>+T2831-T2832</f>
        <v>0</v>
      </c>
      <c r="U2833" s="18"/>
      <c r="V2833" s="18">
        <f>+V2831-V2832</f>
        <v>0</v>
      </c>
      <c r="W2833" s="18">
        <f>+W2831-W2832</f>
        <v>0</v>
      </c>
      <c r="X2833" s="18">
        <f>+X2831-X2832</f>
        <v>-30403.89</v>
      </c>
      <c r="Y2833" s="18"/>
    </row>
    <row r="2834" spans="1:25" ht="28.5">
      <c r="A2834" s="4">
        <f>+A2833+1</f>
        <v>9</v>
      </c>
      <c r="B2834" s="88" t="s">
        <v>181</v>
      </c>
      <c r="C2834" s="35" t="s">
        <v>45</v>
      </c>
      <c r="D2834" s="18">
        <v>0</v>
      </c>
      <c r="E2834" s="19"/>
      <c r="F2834" s="31">
        <v>0</v>
      </c>
      <c r="G2834" s="31">
        <f>+D2834-F2834</f>
        <v>0</v>
      </c>
      <c r="H2834" s="18"/>
      <c r="I2834" s="18">
        <v>0</v>
      </c>
      <c r="J2834" s="18">
        <v>0</v>
      </c>
      <c r="K2834" s="18">
        <v>0</v>
      </c>
      <c r="L2834" s="18">
        <v>0</v>
      </c>
      <c r="M2834" s="18">
        <v>0</v>
      </c>
      <c r="N2834" s="18">
        <v>0</v>
      </c>
      <c r="O2834" s="31">
        <v>0</v>
      </c>
      <c r="P2834" s="18"/>
      <c r="Q2834" s="18">
        <v>0</v>
      </c>
      <c r="R2834" s="18">
        <v>0</v>
      </c>
      <c r="S2834" s="18"/>
      <c r="T2834" s="18">
        <v>0</v>
      </c>
      <c r="U2834" s="18"/>
      <c r="V2834" s="18">
        <v>0</v>
      </c>
      <c r="W2834" s="18">
        <v>0</v>
      </c>
      <c r="X2834" s="18">
        <v>0</v>
      </c>
      <c r="Y2834" s="18"/>
    </row>
    <row r="2835" spans="1:25" ht="15">
      <c r="A2835" s="4">
        <f>+A2834+1</f>
        <v>10</v>
      </c>
      <c r="B2835" s="24" t="s">
        <v>46</v>
      </c>
      <c r="C2835" s="11" t="s">
        <v>47</v>
      </c>
      <c r="D2835" s="36">
        <f>+D2827+D2828+D2829+D2833+D2834</f>
        <v>0</v>
      </c>
      <c r="E2835" s="19"/>
      <c r="F2835" s="36">
        <f>+F2827+F2828+F2829+F2833+F2834</f>
        <v>2435405.62</v>
      </c>
      <c r="G2835" s="18">
        <f>+G2827+G2828+G2833+G2834+G2829</f>
        <v>-2330062.55</v>
      </c>
      <c r="H2835" s="18"/>
      <c r="I2835" s="18">
        <f>+I2827+I2828+I2833+I2834+I2829</f>
        <v>0</v>
      </c>
      <c r="J2835" s="21">
        <f>+J2827+J2828+J2833+J2834+J2829</f>
        <v>0</v>
      </c>
      <c r="K2835" s="18">
        <f>+K2827+K2828+K2833+K2834+K2829</f>
        <v>0</v>
      </c>
      <c r="L2835" s="18">
        <f>+L2827+L2828+L2833+L2834+L2829</f>
        <v>-18129.270000000004</v>
      </c>
      <c r="M2835" s="18">
        <f>+M2827+M2828+M2833+M2834+M2829</f>
        <v>4558.67</v>
      </c>
      <c r="N2835" s="18">
        <f>+N2827+N2828+N2833+N2834+N2829</f>
        <v>0</v>
      </c>
      <c r="O2835" s="18">
        <f>+O2827+O2828+O2833+O2834+O2829</f>
        <v>-3218.3699999999994</v>
      </c>
      <c r="P2835" s="18"/>
      <c r="Q2835" s="18">
        <f>+Q2827+Q2828+Q2833+Q2834+Q2829</f>
        <v>-1270.25</v>
      </c>
      <c r="R2835" s="18">
        <f>+R2827+R2828+R2833+R2834+R2829</f>
        <v>0</v>
      </c>
      <c r="S2835" s="18"/>
      <c r="T2835" s="18">
        <f>+T2827+T2828+T2833+T2834+T2829</f>
        <v>0</v>
      </c>
      <c r="U2835" s="18"/>
      <c r="V2835" s="18">
        <f>+V2827+V2828+V2833+V2834+V2829</f>
        <v>0</v>
      </c>
      <c r="W2835" s="18">
        <f>+W2827+W2828+W2833+W2834+W2829</f>
        <v>0</v>
      </c>
      <c r="X2835" s="18">
        <f>+X2827+X2828+X2833+X2834+X2829</f>
        <v>6698.109999999972</v>
      </c>
      <c r="Y2835" s="18"/>
    </row>
    <row r="2836" spans="1:25" ht="15">
      <c r="A2836" s="4"/>
      <c r="B2836" s="24"/>
      <c r="C2836" s="11" t="s">
        <v>0</v>
      </c>
      <c r="D2836" s="27"/>
      <c r="E2836" s="18"/>
      <c r="F2836" s="36"/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  <c r="R2836" s="18"/>
      <c r="S2836" s="18"/>
      <c r="T2836" s="18"/>
      <c r="U2836" s="18"/>
      <c r="V2836" s="18"/>
      <c r="W2836" s="18"/>
      <c r="X2836" s="18"/>
      <c r="Y2836" s="18"/>
    </row>
    <row r="2837" spans="1:25" ht="15">
      <c r="A2837" s="4"/>
      <c r="B2837" s="94" t="s">
        <v>0</v>
      </c>
      <c r="C2837" s="37" t="s">
        <v>0</v>
      </c>
      <c r="D2837" s="27"/>
      <c r="E2837" s="18"/>
      <c r="F2837" s="92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8"/>
      <c r="S2837" s="18"/>
      <c r="T2837" s="18"/>
      <c r="U2837" s="18"/>
      <c r="V2837" s="18"/>
      <c r="W2837" s="18"/>
      <c r="X2837" s="18"/>
      <c r="Y2837" s="18"/>
    </row>
    <row r="2838" spans="1:25" ht="15">
      <c r="A2838" s="4"/>
      <c r="B2838" s="24"/>
      <c r="C2838" s="11"/>
      <c r="D2838" s="6" t="s">
        <v>48</v>
      </c>
      <c r="E2838" s="6"/>
      <c r="F2838" s="10" t="s">
        <v>49</v>
      </c>
      <c r="G2838" s="10" t="s">
        <v>50</v>
      </c>
      <c r="I2838" s="10" t="s">
        <v>51</v>
      </c>
      <c r="J2838" s="10" t="s">
        <v>52</v>
      </c>
      <c r="K2838" s="10" t="s">
        <v>53</v>
      </c>
      <c r="L2838" s="10" t="s">
        <v>54</v>
      </c>
      <c r="M2838" s="10" t="s">
        <v>55</v>
      </c>
      <c r="N2838" s="10" t="s">
        <v>56</v>
      </c>
      <c r="O2838" s="10" t="s">
        <v>57</v>
      </c>
      <c r="P2838" s="18"/>
      <c r="Q2838" s="10" t="s">
        <v>58</v>
      </c>
      <c r="R2838" s="10" t="s">
        <v>59</v>
      </c>
      <c r="S2838" s="10"/>
      <c r="T2838" s="10" t="s">
        <v>60</v>
      </c>
      <c r="U2838" s="18"/>
      <c r="V2838" s="10" t="s">
        <v>61</v>
      </c>
      <c r="W2838" s="10" t="s">
        <v>62</v>
      </c>
      <c r="X2838" s="10" t="s">
        <v>63</v>
      </c>
      <c r="Y2838" s="18"/>
    </row>
    <row r="2839" spans="1:25" ht="15">
      <c r="A2839" s="4"/>
      <c r="B2839"/>
      <c r="C2839" s="11"/>
      <c r="D2839" s="10" t="s">
        <v>20</v>
      </c>
      <c r="E2839" s="38"/>
      <c r="F2839" s="10" t="s">
        <v>20</v>
      </c>
      <c r="G2839" s="10" t="s">
        <v>20</v>
      </c>
      <c r="I2839" s="10" t="s">
        <v>20</v>
      </c>
      <c r="J2839" s="10" t="s">
        <v>20</v>
      </c>
      <c r="K2839" s="10" t="s">
        <v>20</v>
      </c>
      <c r="L2839" s="10" t="s">
        <v>20</v>
      </c>
      <c r="M2839" s="10" t="s">
        <v>20</v>
      </c>
      <c r="N2839" s="10" t="s">
        <v>20</v>
      </c>
      <c r="O2839" s="10" t="s">
        <v>20</v>
      </c>
      <c r="P2839" s="18"/>
      <c r="Q2839" s="10" t="s">
        <v>20</v>
      </c>
      <c r="R2839" s="10" t="s">
        <v>20</v>
      </c>
      <c r="S2839" s="14"/>
      <c r="T2839" s="10" t="s">
        <v>20</v>
      </c>
      <c r="U2839" s="18"/>
      <c r="W2839" s="39" t="s">
        <v>64</v>
      </c>
      <c r="Y2839" s="18"/>
    </row>
    <row r="2840" spans="1:25" ht="15">
      <c r="A2840" s="4"/>
      <c r="B2840" s="87" t="s">
        <v>174</v>
      </c>
      <c r="C2840" s="11"/>
      <c r="D2840" s="8" t="s">
        <v>155</v>
      </c>
      <c r="E2840" s="6"/>
      <c r="F2840" s="8" t="s">
        <v>66</v>
      </c>
      <c r="G2840" s="8" t="s">
        <v>67</v>
      </c>
      <c r="H2840" s="19"/>
      <c r="I2840" s="8" t="s">
        <v>68</v>
      </c>
      <c r="J2840" s="8" t="s">
        <v>69</v>
      </c>
      <c r="K2840" s="8" t="s">
        <v>70</v>
      </c>
      <c r="L2840" s="8" t="s">
        <v>71</v>
      </c>
      <c r="M2840" s="8" t="s">
        <v>72</v>
      </c>
      <c r="N2840" s="8" t="s">
        <v>73</v>
      </c>
      <c r="O2840" s="8" t="s">
        <v>74</v>
      </c>
      <c r="P2840" s="6"/>
      <c r="Q2840" s="8" t="s">
        <v>75</v>
      </c>
      <c r="R2840" s="8" t="s">
        <v>76</v>
      </c>
      <c r="S2840" s="8"/>
      <c r="T2840" s="8" t="s">
        <v>77</v>
      </c>
      <c r="U2840" s="18"/>
      <c r="V2840" s="10" t="s">
        <v>20</v>
      </c>
      <c r="W2840" s="14" t="s">
        <v>21</v>
      </c>
      <c r="X2840" s="10" t="s">
        <v>22</v>
      </c>
      <c r="Y2840" s="18"/>
    </row>
    <row r="2841" spans="1:8" ht="15">
      <c r="A2841" s="4"/>
      <c r="B2841" s="24"/>
      <c r="C2841" s="11"/>
      <c r="E2841" s="14"/>
      <c r="F2841"/>
      <c r="H2841" s="18"/>
    </row>
    <row r="2842" spans="1:24" ht="15">
      <c r="A2842" s="4">
        <f>+A2835+1</f>
        <v>11</v>
      </c>
      <c r="B2842" s="5" t="s">
        <v>36</v>
      </c>
      <c r="C2842" s="17" t="s">
        <v>37</v>
      </c>
      <c r="D2842" s="18">
        <v>49907.25</v>
      </c>
      <c r="E2842" s="18"/>
      <c r="F2842" s="18">
        <v>0</v>
      </c>
      <c r="G2842" s="18">
        <v>0</v>
      </c>
      <c r="I2842" s="27">
        <v>0</v>
      </c>
      <c r="J2842" s="18">
        <v>0</v>
      </c>
      <c r="K2842" s="18">
        <v>0</v>
      </c>
      <c r="L2842" s="18">
        <v>0</v>
      </c>
      <c r="M2842" s="18">
        <v>83132.38</v>
      </c>
      <c r="N2842" s="18">
        <v>-750367.37</v>
      </c>
      <c r="O2842" s="18">
        <v>7.8</v>
      </c>
      <c r="Q2842" s="18">
        <v>0</v>
      </c>
      <c r="R2842" s="18">
        <v>0</v>
      </c>
      <c r="S2842" s="18"/>
      <c r="T2842" s="18">
        <v>0</v>
      </c>
      <c r="V2842" s="18">
        <f>+D2825+I2825+J2825+K2825+L2825+M2825+N2825+O2825+Q2825+R2825+T2825+V2825+W2825+X2825+D2842+F2842+G2842+I2842+J2842+K2842+L2842+M2842+N2842+O2842+Q2842+R2842+T2842</f>
        <v>14124393.560000002</v>
      </c>
      <c r="W2842" s="18">
        <f>+F2825</f>
        <v>10477463.64</v>
      </c>
      <c r="X2842" s="18">
        <f>+V2842-W2842</f>
        <v>3646929.920000002</v>
      </c>
    </row>
    <row r="2843" spans="1:24" ht="15">
      <c r="A2843" s="4">
        <f>+A2842+1</f>
        <v>12</v>
      </c>
      <c r="B2843" s="5" t="s">
        <v>36</v>
      </c>
      <c r="C2843" s="22" t="s">
        <v>38</v>
      </c>
      <c r="D2843" s="18">
        <v>49171.55</v>
      </c>
      <c r="E2843" s="18"/>
      <c r="F2843" s="18">
        <v>0</v>
      </c>
      <c r="G2843" s="18">
        <v>0</v>
      </c>
      <c r="I2843" s="27">
        <v>0</v>
      </c>
      <c r="J2843" s="18">
        <v>0</v>
      </c>
      <c r="K2843" s="18">
        <v>0</v>
      </c>
      <c r="L2843" s="18">
        <v>0</v>
      </c>
      <c r="M2843" s="18">
        <v>83166.5</v>
      </c>
      <c r="N2843" s="18">
        <v>-748258.01</v>
      </c>
      <c r="O2843" s="18">
        <v>7.8</v>
      </c>
      <c r="Q2843" s="18">
        <v>0</v>
      </c>
      <c r="R2843" s="18">
        <v>0</v>
      </c>
      <c r="S2843" s="18"/>
      <c r="T2843" s="18">
        <v>0</v>
      </c>
      <c r="V2843" s="18">
        <f>+D2826+I2826+J2826+K2826+L2826+M2826+N2826+O2826+Q2826+R2826+T2826+V2826+W2826+X2826+D2843+F2843+G2843+I2843+J2843+K2843+L2843+M2843+N2843+O2843+Q2843+R2843+T2843</f>
        <v>14091141.620000003</v>
      </c>
      <c r="W2843" s="18">
        <f>+F2826</f>
        <v>10372120.57</v>
      </c>
      <c r="X2843" s="18">
        <f>+V2843-W2843</f>
        <v>3719021.0500000026</v>
      </c>
    </row>
    <row r="2844" spans="1:24" ht="15">
      <c r="A2844" s="4">
        <f>+A2843+1</f>
        <v>13</v>
      </c>
      <c r="B2844" s="24" t="s">
        <v>46</v>
      </c>
      <c r="C2844" s="40" t="s">
        <v>78</v>
      </c>
      <c r="D2844" s="18">
        <f>+D2842-D2843</f>
        <v>735.6999999999971</v>
      </c>
      <c r="E2844" s="18"/>
      <c r="F2844" s="18">
        <f>+F2842-F2843</f>
        <v>0</v>
      </c>
      <c r="G2844" s="18">
        <f>+G2842-G2843</f>
        <v>0</v>
      </c>
      <c r="I2844" s="18">
        <f>+I2842-I2843</f>
        <v>0</v>
      </c>
      <c r="J2844" s="18">
        <f>+J2842-J2843</f>
        <v>0</v>
      </c>
      <c r="K2844" s="18">
        <f>+K2842-K2843</f>
        <v>0</v>
      </c>
      <c r="L2844" s="18">
        <f>+L2842-L2843</f>
        <v>0</v>
      </c>
      <c r="M2844" s="18">
        <f>+M2842-M2843</f>
        <v>-34.11999999999534</v>
      </c>
      <c r="N2844" s="18">
        <f>+N2842-N2843</f>
        <v>-2109.359999999986</v>
      </c>
      <c r="O2844" s="18">
        <f>+O2842-O2843</f>
        <v>0</v>
      </c>
      <c r="Q2844" s="18">
        <f>+Q2842-Q2843</f>
        <v>0</v>
      </c>
      <c r="R2844" s="18">
        <f>+R2842-R2843</f>
        <v>0</v>
      </c>
      <c r="S2844" s="18"/>
      <c r="T2844" s="18">
        <f>+T2842-T2843</f>
        <v>0</v>
      </c>
      <c r="V2844" s="27">
        <f>+V2842-V2843</f>
        <v>33251.93999999948</v>
      </c>
      <c r="W2844" s="27">
        <f>+W2842-W2843</f>
        <v>105343.0700000003</v>
      </c>
      <c r="X2844" s="18">
        <f>+X2842-X2843</f>
        <v>-72091.13000000082</v>
      </c>
    </row>
    <row r="2845" spans="1:24" ht="28.5">
      <c r="A2845" s="4">
        <f>+A2844+1</f>
        <v>14</v>
      </c>
      <c r="B2845" s="88" t="s">
        <v>182</v>
      </c>
      <c r="C2845" s="11"/>
      <c r="D2845" s="18">
        <v>0</v>
      </c>
      <c r="E2845" s="18"/>
      <c r="F2845" s="18">
        <v>0</v>
      </c>
      <c r="G2845" s="18">
        <v>0</v>
      </c>
      <c r="I2845" s="18">
        <v>0</v>
      </c>
      <c r="J2845" s="18">
        <v>0</v>
      </c>
      <c r="K2845" s="18">
        <v>0</v>
      </c>
      <c r="L2845" s="18">
        <v>0</v>
      </c>
      <c r="M2845" s="18">
        <v>0</v>
      </c>
      <c r="N2845" s="18">
        <v>0</v>
      </c>
      <c r="O2845" s="18">
        <v>0</v>
      </c>
      <c r="Q2845" s="18">
        <v>0</v>
      </c>
      <c r="R2845" s="18">
        <v>0</v>
      </c>
      <c r="S2845" s="18"/>
      <c r="T2845" s="18">
        <v>0</v>
      </c>
      <c r="V2845" s="18">
        <f>+D2828+I2828+J2828+K2828+L2828+M2828+N2828+O2828+Q2828+R2828+T2828+V2828+W2828+X2828+D2845+F2845+G2845+I2845+J2845+K2845+L2845+M2845+N2845+O2845+Q2845+R2845+T2845</f>
        <v>0</v>
      </c>
      <c r="W2845" s="18">
        <f>+F2828</f>
        <v>0</v>
      </c>
      <c r="X2845" s="18">
        <f>+V2845-W2845</f>
        <v>0</v>
      </c>
    </row>
    <row r="2846" spans="1:24" ht="24.75">
      <c r="A2846" s="4">
        <f>+A2845+1</f>
        <v>15</v>
      </c>
      <c r="B2846" s="89" t="s">
        <v>39</v>
      </c>
      <c r="C2846" s="40"/>
      <c r="D2846" s="27">
        <v>0</v>
      </c>
      <c r="E2846" s="18" t="s">
        <v>0</v>
      </c>
      <c r="F2846" s="27">
        <v>0</v>
      </c>
      <c r="G2846" s="27">
        <v>0</v>
      </c>
      <c r="H2846" t="s">
        <v>0</v>
      </c>
      <c r="I2846" s="27">
        <v>-302.59</v>
      </c>
      <c r="J2846" s="27">
        <v>0</v>
      </c>
      <c r="K2846" s="27">
        <v>0</v>
      </c>
      <c r="L2846" s="27">
        <v>0</v>
      </c>
      <c r="M2846" s="27">
        <v>0</v>
      </c>
      <c r="N2846" s="27">
        <f>-383.51-3475.81</f>
        <v>-3859.3199999999997</v>
      </c>
      <c r="O2846" s="27">
        <v>0</v>
      </c>
      <c r="Q2846" s="27">
        <v>0</v>
      </c>
      <c r="R2846" s="27">
        <v>0</v>
      </c>
      <c r="S2846" s="27"/>
      <c r="T2846" s="27">
        <v>0</v>
      </c>
      <c r="V2846" s="18">
        <f>+D2829+I2829+J2829+K2829+L2829+M2829+N2829+O2829+Q2829+R2829+T2829+V2829+W2829+X2829+D2846+F2846+G2846+I2846+J2846+K2846+L2846+M2846+N2846+O2846+Q2846+R2846+T2846</f>
        <v>-3946.919999999999</v>
      </c>
      <c r="W2846" s="18">
        <f>+F2829</f>
        <v>0</v>
      </c>
      <c r="X2846" s="18">
        <f>+V2846-W2846</f>
        <v>-3946.919999999999</v>
      </c>
    </row>
    <row r="2847" spans="1:24" ht="15">
      <c r="A2847" s="6" t="s">
        <v>41</v>
      </c>
      <c r="B2847" s="41"/>
      <c r="C2847" s="40"/>
      <c r="D2847" s="18"/>
      <c r="E2847" s="18"/>
      <c r="F2847" s="18"/>
      <c r="G2847" s="18"/>
      <c r="I2847" s="18"/>
      <c r="J2847" s="18"/>
      <c r="K2847" s="18"/>
      <c r="L2847" s="18"/>
      <c r="M2847" s="18"/>
      <c r="N2847" s="18"/>
      <c r="O2847" s="18"/>
      <c r="Q2847" s="18"/>
      <c r="R2847" s="18"/>
      <c r="S2847" s="18"/>
      <c r="T2847" s="18"/>
      <c r="V2847" s="18"/>
      <c r="W2847" s="18"/>
      <c r="X2847" s="18"/>
    </row>
    <row r="2848" spans="1:24" ht="15">
      <c r="A2848" s="4">
        <f>+A2846+1</f>
        <v>16</v>
      </c>
      <c r="B2848" s="5" t="s">
        <v>42</v>
      </c>
      <c r="C2848" s="22" t="s">
        <v>38</v>
      </c>
      <c r="D2848" s="18">
        <v>7668.4</v>
      </c>
      <c r="E2848" s="18"/>
      <c r="F2848" s="18">
        <v>0</v>
      </c>
      <c r="G2848" s="18">
        <v>0</v>
      </c>
      <c r="I2848" s="27">
        <v>0</v>
      </c>
      <c r="J2848" s="18">
        <v>0</v>
      </c>
      <c r="K2848" s="18">
        <v>0</v>
      </c>
      <c r="L2848" s="18">
        <v>0</v>
      </c>
      <c r="M2848" s="18">
        <v>12549.28</v>
      </c>
      <c r="N2848" s="18">
        <v>-44574.88</v>
      </c>
      <c r="O2848" s="18">
        <v>0</v>
      </c>
      <c r="P2848" s="18"/>
      <c r="Q2848" s="18">
        <v>0</v>
      </c>
      <c r="R2848" s="18">
        <v>0</v>
      </c>
      <c r="S2848" s="18"/>
      <c r="T2848" s="18">
        <v>0</v>
      </c>
      <c r="U2848" s="18"/>
      <c r="V2848" s="18">
        <f>+D2831+I2831+J2831+K2831+L2831+M2831+N2831+O2831+Q2831+R2831+T2831+V2831+W2831+X2831+D2848+F2848+G2848+I2848+J2848+K2848+L2848+M2848+N2848+O2848+Q2848+R2848+T2848</f>
        <v>2720090.6999999993</v>
      </c>
      <c r="W2848" s="18">
        <f>+F2831</f>
        <v>2330062.55</v>
      </c>
      <c r="X2848" s="18">
        <f>+V2848-W2848</f>
        <v>390028.14999999944</v>
      </c>
    </row>
    <row r="2849" spans="1:24" ht="15">
      <c r="A2849" s="4">
        <f>+A2848+1</f>
        <v>17</v>
      </c>
      <c r="B2849" s="5" t="s">
        <v>43</v>
      </c>
      <c r="C2849" s="11"/>
      <c r="D2849" s="18">
        <v>0</v>
      </c>
      <c r="E2849" s="18"/>
      <c r="F2849" s="18">
        <v>0</v>
      </c>
      <c r="G2849" s="18">
        <v>0</v>
      </c>
      <c r="I2849" s="27">
        <v>0</v>
      </c>
      <c r="J2849" s="18">
        <v>0</v>
      </c>
      <c r="K2849" s="18">
        <v>0</v>
      </c>
      <c r="L2849" s="18">
        <v>0</v>
      </c>
      <c r="M2849" s="18">
        <v>0</v>
      </c>
      <c r="N2849" s="18">
        <v>0</v>
      </c>
      <c r="O2849" s="18">
        <v>0</v>
      </c>
      <c r="P2849" s="18"/>
      <c r="Q2849" s="18">
        <v>0</v>
      </c>
      <c r="R2849" s="18">
        <v>0</v>
      </c>
      <c r="S2849" s="18"/>
      <c r="T2849" s="18">
        <v>0</v>
      </c>
      <c r="U2849" s="18"/>
      <c r="V2849" s="18">
        <f>+D2832+I2832+J2832+K2832+L2832+M2832+N2832+O2832+Q2832+R2832+T2832+V2832+W2832+X2832+D2849+F2849+G2849+I2849+J2849+K2849+L2849+M2849+N2849+O2849+Q2849+R2849+T2849</f>
        <v>0</v>
      </c>
      <c r="W2849" s="18">
        <f>+F2832</f>
        <v>0</v>
      </c>
      <c r="X2849" s="18">
        <f>+V2849-W2849</f>
        <v>0</v>
      </c>
    </row>
    <row r="2850" spans="1:24" ht="26.25">
      <c r="A2850" s="4">
        <f>+A2849+1</f>
        <v>18</v>
      </c>
      <c r="B2850" s="24" t="s">
        <v>79</v>
      </c>
      <c r="C2850" s="11"/>
      <c r="D2850" s="18">
        <f>+D2848-D2849</f>
        <v>7668.4</v>
      </c>
      <c r="E2850" s="18"/>
      <c r="F2850" s="18">
        <f>+F2848-F2849</f>
        <v>0</v>
      </c>
      <c r="G2850" s="18">
        <f>+G2848-G2849</f>
        <v>0</v>
      </c>
      <c r="I2850" s="18">
        <f aca="true" t="shared" si="314" ref="I2850:O2850">+I2848-I2849</f>
        <v>0</v>
      </c>
      <c r="J2850" s="18">
        <f t="shared" si="314"/>
        <v>0</v>
      </c>
      <c r="K2850" s="18">
        <f t="shared" si="314"/>
        <v>0</v>
      </c>
      <c r="L2850" s="18">
        <f t="shared" si="314"/>
        <v>0</v>
      </c>
      <c r="M2850" s="18">
        <f t="shared" si="314"/>
        <v>12549.28</v>
      </c>
      <c r="N2850" s="18">
        <f t="shared" si="314"/>
        <v>-44574.88</v>
      </c>
      <c r="O2850" s="18">
        <f t="shared" si="314"/>
        <v>0</v>
      </c>
      <c r="P2850" s="18"/>
      <c r="Q2850" s="18">
        <f>+Q2848-Q2849</f>
        <v>0</v>
      </c>
      <c r="R2850" s="18">
        <f>+R2848-R2849</f>
        <v>0</v>
      </c>
      <c r="S2850" s="18"/>
      <c r="T2850" s="18">
        <f>+T2848-T2849</f>
        <v>0</v>
      </c>
      <c r="U2850" s="18"/>
      <c r="V2850" s="27">
        <f>+V2848-V2849</f>
        <v>2720090.6999999993</v>
      </c>
      <c r="W2850" s="27">
        <f>+W2848-W2849</f>
        <v>2330062.55</v>
      </c>
      <c r="X2850" s="18">
        <f>+X2848-X2849</f>
        <v>390028.14999999944</v>
      </c>
    </row>
    <row r="2851" spans="1:24" ht="28.5">
      <c r="A2851" s="4">
        <f>+A2850+1</f>
        <v>19</v>
      </c>
      <c r="B2851" s="88" t="s">
        <v>181</v>
      </c>
      <c r="C2851" s="11"/>
      <c r="D2851" s="18">
        <v>0</v>
      </c>
      <c r="E2851" s="18"/>
      <c r="F2851" s="18">
        <v>0</v>
      </c>
      <c r="G2851" s="18">
        <v>0</v>
      </c>
      <c r="I2851" s="18">
        <v>0</v>
      </c>
      <c r="J2851" s="18">
        <v>0</v>
      </c>
      <c r="K2851" s="18">
        <v>0</v>
      </c>
      <c r="L2851" s="18">
        <v>0</v>
      </c>
      <c r="M2851" s="18">
        <v>0</v>
      </c>
      <c r="N2851" s="18">
        <v>0</v>
      </c>
      <c r="O2851" s="18">
        <v>0</v>
      </c>
      <c r="P2851" s="18"/>
      <c r="Q2851" s="18">
        <v>0</v>
      </c>
      <c r="R2851" s="18">
        <v>0</v>
      </c>
      <c r="S2851" s="18"/>
      <c r="T2851" s="18">
        <v>0</v>
      </c>
      <c r="U2851" s="18"/>
      <c r="V2851" s="18">
        <f>+D2834+I2834+J2834+K2834+L2834+M2834+N2834+O2834+Q2834+R2834+T2834+V2834+W2834+X2834+D2851+F2851+G2851+I2851+J2851+K2851+L2851+M2851+N2851+O2851+Q2851+R2851+T2851</f>
        <v>0</v>
      </c>
      <c r="W2851" s="18">
        <f>+F2834+K2851+L2851+M2851+N2851+O2851+Q2851+R2851+T2851</f>
        <v>0</v>
      </c>
      <c r="X2851" s="18">
        <f>+V2851-W2851</f>
        <v>0</v>
      </c>
    </row>
    <row r="2852" spans="1:24" ht="15">
      <c r="A2852" s="4">
        <f>+A2851+1</f>
        <v>20</v>
      </c>
      <c r="B2852" s="24" t="s">
        <v>46</v>
      </c>
      <c r="C2852" s="11" t="s">
        <v>47</v>
      </c>
      <c r="D2852" s="18">
        <f>+D2844+D2845+D2850+D2851+D2846</f>
        <v>8404.099999999997</v>
      </c>
      <c r="E2852" s="18"/>
      <c r="F2852" s="18">
        <f>+F2844+F2845+F2850+F2851+F2846</f>
        <v>0</v>
      </c>
      <c r="G2852" s="18">
        <f>+G2844+G2845+G2850+G2851+G2846</f>
        <v>0</v>
      </c>
      <c r="I2852" s="18">
        <f aca="true" t="shared" si="315" ref="I2852:O2852">+I2844+I2845+I2850+I2851+I2846</f>
        <v>-302.59</v>
      </c>
      <c r="J2852" s="18">
        <f t="shared" si="315"/>
        <v>0</v>
      </c>
      <c r="K2852" s="18">
        <f t="shared" si="315"/>
        <v>0</v>
      </c>
      <c r="L2852" s="18">
        <f t="shared" si="315"/>
        <v>0</v>
      </c>
      <c r="M2852" s="18">
        <f t="shared" si="315"/>
        <v>12515.160000000005</v>
      </c>
      <c r="N2852" s="18">
        <f t="shared" si="315"/>
        <v>-50543.55999999998</v>
      </c>
      <c r="O2852" s="18">
        <f t="shared" si="315"/>
        <v>0</v>
      </c>
      <c r="P2852" s="42"/>
      <c r="Q2852" s="18">
        <f>+Q2844+Q2845+Q2850+Q2851+Q2846</f>
        <v>0</v>
      </c>
      <c r="R2852" s="18">
        <f>+R2844+R2845+R2850+R2851+R2846</f>
        <v>0</v>
      </c>
      <c r="S2852" s="18"/>
      <c r="T2852" s="18">
        <f>+T2844+T2845+T2850+T2851+T2846</f>
        <v>0</v>
      </c>
      <c r="U2852" s="42"/>
      <c r="V2852" s="18">
        <f>SUM(V2844,V2846,V2850,V2851)</f>
        <v>2749395.719999999</v>
      </c>
      <c r="W2852" s="18">
        <f>+W2844+W2845+W2850+W2851+W2846</f>
        <v>2435405.62</v>
      </c>
      <c r="X2852" s="18">
        <f>+X2844+X2845+X2850+X2851+X2846</f>
        <v>313990.09999999864</v>
      </c>
    </row>
    <row r="2853" spans="1:24" ht="15">
      <c r="A2853" s="4"/>
      <c r="B2853" s="24"/>
      <c r="C2853" s="11"/>
      <c r="D2853" s="18"/>
      <c r="E2853" s="18"/>
      <c r="F2853" s="18"/>
      <c r="G2853" s="18"/>
      <c r="I2853" s="21"/>
      <c r="J2853" s="18"/>
      <c r="K2853" s="18"/>
      <c r="L2853" s="18"/>
      <c r="M2853" s="18"/>
      <c r="N2853" s="18"/>
      <c r="O2853" s="18"/>
      <c r="P2853" s="42"/>
      <c r="Q2853" s="18"/>
      <c r="R2853" s="18"/>
      <c r="S2853" s="18"/>
      <c r="T2853" s="18"/>
      <c r="U2853" s="42"/>
      <c r="V2853" s="18"/>
      <c r="W2853" s="18"/>
      <c r="X2853" s="18"/>
    </row>
    <row r="2854" spans="1:24" ht="15">
      <c r="A2854" s="4"/>
      <c r="B2854" s="24"/>
      <c r="C2854" s="11"/>
      <c r="D2854" s="18"/>
      <c r="E2854" s="18"/>
      <c r="F2854" s="18"/>
      <c r="G2854" s="18"/>
      <c r="I2854" s="18"/>
      <c r="J2854" s="18"/>
      <c r="K2854" s="18"/>
      <c r="L2854" s="18"/>
      <c r="M2854" s="18"/>
      <c r="N2854" s="18"/>
      <c r="O2854" s="18"/>
      <c r="P2854" s="42"/>
      <c r="Q2854" s="18"/>
      <c r="R2854" s="18"/>
      <c r="S2854" s="18"/>
      <c r="T2854" s="18"/>
      <c r="U2854" s="42"/>
      <c r="V2854" s="18"/>
      <c r="W2854" s="18"/>
      <c r="X2854" s="18"/>
    </row>
    <row r="2855" spans="1:24" ht="15">
      <c r="A2855" s="4"/>
      <c r="B2855" s="24"/>
      <c r="C2855" s="11"/>
      <c r="D2855" s="18"/>
      <c r="E2855" s="18"/>
      <c r="F2855" s="18"/>
      <c r="G2855" s="18"/>
      <c r="I2855" s="18"/>
      <c r="J2855" s="18"/>
      <c r="K2855" s="18"/>
      <c r="L2855" s="18"/>
      <c r="M2855" s="18"/>
      <c r="N2855" s="18"/>
      <c r="O2855" s="18"/>
      <c r="P2855" s="42"/>
      <c r="Q2855" s="18"/>
      <c r="R2855" s="18"/>
      <c r="S2855" s="18"/>
      <c r="T2855" s="18"/>
      <c r="U2855" s="42"/>
      <c r="V2855" s="18"/>
      <c r="W2855" s="18"/>
      <c r="X2855" s="18"/>
    </row>
    <row r="2856" spans="1:25" ht="15">
      <c r="A2856" s="4"/>
      <c r="B2856" s="24"/>
      <c r="C2856" s="11"/>
      <c r="D2856" s="10" t="s">
        <v>80</v>
      </c>
      <c r="E2856" s="10"/>
      <c r="F2856" s="10" t="s">
        <v>81</v>
      </c>
      <c r="G2856" s="10" t="s">
        <v>82</v>
      </c>
      <c r="I2856" s="10" t="s">
        <v>83</v>
      </c>
      <c r="J2856" s="10" t="s">
        <v>84</v>
      </c>
      <c r="K2856" s="10" t="s">
        <v>85</v>
      </c>
      <c r="L2856" s="10" t="s">
        <v>86</v>
      </c>
      <c r="M2856" s="43" t="s">
        <v>87</v>
      </c>
      <c r="N2856" s="43" t="s">
        <v>88</v>
      </c>
      <c r="O2856" s="44" t="s">
        <v>89</v>
      </c>
      <c r="P2856" s="42"/>
      <c r="Q2856" s="43" t="s">
        <v>90</v>
      </c>
      <c r="R2856" s="43" t="s">
        <v>91</v>
      </c>
      <c r="S2856" s="43"/>
      <c r="T2856" s="43" t="s">
        <v>92</v>
      </c>
      <c r="U2856" s="42"/>
      <c r="V2856" s="43" t="s">
        <v>93</v>
      </c>
      <c r="W2856" s="43" t="s">
        <v>94</v>
      </c>
      <c r="X2856" s="43" t="s">
        <v>95</v>
      </c>
      <c r="Y2856" s="18"/>
    </row>
    <row r="2857" spans="1:25" ht="15">
      <c r="A2857" s="4"/>
      <c r="B2857"/>
      <c r="C2857" s="11"/>
      <c r="D2857" s="10" t="s">
        <v>20</v>
      </c>
      <c r="E2857" s="38"/>
      <c r="F2857" s="10" t="s">
        <v>20</v>
      </c>
      <c r="G2857" s="10" t="s">
        <v>20</v>
      </c>
      <c r="I2857" s="10" t="s">
        <v>20</v>
      </c>
      <c r="J2857" s="10" t="s">
        <v>20</v>
      </c>
      <c r="K2857" s="10" t="s">
        <v>20</v>
      </c>
      <c r="L2857" s="10" t="s">
        <v>20</v>
      </c>
      <c r="M2857" s="10" t="s">
        <v>20</v>
      </c>
      <c r="N2857" s="10" t="s">
        <v>20</v>
      </c>
      <c r="O2857" s="10" t="s">
        <v>20</v>
      </c>
      <c r="P2857" s="18"/>
      <c r="Q2857" s="10" t="s">
        <v>20</v>
      </c>
      <c r="R2857" s="10" t="s">
        <v>20</v>
      </c>
      <c r="S2857" s="14"/>
      <c r="T2857" s="10" t="s">
        <v>20</v>
      </c>
      <c r="U2857" s="18"/>
      <c r="W2857" s="39" t="s">
        <v>96</v>
      </c>
      <c r="Y2857" s="18"/>
    </row>
    <row r="2858" spans="1:25" ht="15">
      <c r="A2858" s="4"/>
      <c r="B2858" s="87" t="s">
        <v>174</v>
      </c>
      <c r="C2858" s="11"/>
      <c r="D2858" s="8" t="s">
        <v>156</v>
      </c>
      <c r="E2858" s="6"/>
      <c r="F2858" s="8" t="s">
        <v>157</v>
      </c>
      <c r="G2858" s="45" t="s">
        <v>99</v>
      </c>
      <c r="H2858" s="19"/>
      <c r="I2858" s="45" t="s">
        <v>100</v>
      </c>
      <c r="J2858" s="45" t="s">
        <v>101</v>
      </c>
      <c r="K2858" s="82" t="s">
        <v>102</v>
      </c>
      <c r="L2858" s="45" t="s">
        <v>103</v>
      </c>
      <c r="M2858" s="45" t="s">
        <v>104</v>
      </c>
      <c r="N2858" s="45" t="s">
        <v>105</v>
      </c>
      <c r="O2858" s="45" t="s">
        <v>106</v>
      </c>
      <c r="P2858" s="6"/>
      <c r="Q2858" s="45" t="s">
        <v>107</v>
      </c>
      <c r="R2858" s="45" t="s">
        <v>108</v>
      </c>
      <c r="S2858" s="45"/>
      <c r="T2858" s="45" t="s">
        <v>109</v>
      </c>
      <c r="U2858" s="18"/>
      <c r="V2858" s="10" t="s">
        <v>20</v>
      </c>
      <c r="W2858" s="10" t="s">
        <v>21</v>
      </c>
      <c r="X2858" s="10" t="s">
        <v>22</v>
      </c>
      <c r="Y2858" s="18"/>
    </row>
    <row r="2859" spans="1:9" ht="15">
      <c r="A2859" s="4"/>
      <c r="B2859" s="24"/>
      <c r="C2859" s="11"/>
      <c r="E2859" s="14"/>
      <c r="F2859"/>
      <c r="H2859" s="18"/>
      <c r="I2859" s="16"/>
    </row>
    <row r="2860" spans="1:24" ht="15">
      <c r="A2860" s="4">
        <f>+A2853+1</f>
        <v>1</v>
      </c>
      <c r="B2860" s="5" t="s">
        <v>36</v>
      </c>
      <c r="C2860" s="17" t="s">
        <v>37</v>
      </c>
      <c r="D2860" s="18">
        <v>534.71</v>
      </c>
      <c r="E2860" s="18"/>
      <c r="F2860" s="18">
        <v>50158.2</v>
      </c>
      <c r="G2860" s="18">
        <v>-2264.92</v>
      </c>
      <c r="I2860" s="18">
        <v>0</v>
      </c>
      <c r="J2860" s="18">
        <v>0</v>
      </c>
      <c r="K2860" s="46">
        <v>3888.91</v>
      </c>
      <c r="L2860" s="27">
        <v>-7142.52</v>
      </c>
      <c r="M2860" s="18">
        <f>-28353-4843.5-9717.6</f>
        <v>-42914.1</v>
      </c>
      <c r="N2860" s="18">
        <v>0</v>
      </c>
      <c r="O2860" s="18">
        <v>-36766.72</v>
      </c>
      <c r="Q2860" s="18">
        <v>0</v>
      </c>
      <c r="R2860" s="18">
        <v>-8039.01</v>
      </c>
      <c r="S2860" s="18"/>
      <c r="T2860" s="18">
        <v>-38711.61</v>
      </c>
      <c r="V2860" s="18">
        <f>+V2842+D2860+F2860+G2860+I2860+J2860+K2860+L2860+M2860+N2860+O2860+Q2860+R2860+T2860</f>
        <v>14043136.500000004</v>
      </c>
      <c r="W2860" s="18">
        <f>+W2842</f>
        <v>10477463.64</v>
      </c>
      <c r="X2860" s="18">
        <f>+V2860-W2860</f>
        <v>3565672.860000003</v>
      </c>
    </row>
    <row r="2861" spans="1:24" ht="15">
      <c r="A2861" s="4">
        <f>+A2860+1</f>
        <v>2</v>
      </c>
      <c r="B2861" s="5" t="s">
        <v>36</v>
      </c>
      <c r="C2861" s="22" t="s">
        <v>38</v>
      </c>
      <c r="D2861" s="18">
        <v>126.95</v>
      </c>
      <c r="E2861" s="18"/>
      <c r="F2861" s="18">
        <v>48588.3</v>
      </c>
      <c r="G2861" s="18">
        <v>-1854.92</v>
      </c>
      <c r="I2861" s="18">
        <v>0</v>
      </c>
      <c r="J2861" s="18">
        <v>0</v>
      </c>
      <c r="K2861" s="46">
        <v>0</v>
      </c>
      <c r="L2861" s="27">
        <v>-7142.52</v>
      </c>
      <c r="M2861" s="18">
        <f>-27407.9-4682.05-9393.68</f>
        <v>-41483.630000000005</v>
      </c>
      <c r="N2861" s="18">
        <v>0</v>
      </c>
      <c r="O2861" s="18">
        <v>-29945.24</v>
      </c>
      <c r="Q2861" s="18">
        <v>0</v>
      </c>
      <c r="R2861" s="18">
        <v>-7178.38</v>
      </c>
      <c r="S2861" s="18"/>
      <c r="T2861" s="18">
        <v>-33177.77</v>
      </c>
      <c r="V2861" s="18">
        <f>+V2843+D2861+F2861+G2861+I2861+J2861+K2861+L2861+M2861+N2861+O2861+Q2861+R2861+T2861</f>
        <v>14019074.410000002</v>
      </c>
      <c r="W2861" s="18">
        <f>+W2843</f>
        <v>10372120.57</v>
      </c>
      <c r="X2861" s="18">
        <f>+V2861-W2861</f>
        <v>3646953.8400000017</v>
      </c>
    </row>
    <row r="2862" spans="1:24" ht="15">
      <c r="A2862" s="4">
        <f>+A2861+1</f>
        <v>3</v>
      </c>
      <c r="B2862" s="24" t="s">
        <v>46</v>
      </c>
      <c r="C2862" s="40" t="s">
        <v>78</v>
      </c>
      <c r="D2862" s="18">
        <f>+D2860-D2861</f>
        <v>407.76000000000005</v>
      </c>
      <c r="E2862" s="18"/>
      <c r="F2862" s="18">
        <f>+F2860-F2861</f>
        <v>1569.8999999999942</v>
      </c>
      <c r="G2862" s="18">
        <f>+G2860-G2861</f>
        <v>-410</v>
      </c>
      <c r="I2862" s="18">
        <f>+I2860-I2861</f>
        <v>0</v>
      </c>
      <c r="J2862" s="18">
        <f>+J2860-J2861</f>
        <v>0</v>
      </c>
      <c r="K2862" s="18">
        <f>+K2860-K2861</f>
        <v>3888.91</v>
      </c>
      <c r="L2862" s="18">
        <f>+L2860-L2861</f>
        <v>0</v>
      </c>
      <c r="M2862" s="18">
        <f>+M2860-M2861</f>
        <v>-1430.469999999994</v>
      </c>
      <c r="N2862" s="18">
        <f>+N2860-N2861</f>
        <v>0</v>
      </c>
      <c r="O2862" s="18">
        <f>+O2860-O2861</f>
        <v>-6821.48</v>
      </c>
      <c r="Q2862" s="18">
        <f>+Q2860-Q2861</f>
        <v>0</v>
      </c>
      <c r="R2862" s="18">
        <f>+R2860-R2861</f>
        <v>-860.6300000000001</v>
      </c>
      <c r="S2862" s="18"/>
      <c r="T2862" s="18">
        <f>+T2860-T2861</f>
        <v>-5533.840000000004</v>
      </c>
      <c r="V2862" s="27">
        <f>+V2860-V2861</f>
        <v>24062.090000001714</v>
      </c>
      <c r="W2862" s="27">
        <f>+W2860-W2861</f>
        <v>105343.0700000003</v>
      </c>
      <c r="X2862" s="18">
        <f>+X2860-X2861</f>
        <v>-81280.97999999858</v>
      </c>
    </row>
    <row r="2863" spans="1:24" ht="28.5">
      <c r="A2863" s="4">
        <f>+A2862+1</f>
        <v>4</v>
      </c>
      <c r="B2863" s="88" t="s">
        <v>182</v>
      </c>
      <c r="C2863" s="11"/>
      <c r="D2863" s="18">
        <v>0</v>
      </c>
      <c r="E2863" s="18"/>
      <c r="F2863" s="18">
        <v>0</v>
      </c>
      <c r="G2863" s="18">
        <v>0</v>
      </c>
      <c r="I2863" s="18">
        <v>0</v>
      </c>
      <c r="J2863" s="27">
        <v>0</v>
      </c>
      <c r="K2863" s="18">
        <v>0</v>
      </c>
      <c r="L2863" s="18">
        <v>0</v>
      </c>
      <c r="M2863" s="18">
        <v>0</v>
      </c>
      <c r="N2863" s="18">
        <v>0</v>
      </c>
      <c r="O2863" s="18">
        <v>0</v>
      </c>
      <c r="Q2863" s="18">
        <v>0</v>
      </c>
      <c r="R2863" s="18">
        <v>0</v>
      </c>
      <c r="S2863" s="18"/>
      <c r="T2863" s="18">
        <v>0</v>
      </c>
      <c r="V2863" s="18">
        <f>+V2845+D2863+F2863+G2863+I2863+J2863+K2863+L2863+M2863+N2863+O2863+Q2863+R2863+T2863</f>
        <v>0</v>
      </c>
      <c r="W2863" s="18">
        <f>+W2845</f>
        <v>0</v>
      </c>
      <c r="X2863" s="18">
        <f>+V2863-W2863</f>
        <v>0</v>
      </c>
    </row>
    <row r="2864" spans="1:24" ht="24.75">
      <c r="A2864" s="4">
        <f>+A2863+1</f>
        <v>5</v>
      </c>
      <c r="B2864" s="89" t="s">
        <v>39</v>
      </c>
      <c r="C2864" s="40"/>
      <c r="D2864" s="27">
        <v>0</v>
      </c>
      <c r="E2864" s="18"/>
      <c r="F2864" s="27">
        <v>0</v>
      </c>
      <c r="G2864" s="27">
        <f>6306-55604.3+17.22</f>
        <v>-49281.08</v>
      </c>
      <c r="I2864" s="27">
        <v>0</v>
      </c>
      <c r="J2864" s="27">
        <v>0</v>
      </c>
      <c r="K2864" s="55">
        <v>0</v>
      </c>
      <c r="L2864" s="27">
        <v>650.45</v>
      </c>
      <c r="M2864" s="27">
        <v>0</v>
      </c>
      <c r="N2864" s="27">
        <v>0</v>
      </c>
      <c r="O2864" s="27">
        <v>0</v>
      </c>
      <c r="Q2864" s="27">
        <v>0</v>
      </c>
      <c r="R2864" s="27">
        <v>0</v>
      </c>
      <c r="S2864" s="27"/>
      <c r="T2864" s="27">
        <v>0</v>
      </c>
      <c r="V2864" s="18">
        <f>+V2846+D2864+F2864+G2864+I2864+J2864+K2864+L2864+M2864+N2864+O2864+Q2864+R2864+T2864</f>
        <v>-52577.55</v>
      </c>
      <c r="W2864" s="18">
        <f>+W2846</f>
        <v>0</v>
      </c>
      <c r="X2864" s="18">
        <f>+V2864-W2864</f>
        <v>-52577.55</v>
      </c>
    </row>
    <row r="2865" spans="1:24" ht="15">
      <c r="A2865" s="6" t="s">
        <v>41</v>
      </c>
      <c r="B2865" s="41"/>
      <c r="C2865" s="40"/>
      <c r="D2865" s="18"/>
      <c r="E2865" s="18"/>
      <c r="F2865" s="18"/>
      <c r="G2865" s="18"/>
      <c r="I2865" s="18"/>
      <c r="J2865" s="18"/>
      <c r="K2865" s="27"/>
      <c r="L2865" s="18"/>
      <c r="M2865" s="18"/>
      <c r="N2865" s="18"/>
      <c r="O2865" s="18"/>
      <c r="Q2865" s="18"/>
      <c r="R2865" s="18"/>
      <c r="S2865" s="18"/>
      <c r="T2865" s="18"/>
      <c r="V2865" s="18"/>
      <c r="W2865" s="18"/>
      <c r="X2865" s="18"/>
    </row>
    <row r="2866" spans="1:24" ht="15">
      <c r="A2866" s="4">
        <f>+A2864+1</f>
        <v>6</v>
      </c>
      <c r="B2866" s="5" t="s">
        <v>42</v>
      </c>
      <c r="C2866" s="22" t="s">
        <v>38</v>
      </c>
      <c r="D2866" s="18">
        <v>0</v>
      </c>
      <c r="E2866" s="18"/>
      <c r="F2866" s="18">
        <v>49420.82</v>
      </c>
      <c r="G2866" s="18">
        <v>-137.67</v>
      </c>
      <c r="I2866" s="18">
        <v>0</v>
      </c>
      <c r="J2866" s="18">
        <v>0</v>
      </c>
      <c r="K2866" s="46">
        <v>0</v>
      </c>
      <c r="L2866" s="27">
        <v>-7142.52</v>
      </c>
      <c r="M2866" s="18">
        <f>-29298.1-7452.71-7593.76</f>
        <v>-44344.57</v>
      </c>
      <c r="N2866" s="18">
        <v>0</v>
      </c>
      <c r="O2866" s="18">
        <v>-9623.28</v>
      </c>
      <c r="P2866" s="18"/>
      <c r="Q2866" s="18">
        <v>0</v>
      </c>
      <c r="R2866" s="18">
        <v>-2303.51</v>
      </c>
      <c r="S2866" s="18"/>
      <c r="T2866" s="18">
        <v>-9043.42</v>
      </c>
      <c r="U2866" s="18"/>
      <c r="V2866" s="18">
        <f>+V2848+D2866+F2866+G2866+I2866+J2866+K2866+L2866+M2866+N2866+O2866+Q2866+R2866+T2866</f>
        <v>2696916.55</v>
      </c>
      <c r="W2866" s="18">
        <f>+W2848</f>
        <v>2330062.55</v>
      </c>
      <c r="X2866" s="18">
        <f>+V2866-W2866</f>
        <v>366854</v>
      </c>
    </row>
    <row r="2867" spans="1:24" ht="15">
      <c r="A2867" s="4">
        <f>+A2866+1</f>
        <v>7</v>
      </c>
      <c r="B2867" s="5" t="s">
        <v>43</v>
      </c>
      <c r="C2867" s="11"/>
      <c r="D2867" s="18">
        <v>0</v>
      </c>
      <c r="E2867" s="18"/>
      <c r="F2867" s="18">
        <v>0</v>
      </c>
      <c r="G2867" s="18">
        <v>0</v>
      </c>
      <c r="I2867" s="18">
        <v>0</v>
      </c>
      <c r="J2867" s="18">
        <v>0</v>
      </c>
      <c r="K2867" s="18">
        <v>0</v>
      </c>
      <c r="L2867" s="18">
        <v>0</v>
      </c>
      <c r="M2867" s="18">
        <v>0</v>
      </c>
      <c r="N2867" s="18">
        <v>0</v>
      </c>
      <c r="O2867" s="18">
        <v>0</v>
      </c>
      <c r="P2867" s="18"/>
      <c r="Q2867" s="18">
        <v>0</v>
      </c>
      <c r="R2867" s="18">
        <v>0</v>
      </c>
      <c r="S2867" s="18"/>
      <c r="T2867" s="18">
        <v>0</v>
      </c>
      <c r="U2867" s="18"/>
      <c r="V2867" s="18">
        <f>+V2849+D2867+F2867+G2867+I2867+J2867+K2867+L2867+M2867+N2867+O2867+Q2867+R2867+T2867</f>
        <v>0</v>
      </c>
      <c r="W2867" s="18">
        <f>+W2849</f>
        <v>0</v>
      </c>
      <c r="X2867" s="18">
        <f>+V2867-W2867</f>
        <v>0</v>
      </c>
    </row>
    <row r="2868" spans="1:24" ht="26.25">
      <c r="A2868" s="4">
        <f>+A2867+1</f>
        <v>8</v>
      </c>
      <c r="B2868" s="24" t="s">
        <v>79</v>
      </c>
      <c r="C2868" s="11"/>
      <c r="D2868" s="18">
        <f>+D2866-D2867</f>
        <v>0</v>
      </c>
      <c r="E2868" s="18"/>
      <c r="F2868" s="18">
        <f>+F2866-F2867</f>
        <v>49420.82</v>
      </c>
      <c r="G2868" s="18">
        <f>+G2866-G2867</f>
        <v>-137.67</v>
      </c>
      <c r="I2868" s="18">
        <f aca="true" t="shared" si="316" ref="I2868:O2868">+I2866-I2867</f>
        <v>0</v>
      </c>
      <c r="J2868" s="18">
        <f t="shared" si="316"/>
        <v>0</v>
      </c>
      <c r="K2868" s="18">
        <f t="shared" si="316"/>
        <v>0</v>
      </c>
      <c r="L2868" s="18">
        <f t="shared" si="316"/>
        <v>-7142.52</v>
      </c>
      <c r="M2868" s="18">
        <f t="shared" si="316"/>
        <v>-44344.57</v>
      </c>
      <c r="N2868" s="18">
        <f t="shared" si="316"/>
        <v>0</v>
      </c>
      <c r="O2868" s="18">
        <f t="shared" si="316"/>
        <v>-9623.28</v>
      </c>
      <c r="P2868" s="18"/>
      <c r="Q2868" s="18">
        <f>+Q2866-Q2867</f>
        <v>0</v>
      </c>
      <c r="R2868" s="18">
        <f>+R2866-R2867</f>
        <v>-2303.51</v>
      </c>
      <c r="S2868" s="18"/>
      <c r="T2868" s="18">
        <f>+T2866-T2867</f>
        <v>-9043.42</v>
      </c>
      <c r="U2868" s="18"/>
      <c r="V2868" s="27">
        <f>+V2866-V2867</f>
        <v>2696916.55</v>
      </c>
      <c r="W2868" s="27">
        <f>+W2866-W2867</f>
        <v>2330062.55</v>
      </c>
      <c r="X2868" s="18">
        <f>+X2866-X2867</f>
        <v>366854</v>
      </c>
    </row>
    <row r="2869" spans="1:24" ht="28.5">
      <c r="A2869" s="4">
        <f>+A2868+1</f>
        <v>9</v>
      </c>
      <c r="B2869" s="88" t="s">
        <v>181</v>
      </c>
      <c r="C2869" s="11"/>
      <c r="D2869" s="18">
        <v>0</v>
      </c>
      <c r="E2869" s="18"/>
      <c r="F2869" s="18">
        <v>0</v>
      </c>
      <c r="G2869" s="18">
        <v>0</v>
      </c>
      <c r="I2869" s="18">
        <v>0</v>
      </c>
      <c r="J2869" s="18">
        <v>0</v>
      </c>
      <c r="K2869" s="18">
        <v>0</v>
      </c>
      <c r="L2869" s="18">
        <v>0</v>
      </c>
      <c r="M2869" s="18">
        <v>0</v>
      </c>
      <c r="N2869" s="18">
        <v>0</v>
      </c>
      <c r="O2869" s="18">
        <v>0</v>
      </c>
      <c r="P2869" s="18"/>
      <c r="Q2869" s="18">
        <v>0</v>
      </c>
      <c r="R2869" s="18">
        <v>0</v>
      </c>
      <c r="S2869" s="18"/>
      <c r="T2869" s="18">
        <v>0</v>
      </c>
      <c r="U2869" s="18"/>
      <c r="V2869" s="18">
        <f>+V2851+D2869+F2869+G2869+I2869+J2869+K2869+L2869+M2869+N2869+O2869+Q2869+R2869+T2869</f>
        <v>0</v>
      </c>
      <c r="W2869" s="18">
        <f>+W2851</f>
        <v>0</v>
      </c>
      <c r="X2869" s="18">
        <f>+V2869-W2869</f>
        <v>0</v>
      </c>
    </row>
    <row r="2870" spans="1:24" ht="15">
      <c r="A2870" s="4">
        <f>+A2869+1</f>
        <v>10</v>
      </c>
      <c r="B2870" s="24" t="s">
        <v>46</v>
      </c>
      <c r="C2870" s="11" t="s">
        <v>47</v>
      </c>
      <c r="D2870" s="18">
        <f>+D2862+D2863+D2868+D2869+D2864</f>
        <v>407.76000000000005</v>
      </c>
      <c r="E2870" s="18"/>
      <c r="F2870" s="18">
        <f>+F2862+F2863+F2868+F2869+F2864</f>
        <v>50990.719999999994</v>
      </c>
      <c r="G2870" s="18">
        <f>+G2862+G2863+G2868+G2869+G2864</f>
        <v>-49828.75</v>
      </c>
      <c r="I2870" s="18">
        <f aca="true" t="shared" si="317" ref="I2870:O2870">+I2862+I2863+I2868+I2869+I2864</f>
        <v>0</v>
      </c>
      <c r="J2870" s="18">
        <f t="shared" si="317"/>
        <v>0</v>
      </c>
      <c r="K2870" s="18">
        <f t="shared" si="317"/>
        <v>3888.91</v>
      </c>
      <c r="L2870" s="18">
        <f t="shared" si="317"/>
        <v>-6492.070000000001</v>
      </c>
      <c r="M2870" s="18">
        <f t="shared" si="317"/>
        <v>-45775.03999999999</v>
      </c>
      <c r="N2870" s="18">
        <f t="shared" si="317"/>
        <v>0</v>
      </c>
      <c r="O2870" s="18">
        <f t="shared" si="317"/>
        <v>-16444.760000000002</v>
      </c>
      <c r="P2870" s="42"/>
      <c r="Q2870" s="18">
        <f>+Q2862+Q2863+Q2868+Q2869+Q2864</f>
        <v>0</v>
      </c>
      <c r="R2870" s="18">
        <f>+R2862+R2863+R2868+R2869+R2864</f>
        <v>-3164.1400000000003</v>
      </c>
      <c r="S2870" s="18"/>
      <c r="T2870" s="18">
        <f>+T2862+T2863+T2868+T2869+T2864</f>
        <v>-14577.260000000004</v>
      </c>
      <c r="U2870" s="42"/>
      <c r="V2870" s="18">
        <f>+V2862+V2863+V2868+V2869+V2864</f>
        <v>2668401.0900000017</v>
      </c>
      <c r="W2870" s="18">
        <f>+W2862+W2863+W2868+W2869+W2864</f>
        <v>2435405.62</v>
      </c>
      <c r="X2870" s="18">
        <f>+X2862+X2863+X2868+X2869+X2864</f>
        <v>232995.47000000143</v>
      </c>
    </row>
    <row r="2871" spans="1:24" ht="15">
      <c r="A2871" s="4"/>
      <c r="B2871" s="24"/>
      <c r="C2871" s="11"/>
      <c r="D2871" s="18"/>
      <c r="E2871" s="18"/>
      <c r="F2871" s="18"/>
      <c r="G2871" s="18"/>
      <c r="I2871" s="18"/>
      <c r="J2871" s="18"/>
      <c r="K2871" s="27" t="s">
        <v>0</v>
      </c>
      <c r="L2871" s="18"/>
      <c r="M2871" s="18"/>
      <c r="N2871" s="18"/>
      <c r="O2871" s="18"/>
      <c r="P2871" s="42"/>
      <c r="Q2871" s="18"/>
      <c r="R2871" s="18"/>
      <c r="S2871" s="18"/>
      <c r="T2871" s="18"/>
      <c r="U2871" s="42"/>
      <c r="V2871" s="18"/>
      <c r="W2871" s="18"/>
      <c r="X2871" s="18"/>
    </row>
    <row r="2872" spans="1:24" ht="15">
      <c r="A2872" s="4"/>
      <c r="B2872" s="24"/>
      <c r="C2872" s="11"/>
      <c r="D2872" s="18"/>
      <c r="E2872" s="18"/>
      <c r="F2872" s="18"/>
      <c r="G2872" s="18"/>
      <c r="I2872" s="18"/>
      <c r="J2872" s="18"/>
      <c r="K2872" s="27"/>
      <c r="L2872" s="18"/>
      <c r="M2872" s="18"/>
      <c r="N2872" s="18"/>
      <c r="O2872" s="18"/>
      <c r="P2872" s="42"/>
      <c r="Q2872" s="18"/>
      <c r="R2872" s="18"/>
      <c r="S2872" s="18"/>
      <c r="T2872" s="18"/>
      <c r="U2872" s="42"/>
      <c r="V2872" s="18"/>
      <c r="W2872" s="18"/>
      <c r="X2872" s="18"/>
    </row>
    <row r="2873" spans="1:24" ht="15">
      <c r="A2873" s="4"/>
      <c r="B2873" s="24"/>
      <c r="C2873" s="11"/>
      <c r="D2873" s="18"/>
      <c r="E2873" s="18"/>
      <c r="F2873" s="18"/>
      <c r="G2873" s="18"/>
      <c r="I2873" s="18"/>
      <c r="J2873" s="18"/>
      <c r="K2873" s="18"/>
      <c r="L2873" s="18"/>
      <c r="M2873" s="18"/>
      <c r="N2873" s="18"/>
      <c r="O2873" s="18"/>
      <c r="P2873" s="42"/>
      <c r="Q2873" s="18"/>
      <c r="R2873" s="18"/>
      <c r="S2873" s="18"/>
      <c r="T2873" s="18"/>
      <c r="U2873" s="42"/>
      <c r="V2873" s="18"/>
      <c r="W2873" s="18"/>
      <c r="X2873" s="18"/>
    </row>
    <row r="2874" spans="1:24" ht="15">
      <c r="A2874" s="4"/>
      <c r="B2874" s="24"/>
      <c r="C2874" s="11"/>
      <c r="D2874" s="10" t="s">
        <v>4</v>
      </c>
      <c r="E2874" s="10"/>
      <c r="F2874" s="10" t="s">
        <v>5</v>
      </c>
      <c r="G2874" s="10" t="s">
        <v>6</v>
      </c>
      <c r="H2874" s="10"/>
      <c r="I2874" s="10" t="s">
        <v>7</v>
      </c>
      <c r="J2874" s="10" t="s">
        <v>8</v>
      </c>
      <c r="K2874" s="10" t="s">
        <v>9</v>
      </c>
      <c r="L2874" s="10" t="s">
        <v>10</v>
      </c>
      <c r="M2874" s="10" t="s">
        <v>11</v>
      </c>
      <c r="N2874" s="10" t="s">
        <v>12</v>
      </c>
      <c r="O2874" s="10" t="s">
        <v>13</v>
      </c>
      <c r="P2874" s="10"/>
      <c r="Q2874" s="10" t="s">
        <v>14</v>
      </c>
      <c r="R2874" s="10" t="s">
        <v>15</v>
      </c>
      <c r="S2874" s="10"/>
      <c r="T2874" s="10" t="s">
        <v>16</v>
      </c>
      <c r="U2874" s="10"/>
      <c r="V2874" s="10" t="s">
        <v>17</v>
      </c>
      <c r="W2874" s="10" t="s">
        <v>18</v>
      </c>
      <c r="X2874" s="10" t="s">
        <v>19</v>
      </c>
    </row>
    <row r="2875" spans="1:23" ht="15">
      <c r="A2875" s="4"/>
      <c r="B2875" s="24"/>
      <c r="C2875" s="11"/>
      <c r="D2875" s="10" t="s">
        <v>20</v>
      </c>
      <c r="E2875" s="10"/>
      <c r="F2875" s="14" t="s">
        <v>21</v>
      </c>
      <c r="G2875" s="10"/>
      <c r="I2875" s="39" t="s">
        <v>110</v>
      </c>
      <c r="J2875" s="47" t="s">
        <v>111</v>
      </c>
      <c r="K2875" s="39"/>
      <c r="L2875" s="10" t="s">
        <v>20</v>
      </c>
      <c r="M2875" s="10" t="s">
        <v>20</v>
      </c>
      <c r="N2875" s="10" t="s">
        <v>20</v>
      </c>
      <c r="O2875" s="10" t="s">
        <v>20</v>
      </c>
      <c r="P2875" s="42"/>
      <c r="Q2875" s="10" t="s">
        <v>20</v>
      </c>
      <c r="R2875" s="10" t="s">
        <v>20</v>
      </c>
      <c r="S2875" s="48"/>
      <c r="T2875" s="10" t="s">
        <v>20</v>
      </c>
      <c r="U2875" s="42"/>
      <c r="W2875" s="39" t="s">
        <v>112</v>
      </c>
    </row>
    <row r="2876" spans="1:24" ht="15">
      <c r="A2876" s="4"/>
      <c r="B2876" s="87" t="s">
        <v>183</v>
      </c>
      <c r="C2876" s="11"/>
      <c r="D2876" s="8" t="s">
        <v>113</v>
      </c>
      <c r="E2876" s="6"/>
      <c r="F2876" s="6" t="s">
        <v>114</v>
      </c>
      <c r="G2876" s="49" t="s">
        <v>22</v>
      </c>
      <c r="I2876" s="8" t="s">
        <v>113</v>
      </c>
      <c r="J2876" s="6" t="s">
        <v>114</v>
      </c>
      <c r="K2876" s="49" t="s">
        <v>24</v>
      </c>
      <c r="L2876" s="13" t="s">
        <v>115</v>
      </c>
      <c r="M2876" s="13" t="s">
        <v>116</v>
      </c>
      <c r="N2876" s="13" t="s">
        <v>117</v>
      </c>
      <c r="O2876" s="13" t="s">
        <v>118</v>
      </c>
      <c r="P2876" s="42"/>
      <c r="Q2876" s="13" t="s">
        <v>119</v>
      </c>
      <c r="R2876" s="13" t="s">
        <v>120</v>
      </c>
      <c r="T2876" s="13" t="s">
        <v>121</v>
      </c>
      <c r="U2876" s="42"/>
      <c r="V2876" s="10" t="s">
        <v>20</v>
      </c>
      <c r="W2876" s="10" t="s">
        <v>21</v>
      </c>
      <c r="X2876" s="10" t="s">
        <v>22</v>
      </c>
    </row>
    <row r="2877" spans="1:24" ht="15">
      <c r="A2877" s="4"/>
      <c r="B2877" s="24"/>
      <c r="C2877" s="11"/>
      <c r="D2877" s="18"/>
      <c r="E2877" s="18"/>
      <c r="F2877" s="18"/>
      <c r="G2877" s="18"/>
      <c r="I2877" s="72" t="s">
        <v>0</v>
      </c>
      <c r="K2877" s="42"/>
      <c r="L2877" s="42"/>
      <c r="N2877" s="42"/>
      <c r="O2877" s="18"/>
      <c r="P2877" s="42"/>
      <c r="U2877" s="42"/>
      <c r="V2877" s="18"/>
      <c r="W2877" s="39" t="s">
        <v>122</v>
      </c>
      <c r="X2877" s="18"/>
    </row>
    <row r="2878" spans="1:24" ht="15">
      <c r="A2878" s="4">
        <f>+A2850+1</f>
        <v>19</v>
      </c>
      <c r="B2878" s="5" t="s">
        <v>36</v>
      </c>
      <c r="C2878" s="17" t="s">
        <v>37</v>
      </c>
      <c r="D2878" s="27">
        <v>1027720.42</v>
      </c>
      <c r="E2878" s="18" t="s">
        <v>0</v>
      </c>
      <c r="F2878" s="27">
        <v>706568.63</v>
      </c>
      <c r="G2878" s="18">
        <f>D2878-F2878</f>
        <v>321151.79000000004</v>
      </c>
      <c r="I2878" s="27">
        <v>945.42</v>
      </c>
      <c r="J2878" s="27">
        <v>901.87</v>
      </c>
      <c r="K2878" s="36">
        <f>+I2878-J2878</f>
        <v>43.549999999999955</v>
      </c>
      <c r="L2878" s="18">
        <v>0</v>
      </c>
      <c r="M2878" s="27">
        <v>-113366.22</v>
      </c>
      <c r="N2878" s="27">
        <v>54858.9</v>
      </c>
      <c r="O2878" s="18">
        <v>0</v>
      </c>
      <c r="P2878" s="42"/>
      <c r="Q2878" s="31">
        <v>0</v>
      </c>
      <c r="R2878" s="18">
        <v>0</v>
      </c>
      <c r="S2878" s="18"/>
      <c r="T2878" s="18">
        <v>0</v>
      </c>
      <c r="U2878" s="42"/>
      <c r="V2878" s="31">
        <f>+D2878+I2878+L2878+M2878+N2878+O2878+Q2878+R2878+T2878</f>
        <v>970158.5200000001</v>
      </c>
      <c r="W2878" s="18">
        <f>+F2878+J2878</f>
        <v>707470.5</v>
      </c>
      <c r="X2878" s="18">
        <f>+V2878-W2878</f>
        <v>262688.02000000014</v>
      </c>
    </row>
    <row r="2879" spans="1:24" ht="15">
      <c r="A2879" s="4">
        <f>+A2878+1</f>
        <v>20</v>
      </c>
      <c r="B2879" s="5" t="s">
        <v>36</v>
      </c>
      <c r="C2879" s="22" t="s">
        <v>38</v>
      </c>
      <c r="D2879" s="27">
        <v>1019796.67</v>
      </c>
      <c r="E2879" s="18" t="s">
        <v>0</v>
      </c>
      <c r="F2879" s="27">
        <v>687495.93</v>
      </c>
      <c r="G2879" s="18">
        <f>D2879-F2879</f>
        <v>332300.74</v>
      </c>
      <c r="I2879" s="27">
        <v>927.48</v>
      </c>
      <c r="J2879" s="31">
        <v>877.93</v>
      </c>
      <c r="K2879" s="36">
        <f>+I2879-J2879</f>
        <v>49.55000000000007</v>
      </c>
      <c r="L2879" s="18">
        <v>0</v>
      </c>
      <c r="M2879" s="27">
        <v>-113399.65</v>
      </c>
      <c r="N2879" s="27">
        <v>54858.9</v>
      </c>
      <c r="O2879" s="18">
        <v>0</v>
      </c>
      <c r="P2879" s="42"/>
      <c r="Q2879" s="31">
        <v>0</v>
      </c>
      <c r="R2879" s="18"/>
      <c r="S2879" s="18"/>
      <c r="T2879" s="18">
        <v>0</v>
      </c>
      <c r="U2879" s="42"/>
      <c r="V2879" s="31">
        <f>+D2879+I2879+L2879+M2879+N2879+O2879+Q2879+R2879+T2879</f>
        <v>962183.4</v>
      </c>
      <c r="W2879" s="18">
        <f>+F2879+J2879</f>
        <v>688373.8600000001</v>
      </c>
      <c r="X2879" s="18">
        <f>+V2879-W2879</f>
        <v>273809.5399999999</v>
      </c>
    </row>
    <row r="2880" spans="1:24" ht="15">
      <c r="A2880" s="4">
        <f>+A2879+1</f>
        <v>21</v>
      </c>
      <c r="B2880" s="24" t="s">
        <v>46</v>
      </c>
      <c r="C2880" s="40" t="s">
        <v>78</v>
      </c>
      <c r="D2880" s="18">
        <f>+D2878-D2879</f>
        <v>7923.75</v>
      </c>
      <c r="E2880" s="18"/>
      <c r="F2880" s="18">
        <f>+F2878-F2879</f>
        <v>19072.699999999953</v>
      </c>
      <c r="G2880" s="18">
        <f>+G2878-G2879</f>
        <v>-11148.949999999953</v>
      </c>
      <c r="I2880" s="18">
        <f>+I2878-I2879</f>
        <v>17.93999999999994</v>
      </c>
      <c r="J2880" s="18">
        <f>+J2878-J2879</f>
        <v>23.940000000000055</v>
      </c>
      <c r="K2880" s="18">
        <f>K2878-K2879</f>
        <v>-6.000000000000114</v>
      </c>
      <c r="L2880" s="18">
        <f>+L2878-L2879</f>
        <v>0</v>
      </c>
      <c r="M2880" s="18">
        <f>+M2878-M2879</f>
        <v>33.429999999993015</v>
      </c>
      <c r="N2880" s="18">
        <f>+N2878-N2879</f>
        <v>0</v>
      </c>
      <c r="O2880" s="18">
        <f>+O2878-O2879</f>
        <v>0</v>
      </c>
      <c r="P2880" s="42"/>
      <c r="Q2880" s="18">
        <f>+Q2878-Q2879</f>
        <v>0</v>
      </c>
      <c r="R2880" s="18">
        <f>+R2878-R2879</f>
        <v>0</v>
      </c>
      <c r="S2880" s="18"/>
      <c r="T2880" s="18">
        <f>+T2878-T2879</f>
        <v>0</v>
      </c>
      <c r="U2880" s="42"/>
      <c r="V2880" s="31">
        <f>+V2878-V2879</f>
        <v>7975.120000000112</v>
      </c>
      <c r="W2880" s="31">
        <f>+W2878-W2879</f>
        <v>19096.639999999898</v>
      </c>
      <c r="X2880" s="18">
        <f>+X2878-X2879</f>
        <v>-11121.519999999786</v>
      </c>
    </row>
    <row r="2881" spans="1:24" ht="28.5">
      <c r="A2881" s="4">
        <f>+A2880+1</f>
        <v>22</v>
      </c>
      <c r="B2881" s="88" t="s">
        <v>182</v>
      </c>
      <c r="C2881" s="11"/>
      <c r="D2881" s="18">
        <v>0</v>
      </c>
      <c r="E2881" s="18"/>
      <c r="F2881" s="18">
        <v>0</v>
      </c>
      <c r="G2881" s="18">
        <f>+D2881-F2881</f>
        <v>0</v>
      </c>
      <c r="I2881" s="18">
        <v>0</v>
      </c>
      <c r="J2881" s="18">
        <v>0</v>
      </c>
      <c r="K2881" s="18">
        <f>+I2881-J2881</f>
        <v>0</v>
      </c>
      <c r="L2881" s="18">
        <v>0</v>
      </c>
      <c r="M2881" s="18">
        <v>0</v>
      </c>
      <c r="N2881" s="18">
        <f>+L2881-M2881</f>
        <v>0</v>
      </c>
      <c r="O2881" s="18">
        <v>0</v>
      </c>
      <c r="P2881" s="42"/>
      <c r="Q2881" s="18">
        <v>0</v>
      </c>
      <c r="R2881" s="18">
        <v>0</v>
      </c>
      <c r="S2881" s="18"/>
      <c r="T2881" s="18">
        <v>0</v>
      </c>
      <c r="U2881" s="42"/>
      <c r="V2881" s="31">
        <f>+D2881+I2881+L2881+M2881+N2881+O2881+Q2881+R2881+T2881</f>
        <v>0</v>
      </c>
      <c r="W2881" s="18">
        <f>+F2881+J2881</f>
        <v>0</v>
      </c>
      <c r="X2881" s="18">
        <f>+V2881-W2881</f>
        <v>0</v>
      </c>
    </row>
    <row r="2882" spans="1:24" ht="24.75">
      <c r="A2882" s="4">
        <f>+A2881+1</f>
        <v>23</v>
      </c>
      <c r="B2882" s="89" t="s">
        <v>39</v>
      </c>
      <c r="C2882" s="40"/>
      <c r="D2882" s="55">
        <v>-454.49</v>
      </c>
      <c r="E2882" s="18" t="s">
        <v>0</v>
      </c>
      <c r="F2882" s="27">
        <v>8228.78</v>
      </c>
      <c r="G2882" s="18">
        <f>D2882-F2882</f>
        <v>-8683.27</v>
      </c>
      <c r="I2882" s="27">
        <v>0</v>
      </c>
      <c r="J2882" s="27"/>
      <c r="K2882" s="18">
        <f>+I2882-J2882</f>
        <v>0</v>
      </c>
      <c r="L2882" s="18">
        <v>2754.43</v>
      </c>
      <c r="M2882" s="27">
        <v>-67001.45</v>
      </c>
      <c r="N2882" s="27">
        <v>0</v>
      </c>
      <c r="O2882" s="27">
        <v>-31.8</v>
      </c>
      <c r="P2882" s="42"/>
      <c r="Q2882" s="55">
        <v>0</v>
      </c>
      <c r="R2882" s="21">
        <v>0</v>
      </c>
      <c r="S2882" s="18"/>
      <c r="T2882" s="18">
        <v>0</v>
      </c>
      <c r="U2882" s="42"/>
      <c r="V2882" s="31">
        <f>+D2882+I2882+M2882+N2882+L2882+O2882+Q2882+R2882+T2882</f>
        <v>-64733.310000000005</v>
      </c>
      <c r="W2882" s="18">
        <f>+F2882+J2882</f>
        <v>8228.78</v>
      </c>
      <c r="X2882" s="36">
        <f>+V2882-W2882</f>
        <v>-72962.09000000001</v>
      </c>
    </row>
    <row r="2883" spans="1:24" ht="15">
      <c r="A2883" s="6" t="s">
        <v>41</v>
      </c>
      <c r="B2883" s="41"/>
      <c r="C2883" s="40"/>
      <c r="D2883" s="18"/>
      <c r="E2883" s="18"/>
      <c r="F2883" s="18" t="s">
        <v>0</v>
      </c>
      <c r="G2883" s="18"/>
      <c r="I2883" s="18"/>
      <c r="J2883" s="18"/>
      <c r="K2883" s="18"/>
      <c r="L2883" s="18"/>
      <c r="M2883" s="18"/>
      <c r="N2883" s="18"/>
      <c r="O2883" s="18"/>
      <c r="P2883" s="42"/>
      <c r="Q2883" s="18"/>
      <c r="R2883" s="18"/>
      <c r="S2883" s="18"/>
      <c r="T2883" s="18" t="s">
        <v>0</v>
      </c>
      <c r="U2883" s="42"/>
      <c r="V2883" s="30"/>
      <c r="W2883" s="30"/>
      <c r="X2883" s="36"/>
    </row>
    <row r="2884" spans="1:24" ht="15">
      <c r="A2884" s="4">
        <f>+A2882+1</f>
        <v>24</v>
      </c>
      <c r="B2884" s="5" t="s">
        <v>42</v>
      </c>
      <c r="C2884" s="22" t="s">
        <v>38</v>
      </c>
      <c r="D2884" s="27">
        <v>1012069.92</v>
      </c>
      <c r="E2884" s="18" t="s">
        <v>0</v>
      </c>
      <c r="F2884" s="27">
        <v>722873.45</v>
      </c>
      <c r="G2884" s="18">
        <f>D2884-F2884</f>
        <v>289196.4700000001</v>
      </c>
      <c r="I2884" s="18">
        <v>-945.84</v>
      </c>
      <c r="J2884" s="26">
        <v>992.02</v>
      </c>
      <c r="K2884" s="18">
        <f>+I2884-J2884</f>
        <v>-1937.8600000000001</v>
      </c>
      <c r="L2884" s="27">
        <v>0</v>
      </c>
      <c r="M2884" s="27">
        <v>-86417.03</v>
      </c>
      <c r="N2884" s="27">
        <v>56677.58</v>
      </c>
      <c r="O2884" s="18">
        <v>0</v>
      </c>
      <c r="P2884" s="42"/>
      <c r="Q2884" s="31">
        <v>0</v>
      </c>
      <c r="R2884" s="18">
        <v>0</v>
      </c>
      <c r="S2884" s="18" t="s">
        <v>0</v>
      </c>
      <c r="T2884" s="18">
        <v>0</v>
      </c>
      <c r="U2884" s="42"/>
      <c r="V2884" s="31">
        <f>+D2884+I2884+L2884+M2884+N2884+O2884+Q2884+R2884+T2884</f>
        <v>981384.63</v>
      </c>
      <c r="W2884" s="18">
        <f>+F2884+J2884</f>
        <v>723865.47</v>
      </c>
      <c r="X2884" s="18">
        <f>+V2884-W2884</f>
        <v>257519.16000000003</v>
      </c>
    </row>
    <row r="2885" spans="1:24" ht="15">
      <c r="A2885" s="4">
        <f>+A2884+1</f>
        <v>25</v>
      </c>
      <c r="B2885" s="5" t="s">
        <v>43</v>
      </c>
      <c r="C2885" s="11"/>
      <c r="D2885" s="18"/>
      <c r="E2885" s="18"/>
      <c r="F2885" s="18">
        <v>0</v>
      </c>
      <c r="G2885" s="18">
        <f>+D2885-F2885</f>
        <v>0</v>
      </c>
      <c r="I2885" s="18">
        <v>0</v>
      </c>
      <c r="J2885" s="18">
        <v>0</v>
      </c>
      <c r="K2885" s="18">
        <f>+I2885-J2885</f>
        <v>0</v>
      </c>
      <c r="L2885" s="18">
        <v>0</v>
      </c>
      <c r="M2885" s="18">
        <v>0</v>
      </c>
      <c r="N2885" s="18">
        <f>+L2885-M2885</f>
        <v>0</v>
      </c>
      <c r="O2885" s="18">
        <v>0</v>
      </c>
      <c r="P2885" s="42"/>
      <c r="Q2885" s="18">
        <v>0</v>
      </c>
      <c r="R2885" s="18">
        <v>0</v>
      </c>
      <c r="S2885" s="18"/>
      <c r="T2885" s="18">
        <v>0</v>
      </c>
      <c r="U2885" s="42"/>
      <c r="V2885" s="31">
        <f>+D2885+I2885+L2885+O2885+Q2885+R2885+T2885</f>
        <v>0</v>
      </c>
      <c r="W2885" s="18">
        <f>+F2885+J2885+M2885</f>
        <v>0</v>
      </c>
      <c r="X2885" s="18">
        <f>+V2885-W2885</f>
        <v>0</v>
      </c>
    </row>
    <row r="2886" spans="1:24" ht="26.25">
      <c r="A2886" s="4">
        <f>+A2885+1</f>
        <v>26</v>
      </c>
      <c r="B2886" s="24" t="s">
        <v>79</v>
      </c>
      <c r="C2886" s="11"/>
      <c r="D2886" s="18">
        <f>+D2884-D2885</f>
        <v>1012069.92</v>
      </c>
      <c r="E2886" s="18"/>
      <c r="F2886" s="18">
        <f>+F2884-F2885</f>
        <v>722873.45</v>
      </c>
      <c r="G2886" s="18">
        <f>+G2884-G2885</f>
        <v>289196.4700000001</v>
      </c>
      <c r="I2886" s="18">
        <f>+I2884-I2885</f>
        <v>-945.84</v>
      </c>
      <c r="J2886" s="18">
        <f>+J2884-J2885</f>
        <v>992.02</v>
      </c>
      <c r="K2886" s="18">
        <f>+K2884-K2885</f>
        <v>-1937.8600000000001</v>
      </c>
      <c r="L2886" s="18">
        <f>+L2884-L2885</f>
        <v>0</v>
      </c>
      <c r="M2886" s="18">
        <f>+M2884-M2885</f>
        <v>-86417.03</v>
      </c>
      <c r="N2886" s="18">
        <f>+N2884-N2885</f>
        <v>56677.58</v>
      </c>
      <c r="O2886" s="18">
        <v>0</v>
      </c>
      <c r="P2886" s="42"/>
      <c r="Q2886" s="18">
        <f>+Q2884-Q2885</f>
        <v>0</v>
      </c>
      <c r="R2886" s="18">
        <f>+R2884-R2885</f>
        <v>0</v>
      </c>
      <c r="S2886" s="18"/>
      <c r="T2886" s="18">
        <f>+T2884-T2885</f>
        <v>0</v>
      </c>
      <c r="U2886" s="42"/>
      <c r="V2886" s="27">
        <f>+V2884-V2885</f>
        <v>981384.63</v>
      </c>
      <c r="W2886" s="27">
        <f>+W2884-W2885</f>
        <v>723865.47</v>
      </c>
      <c r="X2886" s="31">
        <f>+X2884-X2885</f>
        <v>257519.16000000003</v>
      </c>
    </row>
    <row r="2887" spans="1:24" ht="28.5">
      <c r="A2887" s="4">
        <f>+A2886+1</f>
        <v>27</v>
      </c>
      <c r="B2887" s="88" t="s">
        <v>181</v>
      </c>
      <c r="C2887" s="11"/>
      <c r="D2887" s="18">
        <v>0</v>
      </c>
      <c r="E2887" s="18"/>
      <c r="F2887" s="18">
        <v>0</v>
      </c>
      <c r="G2887" s="18">
        <f>+D2887-F2887</f>
        <v>0</v>
      </c>
      <c r="I2887" s="18">
        <v>0</v>
      </c>
      <c r="J2887" s="18">
        <v>0</v>
      </c>
      <c r="K2887" s="18">
        <f>+I2887-J2887</f>
        <v>0</v>
      </c>
      <c r="L2887" s="18">
        <v>0</v>
      </c>
      <c r="M2887" s="18">
        <v>0</v>
      </c>
      <c r="N2887" s="18">
        <f>+L2887-M2887</f>
        <v>0</v>
      </c>
      <c r="O2887" s="18">
        <v>0</v>
      </c>
      <c r="P2887" s="42"/>
      <c r="Q2887" s="18">
        <v>0</v>
      </c>
      <c r="R2887" s="18">
        <v>0</v>
      </c>
      <c r="S2887" s="18"/>
      <c r="T2887" s="18">
        <v>0</v>
      </c>
      <c r="U2887" s="42"/>
      <c r="V2887" s="31">
        <f>+D2887+I2887+L2887+O2887+Q2887+R2887+T2887</f>
        <v>0</v>
      </c>
      <c r="W2887" s="18">
        <f>+F2887+J2887+M2887</f>
        <v>0</v>
      </c>
      <c r="X2887" s="18">
        <f>+V2887-W2887</f>
        <v>0</v>
      </c>
    </row>
    <row r="2888" spans="1:24" ht="15">
      <c r="A2888" s="4">
        <f>+A2887+1</f>
        <v>28</v>
      </c>
      <c r="B2888" s="24" t="s">
        <v>46</v>
      </c>
      <c r="C2888" s="11" t="s">
        <v>47</v>
      </c>
      <c r="D2888" s="51">
        <f>+D2880+D2881+D2886+D2887+D2882</f>
        <v>1019539.18</v>
      </c>
      <c r="E2888" s="18"/>
      <c r="F2888" s="52">
        <f>+F2880+F2881+F2886+F2887+F2882</f>
        <v>750174.9299999999</v>
      </c>
      <c r="G2888" s="18">
        <f>+G2880+G2881+G2886+G2887+G2882</f>
        <v>269364.2500000001</v>
      </c>
      <c r="I2888" s="51">
        <f>+I2880+I2881+I2886+I2887+I2882</f>
        <v>-927.9000000000001</v>
      </c>
      <c r="J2888" s="52">
        <f>+J2880+J2881+J2886+J2887+J2882</f>
        <v>1015.96</v>
      </c>
      <c r="K2888" s="18">
        <f>+K2880+K2881+K2886+K2887+K2882</f>
        <v>-1943.8600000000001</v>
      </c>
      <c r="L2888" s="18">
        <f>+L2880+L2881+L2886+L2887+L2882</f>
        <v>2754.43</v>
      </c>
      <c r="M2888" s="18">
        <f>+M2880+M2881+M2886+M2887+M2882</f>
        <v>-153385.05</v>
      </c>
      <c r="N2888" s="18">
        <f>+N2880+N2881+N2886+N2887+N2882</f>
        <v>56677.58</v>
      </c>
      <c r="O2888" s="18">
        <f>+O2880+O2881+O2886+O2887+O2882</f>
        <v>-31.8</v>
      </c>
      <c r="P2888" s="42"/>
      <c r="Q2888" s="18">
        <f>+Q2880+Q2881+Q2886+Q2887+Q2882</f>
        <v>0</v>
      </c>
      <c r="R2888" s="18">
        <f>+R2880+R2881+R2886+R2887+R2882</f>
        <v>0</v>
      </c>
      <c r="S2888" s="18"/>
      <c r="T2888" s="18">
        <f>+T2880+T2881+T2886+T2887+T2882</f>
        <v>0</v>
      </c>
      <c r="U2888" s="42"/>
      <c r="V2888" s="18">
        <f>+V2880+V2881+V2886+V2887+V2882</f>
        <v>924626.4400000001</v>
      </c>
      <c r="W2888" s="18">
        <f>+W2880+W2881+W2886+W2887+W2882</f>
        <v>751190.8899999999</v>
      </c>
      <c r="X2888" s="18">
        <f>+X2880+X2881+X2886+X2887+X2882</f>
        <v>173435.55000000022</v>
      </c>
    </row>
    <row r="2889" spans="1:24" ht="15">
      <c r="A2889" s="4"/>
      <c r="B2889" s="24" t="s">
        <v>0</v>
      </c>
      <c r="C2889" s="11"/>
      <c r="D2889" s="27">
        <f>D2888+I2888</f>
        <v>1018611.28</v>
      </c>
      <c r="E2889" s="79" t="s">
        <v>0</v>
      </c>
      <c r="F2889" s="27">
        <f>F2888+J2888</f>
        <v>751190.8899999999</v>
      </c>
      <c r="G2889" s="79" t="s">
        <v>0</v>
      </c>
      <c r="I2889" s="18"/>
      <c r="J2889" s="18"/>
      <c r="K2889" s="18"/>
      <c r="L2889" s="18"/>
      <c r="M2889" s="42"/>
      <c r="N2889" s="73" t="s">
        <v>0</v>
      </c>
      <c r="O2889" s="42"/>
      <c r="P2889" s="42"/>
      <c r="Q2889" s="42"/>
      <c r="U2889" s="42"/>
      <c r="V2889" s="18"/>
      <c r="W2889" s="18"/>
      <c r="X2889" s="18"/>
    </row>
    <row r="2890" spans="1:24" ht="15">
      <c r="A2890" s="4"/>
      <c r="B2890" s="92"/>
      <c r="C2890" s="79" t="s">
        <v>0</v>
      </c>
      <c r="D2890" s="6" t="s">
        <v>48</v>
      </c>
      <c r="E2890" s="6"/>
      <c r="F2890" s="10" t="s">
        <v>49</v>
      </c>
      <c r="G2890" s="10" t="s">
        <v>50</v>
      </c>
      <c r="I2890" s="10" t="s">
        <v>51</v>
      </c>
      <c r="J2890" s="10" t="s">
        <v>52</v>
      </c>
      <c r="K2890" s="10" t="s">
        <v>53</v>
      </c>
      <c r="L2890" s="10" t="s">
        <v>54</v>
      </c>
      <c r="M2890" s="10" t="s">
        <v>55</v>
      </c>
      <c r="N2890" s="10" t="s">
        <v>56</v>
      </c>
      <c r="O2890" s="10" t="s">
        <v>57</v>
      </c>
      <c r="P2890" s="18"/>
      <c r="Q2890" s="10" t="s">
        <v>58</v>
      </c>
      <c r="R2890" s="10" t="s">
        <v>59</v>
      </c>
      <c r="S2890" s="10"/>
      <c r="T2890" s="10" t="s">
        <v>60</v>
      </c>
      <c r="U2890" s="18"/>
      <c r="V2890" s="10" t="s">
        <v>61</v>
      </c>
      <c r="W2890" s="10" t="s">
        <v>62</v>
      </c>
      <c r="X2890" s="10" t="s">
        <v>63</v>
      </c>
    </row>
    <row r="2891" spans="1:24" ht="15">
      <c r="A2891" s="4"/>
      <c r="B2891" s="24"/>
      <c r="C2891" s="11"/>
      <c r="D2891" s="14" t="s">
        <v>20</v>
      </c>
      <c r="E2891" s="18"/>
      <c r="F2891" s="14" t="s">
        <v>20</v>
      </c>
      <c r="G2891" s="14" t="s">
        <v>20</v>
      </c>
      <c r="I2891" s="14" t="s">
        <v>20</v>
      </c>
      <c r="J2891" s="14" t="s">
        <v>21</v>
      </c>
      <c r="K2891" s="14" t="s">
        <v>21</v>
      </c>
      <c r="L2891" s="14" t="s">
        <v>21</v>
      </c>
      <c r="M2891" s="14" t="s">
        <v>21</v>
      </c>
      <c r="N2891" s="14" t="s">
        <v>21</v>
      </c>
      <c r="O2891" s="14" t="s">
        <v>21</v>
      </c>
      <c r="P2891" s="14"/>
      <c r="Q2891" s="14" t="s">
        <v>21</v>
      </c>
      <c r="R2891" s="14" t="s">
        <v>21</v>
      </c>
      <c r="T2891" s="14" t="s">
        <v>21</v>
      </c>
      <c r="U2891" s="42"/>
      <c r="V2891" s="18"/>
      <c r="W2891" s="39" t="s">
        <v>123</v>
      </c>
      <c r="X2891" s="18"/>
    </row>
    <row r="2892" spans="1:24" ht="15">
      <c r="A2892" s="4"/>
      <c r="B2892" s="87" t="s">
        <v>183</v>
      </c>
      <c r="C2892" s="11"/>
      <c r="D2892" s="53" t="s">
        <v>124</v>
      </c>
      <c r="E2892" s="18"/>
      <c r="F2892" s="53" t="s">
        <v>125</v>
      </c>
      <c r="G2892" s="53" t="s">
        <v>126</v>
      </c>
      <c r="I2892" s="53" t="s">
        <v>127</v>
      </c>
      <c r="J2892" s="53" t="s">
        <v>128</v>
      </c>
      <c r="K2892" s="53" t="s">
        <v>129</v>
      </c>
      <c r="L2892" s="53" t="s">
        <v>130</v>
      </c>
      <c r="M2892" s="53" t="s">
        <v>131</v>
      </c>
      <c r="N2892" s="24" t="s">
        <v>132</v>
      </c>
      <c r="O2892" s="24" t="s">
        <v>98</v>
      </c>
      <c r="P2892" s="24"/>
      <c r="Q2892" s="24" t="s">
        <v>99</v>
      </c>
      <c r="R2892" s="24" t="s">
        <v>133</v>
      </c>
      <c r="S2892" s="42"/>
      <c r="T2892" s="24" t="s">
        <v>134</v>
      </c>
      <c r="U2892" s="42"/>
      <c r="V2892" s="10" t="s">
        <v>20</v>
      </c>
      <c r="W2892" s="10" t="s">
        <v>21</v>
      </c>
      <c r="X2892" s="10" t="s">
        <v>22</v>
      </c>
    </row>
    <row r="2893" spans="1:24" ht="15">
      <c r="A2893" s="4"/>
      <c r="B2893" s="24"/>
      <c r="C2893" s="11"/>
      <c r="D2893" s="18"/>
      <c r="E2893" s="18"/>
      <c r="F2893" s="18"/>
      <c r="I2893" s="18"/>
      <c r="J2893" s="18"/>
      <c r="O2893" s="42"/>
      <c r="P2893" s="42"/>
      <c r="Q2893" s="42"/>
      <c r="R2893" s="42"/>
      <c r="S2893" s="42"/>
      <c r="T2893" s="42"/>
      <c r="U2893" s="42"/>
      <c r="V2893" s="18"/>
      <c r="W2893" s="39"/>
      <c r="X2893" s="18"/>
    </row>
    <row r="2894" spans="1:24" ht="15">
      <c r="A2894" s="4">
        <f>+A2888+1</f>
        <v>29</v>
      </c>
      <c r="B2894" s="5" t="s">
        <v>36</v>
      </c>
      <c r="C2894" s="17" t="s">
        <v>37</v>
      </c>
      <c r="D2894" s="18">
        <v>-202.73</v>
      </c>
      <c r="E2894" s="18"/>
      <c r="F2894" s="18">
        <v>0</v>
      </c>
      <c r="G2894" s="18">
        <v>0</v>
      </c>
      <c r="I2894" s="18">
        <v>0</v>
      </c>
      <c r="J2894" s="27">
        <v>-195</v>
      </c>
      <c r="K2894" s="18">
        <v>0</v>
      </c>
      <c r="L2894" s="18">
        <v>0</v>
      </c>
      <c r="M2894" s="18">
        <v>0</v>
      </c>
      <c r="N2894" s="18">
        <v>0</v>
      </c>
      <c r="O2894" s="18">
        <v>0</v>
      </c>
      <c r="P2894" s="18"/>
      <c r="Q2894" s="18">
        <v>0</v>
      </c>
      <c r="R2894" s="18">
        <v>0</v>
      </c>
      <c r="S2894" s="42"/>
      <c r="T2894" s="18">
        <v>0</v>
      </c>
      <c r="U2894" s="42"/>
      <c r="V2894" s="18">
        <f>+V2878+D2894+F2894+G2894+I2894</f>
        <v>969955.7900000002</v>
      </c>
      <c r="W2894" s="18">
        <f>+W2878+J2894+K2894+L2894+M2894+N2894+O2894+Q2894+R2894+T2894</f>
        <v>707275.5</v>
      </c>
      <c r="X2894" s="18">
        <f>+V2894-W2894</f>
        <v>262680.29000000015</v>
      </c>
    </row>
    <row r="2895" spans="1:24" ht="15">
      <c r="A2895" s="4">
        <f>+A2894+1</f>
        <v>30</v>
      </c>
      <c r="B2895" s="5" t="s">
        <v>36</v>
      </c>
      <c r="C2895" s="22" t="s">
        <v>38</v>
      </c>
      <c r="D2895" s="18">
        <v>-202.73</v>
      </c>
      <c r="E2895" s="18"/>
      <c r="F2895" s="18">
        <v>0</v>
      </c>
      <c r="G2895" s="18">
        <v>0</v>
      </c>
      <c r="I2895" s="18">
        <v>0</v>
      </c>
      <c r="J2895" s="27">
        <v>0</v>
      </c>
      <c r="K2895" s="18">
        <v>0</v>
      </c>
      <c r="L2895" s="18">
        <v>0</v>
      </c>
      <c r="M2895" s="18">
        <v>0</v>
      </c>
      <c r="N2895" s="18">
        <v>0</v>
      </c>
      <c r="O2895" s="18">
        <v>0</v>
      </c>
      <c r="P2895" s="18"/>
      <c r="Q2895" s="18">
        <v>0</v>
      </c>
      <c r="R2895" s="18">
        <v>0</v>
      </c>
      <c r="S2895" s="42"/>
      <c r="T2895" s="18">
        <v>0</v>
      </c>
      <c r="U2895" s="42"/>
      <c r="V2895" s="18">
        <f>+V2879+D2895+F2895+G2895+I2895</f>
        <v>961980.67</v>
      </c>
      <c r="W2895" s="18">
        <f>+W2879+J2895+K2895+L2895+M2895+N2895+O2895+Q2895+R2895+T2895</f>
        <v>688373.8600000001</v>
      </c>
      <c r="X2895" s="18">
        <f>+V2895-W2895</f>
        <v>273606.80999999994</v>
      </c>
    </row>
    <row r="2896" spans="1:24" ht="15">
      <c r="A2896" s="4">
        <f>+A2895+1</f>
        <v>31</v>
      </c>
      <c r="B2896" s="24" t="s">
        <v>46</v>
      </c>
      <c r="C2896" s="40" t="s">
        <v>78</v>
      </c>
      <c r="D2896" s="18">
        <f>+D2894-D2895</f>
        <v>0</v>
      </c>
      <c r="E2896" s="18"/>
      <c r="F2896" s="18">
        <f>+F2894-F2895</f>
        <v>0</v>
      </c>
      <c r="G2896" s="18">
        <f>+G2894-G2895</f>
        <v>0</v>
      </c>
      <c r="I2896" s="18">
        <f aca="true" t="shared" si="318" ref="I2896:O2896">+I2894-I2895</f>
        <v>0</v>
      </c>
      <c r="J2896" s="18">
        <f t="shared" si="318"/>
        <v>-195</v>
      </c>
      <c r="K2896" s="18">
        <f t="shared" si="318"/>
        <v>0</v>
      </c>
      <c r="L2896" s="18">
        <f t="shared" si="318"/>
        <v>0</v>
      </c>
      <c r="M2896" s="18">
        <f t="shared" si="318"/>
        <v>0</v>
      </c>
      <c r="N2896" s="18">
        <f t="shared" si="318"/>
        <v>0</v>
      </c>
      <c r="O2896" s="18">
        <f t="shared" si="318"/>
        <v>0</v>
      </c>
      <c r="P2896" s="18"/>
      <c r="Q2896" s="18">
        <f>+Q2894-Q2895</f>
        <v>0</v>
      </c>
      <c r="R2896" s="18">
        <f>+R2894-R2895</f>
        <v>0</v>
      </c>
      <c r="S2896" s="42"/>
      <c r="T2896" s="18">
        <f>+T2894-T2895</f>
        <v>0</v>
      </c>
      <c r="U2896" s="42"/>
      <c r="V2896" s="27">
        <f>+V2894-V2895</f>
        <v>7975.120000000112</v>
      </c>
      <c r="W2896" s="27">
        <f>+W2894-W2895</f>
        <v>18901.639999999898</v>
      </c>
      <c r="X2896" s="18">
        <f>+X2894-X2895</f>
        <v>-10926.519999999786</v>
      </c>
    </row>
    <row r="2897" spans="1:24" ht="28.5">
      <c r="A2897" s="4">
        <f>+A2896+1</f>
        <v>32</v>
      </c>
      <c r="B2897" s="88" t="s">
        <v>182</v>
      </c>
      <c r="C2897" s="11"/>
      <c r="D2897" s="18">
        <v>0</v>
      </c>
      <c r="E2897" s="18"/>
      <c r="F2897" s="18">
        <v>0</v>
      </c>
      <c r="G2897" s="18">
        <v>0</v>
      </c>
      <c r="I2897" s="18">
        <v>0</v>
      </c>
      <c r="J2897" s="18">
        <v>0</v>
      </c>
      <c r="K2897" s="18">
        <v>0</v>
      </c>
      <c r="L2897" s="18">
        <v>0</v>
      </c>
      <c r="M2897" s="18">
        <v>0</v>
      </c>
      <c r="N2897" s="18">
        <v>0</v>
      </c>
      <c r="O2897" s="18">
        <v>0</v>
      </c>
      <c r="P2897" s="18"/>
      <c r="Q2897" s="18">
        <v>0</v>
      </c>
      <c r="R2897" s="18">
        <v>0</v>
      </c>
      <c r="S2897" s="42"/>
      <c r="T2897" s="18">
        <v>0</v>
      </c>
      <c r="U2897" s="42"/>
      <c r="V2897" s="18">
        <f>+V2881+D2897+F2897+G2897+I2897</f>
        <v>0</v>
      </c>
      <c r="W2897" s="18">
        <f>+W2881+J2897+K2897+L2897+M2897+N2897+O2897+Q2897+R2897+T2897</f>
        <v>0</v>
      </c>
      <c r="X2897" s="18">
        <f>+V2897-W2897</f>
        <v>0</v>
      </c>
    </row>
    <row r="2898" spans="1:24" ht="24.75">
      <c r="A2898" s="4">
        <f>+A2897+1</f>
        <v>33</v>
      </c>
      <c r="B2898" s="89" t="s">
        <v>39</v>
      </c>
      <c r="C2898" s="40"/>
      <c r="D2898" s="27">
        <v>-903.03</v>
      </c>
      <c r="E2898" s="27" t="s">
        <v>0</v>
      </c>
      <c r="F2898" s="27">
        <v>0</v>
      </c>
      <c r="G2898" s="27">
        <v>0</v>
      </c>
      <c r="H2898" t="s">
        <v>0</v>
      </c>
      <c r="I2898" s="27">
        <v>0</v>
      </c>
      <c r="J2898" s="27">
        <v>-0.01</v>
      </c>
      <c r="K2898" s="27">
        <v>0</v>
      </c>
      <c r="L2898" s="27">
        <v>0</v>
      </c>
      <c r="M2898" s="18">
        <v>0</v>
      </c>
      <c r="N2898" s="18">
        <v>0</v>
      </c>
      <c r="O2898" s="18">
        <v>0</v>
      </c>
      <c r="P2898" s="18"/>
      <c r="Q2898" s="18">
        <v>0</v>
      </c>
      <c r="R2898" s="18">
        <v>0</v>
      </c>
      <c r="S2898" s="42"/>
      <c r="T2898" s="18">
        <v>0</v>
      </c>
      <c r="U2898" s="42"/>
      <c r="V2898" s="18">
        <f>+V2882+D2898+F2898+G2898+I2898</f>
        <v>-65636.34000000001</v>
      </c>
      <c r="W2898" s="18">
        <f>+W2882+J2898+K2898+L2898+M2898+N2898+O2898+Q2898+R2898+T2898</f>
        <v>8228.77</v>
      </c>
      <c r="X2898" s="36">
        <f>+V2898-W2898</f>
        <v>-73865.11000000002</v>
      </c>
    </row>
    <row r="2899" spans="1:24" ht="15">
      <c r="A2899" s="6" t="s">
        <v>41</v>
      </c>
      <c r="B2899" s="41"/>
      <c r="C2899" s="40"/>
      <c r="D2899" s="18"/>
      <c r="E2899" s="18"/>
      <c r="F2899" s="18"/>
      <c r="G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42"/>
      <c r="T2899" s="18"/>
      <c r="U2899" s="42"/>
      <c r="V2899" s="18"/>
      <c r="W2899" s="54"/>
      <c r="X2899" s="36"/>
    </row>
    <row r="2900" spans="1:24" ht="15">
      <c r="A2900" s="4">
        <f>+A2898+1</f>
        <v>34</v>
      </c>
      <c r="B2900" s="5" t="s">
        <v>42</v>
      </c>
      <c r="C2900" s="22" t="s">
        <v>38</v>
      </c>
      <c r="D2900" s="18">
        <v>-24.78</v>
      </c>
      <c r="E2900" s="18"/>
      <c r="F2900" s="18">
        <v>0</v>
      </c>
      <c r="G2900" s="18">
        <v>0</v>
      </c>
      <c r="I2900" s="18">
        <v>0</v>
      </c>
      <c r="J2900" s="18">
        <v>0</v>
      </c>
      <c r="K2900" s="18">
        <v>0</v>
      </c>
      <c r="L2900" s="18"/>
      <c r="M2900" s="18">
        <v>0</v>
      </c>
      <c r="N2900" s="18">
        <v>0</v>
      </c>
      <c r="O2900" s="18">
        <v>0</v>
      </c>
      <c r="P2900" s="18"/>
      <c r="Q2900" s="18">
        <v>0</v>
      </c>
      <c r="R2900" s="18">
        <v>0</v>
      </c>
      <c r="S2900" s="42"/>
      <c r="T2900" s="18">
        <v>0</v>
      </c>
      <c r="U2900" s="42"/>
      <c r="V2900" s="18">
        <f>+V2884+D2900+F2900+G2900+I2900</f>
        <v>981359.85</v>
      </c>
      <c r="W2900" s="18">
        <f>+W2884+J2900+K2900+L2900+M2900+N2900+O2900+Q2900+R2900+T2900</f>
        <v>723865.47</v>
      </c>
      <c r="X2900" s="18">
        <f>+V2900-W2900</f>
        <v>257494.38</v>
      </c>
    </row>
    <row r="2901" spans="1:24" ht="15">
      <c r="A2901" s="4">
        <f>+A2900+1</f>
        <v>35</v>
      </c>
      <c r="B2901" s="5" t="s">
        <v>43</v>
      </c>
      <c r="C2901" s="11"/>
      <c r="D2901" s="18">
        <v>0</v>
      </c>
      <c r="E2901" s="18"/>
      <c r="F2901" s="18">
        <v>0</v>
      </c>
      <c r="G2901" s="18">
        <v>0</v>
      </c>
      <c r="I2901" s="18">
        <v>0</v>
      </c>
      <c r="J2901" s="18">
        <v>0</v>
      </c>
      <c r="K2901" s="18">
        <v>0</v>
      </c>
      <c r="L2901" s="18">
        <v>0</v>
      </c>
      <c r="M2901" s="18">
        <v>0</v>
      </c>
      <c r="N2901" s="18">
        <v>0</v>
      </c>
      <c r="O2901" s="18">
        <v>0</v>
      </c>
      <c r="P2901" s="18"/>
      <c r="Q2901" s="18">
        <v>0</v>
      </c>
      <c r="R2901" s="18">
        <v>0</v>
      </c>
      <c r="S2901" s="42"/>
      <c r="T2901" s="18">
        <v>0</v>
      </c>
      <c r="U2901" s="42"/>
      <c r="V2901" s="18">
        <f>+V2885+D2901+F2901+G2901+I2901</f>
        <v>0</v>
      </c>
      <c r="W2901" s="18">
        <f>+W2885+J2901+K2901+L2901+M2901+N2901+O2901+Q2901+R2901+T2901</f>
        <v>0</v>
      </c>
      <c r="X2901" s="18">
        <f>+V2901-W2901</f>
        <v>0</v>
      </c>
    </row>
    <row r="2902" spans="1:24" ht="26.25">
      <c r="A2902" s="4">
        <f>+A2901+1</f>
        <v>36</v>
      </c>
      <c r="B2902" s="24" t="s">
        <v>79</v>
      </c>
      <c r="C2902" s="11"/>
      <c r="D2902" s="18">
        <f>+D2900-D2901</f>
        <v>-24.78</v>
      </c>
      <c r="E2902" s="18"/>
      <c r="F2902" s="18">
        <f>+F2900-F2901</f>
        <v>0</v>
      </c>
      <c r="G2902" s="18">
        <f>+G2900-G2901</f>
        <v>0</v>
      </c>
      <c r="I2902" s="18">
        <f aca="true" t="shared" si="319" ref="I2902:O2902">+I2900-I2901</f>
        <v>0</v>
      </c>
      <c r="J2902" s="18">
        <f t="shared" si="319"/>
        <v>0</v>
      </c>
      <c r="K2902" s="18">
        <f t="shared" si="319"/>
        <v>0</v>
      </c>
      <c r="L2902" s="18">
        <f t="shared" si="319"/>
        <v>0</v>
      </c>
      <c r="M2902" s="18">
        <f t="shared" si="319"/>
        <v>0</v>
      </c>
      <c r="N2902" s="18">
        <f t="shared" si="319"/>
        <v>0</v>
      </c>
      <c r="O2902" s="18">
        <f t="shared" si="319"/>
        <v>0</v>
      </c>
      <c r="P2902" s="18"/>
      <c r="Q2902" s="18">
        <f>+Q2900-Q2901</f>
        <v>0</v>
      </c>
      <c r="R2902" s="18">
        <f>+R2900-R2901</f>
        <v>0</v>
      </c>
      <c r="S2902" s="42"/>
      <c r="T2902" s="18">
        <f>+T2900-T2901</f>
        <v>0</v>
      </c>
      <c r="U2902" s="42"/>
      <c r="V2902" s="55">
        <f>+V2900-V2901</f>
        <v>981359.85</v>
      </c>
      <c r="W2902" s="55">
        <f>+W2900-W2901</f>
        <v>723865.47</v>
      </c>
      <c r="X2902" s="31">
        <f>+X2900-X2901</f>
        <v>257494.38</v>
      </c>
    </row>
    <row r="2903" spans="1:24" ht="28.5">
      <c r="A2903" s="4">
        <f>+A2902+1</f>
        <v>37</v>
      </c>
      <c r="B2903" s="88" t="s">
        <v>181</v>
      </c>
      <c r="C2903" s="11"/>
      <c r="D2903" s="18">
        <v>0</v>
      </c>
      <c r="E2903" s="18"/>
      <c r="F2903" s="18">
        <v>0</v>
      </c>
      <c r="G2903" s="18">
        <v>0</v>
      </c>
      <c r="I2903" s="18">
        <v>0</v>
      </c>
      <c r="J2903" s="18">
        <v>0</v>
      </c>
      <c r="K2903" s="18">
        <v>0</v>
      </c>
      <c r="L2903" s="18">
        <v>0</v>
      </c>
      <c r="M2903" s="18">
        <v>0</v>
      </c>
      <c r="N2903" s="18">
        <v>0</v>
      </c>
      <c r="O2903" s="18">
        <v>0</v>
      </c>
      <c r="P2903" s="18"/>
      <c r="Q2903" s="18">
        <v>0</v>
      </c>
      <c r="R2903" s="18">
        <v>0</v>
      </c>
      <c r="S2903" s="42"/>
      <c r="T2903" s="18">
        <v>0</v>
      </c>
      <c r="U2903" s="42"/>
      <c r="V2903" s="18">
        <f>+V2887+D2903+F2903+G2903+I2903</f>
        <v>0</v>
      </c>
      <c r="W2903" s="18">
        <f>+W2887+J2903+K2903+L2903+M2903+N2903+O2903+Q2903+R2903+T2903</f>
        <v>0</v>
      </c>
      <c r="X2903" s="18">
        <f>+V2903-W2903</f>
        <v>0</v>
      </c>
    </row>
    <row r="2904" spans="1:24" ht="15">
      <c r="A2904" s="4">
        <f>+A2903+1</f>
        <v>38</v>
      </c>
      <c r="B2904" s="24" t="s">
        <v>46</v>
      </c>
      <c r="C2904" s="11" t="s">
        <v>47</v>
      </c>
      <c r="D2904" s="18">
        <f>+D2896+D2897+D2902+D2903+D2898</f>
        <v>-927.81</v>
      </c>
      <c r="E2904" s="18"/>
      <c r="F2904" s="18">
        <f>+F2896+F2897+F2902+F2903+F2898</f>
        <v>0</v>
      </c>
      <c r="G2904" s="18">
        <f>+G2896+G2897+G2902+G2903+G2898</f>
        <v>0</v>
      </c>
      <c r="I2904" s="18">
        <f>+I2896+I2897+I2902+I2903+I2898</f>
        <v>0</v>
      </c>
      <c r="J2904" s="18">
        <f>+J2896+J2897+J2902+J2903+J2898</f>
        <v>-195.01</v>
      </c>
      <c r="K2904" s="18">
        <f>+K2896+K2897+K2902+K2903+K2898</f>
        <v>0</v>
      </c>
      <c r="L2904" s="18">
        <f>+L2896+L2897+L2902+L2903+L2898</f>
        <v>0</v>
      </c>
      <c r="M2904" s="18">
        <f>+M2896+M2897+M2902+M2903+M2898</f>
        <v>0</v>
      </c>
      <c r="N2904" s="18">
        <f>+N2896+N2897+N2902+N2903+N2898</f>
        <v>0</v>
      </c>
      <c r="O2904" s="18">
        <f>+O2896+O2897+O2902+O2903+O2898</f>
        <v>0</v>
      </c>
      <c r="P2904" s="18"/>
      <c r="Q2904" s="18">
        <f>+Q2896+Q2897+Q2902+Q2903+Q2898</f>
        <v>0</v>
      </c>
      <c r="R2904" s="18">
        <f>+R2896+R2897+R2902+R2903+R2898</f>
        <v>0</v>
      </c>
      <c r="S2904" s="18"/>
      <c r="T2904" s="18">
        <f>+T2896+T2897+T2902+T2903+T2898</f>
        <v>0</v>
      </c>
      <c r="U2904" s="42"/>
      <c r="V2904" s="18">
        <f>+V2896+V2897+V2902+V2903+V2898</f>
        <v>923698.6300000001</v>
      </c>
      <c r="W2904" s="18">
        <f>+W2896+W2897+W2902+W2903+W2898</f>
        <v>750995.8799999999</v>
      </c>
      <c r="X2904" s="18">
        <f>+X2896+X2897+X2902+X2903+X2898</f>
        <v>172702.7500000002</v>
      </c>
    </row>
    <row r="2905" spans="1:24" ht="15">
      <c r="A2905" s="4"/>
      <c r="B2905" s="24"/>
      <c r="C2905" s="11"/>
      <c r="D2905" s="18"/>
      <c r="E2905" s="18"/>
      <c r="F2905" s="18"/>
      <c r="G2905" s="18"/>
      <c r="N2905" s="42"/>
      <c r="O2905" s="42"/>
      <c r="P2905" s="42"/>
      <c r="Q2905" s="42"/>
      <c r="R2905" s="42"/>
      <c r="S2905" s="42"/>
      <c r="T2905" s="42"/>
      <c r="U2905" s="42"/>
      <c r="V2905" s="18"/>
      <c r="W2905" s="18"/>
      <c r="X2905" s="18"/>
    </row>
    <row r="2906" spans="1:24" ht="15">
      <c r="A2906" s="4"/>
      <c r="B2906" s="24"/>
      <c r="C2906" s="11"/>
      <c r="D2906" s="18"/>
      <c r="E2906" s="18"/>
      <c r="F2906" s="18"/>
      <c r="G2906" s="18"/>
      <c r="L2906" s="42"/>
      <c r="M2906" s="42"/>
      <c r="N2906" s="42"/>
      <c r="O2906" s="42"/>
      <c r="P2906" s="42"/>
      <c r="Q2906" s="42"/>
      <c r="R2906" s="42"/>
      <c r="S2906" s="42"/>
      <c r="T2906" s="42"/>
      <c r="U2906" s="42"/>
      <c r="V2906" s="18"/>
      <c r="W2906" s="18"/>
      <c r="X2906" s="18"/>
    </row>
    <row r="2907" spans="1:24" ht="15">
      <c r="A2907" s="4"/>
      <c r="B2907" s="24"/>
      <c r="C2907" s="11"/>
      <c r="D2907" s="18"/>
      <c r="E2907" s="18"/>
      <c r="F2907" s="18"/>
      <c r="G2907" s="18"/>
      <c r="L2907" s="42"/>
      <c r="M2907" s="42"/>
      <c r="N2907" s="42"/>
      <c r="O2907" s="42"/>
      <c r="P2907" s="42"/>
      <c r="Q2907" s="42"/>
      <c r="R2907" s="42"/>
      <c r="S2907" s="42"/>
      <c r="T2907" s="42"/>
      <c r="U2907" s="42"/>
      <c r="V2907" s="18"/>
      <c r="W2907" s="18"/>
      <c r="X2907" s="18"/>
    </row>
    <row r="2908" spans="1:24" ht="15">
      <c r="A2908" s="4"/>
      <c r="B2908" s="24"/>
      <c r="C2908" s="11"/>
      <c r="D2908" s="18"/>
      <c r="E2908" s="18"/>
      <c r="F2908" s="18"/>
      <c r="G2908" s="18"/>
      <c r="H2908" s="56"/>
      <c r="L2908" s="42"/>
      <c r="M2908" s="42"/>
      <c r="N2908" s="42"/>
      <c r="O2908" s="42"/>
      <c r="P2908" s="42"/>
      <c r="Q2908" s="42"/>
      <c r="R2908" s="42"/>
      <c r="S2908" s="42"/>
      <c r="T2908" s="42"/>
      <c r="U2908" s="42"/>
      <c r="V2908" s="18"/>
      <c r="W2908" s="18"/>
      <c r="X2908" s="18"/>
    </row>
    <row r="2909" spans="1:24" ht="15">
      <c r="A2909" s="4"/>
      <c r="B2909" s="24"/>
      <c r="C2909" s="11"/>
      <c r="D2909" s="18"/>
      <c r="E2909" s="18"/>
      <c r="F2909" s="18"/>
      <c r="G2909" s="18"/>
      <c r="H2909" s="56"/>
      <c r="I2909" s="57" t="s">
        <v>135</v>
      </c>
      <c r="L2909" s="42"/>
      <c r="M2909" s="42"/>
      <c r="N2909" s="42"/>
      <c r="O2909" s="42"/>
      <c r="P2909" s="42"/>
      <c r="Q2909" s="42"/>
      <c r="R2909" s="42"/>
      <c r="S2909" s="42"/>
      <c r="T2909" s="42"/>
      <c r="U2909" s="42"/>
      <c r="V2909" s="18"/>
      <c r="W2909" s="18"/>
      <c r="X2909" s="18"/>
    </row>
    <row r="2910" spans="1:24" ht="15">
      <c r="A2910" s="4"/>
      <c r="B2910" s="24"/>
      <c r="C2910" s="11"/>
      <c r="D2910" s="18"/>
      <c r="E2910" s="18"/>
      <c r="F2910" s="18"/>
      <c r="G2910" s="18"/>
      <c r="H2910" s="56"/>
      <c r="I2910" s="58"/>
      <c r="L2910" s="42"/>
      <c r="T2910" s="42"/>
      <c r="U2910" s="42"/>
      <c r="V2910" s="18"/>
      <c r="W2910" s="18"/>
      <c r="X2910" s="18"/>
    </row>
    <row r="2911" spans="1:24" ht="15">
      <c r="A2911" s="4"/>
      <c r="B2911" s="24"/>
      <c r="C2911" s="11"/>
      <c r="D2911" s="18"/>
      <c r="E2911" s="18"/>
      <c r="F2911" s="18"/>
      <c r="G2911" s="18"/>
      <c r="H2911" s="56"/>
      <c r="I2911" s="59" t="s">
        <v>136</v>
      </c>
      <c r="L2911" s="75">
        <v>2841103.84</v>
      </c>
      <c r="T2911" s="42"/>
      <c r="U2911" s="42"/>
      <c r="V2911" s="18"/>
      <c r="W2911" s="18"/>
      <c r="X2911" s="18"/>
    </row>
    <row r="2912" spans="1:24" ht="15">
      <c r="A2912" s="4"/>
      <c r="B2912" s="24"/>
      <c r="C2912" s="11"/>
      <c r="D2912" s="18"/>
      <c r="E2912" s="18"/>
      <c r="F2912" s="18"/>
      <c r="G2912" s="18"/>
      <c r="H2912" s="56"/>
      <c r="I2912" s="59"/>
      <c r="L2912" s="18"/>
      <c r="T2912" s="42"/>
      <c r="U2912" s="42"/>
      <c r="V2912" s="18"/>
      <c r="W2912" s="18"/>
      <c r="X2912" s="18"/>
    </row>
    <row r="2913" spans="1:24" ht="15">
      <c r="A2913" s="4"/>
      <c r="B2913" s="24"/>
      <c r="C2913" s="11"/>
      <c r="D2913" s="44" t="s">
        <v>137</v>
      </c>
      <c r="E2913" s="18"/>
      <c r="F2913" s="10" t="s">
        <v>138</v>
      </c>
      <c r="G2913" s="44" t="s">
        <v>24</v>
      </c>
      <c r="H2913" s="56"/>
      <c r="I2913" s="59" t="s">
        <v>139</v>
      </c>
      <c r="L2913" s="27">
        <v>0</v>
      </c>
      <c r="N2913" s="6" t="s">
        <v>137</v>
      </c>
      <c r="O2913" s="6" t="s">
        <v>137</v>
      </c>
      <c r="P2913" s="42"/>
      <c r="Q2913" s="6" t="s">
        <v>138</v>
      </c>
      <c r="R2913" s="6" t="s">
        <v>138</v>
      </c>
      <c r="S2913" s="6"/>
      <c r="T2913" s="42"/>
      <c r="U2913" s="42"/>
      <c r="V2913" s="18"/>
      <c r="W2913" s="18"/>
      <c r="X2913" s="18"/>
    </row>
    <row r="2914" spans="1:24" ht="15">
      <c r="A2914" s="4"/>
      <c r="B2914" s="24"/>
      <c r="C2914" s="11"/>
      <c r="D2914" s="18"/>
      <c r="E2914" s="18"/>
      <c r="F2914" s="18"/>
      <c r="G2914" s="18"/>
      <c r="H2914" s="56"/>
      <c r="I2914" s="59"/>
      <c r="L2914" s="18"/>
      <c r="N2914" s="8" t="s">
        <v>140</v>
      </c>
      <c r="O2914" s="49" t="s">
        <v>141</v>
      </c>
      <c r="P2914" s="42"/>
      <c r="Q2914" s="8" t="s">
        <v>140</v>
      </c>
      <c r="R2914" s="49" t="s">
        <v>141</v>
      </c>
      <c r="S2914" s="49"/>
      <c r="T2914" s="42"/>
      <c r="U2914" s="42"/>
      <c r="V2914" s="18"/>
      <c r="W2914" s="18"/>
      <c r="X2914" s="18"/>
    </row>
    <row r="2915" spans="1:24" ht="15">
      <c r="A2915" s="4">
        <f>+A2903+1</f>
        <v>38</v>
      </c>
      <c r="B2915" s="5" t="s">
        <v>36</v>
      </c>
      <c r="C2915" s="17" t="s">
        <v>37</v>
      </c>
      <c r="D2915" s="31">
        <f>+V2860+V2894</f>
        <v>15013092.290000005</v>
      </c>
      <c r="E2915" s="18"/>
      <c r="F2915" s="31">
        <f>+W2860+W2894</f>
        <v>11184739.14</v>
      </c>
      <c r="G2915" s="18">
        <f>+D2915-F2915</f>
        <v>3828353.150000004</v>
      </c>
      <c r="H2915" s="56"/>
      <c r="I2915" s="59" t="s">
        <v>142</v>
      </c>
      <c r="J2915" s="18"/>
      <c r="K2915" s="18"/>
      <c r="L2915" s="36">
        <v>2435405.62</v>
      </c>
      <c r="N2915" s="60"/>
      <c r="O2915" s="6"/>
      <c r="P2915" s="42"/>
      <c r="Q2915" s="61"/>
      <c r="R2915" s="61"/>
      <c r="S2915" s="61"/>
      <c r="T2915" s="42"/>
      <c r="U2915" s="42"/>
      <c r="V2915" s="18"/>
      <c r="W2915" s="18"/>
      <c r="X2915" s="18"/>
    </row>
    <row r="2916" spans="1:21" ht="15">
      <c r="A2916" s="4">
        <f>+A2915+1</f>
        <v>39</v>
      </c>
      <c r="B2916" s="5" t="s">
        <v>36</v>
      </c>
      <c r="C2916" s="22" t="s">
        <v>38</v>
      </c>
      <c r="D2916" s="31">
        <f>+V2861+V2895</f>
        <v>14981055.080000002</v>
      </c>
      <c r="E2916" s="18"/>
      <c r="F2916" s="31">
        <f>+W2861+W2895</f>
        <v>11060494.43</v>
      </c>
      <c r="G2916" s="18">
        <f>+D2916-F2916</f>
        <v>3920560.6500000022</v>
      </c>
      <c r="H2916" s="56"/>
      <c r="I2916" s="58"/>
      <c r="J2916" s="18"/>
      <c r="K2916" s="18"/>
      <c r="L2916" s="60"/>
      <c r="N2916" s="62">
        <f>+D2917</f>
        <v>32037.210000002757</v>
      </c>
      <c r="O2916" s="63">
        <f>+D2923</f>
        <v>3678276.4</v>
      </c>
      <c r="P2916" s="42"/>
      <c r="Q2916" s="31">
        <f>+F2827</f>
        <v>105343.0700000003</v>
      </c>
      <c r="R2916" s="31">
        <f>+F2829</f>
        <v>0</v>
      </c>
      <c r="S2916" s="31"/>
      <c r="T2916" s="42"/>
      <c r="U2916" s="42"/>
    </row>
    <row r="2917" spans="1:24" ht="15">
      <c r="A2917" s="4">
        <f>+A2916+1</f>
        <v>40</v>
      </c>
      <c r="B2917" s="24" t="s">
        <v>46</v>
      </c>
      <c r="C2917" s="40" t="s">
        <v>78</v>
      </c>
      <c r="D2917" s="26">
        <f>+D2915-D2916</f>
        <v>32037.210000002757</v>
      </c>
      <c r="E2917" s="18"/>
      <c r="F2917" s="26">
        <f>+F2915-F2916</f>
        <v>124244.7100000009</v>
      </c>
      <c r="G2917" s="18">
        <f>+G2915-G2916</f>
        <v>-92207.49999999814</v>
      </c>
      <c r="H2917" s="56"/>
      <c r="I2917" s="58" t="s">
        <v>143</v>
      </c>
      <c r="J2917" s="18"/>
      <c r="K2917" s="18"/>
      <c r="L2917">
        <v>0</v>
      </c>
      <c r="N2917" s="62">
        <f>+D2918</f>
        <v>0</v>
      </c>
      <c r="O2917" s="63">
        <f>+D2924</f>
        <v>0</v>
      </c>
      <c r="P2917" s="42"/>
      <c r="Q2917" s="31">
        <f>+F2828</f>
        <v>0</v>
      </c>
      <c r="R2917" s="31">
        <f>+F2833</f>
        <v>2330062.55</v>
      </c>
      <c r="S2917" s="31"/>
      <c r="U2917" s="18"/>
      <c r="V2917" s="10" t="s">
        <v>20</v>
      </c>
      <c r="W2917" s="10" t="s">
        <v>21</v>
      </c>
      <c r="X2917" s="10" t="s">
        <v>22</v>
      </c>
    </row>
    <row r="2918" spans="1:21" ht="28.5">
      <c r="A2918" s="4">
        <f>+A2917+1</f>
        <v>41</v>
      </c>
      <c r="B2918" s="88" t="s">
        <v>182</v>
      </c>
      <c r="C2918" s="11"/>
      <c r="D2918" s="26">
        <f>+V2863+V2897</f>
        <v>0</v>
      </c>
      <c r="E2918" s="26"/>
      <c r="F2918" s="26">
        <f>+W2863+W2897</f>
        <v>0</v>
      </c>
      <c r="G2918" s="18">
        <f>+D2918-F2918</f>
        <v>0</v>
      </c>
      <c r="H2918" s="56"/>
      <c r="I2918" s="58"/>
      <c r="J2918" s="18"/>
      <c r="K2918" s="18"/>
      <c r="L2918" s="60" t="s">
        <v>144</v>
      </c>
      <c r="N2918" s="62">
        <f>+F2917</f>
        <v>124244.7100000009</v>
      </c>
      <c r="O2918" s="63">
        <f>+F2923</f>
        <v>3053928.0199999996</v>
      </c>
      <c r="P2918" s="42"/>
      <c r="R2918" s="31">
        <f>+F2834</f>
        <v>0</v>
      </c>
      <c r="S2918" s="31"/>
      <c r="U2918" s="18"/>
    </row>
    <row r="2919" spans="1:25" ht="24.75">
      <c r="A2919" s="4">
        <f>+A2918+1</f>
        <v>42</v>
      </c>
      <c r="B2919" s="89" t="s">
        <v>39</v>
      </c>
      <c r="C2919" s="40"/>
      <c r="D2919" s="30">
        <f>+V2864+V2898</f>
        <v>-118213.89000000001</v>
      </c>
      <c r="E2919" s="30"/>
      <c r="F2919" s="30">
        <f>+W2864+W2898</f>
        <v>8228.77</v>
      </c>
      <c r="G2919" s="18">
        <f>+D2919-F2919</f>
        <v>-126442.66000000002</v>
      </c>
      <c r="H2919" s="56"/>
      <c r="I2919" s="64" t="s">
        <v>145</v>
      </c>
      <c r="J2919" s="18"/>
      <c r="K2919" s="18"/>
      <c r="L2919" s="83">
        <f>+L2911-L2913-L2915-L2917</f>
        <v>405698.21999999974</v>
      </c>
      <c r="N2919" s="62">
        <f>+F2918</f>
        <v>0</v>
      </c>
      <c r="O2919" s="63">
        <f>+F2924</f>
        <v>0</v>
      </c>
      <c r="P2919" s="42"/>
      <c r="Q2919" s="31"/>
      <c r="R2919" s="31"/>
      <c r="S2919" s="31"/>
      <c r="U2919" s="65"/>
      <c r="V2919" s="66"/>
      <c r="W2919" s="66"/>
      <c r="X2919" s="65"/>
      <c r="Y2919" s="84"/>
    </row>
    <row r="2920" spans="1:25" ht="15">
      <c r="A2920" s="6" t="s">
        <v>41</v>
      </c>
      <c r="B2920" s="41"/>
      <c r="C2920" s="40"/>
      <c r="D2920" s="18"/>
      <c r="E2920" s="18"/>
      <c r="F2920" s="18"/>
      <c r="G2920" s="18"/>
      <c r="H2920" s="56"/>
      <c r="I2920" s="58"/>
      <c r="J2920" s="18"/>
      <c r="K2920" s="18"/>
      <c r="N2920" s="62">
        <f>+F2827</f>
        <v>105343.0700000003</v>
      </c>
      <c r="O2920" s="63">
        <f>+F2833</f>
        <v>2330062.55</v>
      </c>
      <c r="P2920" s="42"/>
      <c r="Q2920" s="31"/>
      <c r="U2920" s="65"/>
      <c r="V2920" s="67"/>
      <c r="W2920" s="67"/>
      <c r="X2920" s="68"/>
      <c r="Y2920" s="84"/>
    </row>
    <row r="2921" spans="1:25" ht="15">
      <c r="A2921" s="4">
        <f>+A2919+1</f>
        <v>43</v>
      </c>
      <c r="B2921" s="5" t="s">
        <v>42</v>
      </c>
      <c r="C2921" s="22" t="s">
        <v>38</v>
      </c>
      <c r="D2921" s="31">
        <f>+V2866+V2900</f>
        <v>3678276.4</v>
      </c>
      <c r="E2921" s="18"/>
      <c r="F2921" s="31">
        <f>+W2866+W2900</f>
        <v>3053928.0199999996</v>
      </c>
      <c r="G2921" s="18">
        <f>+D2921-F2921</f>
        <v>624348.3800000004</v>
      </c>
      <c r="H2921" s="56"/>
      <c r="I2921" s="59" t="s">
        <v>22</v>
      </c>
      <c r="J2921" s="18"/>
      <c r="K2921" s="18"/>
      <c r="L2921" s="30">
        <f>+X2926</f>
        <v>405698.22000000207</v>
      </c>
      <c r="N2921" s="62"/>
      <c r="O2921" s="63">
        <f>+D2919</f>
        <v>-118213.89000000001</v>
      </c>
      <c r="P2921" s="42"/>
      <c r="Q2921" s="31"/>
      <c r="R2921" s="31"/>
      <c r="S2921" s="31"/>
      <c r="T2921" s="69" t="s">
        <v>78</v>
      </c>
      <c r="U2921" s="65"/>
      <c r="V2921" s="26">
        <f>+D2917+D2918-F2917-F2918+F2827</f>
        <v>13135.57000000216</v>
      </c>
      <c r="W2921" s="26">
        <f>+F2827+F2828</f>
        <v>105343.0700000003</v>
      </c>
      <c r="X2921" s="26">
        <f>+V2921-W2921</f>
        <v>-92207.49999999814</v>
      </c>
      <c r="Y2921" s="85"/>
    </row>
    <row r="2922" spans="1:25" ht="15">
      <c r="A2922" s="4">
        <f>+A2921+1</f>
        <v>44</v>
      </c>
      <c r="B2922" s="5" t="s">
        <v>43</v>
      </c>
      <c r="C2922" s="11"/>
      <c r="D2922" s="31">
        <f>+V2867+V2901</f>
        <v>0</v>
      </c>
      <c r="E2922" s="18"/>
      <c r="F2922" s="31">
        <f>+W2867+W2901</f>
        <v>0</v>
      </c>
      <c r="G2922" s="18">
        <f>+D2922-F2922</f>
        <v>0</v>
      </c>
      <c r="H2922" s="56"/>
      <c r="I2922" s="59"/>
      <c r="J2922" s="18"/>
      <c r="K2922" s="18"/>
      <c r="L2922" s="60" t="s">
        <v>144</v>
      </c>
      <c r="O2922" s="63">
        <f>+F2919</f>
        <v>8228.77</v>
      </c>
      <c r="P2922" s="42"/>
      <c r="Q2922" s="31"/>
      <c r="R2922" s="31"/>
      <c r="S2922" s="31"/>
      <c r="T2922" s="11" t="s">
        <v>146</v>
      </c>
      <c r="U2922" s="65"/>
      <c r="V2922" s="30">
        <f>+D2923+D2924-F2923-F2924+F2833+D2919-F2919+F2829</f>
        <v>2827968.27</v>
      </c>
      <c r="W2922" s="30">
        <f>+F2829+F2833+F2834</f>
        <v>2330062.55</v>
      </c>
      <c r="X2922" s="30">
        <f>+V2922-W2922</f>
        <v>497905.7200000002</v>
      </c>
      <c r="Y2922" s="85"/>
    </row>
    <row r="2923" spans="1:25" ht="26.25">
      <c r="A2923" s="4">
        <f>+A2922+1</f>
        <v>45</v>
      </c>
      <c r="B2923" s="24" t="s">
        <v>79</v>
      </c>
      <c r="C2923" s="11"/>
      <c r="D2923" s="30">
        <f>+D2921-D2922</f>
        <v>3678276.4</v>
      </c>
      <c r="E2923" s="18"/>
      <c r="F2923" s="30">
        <f>+F2921-F2922</f>
        <v>3053928.0199999996</v>
      </c>
      <c r="G2923" s="18">
        <f>+G2921-G2922</f>
        <v>624348.3800000004</v>
      </c>
      <c r="H2923" s="56"/>
      <c r="I2923" s="58"/>
      <c r="J2923" s="18"/>
      <c r="K2923" s="18"/>
      <c r="N2923" s="62"/>
      <c r="O2923" s="63">
        <f>+F2829</f>
        <v>0</v>
      </c>
      <c r="P2923" s="42"/>
      <c r="Q2923" s="31"/>
      <c r="R2923" s="31"/>
      <c r="S2923" s="31"/>
      <c r="T2923" s="11"/>
      <c r="U2923" s="65"/>
      <c r="V2923" s="30"/>
      <c r="W2923" s="30"/>
      <c r="X2923" s="30"/>
      <c r="Y2923" s="65"/>
    </row>
    <row r="2924" spans="1:25" ht="28.5">
      <c r="A2924" s="4">
        <f>+A2923+1</f>
        <v>46</v>
      </c>
      <c r="B2924" s="88" t="s">
        <v>181</v>
      </c>
      <c r="C2924" s="11"/>
      <c r="D2924" s="30">
        <f>+V2869+V2903</f>
        <v>0</v>
      </c>
      <c r="E2924" s="30"/>
      <c r="F2924" s="30">
        <f>+W2869+W2903</f>
        <v>0</v>
      </c>
      <c r="G2924" s="18">
        <f>+D2924-F2924</f>
        <v>0</v>
      </c>
      <c r="H2924" s="56"/>
      <c r="N2924" s="62"/>
      <c r="O2924" s="62"/>
      <c r="P2924" s="42"/>
      <c r="Q2924" s="31"/>
      <c r="R2924" s="31"/>
      <c r="S2924" s="31"/>
      <c r="T2924" s="11"/>
      <c r="U2924" s="65"/>
      <c r="V2924" s="30"/>
      <c r="W2924" s="30"/>
      <c r="X2924" s="30"/>
      <c r="Y2924" s="65"/>
    </row>
    <row r="2925" spans="1:25" ht="15">
      <c r="A2925" s="4">
        <f>+A2924+1</f>
        <v>47</v>
      </c>
      <c r="B2925" s="24" t="s">
        <v>46</v>
      </c>
      <c r="C2925" s="11" t="s">
        <v>47</v>
      </c>
      <c r="D2925" s="18">
        <f>+D2917+D2918+D2923+D2924+D2919</f>
        <v>3592099.7200000025</v>
      </c>
      <c r="E2925" s="18"/>
      <c r="F2925" s="18">
        <f>+F2917+F2918+F2923+F2924+F2919</f>
        <v>3186401.5000000005</v>
      </c>
      <c r="G2925" s="18">
        <f>+G2917+G2918+G2923+G2924+G2919</f>
        <v>405698.2200000022</v>
      </c>
      <c r="H2925" s="56"/>
      <c r="I2925" s="59" t="s">
        <v>147</v>
      </c>
      <c r="J2925" s="18"/>
      <c r="K2925" s="18"/>
      <c r="L2925" s="61">
        <f>+L2919-L2921</f>
        <v>-2.3283064365386963E-09</v>
      </c>
      <c r="N2925" s="70">
        <f>+N2916+N2917-N2918-N2919+N2920</f>
        <v>13135.57000000216</v>
      </c>
      <c r="O2925" s="71">
        <f>+O2916+O2917-O2918-O2919+O2920+O2921-O2922+O2923</f>
        <v>2827968.27</v>
      </c>
      <c r="P2925" s="42"/>
      <c r="Q2925" s="26">
        <f>SUM(Q2916:Q2917)</f>
        <v>105343.0700000003</v>
      </c>
      <c r="R2925" s="30">
        <f>SUM(R2916:R2919)</f>
        <v>2330062.55</v>
      </c>
      <c r="S2925" s="30"/>
      <c r="T2925" s="11"/>
      <c r="U2925" s="65"/>
      <c r="V2925" s="30"/>
      <c r="W2925" s="30"/>
      <c r="X2925" s="30"/>
      <c r="Y2925" s="65"/>
    </row>
    <row r="2926" spans="1:25" ht="15">
      <c r="A2926" s="4"/>
      <c r="B2926" s="24"/>
      <c r="C2926" s="11"/>
      <c r="D2926" s="18"/>
      <c r="E2926" s="18"/>
      <c r="F2926" s="18"/>
      <c r="G2926" s="18"/>
      <c r="H2926" s="56"/>
      <c r="L2926" s="60" t="s">
        <v>148</v>
      </c>
      <c r="M2926" s="42"/>
      <c r="N2926" s="42"/>
      <c r="O2926" s="42"/>
      <c r="P2926" s="42"/>
      <c r="Q2926" s="42"/>
      <c r="R2926" s="42"/>
      <c r="S2926" s="42"/>
      <c r="T2926" s="10" t="s">
        <v>22</v>
      </c>
      <c r="U2926" s="65"/>
      <c r="V2926" s="36"/>
      <c r="W2926" s="36"/>
      <c r="X2926" s="36">
        <f>+X2921+X2922</f>
        <v>405698.22000000207</v>
      </c>
      <c r="Y2926" s="6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2015-03-18T14:08:18Z</dcterms:created>
  <dcterms:modified xsi:type="dcterms:W3CDTF">2015-03-18T15:21:35Z</dcterms:modified>
  <cp:category/>
  <cp:version/>
  <cp:contentType/>
  <cp:contentStatus/>
</cp:coreProperties>
</file>