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320" windowWidth="22992" windowHeight="13740" tabRatio="862" firstSheet="7" activeTab="14"/>
  </bookViews>
  <sheets>
    <sheet name="November 2012" sheetId="1" r:id="rId1"/>
    <sheet name="December 2012" sheetId="2" r:id="rId2"/>
    <sheet name="January 2013" sheetId="3" r:id="rId3"/>
    <sheet name="February 2013" sheetId="4" r:id="rId4"/>
    <sheet name="March 2013" sheetId="5" r:id="rId5"/>
    <sheet name="April 2013" sheetId="6" r:id="rId6"/>
    <sheet name="May 2013" sheetId="7" r:id="rId7"/>
    <sheet name="June 2013" sheetId="8" r:id="rId8"/>
    <sheet name="July 2013" sheetId="9" r:id="rId9"/>
    <sheet name="August 2013" sheetId="10" r:id="rId10"/>
    <sheet name="September 2013" sheetId="11" r:id="rId11"/>
    <sheet name="October 2013" sheetId="12" r:id="rId12"/>
    <sheet name="November 2013" sheetId="13" r:id="rId13"/>
    <sheet name="December 2013" sheetId="14" r:id="rId14"/>
    <sheet name="January 2014" sheetId="15" r:id="rId15"/>
    <sheet name="February 2014" sheetId="16" r:id="rId16"/>
    <sheet name="March 2014" sheetId="17" r:id="rId17"/>
    <sheet name="April 2014" sheetId="18" r:id="rId18"/>
    <sheet name="May 2014" sheetId="19" r:id="rId19"/>
    <sheet name="June 2014" sheetId="20" r:id="rId20"/>
    <sheet name="July 2014" sheetId="21" r:id="rId21"/>
    <sheet name="August 2014" sheetId="22" r:id="rId22"/>
    <sheet name="September 2014" sheetId="23" r:id="rId23"/>
    <sheet name="October 2014" sheetId="24" r:id="rId24"/>
    <sheet name="Sheet7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/>
  <calcPr fullCalcOnLoad="1"/>
</workbook>
</file>

<file path=xl/comments1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  <comment ref="E57" authorId="0">
      <text>
        <r>
          <rPr>
            <b/>
            <u val="single"/>
            <sz val="8"/>
            <color indexed="10"/>
            <rFont val="Times New Roman"/>
            <family val="1"/>
          </rPr>
          <t>Source 17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(Estimated 151$ Fuel Cost)</t>
        </r>
        <r>
          <rPr>
            <b/>
            <sz val="8"/>
            <rFont val="Times New Roman"/>
            <family val="1"/>
          </rPr>
          <t xml:space="preserve">
KPCO Section
Forecast 151$ column
Total Big Sandy + RP AEG1 + RP AEG2</t>
        </r>
      </text>
    </comment>
  </commentList>
</comments>
</file>

<file path=xl/comments10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  <comment ref="E57" authorId="0">
      <text>
        <r>
          <rPr>
            <b/>
            <u val="single"/>
            <sz val="8"/>
            <color indexed="10"/>
            <rFont val="Times New Roman"/>
            <family val="1"/>
          </rPr>
          <t>Source 17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(Estimated 151$ Fuel Cost)</t>
        </r>
        <r>
          <rPr>
            <b/>
            <sz val="8"/>
            <rFont val="Times New Roman"/>
            <family val="1"/>
          </rPr>
          <t xml:space="preserve">
KPCO Section
Forecast 151$ column
Total Big Sandy + RP AEG1 + RP AEG2</t>
        </r>
      </text>
    </comment>
  </commentList>
</comments>
</file>

<file path=xl/comments3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6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19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29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0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6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19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29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0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9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2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4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6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<sst xmlns="http://schemas.openxmlformats.org/spreadsheetml/2006/main" count="2152" uniqueCount="102">
  <si>
    <t>KENTUCKY POWER COMPANY</t>
  </si>
  <si>
    <t>SOURCES AND DISPOSITION OF ENERGY FOR</t>
  </si>
  <si>
    <t>FERC TYPE FUEL COST ADJUSTMENT CLAUSE</t>
  </si>
  <si>
    <t>FUEL IDENTIFIED PORTION (A/C 151 FUEL BASIS)</t>
  </si>
  <si>
    <t xml:space="preserve"> </t>
  </si>
  <si>
    <t>SOURCES OF ENERGY</t>
  </si>
  <si>
    <t>MWH</t>
  </si>
  <si>
    <t>AMOUNT</t>
  </si>
  <si>
    <t>$ / MWH</t>
  </si>
  <si>
    <t>($)</t>
  </si>
  <si>
    <t>1.</t>
  </si>
  <si>
    <t>NET GENERATION:</t>
  </si>
  <si>
    <t xml:space="preserve">    TOTAL</t>
  </si>
  <si>
    <t>2.</t>
  </si>
  <si>
    <t>OTHER PURCHASES (CASH SETTLED):</t>
  </si>
  <si>
    <t xml:space="preserve">  Third Party Power Purchase</t>
  </si>
  <si>
    <t>3.</t>
  </si>
  <si>
    <t>TOTAL SOURCES (1+2)</t>
  </si>
  <si>
    <t>DISPOSITION OF ENERGY</t>
  </si>
  <si>
    <t>4.</t>
  </si>
  <si>
    <t>OFF SYSTEM ALLOCATION OF SOURCES:</t>
  </si>
  <si>
    <t xml:space="preserve">  Big Sandy</t>
  </si>
  <si>
    <t xml:space="preserve"> Third Party Power Purchase</t>
  </si>
  <si>
    <t>5.</t>
  </si>
  <si>
    <t>FUEL IDENTIFIED FOR NER (3-4)</t>
  </si>
  <si>
    <t>6.</t>
  </si>
  <si>
    <t>TOTAL (4+5)</t>
  </si>
  <si>
    <t>A.</t>
  </si>
  <si>
    <t>FUEL IDENTIFIED FOR NER (LINE 5 ABOVE)</t>
  </si>
  <si>
    <t>B.</t>
  </si>
  <si>
    <t>NON-MONETARY  COMPANY RECEIPTS AND DELIVERIES</t>
  </si>
  <si>
    <t>C.</t>
  </si>
  <si>
    <t>FUEL IDENTIFIED FOR NER (LINES A+B)</t>
  </si>
  <si>
    <t>D.</t>
  </si>
  <si>
    <t>OUT-OF-PERIOD ADJUSTMENT - OSS Adj for PJM Load Recon</t>
  </si>
  <si>
    <t>E.</t>
  </si>
  <si>
    <t>OUT-OF-PERIOD ADJUSTMENT - Pool Purch for PJM Load Recon</t>
  </si>
  <si>
    <t>F.</t>
  </si>
  <si>
    <t>CONVENTIONAL HYDRO</t>
  </si>
  <si>
    <t>G.</t>
  </si>
  <si>
    <t>TOTAL SUPPLY FOR NET ENERGY REQUIREMENT (NER)</t>
  </si>
  <si>
    <t>Mitchell</t>
  </si>
  <si>
    <t>Rockport</t>
  </si>
  <si>
    <t>Big Sandy</t>
  </si>
  <si>
    <t>February 2014 ACTUAL</t>
  </si>
  <si>
    <t xml:space="preserve">OUT-OF-PERIOD ADJUSTMENT - Spot Market Energy for PJM Load Recon </t>
  </si>
  <si>
    <t>OUT-OF-PERIOD ADJUSTMENT</t>
  </si>
  <si>
    <t>SOURCES AND DISPOSITION OF ENERGY FOR FERC TYPE FUEL COST ADJUSTMENT CLAUSE</t>
  </si>
  <si>
    <t>MILLS/kWh</t>
  </si>
  <si>
    <t>ESTIMATED</t>
  </si>
  <si>
    <t>TOTAL</t>
  </si>
  <si>
    <t>SOURCES</t>
  </si>
  <si>
    <t xml:space="preserve">  OWN FOSSIL GENERATION</t>
  </si>
  <si>
    <t>(1)</t>
  </si>
  <si>
    <t>(4)</t>
  </si>
  <si>
    <t>Fossil Steam</t>
  </si>
  <si>
    <t>INTER-COMPANY RECEIPTS:</t>
  </si>
  <si>
    <t>a.</t>
  </si>
  <si>
    <t>Purchased Power (Excluding Interchange)  *</t>
  </si>
  <si>
    <t xml:space="preserve">  SYSTEM POOL - PRIMARY &amp; ECONOMY</t>
  </si>
  <si>
    <t>(5)</t>
  </si>
  <si>
    <t>Unit Power Purchases (AEG)</t>
  </si>
  <si>
    <t xml:space="preserve">  AEP SYSTEM CASH PURCHASES</t>
  </si>
  <si>
    <t>(2)</t>
  </si>
  <si>
    <t>Other*</t>
  </si>
  <si>
    <t xml:space="preserve">  INTERRUPTIBLE BUY-THROUGH</t>
  </si>
  <si>
    <t>(7)</t>
  </si>
  <si>
    <t>b.</t>
  </si>
  <si>
    <t>Non-Associated Companies</t>
  </si>
  <si>
    <t>c.</t>
  </si>
  <si>
    <t>System Account</t>
  </si>
  <si>
    <t>d.</t>
  </si>
  <si>
    <t>Interruptible Buy-Through</t>
  </si>
  <si>
    <t>Total Inter-Company Receipts</t>
  </si>
  <si>
    <t>TOTAL SOURCES (1 + 2)</t>
  </si>
  <si>
    <t>DISPOSITION</t>
  </si>
  <si>
    <t>(3)</t>
  </si>
  <si>
    <t>INTER-COMPANY DELIVERIES:</t>
  </si>
  <si>
    <t xml:space="preserve">  OWN GENERATION </t>
  </si>
  <si>
    <t>System Sales for Resale (w/o fuel adjustment)</t>
  </si>
  <si>
    <t>Total Inter-Company Deliveries</t>
  </si>
  <si>
    <t>NET ENERGY REQUIREMENT (3 - 4)</t>
  </si>
  <si>
    <t>8.</t>
  </si>
  <si>
    <t>TOTAL DISPOSITION (4 + 5 + 6 + 7)</t>
  </si>
  <si>
    <t>*</t>
  </si>
  <si>
    <t>Excludes power that did not enter or flow out of AEP System.</t>
  </si>
  <si>
    <t>NON-MONETARY INTER-COMPANY (RECEIPTS(+) DELIVERIES(-))</t>
  </si>
  <si>
    <t>(8)</t>
  </si>
  <si>
    <t>OWN FOSSIL GENERATION</t>
  </si>
  <si>
    <t>ROCKPORT</t>
  </si>
  <si>
    <t>SYSTEM POOL - PRIMARY &amp; ECONOMY</t>
  </si>
  <si>
    <t>February 2013 ACTUAL</t>
  </si>
  <si>
    <t>OUT-OF-PERIOD ADJUSTMENT - Wildcat Wind Gen (Jan-Mar 2013)</t>
  </si>
  <si>
    <t>H</t>
  </si>
  <si>
    <t xml:space="preserve">  ROCKPORT</t>
  </si>
  <si>
    <t xml:space="preserve">  UNIT POWER PURCHASE (AEG) ROCKPORT #1 USE AVG RATE FROM POWER BILL</t>
  </si>
  <si>
    <t xml:space="preserve">  UNIT POWER PURCHASE (AEG) ROCKPORT #2 USE AVG RATE FROM POWER BILL</t>
  </si>
  <si>
    <t>(6)</t>
  </si>
  <si>
    <t xml:space="preserve">   Big Sandy</t>
  </si>
  <si>
    <t>( A ) Includes prior period adjustments for January and February 2014 due to heat rate curve corrections for Mitchell</t>
  </si>
  <si>
    <t>* Revisions for January 2014 and February 2014 were reflected in the May 2014 NER.  Please see KIUC 2-6 in Case No. 2014-0225 for explanation.</t>
  </si>
  <si>
    <t xml:space="preserve"> Third Party Power Purchase*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</si>
</sst>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"/>
    <numFmt numFmtId="166" formatCode="0.000_)"/>
    <numFmt numFmtId="167" formatCode="0.000"/>
    <numFmt numFmtId="168" formatCode="0.00000_)"/>
    <numFmt numFmtId="169" formatCode="[$-409]mmmm\-yy;@"/>
    <numFmt numFmtId="170" formatCode="_(* #,##0_);_(* \(#,##0\);_(* &quot;-&quot;??_);_(@_)"/>
    <numFmt numFmtId="171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8"/>
      <color indexed="17"/>
      <name val="Century Gothic"/>
      <family val="2"/>
    </font>
    <font>
      <b/>
      <u val="single"/>
      <sz val="8"/>
      <name val="Century Gothic"/>
      <family val="2"/>
    </font>
    <font>
      <u val="single"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8"/>
      <color indexed="10"/>
      <name val="Century Gothic"/>
      <family val="2"/>
    </font>
    <font>
      <sz val="8"/>
      <name val="Arial"/>
      <family val="2"/>
    </font>
    <font>
      <b/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b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44" fontId="6" fillId="0" borderId="0" xfId="44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2" fillId="0" borderId="0" xfId="0" applyFont="1" applyFill="1" applyAlignment="1" quotePrefix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 applyProtection="1">
      <alignment horizontal="left"/>
      <protection/>
    </xf>
    <xf numFmtId="37" fontId="4" fillId="0" borderId="12" xfId="0" applyNumberFormat="1" applyFont="1" applyFill="1" applyBorder="1" applyAlignment="1" applyProtection="1">
      <alignment/>
      <protection/>
    </xf>
    <xf numFmtId="166" fontId="4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>
      <alignment/>
    </xf>
    <xf numFmtId="37" fontId="2" fillId="0" borderId="12" xfId="0" applyNumberFormat="1" applyFont="1" applyFill="1" applyBorder="1" applyAlignment="1" applyProtection="1">
      <alignment/>
      <protection/>
    </xf>
    <xf numFmtId="167" fontId="2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8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169" fontId="4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43" fontId="4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right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Alignment="1" applyProtection="1">
      <alignment/>
      <protection locked="0"/>
    </xf>
    <xf numFmtId="170" fontId="4" fillId="0" borderId="0" xfId="0" applyNumberFormat="1" applyFont="1" applyAlignment="1">
      <alignment/>
    </xf>
    <xf numFmtId="170" fontId="4" fillId="0" borderId="0" xfId="42" applyNumberFormat="1" applyFont="1" applyAlignment="1">
      <alignment/>
    </xf>
    <xf numFmtId="0" fontId="13" fillId="0" borderId="0" xfId="0" applyFont="1" applyAlignment="1">
      <alignment horizontal="left"/>
    </xf>
    <xf numFmtId="37" fontId="4" fillId="33" borderId="0" xfId="0" applyNumberFormat="1" applyFont="1" applyFill="1" applyAlignment="1" applyProtection="1">
      <alignment/>
      <protection/>
    </xf>
    <xf numFmtId="166" fontId="4" fillId="33" borderId="0" xfId="0" applyNumberFormat="1" applyFont="1" applyFill="1" applyAlignment="1" applyProtection="1">
      <alignment/>
      <protection/>
    </xf>
    <xf numFmtId="171" fontId="4" fillId="0" borderId="0" xfId="0" applyNumberFormat="1" applyFont="1" applyFill="1" applyAlignment="1" applyProtection="1">
      <alignment/>
      <protection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0" fontId="9" fillId="0" borderId="0" xfId="0" applyFont="1" applyFill="1" applyAlignment="1" quotePrefix="1">
      <alignment horizontal="center"/>
    </xf>
    <xf numFmtId="164" fontId="4" fillId="0" borderId="0" xfId="0" applyNumberFormat="1" applyFont="1" applyFill="1" applyAlignment="1" applyProtection="1">
      <alignment/>
      <protection/>
    </xf>
    <xf numFmtId="170" fontId="4" fillId="0" borderId="0" xfId="42" applyNumberFormat="1" applyFont="1" applyFill="1" applyAlignment="1" applyProtection="1">
      <alignment/>
      <protection/>
    </xf>
    <xf numFmtId="0" fontId="2" fillId="34" borderId="0" xfId="0" applyFont="1" applyFill="1" applyAlignment="1" quotePrefix="1">
      <alignment horizontal="center"/>
    </xf>
    <xf numFmtId="0" fontId="4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Alignment="1" applyProtection="1">
      <alignment horizontal="center"/>
      <protection/>
    </xf>
    <xf numFmtId="37" fontId="4" fillId="34" borderId="0" xfId="0" applyNumberFormat="1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 applyProtection="1" quotePrefix="1">
      <alignment horizontal="center"/>
      <protection/>
    </xf>
    <xf numFmtId="37" fontId="4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44" fontId="6" fillId="34" borderId="0" xfId="44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7" fontId="0" fillId="0" borderId="0" xfId="0" applyNumberForma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externalLink" Target="externalLinks/externalLink16.xml" /><Relationship Id="rId44" Type="http://schemas.openxmlformats.org/officeDocument/2006/relationships/externalLink" Target="externalLinks/externalLink17.xml" /><Relationship Id="rId45" Type="http://schemas.openxmlformats.org/officeDocument/2006/relationships/externalLink" Target="externalLinks/externalLink18.xml" /><Relationship Id="rId46" Type="http://schemas.openxmlformats.org/officeDocument/2006/relationships/externalLink" Target="externalLinks/externalLink19.xml" /><Relationship Id="rId47" Type="http://schemas.openxmlformats.org/officeDocument/2006/relationships/externalLink" Target="externalLinks/externalLink20.xml" /><Relationship Id="rId48" Type="http://schemas.openxmlformats.org/officeDocument/2006/relationships/externalLink" Target="externalLinks/externalLink2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4\Actual\03-14%20Actual%20Regulated%20N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September%202013%20NER%20Actu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October%202013%20NER%20Actu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November%202013%20NER%20Actu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December%202013%20NER%20Actu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2\December%202012%20NER%20Actu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2\November%202012%20NER%20Actu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4\Actual\05-14%20Actual%20Regulated%20NE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4\Actual\07-14%20Actual%20Regulated%20N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4\Actual\08-14%20Actual%20Regulated%20NE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4\Actual\09-14%20Actual%20Regulated%20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4\Actual\04-14%20Actual%20Regulated%20N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4\Actual\06-14%20Actual%20Regulated%20NE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4\Actual\10-14%20Actual%20Regulated%20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January%2013%20NER%20Act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March%2013%20NER%20Actual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April%2013%20NER%20Actual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May%2013%20NER%20Actual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June%2013%20NER%20Actual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July%202013%20NER%20Actu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Account%20151%20Fuel%20-%20$%20&amp;%20MWH%20(NER)\Year%202013\Actual\August%202013%20NER%20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March 2014 ACTUAL</v>
          </cell>
        </row>
        <row r="173">
          <cell r="C173">
            <v>-4917.6</v>
          </cell>
          <cell r="D173">
            <v>-486122.53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September 2013 ACTUAL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October 2013 ACTUAL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November 2013 ACTUAL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December 2013 ACTUAL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December 2012 ACTUAL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November 2012 ACTUAL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May 2014 ACTUAL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July 2014 ACTUAL</v>
          </cell>
        </row>
        <row r="20">
          <cell r="C20">
            <v>465645</v>
          </cell>
        </row>
        <row r="56">
          <cell r="C56">
            <v>89330.635</v>
          </cell>
        </row>
        <row r="58">
          <cell r="C58">
            <v>3079256.54</v>
          </cell>
        </row>
        <row r="83">
          <cell r="C83">
            <v>245957.70500000013</v>
          </cell>
        </row>
        <row r="84">
          <cell r="C84">
            <v>5538335.943000003</v>
          </cell>
        </row>
        <row r="150">
          <cell r="C150">
            <v>13851169.559999999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August 2014 ACTUAL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September 2014 ACTUAL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April 2014 ACTUAL</v>
          </cell>
        </row>
        <row r="173">
          <cell r="C173">
            <v>-1814.15</v>
          </cell>
          <cell r="D173">
            <v>-121701.5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June 2014 ACTUAL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October 2014 ACTUAL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January 2013 ACTUAL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March 2013 ACTUAL</v>
          </cell>
        </row>
        <row r="114">
          <cell r="C114">
            <v>1851.944000000001</v>
          </cell>
        </row>
        <row r="116">
          <cell r="C116">
            <v>40611.586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April 2013 ACTUAL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May 2013 ACTUAL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June 2013 ACTUAL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July 2013 ACTUAL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August 2013 ACTUAL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E24" sqref="E24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November 2012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+'[15]INPUT SHEET'!B1</f>
        <v>November 2012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21774</v>
      </c>
      <c r="E11" s="19">
        <v>-511961.61999999994</v>
      </c>
      <c r="F11" s="20">
        <f>IF((E11=0),0,(IF((D11=0),0,(E11/D11))))</f>
        <v>-23.512520437218697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20" ht="13.5">
      <c r="B12" s="8" t="s">
        <v>42</v>
      </c>
      <c r="C12" s="55" t="s">
        <v>54</v>
      </c>
      <c r="D12" s="19">
        <v>230953</v>
      </c>
      <c r="E12" s="56">
        <v>4768738.568509182</v>
      </c>
      <c r="F12" s="20">
        <v>41.315596002259454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  <c r="R12" s="35"/>
      <c r="S12" s="35"/>
      <c r="T12" s="35"/>
    </row>
    <row r="13" spans="2:15" ht="13.5">
      <c r="B13" s="23" t="s">
        <v>12</v>
      </c>
      <c r="C13" s="46"/>
      <c r="D13" s="19">
        <f>SUM(D11:D12)</f>
        <v>252727</v>
      </c>
      <c r="E13" s="19">
        <f>SUM(E11:E12)</f>
        <v>4256776.948509182</v>
      </c>
      <c r="F13" s="20">
        <f>IF((E13=0),0,(IF((D13=0),0,(E13/D13))))</f>
        <v>16.84338020278475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21774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358488.954</v>
      </c>
      <c r="E16" s="19">
        <v>7375439.425</v>
      </c>
      <c r="F16" s="20">
        <f>IF((E16=0),0,(IF((D16=0),0,(E16/D16))))</f>
        <v>20.573686699981277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21575.684</v>
      </c>
      <c r="E17" s="19">
        <v>855939.8999999999</v>
      </c>
      <c r="F17" s="20">
        <f>IF((E17=0),0,(IF((D17=0),0,(E17/D17))))</f>
        <v>39.671507053959445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230953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f>IF((E18=0),0,(IF((D18=0),0,(E18/D18))))</f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21575.684</v>
      </c>
    </row>
    <row r="19" spans="2:15" ht="13.5">
      <c r="B19" s="23" t="s">
        <v>12</v>
      </c>
      <c r="C19" s="46"/>
      <c r="D19" s="19">
        <f>SUM(D16:D18)</f>
        <v>380064.63800000004</v>
      </c>
      <c r="E19" s="24">
        <f>SUM(E16:E18)</f>
        <v>8231379.324999999</v>
      </c>
      <c r="F19" s="20">
        <f>IF((E19=0),0,(IF((D19=0),0,(E19/D19))))</f>
        <v>21.65784054079769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476830.231</v>
      </c>
    </row>
    <row r="21" spans="2:15" ht="13.5">
      <c r="B21" s="17" t="s">
        <v>17</v>
      </c>
      <c r="C21" s="46"/>
      <c r="D21" s="19">
        <f>D13+D19</f>
        <v>632791.638</v>
      </c>
      <c r="E21" s="19">
        <f>E13+E19</f>
        <v>12488156.273509182</v>
      </c>
      <c r="F21" s="20">
        <f>IF((E21=0),0,(IF((D21=0),0,(E21/D21))))</f>
        <v>19.735021014151236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729358.915</v>
      </c>
    </row>
    <row r="23" spans="2:15" ht="13.5">
      <c r="B23" s="12" t="s">
        <v>18</v>
      </c>
      <c r="C23" s="52"/>
      <c r="D23" s="19"/>
      <c r="E23" s="24">
        <f>E12+E19</f>
        <v>13000117.893509181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751132.915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f aca="true" t="shared" si="0" ref="F26:F31">IF((E26=0),0,(IF((D26=0),0,(E26/D26))))</f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42</v>
      </c>
      <c r="C27" s="55" t="s">
        <v>76</v>
      </c>
      <c r="D27" s="19">
        <v>12105.203000000005</v>
      </c>
      <c r="E27" s="19">
        <v>230878.995</v>
      </c>
      <c r="F27" s="20">
        <v>38.05169391190574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9" ht="13.5">
      <c r="B28" s="8" t="s">
        <v>62</v>
      </c>
      <c r="C28" s="55" t="s">
        <v>63</v>
      </c>
      <c r="D28" s="19">
        <v>20453.790999999997</v>
      </c>
      <c r="E28" s="19">
        <v>825850.8600000001</v>
      </c>
      <c r="F28" s="20">
        <f t="shared" si="0"/>
        <v>40.3764201951609</v>
      </c>
      <c r="G28" s="47"/>
      <c r="H28" s="47"/>
      <c r="I28" s="47"/>
      <c r="J28" s="47"/>
      <c r="K28" s="47"/>
      <c r="L28" s="47"/>
      <c r="M28" s="47"/>
      <c r="N28" s="47"/>
      <c r="O28" s="58"/>
      <c r="Q28" s="35"/>
      <c r="R28" s="35"/>
      <c r="S28" s="35"/>
    </row>
    <row r="29" spans="2:15" ht="13.5">
      <c r="B29" s="8" t="s">
        <v>78</v>
      </c>
      <c r="C29" s="55" t="s">
        <v>76</v>
      </c>
      <c r="D29" s="19">
        <v>0</v>
      </c>
      <c r="E29" s="19">
        <v>0</v>
      </c>
      <c r="F29" s="20">
        <f t="shared" si="0"/>
        <v>0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1.232</v>
      </c>
      <c r="E30" s="19">
        <v>251.898</v>
      </c>
      <c r="F30" s="20">
        <f t="shared" si="0"/>
        <v>204.46266233766235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32560.226000000002</v>
      </c>
      <c r="E31" s="19">
        <f>SUM(E26:E30)</f>
        <v>1056981.753</v>
      </c>
      <c r="F31" s="20">
        <f t="shared" si="0"/>
        <v>32.46235922932476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11369.993999999999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139526.997</v>
      </c>
    </row>
    <row r="33" spans="2:15" ht="13.5">
      <c r="B33" s="17" t="s">
        <v>24</v>
      </c>
      <c r="C33" s="46"/>
      <c r="D33" s="19">
        <f>D21-D31</f>
        <v>600231.412</v>
      </c>
      <c r="E33" s="19">
        <f>E21-E31</f>
        <v>11431174.520509182</v>
      </c>
      <c r="F33" s="20">
        <f>IF((E33=0),0,(IF((D33=0),0,(E33/D33))))</f>
        <v>19.04461228115329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1.232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150898.223</v>
      </c>
    </row>
    <row r="35" spans="1:15" ht="13.5">
      <c r="A35" s="16" t="s">
        <v>23</v>
      </c>
      <c r="B35" s="17" t="s">
        <v>26</v>
      </c>
      <c r="C35" s="46"/>
      <c r="D35" s="19">
        <f>+D31+D33</f>
        <v>632791.638</v>
      </c>
      <c r="E35" s="19">
        <f>+E31+E33</f>
        <v>12488156.273509182</v>
      </c>
      <c r="F35" s="20">
        <f>IF((E35=0),0,(IF((D35=0),0,(E35/D35))))</f>
        <v>19.735021014151236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600234.692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751132.915</v>
      </c>
    </row>
    <row r="39" spans="1:15" ht="13.5">
      <c r="A39" s="16"/>
      <c r="B39" s="8" t="s">
        <v>28</v>
      </c>
      <c r="C39" s="46"/>
      <c r="D39" s="63">
        <f>D21-D31</f>
        <v>600231.412</v>
      </c>
      <c r="E39" s="63">
        <f>E21-E31</f>
        <v>11431174.520509182</v>
      </c>
      <c r="F39" s="64">
        <f aca="true" t="shared" si="1" ref="F39:F45">IF((E39=0),0,(IF((D39=0),0,(E39/D39))))</f>
        <v>19.04461228115329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3.2800000000279397</v>
      </c>
      <c r="E40" s="19">
        <v>0</v>
      </c>
      <c r="F40" s="20">
        <f t="shared" si="1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600234.692</v>
      </c>
      <c r="E41" s="19">
        <f>(SUM(E39))+E40</f>
        <v>11431174.520509182</v>
      </c>
      <c r="F41" s="20">
        <f t="shared" si="1"/>
        <v>19.044508211313417</v>
      </c>
    </row>
    <row r="42" spans="1:6" ht="13.5">
      <c r="A42" s="16" t="s">
        <v>29</v>
      </c>
      <c r="B42" s="72" t="s">
        <v>34</v>
      </c>
      <c r="C42" s="73"/>
      <c r="D42" s="74">
        <v>-442</v>
      </c>
      <c r="E42" s="74">
        <v>-11003</v>
      </c>
      <c r="F42" s="20">
        <f t="shared" si="1"/>
        <v>24.89366515837104</v>
      </c>
    </row>
    <row r="43" spans="1:6" ht="13.5">
      <c r="A43" s="16" t="s">
        <v>31</v>
      </c>
      <c r="B43" s="72" t="s">
        <v>36</v>
      </c>
      <c r="C43" s="73"/>
      <c r="D43" s="74">
        <v>442</v>
      </c>
      <c r="E43" s="74">
        <v>11003</v>
      </c>
      <c r="F43" s="20">
        <f t="shared" si="1"/>
        <v>24.89366515837104</v>
      </c>
    </row>
    <row r="44" spans="1:6" ht="13.5">
      <c r="A44" s="71" t="s">
        <v>33</v>
      </c>
      <c r="B44" s="8" t="s">
        <v>38</v>
      </c>
      <c r="C44" s="46"/>
      <c r="D44" s="19">
        <v>0</v>
      </c>
      <c r="E44" s="19">
        <v>0</v>
      </c>
      <c r="F44" s="20">
        <f t="shared" si="1"/>
        <v>0</v>
      </c>
    </row>
    <row r="45" spans="1:6" ht="13.5">
      <c r="A45" s="71" t="s">
        <v>35</v>
      </c>
      <c r="B45" s="8" t="s">
        <v>40</v>
      </c>
      <c r="C45" s="55" t="s">
        <v>87</v>
      </c>
      <c r="D45" s="19">
        <v>600234.692</v>
      </c>
      <c r="E45" s="26">
        <f>SUM(E41:E44)</f>
        <v>11431174.520509182</v>
      </c>
      <c r="F45" s="65">
        <f t="shared" si="1"/>
        <v>19.044508211313417</v>
      </c>
    </row>
    <row r="46" spans="1:6" ht="13.5">
      <c r="A46" s="16" t="s">
        <v>37</v>
      </c>
      <c r="B46" s="37" t="s">
        <v>4</v>
      </c>
      <c r="C46" s="37"/>
      <c r="D46" s="37"/>
      <c r="E46" s="37"/>
      <c r="F46" s="37"/>
    </row>
    <row r="47" spans="1:11" ht="1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">
      <c r="A49"/>
    </row>
    <row r="50" ht="13.5"/>
    <row r="51" ht="13.5"/>
    <row r="52" ht="13.5"/>
    <row r="53" ht="13.5"/>
    <row r="54" spans="2:6" ht="13.5">
      <c r="B54" s="8" t="s">
        <v>95</v>
      </c>
      <c r="C54" s="46"/>
      <c r="D54" s="19"/>
      <c r="E54" s="19"/>
      <c r="F54" s="39"/>
    </row>
    <row r="55" spans="2:6" ht="13.5">
      <c r="B55" s="8"/>
      <c r="C55" s="46"/>
      <c r="F55" s="69"/>
    </row>
    <row r="56" spans="2:3" ht="13.5">
      <c r="B56" s="8" t="s">
        <v>96</v>
      </c>
      <c r="C56" s="46"/>
    </row>
    <row r="57" spans="3:6" ht="13.5">
      <c r="C57" s="68" t="s">
        <v>97</v>
      </c>
      <c r="D57" s="19">
        <f>D13</f>
        <v>252727</v>
      </c>
      <c r="E57" s="70">
        <v>4256776.948509182</v>
      </c>
      <c r="F57" s="20">
        <f>IF((E57=0),0,(IF((D57=0),0,(E57/D57))))</f>
        <v>16.84338020278475</v>
      </c>
    </row>
    <row r="58" ht="13.5">
      <c r="B58" s="6" t="s">
        <v>4</v>
      </c>
    </row>
    <row r="59" ht="13.5">
      <c r="B59" s="6" t="s">
        <v>4</v>
      </c>
    </row>
    <row r="60" ht="10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E26" sqref="E26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22.0039062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August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10" t="str">
        <f>+'[9]INPUT SHEET'!B1</f>
        <v>August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108582</v>
      </c>
      <c r="E11" s="19">
        <v>4070432.3899999997</v>
      </c>
      <c r="F11" s="20">
        <v>37.48717457773848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123479.55+98077</f>
        <v>221556.55</v>
      </c>
      <c r="E12" s="59">
        <f>3108438.795+2500728</f>
        <v>5609166.795</v>
      </c>
      <c r="F12" s="20">
        <f>E12/D12</f>
        <v>25.317088549176272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330138.55</v>
      </c>
      <c r="E13" s="19">
        <f>SUM(E11:E12)</f>
        <v>9679599.184999999</v>
      </c>
      <c r="F13" s="20">
        <f>IF((E13=0),0,(IF((D13=0),0,(E13/D13))))</f>
        <v>29.31980886509618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108582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384074.148</v>
      </c>
      <c r="E16" s="19">
        <v>9569166.085</v>
      </c>
      <c r="F16" s="20">
        <v>24.91489243634279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21153.111</v>
      </c>
      <c r="E17" s="19">
        <v>698486.84</v>
      </c>
      <c r="F17" s="20">
        <v>33.020525444224255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221556.45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21153.111</v>
      </c>
    </row>
    <row r="19" spans="2:15" ht="13.5">
      <c r="B19" s="23" t="s">
        <v>12</v>
      </c>
      <c r="C19" s="46"/>
      <c r="D19" s="19">
        <f>SUM(D16:D18)</f>
        <v>405227.25899999996</v>
      </c>
      <c r="E19" s="19">
        <f>SUM(E16:E18)</f>
        <v>10267652.925</v>
      </c>
      <c r="F19" s="20">
        <f>IF((E19=0),0,(IF((D19=0),0,(E19/D19))))</f>
        <v>25.33801144162417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582877.148</v>
      </c>
    </row>
    <row r="21" spans="2:15" ht="13.5">
      <c r="B21" s="17" t="s">
        <v>17</v>
      </c>
      <c r="C21" s="46"/>
      <c r="D21" s="19">
        <f>D13+D19</f>
        <v>735365.8089999999</v>
      </c>
      <c r="E21" s="19">
        <f>E13+E19</f>
        <v>19947252.11</v>
      </c>
      <c r="F21" s="20">
        <f>IF((E21=0),0,(IF((D21=0),0,(E21/D21))))</f>
        <v>27.12561811532361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v>825586.709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v>934168.709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52033.2839999999+46493</f>
        <v>98526.2839999999</v>
      </c>
      <c r="E27" s="19">
        <f>1188813.427+1055369</f>
        <v>2244182.427</v>
      </c>
      <c r="F27" s="20">
        <v>22.847172725058055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19071.659</v>
      </c>
      <c r="E28" s="19">
        <v>660262.5199999999</v>
      </c>
      <c r="F28" s="20">
        <f>E28/D28</f>
        <v>34.62008837301463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59008.527999999984</v>
      </c>
      <c r="E29" s="19">
        <v>1873783.0940000003</v>
      </c>
      <c r="F29" s="20">
        <v>31.754445628604746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37.218</v>
      </c>
      <c r="E30" s="19">
        <v>1373.43</v>
      </c>
      <c r="F30" s="20">
        <v>36.902305336127675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176643.68899999987</v>
      </c>
      <c r="E31" s="19">
        <f>SUM(E26:E30)</f>
        <v>4779601.471</v>
      </c>
      <c r="F31" s="20">
        <f>IF((E31=0),0,(IF((D31=0),0,(E31/D31))))</f>
        <v>27.057867156522097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147505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227904.997</v>
      </c>
    </row>
    <row r="33" spans="2:15" ht="13.5">
      <c r="B33" s="17" t="s">
        <v>24</v>
      </c>
      <c r="C33" s="46"/>
      <c r="D33" s="19">
        <f>D21-D31</f>
        <v>558722.12</v>
      </c>
      <c r="E33" s="19">
        <f>E21-E31</f>
        <v>15167650.638999999</v>
      </c>
      <c r="F33" s="20">
        <f>IF((E33=0),0,(IF((D33=0),0,(E33/D33))))</f>
        <v>27.147038028492588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37.218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v>375447.21499999997</v>
      </c>
    </row>
    <row r="35" spans="1:15" ht="13.5">
      <c r="A35" s="16" t="s">
        <v>23</v>
      </c>
      <c r="B35" s="17" t="s">
        <v>26</v>
      </c>
      <c r="C35" s="46"/>
      <c r="D35" s="19">
        <f>+D31+D33</f>
        <v>735365.8089999999</v>
      </c>
      <c r="E35" s="19">
        <f>+E31+E33</f>
        <v>19947252.11</v>
      </c>
      <c r="F35" s="20">
        <f>IF((E35=0),0,(IF((D35=0),0,(E35/D35))))</f>
        <v>27.12561811532361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558721.4940000001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934168.709</v>
      </c>
    </row>
    <row r="39" spans="1:15" ht="13.5">
      <c r="A39" s="16"/>
      <c r="B39" s="8" t="s">
        <v>28</v>
      </c>
      <c r="C39" s="46"/>
      <c r="D39" s="63">
        <f>D21-D31</f>
        <v>558722.12</v>
      </c>
      <c r="E39" s="63">
        <f>E21-E31</f>
        <v>15167650.638999999</v>
      </c>
      <c r="F39" s="64">
        <f aca="true" t="shared" si="0" ref="F39:F45">IF((E39=0),0,(IF((D39=0),0,(E39/D39))))</f>
        <v>27.147038028492588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-0.6259999999310821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558721.4940000001</v>
      </c>
      <c r="E41" s="19">
        <f>(SUM(E39))+E40</f>
        <v>15167650.638999999</v>
      </c>
      <c r="F41" s="20">
        <f t="shared" si="0"/>
        <v>27.14706844444398</v>
      </c>
    </row>
    <row r="42" spans="1:6" ht="13.5">
      <c r="A42" s="71" t="s">
        <v>29</v>
      </c>
      <c r="B42" s="72" t="s">
        <v>34</v>
      </c>
      <c r="C42" s="73"/>
      <c r="D42" s="74">
        <v>-637.7803348</v>
      </c>
      <c r="E42" s="74">
        <v>-16741.096008165197</v>
      </c>
      <c r="F42" s="20">
        <f t="shared" si="0"/>
        <v>26.248999999999995</v>
      </c>
    </row>
    <row r="43" spans="1:6" ht="13.5">
      <c r="A43" s="71" t="s">
        <v>31</v>
      </c>
      <c r="B43" s="72" t="s">
        <v>36</v>
      </c>
      <c r="C43" s="73"/>
      <c r="D43" s="74">
        <v>637.7803348</v>
      </c>
      <c r="E43" s="74">
        <v>16741.096008165197</v>
      </c>
      <c r="F43" s="20">
        <f t="shared" si="0"/>
        <v>26.248999999999995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558721.4940000001</v>
      </c>
      <c r="E45" s="77">
        <f>SUM(E41:E44)</f>
        <v>15167650.638999999</v>
      </c>
      <c r="F45" s="65">
        <f t="shared" si="0"/>
        <v>27.14706844444398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4.2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4.2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4.25">
      <c r="A49"/>
    </row>
    <row r="52" spans="2:8" ht="14.25">
      <c r="B52"/>
      <c r="C52"/>
      <c r="D52"/>
      <c r="E52"/>
      <c r="F52"/>
      <c r="G52"/>
      <c r="H52"/>
    </row>
    <row r="53" spans="2:8" ht="14.25">
      <c r="B53"/>
      <c r="C53"/>
      <c r="D53"/>
      <c r="E53"/>
      <c r="F53"/>
      <c r="G53"/>
      <c r="H53"/>
    </row>
    <row r="54" spans="2:8" ht="14.25">
      <c r="B54"/>
      <c r="C54"/>
      <c r="D54"/>
      <c r="E54"/>
      <c r="F54"/>
      <c r="G54"/>
      <c r="H54"/>
    </row>
    <row r="55" spans="2:8" ht="14.25">
      <c r="B55"/>
      <c r="C55"/>
      <c r="D55"/>
      <c r="E55"/>
      <c r="F55"/>
      <c r="G55"/>
      <c r="H55"/>
    </row>
    <row r="56" spans="2:8" ht="14.25">
      <c r="B56"/>
      <c r="C56"/>
      <c r="D56"/>
      <c r="E56"/>
      <c r="F56"/>
      <c r="G56"/>
      <c r="H56"/>
    </row>
    <row r="57" spans="2:8" ht="14.25">
      <c r="B57"/>
      <c r="C57"/>
      <c r="D57"/>
      <c r="E57"/>
      <c r="F57"/>
      <c r="G57"/>
      <c r="H57"/>
    </row>
    <row r="58" spans="2:8" ht="14.25">
      <c r="B58"/>
      <c r="C58"/>
      <c r="D58"/>
      <c r="E58"/>
      <c r="F58"/>
      <c r="G58"/>
      <c r="H58"/>
    </row>
    <row r="59" ht="10.5">
      <c r="B59" s="6" t="s">
        <v>4</v>
      </c>
    </row>
    <row r="60" ht="10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E11" sqref="E1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6.71093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D6</f>
        <v>September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2.75" customHeight="1">
      <c r="B6" s="8" t="s">
        <v>3</v>
      </c>
      <c r="C6" s="46"/>
      <c r="D6" s="84" t="str">
        <f>+'[10]INPUT SHEET'!B1</f>
        <v>September 2013 ACTUAL</v>
      </c>
      <c r="E6" s="84"/>
      <c r="F6" s="84"/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95190</v>
      </c>
      <c r="E11" s="19">
        <v>3372429.37</v>
      </c>
      <c r="F11" s="20">
        <v>35.42839972686207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120094.5+95967</f>
        <v>216061.5</v>
      </c>
      <c r="E12" s="59">
        <f>2535340.047+2230431</f>
        <v>4765771.047</v>
      </c>
      <c r="F12" s="20">
        <f>E12/D12</f>
        <v>22.0574745940392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311251.5</v>
      </c>
      <c r="E13" s="19">
        <f>SUM(E11:E12)</f>
        <v>8138200.417</v>
      </c>
      <c r="F13" s="20">
        <f>IF((E13=0),0,(IF((D13=0),0,(E13/D13))))</f>
        <v>26.146702640790487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95190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300808.441</v>
      </c>
      <c r="E16" s="19">
        <v>7043403.513</v>
      </c>
      <c r="F16" s="20">
        <v>23.414913124063563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28094.875</v>
      </c>
      <c r="E17" s="19">
        <v>1064344.61</v>
      </c>
      <c r="F17" s="20">
        <v>37.883941822129486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216061.05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28094.875</v>
      </c>
    </row>
    <row r="19" spans="2:15" ht="13.5">
      <c r="B19" s="23" t="s">
        <v>12</v>
      </c>
      <c r="C19" s="46"/>
      <c r="D19" s="19">
        <f>SUM(D16:D18)</f>
        <v>328903.316</v>
      </c>
      <c r="E19" s="19">
        <f>SUM(E16:E18)</f>
        <v>8107748.123000001</v>
      </c>
      <c r="F19" s="20">
        <f>IF((E19=0),0,(IF((D19=0),0,(E19/D19))))</f>
        <v>24.65085552071479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459376.804</v>
      </c>
    </row>
    <row r="21" spans="2:15" ht="13.5">
      <c r="B21" s="17" t="s">
        <v>17</v>
      </c>
      <c r="C21" s="46"/>
      <c r="D21" s="19">
        <f>D13+D19</f>
        <v>640154.816</v>
      </c>
      <c r="E21" s="19">
        <f>E13+E19</f>
        <v>16245948.540000001</v>
      </c>
      <c r="F21" s="20">
        <f>IF((E21=0),0,(IF((D21=0),0,(E21/D21))))</f>
        <v>25.37815561790603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703532.729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798722.729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45037.9420000001+33460</f>
        <v>78497.9420000001</v>
      </c>
      <c r="E27" s="19">
        <f>1011898.937+743140</f>
        <v>1755038.937</v>
      </c>
      <c r="F27" s="20">
        <v>22.467699278976774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25855.76</v>
      </c>
      <c r="E28" s="19">
        <v>1019689.9500000001</v>
      </c>
      <c r="F28" s="20">
        <f>E28/D28</f>
        <v>39.43763207888688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46026.47299999998</v>
      </c>
      <c r="E29" s="19">
        <v>1397872.6499999978</v>
      </c>
      <c r="F29" s="20">
        <v>30.371057326074023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1.603</v>
      </c>
      <c r="E30" s="19">
        <v>383.55</v>
      </c>
      <c r="F30" s="20">
        <v>239.27011852776045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150381.77800000008</v>
      </c>
      <c r="E31" s="19">
        <f>SUM(E26:E30)</f>
        <v>4172985.0869999975</v>
      </c>
      <c r="F31" s="20">
        <f>IF((E31=0),0,(IF((D31=0),0,(E31/D31))))</f>
        <v>27.749273499080424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116595.44399999999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192353.35100000002</v>
      </c>
    </row>
    <row r="33" spans="2:15" ht="13.5">
      <c r="B33" s="17" t="s">
        <v>24</v>
      </c>
      <c r="C33" s="46"/>
      <c r="D33" s="19">
        <f>D21-D31</f>
        <v>489773.03799999994</v>
      </c>
      <c r="E33" s="19">
        <f>E21-E31</f>
        <v>12072963.453000003</v>
      </c>
      <c r="F33" s="20">
        <f>IF((E33=0),0,(IF((D33=0),0,(E33/D33))))</f>
        <v>24.650118557567485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1.603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308950.39800000004</v>
      </c>
    </row>
    <row r="35" spans="1:15" ht="13.5">
      <c r="A35" s="16" t="s">
        <v>23</v>
      </c>
      <c r="B35" s="17" t="s">
        <v>26</v>
      </c>
      <c r="C35" s="46"/>
      <c r="D35" s="19">
        <f>+D31+D33</f>
        <v>640154.816</v>
      </c>
      <c r="E35" s="19">
        <f>+E31+E33</f>
        <v>16245948.540000001</v>
      </c>
      <c r="F35" s="20">
        <f>IF((E35=0),0,(IF((D35=0),0,(E35/D35))))</f>
        <v>25.37815561790603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489772.331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798722.729</v>
      </c>
    </row>
    <row r="39" spans="1:15" ht="13.5">
      <c r="A39" s="16"/>
      <c r="B39" s="8" t="s">
        <v>28</v>
      </c>
      <c r="C39" s="46"/>
      <c r="D39" s="63">
        <f>D21-D31</f>
        <v>489773.03799999994</v>
      </c>
      <c r="E39" s="63">
        <f>E21-E31</f>
        <v>12072963.453000003</v>
      </c>
      <c r="F39" s="64">
        <f aca="true" t="shared" si="0" ref="F39:F45">IF((E39=0),0,(IF((D39=0),0,(E39/D39))))</f>
        <v>24.650118557567485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-0.7069999999366701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489772.331</v>
      </c>
      <c r="E41" s="19">
        <f>(SUM(E39))+E40</f>
        <v>12072963.453000003</v>
      </c>
      <c r="F41" s="20">
        <f t="shared" si="0"/>
        <v>24.650154140700128</v>
      </c>
    </row>
    <row r="42" spans="1:6" ht="13.5">
      <c r="A42" s="71" t="s">
        <v>29</v>
      </c>
      <c r="B42" s="72" t="s">
        <v>34</v>
      </c>
      <c r="C42" s="73"/>
      <c r="D42" s="74">
        <v>1995.7355577</v>
      </c>
      <c r="E42" s="74">
        <v>51174.6477709185</v>
      </c>
      <c r="F42" s="20">
        <f t="shared" si="0"/>
        <v>25.64199829655543</v>
      </c>
    </row>
    <row r="43" spans="1:6" ht="13.5">
      <c r="A43" s="71" t="s">
        <v>31</v>
      </c>
      <c r="B43" s="72" t="s">
        <v>36</v>
      </c>
      <c r="C43" s="73"/>
      <c r="D43" s="74">
        <v>-1995.7355577</v>
      </c>
      <c r="E43" s="74">
        <v>-51174.6477709185</v>
      </c>
      <c r="F43" s="20">
        <f t="shared" si="0"/>
        <v>25.64199829655543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489772.331</v>
      </c>
      <c r="E45" s="77">
        <f>SUM(E41:E44)</f>
        <v>12072963.453000003</v>
      </c>
      <c r="F45" s="65">
        <f t="shared" si="0"/>
        <v>24.650154140700128</v>
      </c>
    </row>
    <row r="46" spans="1:6" ht="13.5">
      <c r="A46" s="16" t="s">
        <v>37</v>
      </c>
      <c r="B46" s="37" t="s">
        <v>4</v>
      </c>
      <c r="C46" s="37"/>
      <c r="D46" s="37"/>
      <c r="E46" s="37"/>
      <c r="F46" s="37"/>
    </row>
    <row r="47" spans="1:11" ht="14.2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4.2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4.25">
      <c r="A49"/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  <row r="56" spans="2:11" ht="14.25">
      <c r="B56"/>
      <c r="C56"/>
      <c r="D56"/>
      <c r="E56"/>
      <c r="F56"/>
      <c r="G56"/>
      <c r="H56"/>
      <c r="I56"/>
      <c r="J56"/>
      <c r="K56"/>
    </row>
    <row r="57" spans="2:11" ht="14.25">
      <c r="B57"/>
      <c r="C57"/>
      <c r="D57"/>
      <c r="E57"/>
      <c r="F57"/>
      <c r="G57"/>
      <c r="H57"/>
      <c r="I57"/>
      <c r="J57"/>
      <c r="K57"/>
    </row>
    <row r="58" spans="2:11" ht="14.25">
      <c r="B58"/>
      <c r="C58"/>
      <c r="D58"/>
      <c r="E58"/>
      <c r="F58"/>
      <c r="G58"/>
      <c r="H58"/>
      <c r="I58"/>
      <c r="J58"/>
      <c r="K58"/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  <row r="61" spans="2:11" ht="14.25">
      <c r="B61"/>
      <c r="C61"/>
      <c r="D61"/>
      <c r="E61"/>
      <c r="F61"/>
      <c r="G61"/>
      <c r="H61"/>
      <c r="I61"/>
      <c r="J61"/>
      <c r="K61"/>
    </row>
    <row r="62" spans="2:11" ht="14.25">
      <c r="B62"/>
      <c r="C62"/>
      <c r="D62"/>
      <c r="E62"/>
      <c r="F62"/>
      <c r="G62"/>
      <c r="H62"/>
      <c r="I62"/>
      <c r="J62"/>
      <c r="K62"/>
    </row>
    <row r="63" spans="2:11" ht="14.25">
      <c r="B63"/>
      <c r="C63"/>
      <c r="D63"/>
      <c r="E63"/>
      <c r="F63"/>
      <c r="G63"/>
      <c r="H63"/>
      <c r="I63"/>
      <c r="J63"/>
      <c r="K63"/>
    </row>
  </sheetData>
  <sheetProtection/>
  <mergeCells count="1"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E27" sqref="E27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D6</f>
        <v>October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2.75" customHeight="1">
      <c r="B6" s="8" t="s">
        <v>3</v>
      </c>
      <c r="C6" s="46"/>
      <c r="D6" s="84" t="str">
        <f>+'[11]INPUT SHEET'!B1</f>
        <v>October 2013 ACTUAL</v>
      </c>
      <c r="E6" s="84"/>
      <c r="F6" s="84"/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16734</v>
      </c>
      <c r="E11" s="19">
        <v>324640.7199999999</v>
      </c>
      <c r="F11" s="20">
        <v>19.400066929604392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87971.55+129627</f>
        <v>217598.55</v>
      </c>
      <c r="E12" s="59">
        <f>2281665.852+3270008</f>
        <v>5551673.852</v>
      </c>
      <c r="F12" s="20">
        <f>E12/D12</f>
        <v>25.51337705145554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234332.55</v>
      </c>
      <c r="E13" s="19">
        <f>SUM(E11:E12)</f>
        <v>5876314.572</v>
      </c>
      <c r="F13" s="20">
        <f>IF((E13=0),0,(IF((D13=0),0,(E13/D13))))</f>
        <v>25.076817420371178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16734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306431.826</v>
      </c>
      <c r="E16" s="19">
        <v>7832526.479</v>
      </c>
      <c r="F16" s="20">
        <v>25.560420995565913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29288.992</v>
      </c>
      <c r="E17" s="19">
        <v>972711.89</v>
      </c>
      <c r="F17" s="20">
        <v>33.21083531997277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217598.25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29288.992</v>
      </c>
    </row>
    <row r="19" spans="2:15" ht="13.5">
      <c r="B19" s="23" t="s">
        <v>12</v>
      </c>
      <c r="C19" s="46"/>
      <c r="D19" s="19">
        <v>335720.81799999997</v>
      </c>
      <c r="E19" s="19">
        <v>8805238.369</v>
      </c>
      <c r="F19" s="20">
        <v>26.227859271449773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423404.345</v>
      </c>
    </row>
    <row r="21" spans="2:15" ht="13.5">
      <c r="B21" s="17" t="s">
        <v>17</v>
      </c>
      <c r="C21" s="46"/>
      <c r="D21" s="19">
        <f>D13+D19</f>
        <v>570053.368</v>
      </c>
      <c r="E21" s="19">
        <f>E13+E19</f>
        <v>14681552.941</v>
      </c>
      <c r="F21" s="20">
        <f>IF((E21=0),0,(IF((D21=0),0,(E21/D21))))</f>
        <v>25.754699060036074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670291.5869999999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687025.5869999999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v>31840.9</v>
      </c>
      <c r="E27" s="19">
        <v>732459.047</v>
      </c>
      <c r="F27" s="20">
        <v>23.161267213038254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23812.602000000003</v>
      </c>
      <c r="E28" s="19">
        <v>839322.3499999999</v>
      </c>
      <c r="F28" s="20">
        <f>E28/D28</f>
        <v>35.24698182920118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8197.302</v>
      </c>
      <c r="E29" s="19">
        <v>261875.41600000008</v>
      </c>
      <c r="F29" s="20">
        <v>31.94653753149513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0</v>
      </c>
      <c r="E30" s="19">
        <v>0</v>
      </c>
      <c r="F30" s="20">
        <v>0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63850.804000000004</v>
      </c>
      <c r="E31" s="19">
        <f>SUM(E26:E30)</f>
        <v>1833656.813</v>
      </c>
      <c r="F31" s="20">
        <f>IF((E31=0),0,(IF((D31=0),0,(E31/D31))))</f>
        <v>28.717834359611196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37493.745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143329.51799999998</v>
      </c>
    </row>
    <row r="33" spans="2:15" ht="13.5">
      <c r="B33" s="17" t="s">
        <v>24</v>
      </c>
      <c r="C33" s="46"/>
      <c r="D33" s="19">
        <f>D21-D31</f>
        <v>506202.564</v>
      </c>
      <c r="E33" s="19">
        <f>E21-E31</f>
        <v>12847896.127999999</v>
      </c>
      <c r="F33" s="20">
        <f>IF((E33=0),0,(IF((D33=0),0,(E33/D33))))</f>
        <v>25.380938465574424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0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180823.26299999998</v>
      </c>
    </row>
    <row r="35" spans="1:15" ht="13.5">
      <c r="A35" s="16" t="s">
        <v>23</v>
      </c>
      <c r="B35" s="17" t="s">
        <v>26</v>
      </c>
      <c r="C35" s="46"/>
      <c r="D35" s="19">
        <f>+D31+D33</f>
        <v>570053.368</v>
      </c>
      <c r="E35" s="19">
        <f>+E31+E33</f>
        <v>14681552.941</v>
      </c>
      <c r="F35" s="20">
        <f>IF((E35=0),0,(IF((D35=0),0,(E35/D35))))</f>
        <v>25.754699060036074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506202.32399999996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687025.5869999999</v>
      </c>
    </row>
    <row r="39" spans="1:15" ht="13.5">
      <c r="A39" s="16"/>
      <c r="B39" s="8" t="s">
        <v>28</v>
      </c>
      <c r="C39" s="46"/>
      <c r="D39" s="63">
        <f>D21-D31</f>
        <v>506202.564</v>
      </c>
      <c r="E39" s="63">
        <f>E21-E31</f>
        <v>12847896.127999999</v>
      </c>
      <c r="F39" s="64">
        <f aca="true" t="shared" si="0" ref="F39:F45">IF((E39=0),0,(IF((D39=0),0,(E39/D39))))</f>
        <v>25.380938465574424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-0.24000000004889444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506202.32399999996</v>
      </c>
      <c r="E41" s="19">
        <f>(SUM(E39))+E40</f>
        <v>12847896.127999999</v>
      </c>
      <c r="F41" s="20">
        <f t="shared" si="0"/>
        <v>25.380950499152586</v>
      </c>
    </row>
    <row r="42" spans="1:6" ht="13.5">
      <c r="A42" s="71" t="s">
        <v>29</v>
      </c>
      <c r="B42" s="72" t="s">
        <v>34</v>
      </c>
      <c r="C42" s="73"/>
      <c r="D42" s="74">
        <v>-786.712887</v>
      </c>
      <c r="E42" s="74">
        <v>-20691.335640987</v>
      </c>
      <c r="F42" s="20">
        <f t="shared" si="0"/>
        <v>26.301</v>
      </c>
    </row>
    <row r="43" spans="1:6" ht="13.5">
      <c r="A43" s="71" t="s">
        <v>31</v>
      </c>
      <c r="B43" s="72" t="s">
        <v>36</v>
      </c>
      <c r="C43" s="73"/>
      <c r="D43" s="74">
        <v>786.712887</v>
      </c>
      <c r="E43" s="74">
        <v>20691.335640987</v>
      </c>
      <c r="F43" s="20">
        <f t="shared" si="0"/>
        <v>26.301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506202.32399999996</v>
      </c>
      <c r="E45" s="77">
        <f>SUM(E41:E44)</f>
        <v>12847896.127999999</v>
      </c>
      <c r="F45" s="65">
        <f t="shared" si="0"/>
        <v>25.380950499152586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4.2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4.2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4.25">
      <c r="A49"/>
    </row>
    <row r="50" spans="1:7" ht="14.25">
      <c r="A50"/>
      <c r="B50"/>
      <c r="C50"/>
      <c r="D50"/>
      <c r="E50"/>
      <c r="F50"/>
      <c r="G50"/>
    </row>
    <row r="51" spans="1:7" ht="14.25">
      <c r="A51"/>
      <c r="B51"/>
      <c r="C51"/>
      <c r="D51"/>
      <c r="E51"/>
      <c r="F51"/>
      <c r="G51"/>
    </row>
    <row r="52" spans="1:7" ht="14.25">
      <c r="A52"/>
      <c r="B52"/>
      <c r="C52"/>
      <c r="D52"/>
      <c r="E52"/>
      <c r="F52"/>
      <c r="G52"/>
    </row>
    <row r="53" spans="1:7" ht="14.25">
      <c r="A53"/>
      <c r="B53"/>
      <c r="C53"/>
      <c r="D53"/>
      <c r="E53"/>
      <c r="F53"/>
      <c r="G53"/>
    </row>
    <row r="54" spans="1:7" ht="14.25">
      <c r="A54"/>
      <c r="B54"/>
      <c r="C54"/>
      <c r="D54"/>
      <c r="E54"/>
      <c r="F54"/>
      <c r="G54"/>
    </row>
    <row r="55" spans="1:7" ht="14.25">
      <c r="A55"/>
      <c r="B55"/>
      <c r="C55"/>
      <c r="D55"/>
      <c r="E55"/>
      <c r="F55"/>
      <c r="G55"/>
    </row>
    <row r="56" spans="1:7" ht="14.25">
      <c r="A56"/>
      <c r="B56"/>
      <c r="C56"/>
      <c r="D56"/>
      <c r="E56"/>
      <c r="F56"/>
      <c r="G56"/>
    </row>
    <row r="57" spans="1:7" ht="14.25">
      <c r="A57"/>
      <c r="B57"/>
      <c r="C57"/>
      <c r="D57"/>
      <c r="E57"/>
      <c r="F57"/>
      <c r="G57"/>
    </row>
    <row r="58" spans="1:7" ht="14.25">
      <c r="A58"/>
      <c r="B58"/>
      <c r="C58"/>
      <c r="D58"/>
      <c r="E58"/>
      <c r="F58"/>
      <c r="G58"/>
    </row>
    <row r="59" ht="10.5">
      <c r="B59" s="6" t="s">
        <v>4</v>
      </c>
    </row>
    <row r="60" ht="10.5">
      <c r="B60" s="6" t="s">
        <v>4</v>
      </c>
    </row>
  </sheetData>
  <sheetProtection/>
  <mergeCells count="1"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E28" sqref="E28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D6</f>
        <v>November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2.75" customHeight="1">
      <c r="B6" s="8" t="s">
        <v>3</v>
      </c>
      <c r="C6" s="46"/>
      <c r="D6" s="84" t="str">
        <f>+'[12]INPUT SHEET'!B1</f>
        <v>November 2013 ACTUAL</v>
      </c>
      <c r="E6" s="84"/>
      <c r="F6" s="84"/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35869</v>
      </c>
      <c r="E11" s="19">
        <v>2075966.83</v>
      </c>
      <c r="F11" s="20">
        <v>57.876350887953386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113852.85+126399</f>
        <v>240251.85</v>
      </c>
      <c r="E12" s="59">
        <f>2907930.174+3204094</f>
        <v>6112024.174000001</v>
      </c>
      <c r="F12" s="20">
        <f>E12/D12</f>
        <v>25.4400712169334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276120.85</v>
      </c>
      <c r="E13" s="19">
        <f>SUM(E11:E12)</f>
        <v>8187991.004000001</v>
      </c>
      <c r="F13" s="20">
        <f>IF((E13=0),0,(IF((D13=0),0,(E13/D13))))</f>
        <v>29.653649856575488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35869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352668.654</v>
      </c>
      <c r="E16" s="19">
        <v>8310982.944</v>
      </c>
      <c r="F16" s="20">
        <v>23.565981409847673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24114.307999999997</v>
      </c>
      <c r="E17" s="19">
        <v>793593.51</v>
      </c>
      <c r="F17" s="20">
        <v>32.909653057429644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240252.3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24114.307999999997</v>
      </c>
    </row>
    <row r="19" spans="2:15" ht="13.5">
      <c r="B19" s="23" t="s">
        <v>12</v>
      </c>
      <c r="C19" s="46"/>
      <c r="D19" s="19">
        <f>SUM(D16:D18)</f>
        <v>376782.962</v>
      </c>
      <c r="E19" s="19">
        <f>SUM(E16:E18)</f>
        <v>9104576.454</v>
      </c>
      <c r="F19" s="20">
        <f>IF((E19=0),0,(IF((D19=0),0,(E19/D19))))</f>
        <v>24.163981316119067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443514.263</v>
      </c>
    </row>
    <row r="21" spans="2:15" ht="13.5">
      <c r="B21" s="17" t="s">
        <v>17</v>
      </c>
      <c r="C21" s="46"/>
      <c r="D21" s="19">
        <f>D13+D19</f>
        <v>652903.8119999999</v>
      </c>
      <c r="E21" s="19">
        <f>E13+E19</f>
        <v>17292567.458</v>
      </c>
      <c r="F21" s="20">
        <f>IF((E21=0),0,(IF((D21=0),0,(E21/D21))))</f>
        <v>26.485627959543912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707880.871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743749.871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17421.308+18332</f>
        <v>35753.308000000005</v>
      </c>
      <c r="E27" s="19">
        <f>406397.017000001+425940</f>
        <v>832337.0170000009</v>
      </c>
      <c r="F27" s="20">
        <v>23.32758349717488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15850.486</v>
      </c>
      <c r="E28" s="19">
        <v>567107.6799999999</v>
      </c>
      <c r="F28" s="20">
        <f>E28/D28</f>
        <v>35.77856729440346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5467.161999999997</v>
      </c>
      <c r="E29" s="19">
        <v>174956.15700000024</v>
      </c>
      <c r="F29" s="20">
        <v>32.001275433213856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20.63</v>
      </c>
      <c r="E30" s="19">
        <v>670.082</v>
      </c>
      <c r="F30" s="20">
        <v>32.480950072709646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57091.586</v>
      </c>
      <c r="E31" s="19">
        <f>SUM(E26:E30)</f>
        <v>1575070.9360000012</v>
      </c>
      <c r="F31" s="20">
        <f>IF((E31=0),0,(IF((D31=0),0,(E31/D31))))</f>
        <v>27.588495019213532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38600.287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109316.10399999999</v>
      </c>
    </row>
    <row r="33" spans="2:15" ht="13.5">
      <c r="B33" s="17" t="s">
        <v>24</v>
      </c>
      <c r="C33" s="46"/>
      <c r="D33" s="19">
        <f>D21-D31</f>
        <v>595812.2259999999</v>
      </c>
      <c r="E33" s="19">
        <f>E21-E31</f>
        <v>15717496.522</v>
      </c>
      <c r="F33" s="20">
        <f>IF((E33=0),0,(IF((D33=0),0,(E33/D33))))</f>
        <v>26.379949648767365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20.63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147937.021</v>
      </c>
    </row>
    <row r="35" spans="1:15" ht="13.5">
      <c r="A35" s="16" t="s">
        <v>23</v>
      </c>
      <c r="B35" s="17" t="s">
        <v>26</v>
      </c>
      <c r="C35" s="46"/>
      <c r="D35" s="19">
        <f>+D31+D33</f>
        <v>652903.8119999999</v>
      </c>
      <c r="E35" s="19">
        <f>+E31+E33</f>
        <v>17292567.458</v>
      </c>
      <c r="F35" s="20">
        <f>IF((E35=0),0,(IF((D35=0),0,(E35/D35))))</f>
        <v>26.485627959543912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595812.8500000001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743749.871</v>
      </c>
    </row>
    <row r="39" spans="1:15" ht="13.5">
      <c r="A39" s="16"/>
      <c r="B39" s="8" t="s">
        <v>28</v>
      </c>
      <c r="C39" s="46"/>
      <c r="D39" s="63">
        <f>D21-D31</f>
        <v>595812.2259999999</v>
      </c>
      <c r="E39" s="63">
        <f>E21-E31</f>
        <v>15717496.522</v>
      </c>
      <c r="F39" s="64">
        <f aca="true" t="shared" si="0" ref="F39:F45">IF((E39=0),0,(IF((D39=0),0,(E39/D39))))</f>
        <v>26.379949648767365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0.6240000001853332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595812.8500000001</v>
      </c>
      <c r="E41" s="19">
        <f>(SUM(E39))+E40</f>
        <v>15717496.522</v>
      </c>
      <c r="F41" s="20">
        <f t="shared" si="0"/>
        <v>26.37992202081576</v>
      </c>
    </row>
    <row r="42" spans="1:6" ht="13.5">
      <c r="A42" s="71" t="s">
        <v>29</v>
      </c>
      <c r="B42" s="72" t="s">
        <v>34</v>
      </c>
      <c r="C42" s="73"/>
      <c r="D42" s="74">
        <v>518.1808418</v>
      </c>
      <c r="E42" s="74">
        <v>13307.402198265801</v>
      </c>
      <c r="F42" s="20">
        <f t="shared" si="0"/>
        <v>25.681</v>
      </c>
    </row>
    <row r="43" spans="1:6" ht="13.5">
      <c r="A43" s="71" t="s">
        <v>31</v>
      </c>
      <c r="B43" s="72" t="s">
        <v>36</v>
      </c>
      <c r="C43" s="73"/>
      <c r="D43" s="74">
        <v>-518.1808418</v>
      </c>
      <c r="E43" s="74">
        <v>-13307.402198265801</v>
      </c>
      <c r="F43" s="20">
        <f t="shared" si="0"/>
        <v>25.681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f>O36+D42+D43</f>
        <v>595812.8500000001</v>
      </c>
      <c r="E45" s="77">
        <f>SUM(E41:E44)</f>
        <v>15717496.522</v>
      </c>
      <c r="F45" s="65">
        <f t="shared" si="0"/>
        <v>26.37992202081576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4.2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4.2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4.25">
      <c r="A49"/>
    </row>
    <row r="54" spans="2:6" ht="10.5">
      <c r="B54" s="8"/>
      <c r="C54" s="46"/>
      <c r="D54" s="19"/>
      <c r="E54" s="19"/>
      <c r="F54" s="39"/>
    </row>
    <row r="55" spans="2:7" ht="14.25">
      <c r="B55" s="8"/>
      <c r="C55" s="46"/>
      <c r="E55"/>
      <c r="F55"/>
      <c r="G55"/>
    </row>
    <row r="56" spans="2:7" ht="14.25">
      <c r="B56" s="8"/>
      <c r="C56" s="46"/>
      <c r="E56"/>
      <c r="F56"/>
      <c r="G56"/>
    </row>
    <row r="57" spans="3:7" ht="14.25">
      <c r="C57" s="68"/>
      <c r="D57" s="19"/>
      <c r="E57"/>
      <c r="F57"/>
      <c r="G57"/>
    </row>
    <row r="58" spans="5:7" ht="14.25">
      <c r="E58"/>
      <c r="F58"/>
      <c r="G58"/>
    </row>
    <row r="59" spans="2:7" ht="14.25">
      <c r="B59" s="6" t="s">
        <v>4</v>
      </c>
      <c r="E59"/>
      <c r="F59"/>
      <c r="G59"/>
    </row>
    <row r="60" ht="10.5">
      <c r="B60" s="6" t="s">
        <v>4</v>
      </c>
    </row>
  </sheetData>
  <sheetProtection/>
  <mergeCells count="1"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E30" sqref="E30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D6</f>
        <v>December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2.75" customHeight="1">
      <c r="B6" s="8" t="s">
        <v>3</v>
      </c>
      <c r="C6" s="46"/>
      <c r="D6" s="84" t="str">
        <f>+'[13]INPUT SHEET'!B1</f>
        <v>December 2013 ACTUAL</v>
      </c>
      <c r="E6" s="84"/>
      <c r="F6" s="84"/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379794</v>
      </c>
      <c r="E11" s="19">
        <v>13224760.229999999</v>
      </c>
      <c r="F11" s="20">
        <v>34.82087718605349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137910+135072</f>
        <v>272982</v>
      </c>
      <c r="E12" s="59">
        <f>3497663.5695+3396928</f>
        <v>6894591.5695</v>
      </c>
      <c r="F12" s="20">
        <f>E12/D12</f>
        <v>25.256579442966935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652776</v>
      </c>
      <c r="E13" s="19">
        <f>SUM(E11:E12)</f>
        <v>20119351.7995</v>
      </c>
      <c r="F13" s="20">
        <f>IF((E13=0),0,(IF((D13=0),0,(E13/D13))))</f>
        <v>30.821218610212384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379794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272738.118</v>
      </c>
      <c r="E16" s="19">
        <v>5986721.537</v>
      </c>
      <c r="F16" s="20">
        <v>21.95043942115931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31447.161999999997</v>
      </c>
      <c r="E17" s="19">
        <v>1116409.91</v>
      </c>
      <c r="F17" s="20">
        <v>35.501133933803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272982.15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31447.161999999997</v>
      </c>
    </row>
    <row r="19" spans="2:15" ht="13.5">
      <c r="B19" s="23" t="s">
        <v>12</v>
      </c>
      <c r="C19" s="46"/>
      <c r="D19" s="19">
        <f>SUM(D16:D18)</f>
        <v>304185.28</v>
      </c>
      <c r="E19" s="19">
        <f>SUM(E16:E18)</f>
        <v>7103131.447</v>
      </c>
      <c r="F19" s="20">
        <f>IF((E19=0),0,(IF((D19=0),0,(E19/D19))))</f>
        <v>23.351331948081114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461558.367</v>
      </c>
    </row>
    <row r="21" spans="2:15" ht="13.5">
      <c r="B21" s="17" t="s">
        <v>17</v>
      </c>
      <c r="C21" s="46"/>
      <c r="D21" s="19">
        <f>D13+D19</f>
        <v>956961.28</v>
      </c>
      <c r="E21" s="19">
        <f>E13+E19</f>
        <v>27222483.2465</v>
      </c>
      <c r="F21" s="20">
        <f>IF((E21=0),0,(IF((D21=0),0,(E21/D21))))</f>
        <v>28.44679697646701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765987.679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1145781.679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53.682</v>
      </c>
      <c r="E26" s="19">
        <v>1654.533</v>
      </c>
      <c r="F26" s="20">
        <v>30.821001453001003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50798.903+43615</f>
        <v>94413.90299999999</v>
      </c>
      <c r="E27" s="19">
        <f>1178969.999+1004962</f>
        <v>2183931.999</v>
      </c>
      <c r="F27" s="20">
        <f>E27/D27</f>
        <v>23.131466125280298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30202.158999999996</v>
      </c>
      <c r="E28" s="19">
        <v>1090814.21</v>
      </c>
      <c r="F28" s="20">
        <v>36.117093814385925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172470.642</v>
      </c>
      <c r="E29" s="19">
        <v>9402209.193000011</v>
      </c>
      <c r="F29" s="20">
        <v>54.51483849059953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113.834</v>
      </c>
      <c r="E30" s="19">
        <v>2927.165</v>
      </c>
      <c r="F30" s="20">
        <v>25.714329637893773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297254.22</v>
      </c>
      <c r="E31" s="19">
        <f>SUM(E26:E30)</f>
        <v>12681537.100000009</v>
      </c>
      <c r="F31" s="20">
        <f>IF((E31=0),0,(IF((D31=0),0,(E31/D31))))</f>
        <v>42.66226094283879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249977.41800000003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235983.41</v>
      </c>
    </row>
    <row r="33" spans="2:15" ht="13.5">
      <c r="B33" s="17" t="s">
        <v>24</v>
      </c>
      <c r="C33" s="46"/>
      <c r="D33" s="19">
        <f>D21-D31</f>
        <v>659707.06</v>
      </c>
      <c r="E33" s="19">
        <f>E21-E31</f>
        <v>14540946.146499991</v>
      </c>
      <c r="F33" s="20">
        <f>IF((E33=0),0,(IF((D33=0),0,(E33/D33))))</f>
        <v>22.041519680720093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113.834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486074.662</v>
      </c>
    </row>
    <row r="35" spans="1:15" ht="13.5">
      <c r="A35" s="16" t="s">
        <v>23</v>
      </c>
      <c r="B35" s="17" t="s">
        <v>26</v>
      </c>
      <c r="C35" s="46"/>
      <c r="D35" s="19">
        <f>+D31+D33</f>
        <v>956961.28</v>
      </c>
      <c r="E35" s="19">
        <f>+E31+E33</f>
        <v>27222483.2465</v>
      </c>
      <c r="F35" s="20">
        <f>IF((E35=0),0,(IF((D35=0),0,(E35/D35))))</f>
        <v>28.44679697646701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659707.017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1145781.679</v>
      </c>
    </row>
    <row r="39" spans="1:15" ht="13.5">
      <c r="A39" s="16"/>
      <c r="B39" s="8" t="s">
        <v>28</v>
      </c>
      <c r="C39" s="46"/>
      <c r="D39" s="63">
        <f>D21-D31</f>
        <v>659707.06</v>
      </c>
      <c r="E39" s="63">
        <f>E21-E31</f>
        <v>14540946.146499991</v>
      </c>
      <c r="F39" s="64">
        <f aca="true" t="shared" si="0" ref="F39:F45">IF((E39=0),0,(IF((D39=0),0,(E39/D39))))</f>
        <v>22.041519680720093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-0.043000000063329935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659707.017</v>
      </c>
      <c r="E41" s="19">
        <f>(SUM(E39))+E40</f>
        <v>14540946.146499991</v>
      </c>
      <c r="F41" s="20">
        <f t="shared" si="0"/>
        <v>22.041521117396258</v>
      </c>
    </row>
    <row r="42" spans="1:6" ht="13.5">
      <c r="A42" s="71" t="s">
        <v>29</v>
      </c>
      <c r="B42" s="72" t="s">
        <v>34</v>
      </c>
      <c r="C42" s="73"/>
      <c r="D42" s="74">
        <v>1888.465403</v>
      </c>
      <c r="E42" s="74">
        <v>48445.089008583</v>
      </c>
      <c r="F42" s="20">
        <f t="shared" si="0"/>
        <v>25.65315145918138</v>
      </c>
    </row>
    <row r="43" spans="1:6" ht="13.5">
      <c r="A43" s="71" t="s">
        <v>31</v>
      </c>
      <c r="B43" s="72" t="s">
        <v>36</v>
      </c>
      <c r="C43" s="73"/>
      <c r="D43" s="74">
        <v>-1888.465403</v>
      </c>
      <c r="E43" s="74">
        <v>-48445.089008583</v>
      </c>
      <c r="F43" s="20">
        <f t="shared" si="0"/>
        <v>25.65315145918138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659707.017</v>
      </c>
      <c r="E45" s="77">
        <f>SUM(E41:E44)</f>
        <v>14540946.146499991</v>
      </c>
      <c r="F45" s="65">
        <f t="shared" si="0"/>
        <v>22.041521117396258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4.2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4.2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4.25">
      <c r="A49"/>
    </row>
    <row r="54" spans="2:6" ht="10.5">
      <c r="B54" s="8"/>
      <c r="C54" s="46"/>
      <c r="D54" s="19"/>
      <c r="E54" s="19"/>
      <c r="F54" s="39"/>
    </row>
    <row r="55" spans="2:6" ht="14.25">
      <c r="B55" s="8"/>
      <c r="C55" s="46"/>
      <c r="E55"/>
      <c r="F55"/>
    </row>
    <row r="56" spans="2:6" ht="14.25">
      <c r="B56" s="8"/>
      <c r="C56" s="46"/>
      <c r="E56"/>
      <c r="F56"/>
    </row>
    <row r="57" spans="3:6" ht="14.25">
      <c r="C57" s="68"/>
      <c r="D57" s="19"/>
      <c r="E57"/>
      <c r="F57"/>
    </row>
    <row r="58" spans="5:6" ht="14.25">
      <c r="E58"/>
      <c r="F58"/>
    </row>
    <row r="59" spans="5:6" ht="14.25">
      <c r="E59"/>
      <c r="F59"/>
    </row>
    <row r="60" spans="5:6" ht="14.25">
      <c r="E60"/>
      <c r="F60"/>
    </row>
  </sheetData>
  <sheetProtection/>
  <mergeCells count="1"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0">
      <selection activeCell="I37" sqref="I37"/>
    </sheetView>
  </sheetViews>
  <sheetFormatPr defaultColWidth="9.8515625" defaultRowHeight="15"/>
  <cols>
    <col min="1" max="1" width="3.28125" style="1" bestFit="1" customWidth="1"/>
    <col min="2" max="2" width="51.7109375" style="6" bestFit="1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16384" width="9.8515625" style="6" customWidth="1"/>
  </cols>
  <sheetData>
    <row r="1" spans="2:5" ht="15">
      <c r="B1" s="2" t="s">
        <v>0</v>
      </c>
      <c r="C1" s="3"/>
      <c r="D1" s="4"/>
      <c r="E1" s="5">
        <f ca="1">NOW()</f>
        <v>42088.424433796295</v>
      </c>
    </row>
    <row r="2" ht="10.5"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10"/>
      <c r="E6" s="11" t="s">
        <v>4</v>
      </c>
    </row>
    <row r="7" ht="10.5">
      <c r="B7" s="3"/>
    </row>
    <row r="8" spans="2:6" ht="10.5">
      <c r="B8" s="12" t="s">
        <v>5</v>
      </c>
      <c r="C8" s="12" t="s">
        <v>6</v>
      </c>
      <c r="D8" s="13" t="s">
        <v>7</v>
      </c>
      <c r="E8" s="81" t="s">
        <v>8</v>
      </c>
      <c r="F8" s="82"/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41" t="s">
        <v>43</v>
      </c>
      <c r="C11" s="19">
        <v>611150</v>
      </c>
      <c r="D11" s="19">
        <v>19054146</v>
      </c>
      <c r="E11" s="20">
        <v>31.177527611879245</v>
      </c>
    </row>
    <row r="12" spans="2:5" ht="10.5">
      <c r="B12" s="18" t="s">
        <v>41</v>
      </c>
      <c r="C12" s="19">
        <f>139495+219535</f>
        <v>359030</v>
      </c>
      <c r="D12" s="19">
        <f>4450957+6403183</f>
        <v>10854140</v>
      </c>
      <c r="E12" s="20">
        <f>D12/C12</f>
        <v>30.231846920870122</v>
      </c>
    </row>
    <row r="13" spans="2:5" ht="10.5">
      <c r="B13" s="8" t="s">
        <v>42</v>
      </c>
      <c r="C13" s="19">
        <f>135241+128673</f>
        <v>263914</v>
      </c>
      <c r="D13" s="19">
        <f>3274172+3080784</f>
        <v>6354956</v>
      </c>
      <c r="E13" s="20">
        <f>D13/C13</f>
        <v>24.079647157786248</v>
      </c>
    </row>
    <row r="14" spans="2:6" ht="10.5">
      <c r="B14" s="23" t="s">
        <v>12</v>
      </c>
      <c r="C14" s="24">
        <f>SUM(C11:C13)</f>
        <v>1234094</v>
      </c>
      <c r="D14" s="24">
        <f>SUM(D11:D13)</f>
        <v>36263242</v>
      </c>
      <c r="E14" s="25">
        <f>IF((D14=0),0,(IF((C14=0),0,(D14/C14))))</f>
        <v>29.38450555630284</v>
      </c>
      <c r="F14" s="40"/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75823.807</v>
      </c>
      <c r="D17" s="21">
        <v>7100284.53</v>
      </c>
      <c r="E17" s="22">
        <v>93.64188914967036</v>
      </c>
    </row>
    <row r="18" spans="2:5" ht="10.5">
      <c r="B18" s="23" t="s">
        <v>12</v>
      </c>
      <c r="C18" s="24">
        <f>SUM(C17:C17)</f>
        <v>75823.807</v>
      </c>
      <c r="D18" s="24">
        <f>SUM(D17:D17)</f>
        <v>7100284.53</v>
      </c>
      <c r="E18" s="25">
        <f>IF((D18=0),0,(IF((C18=0),0,(D18/C18))))</f>
        <v>93.64188914967036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1309917.807</v>
      </c>
      <c r="D20" s="24">
        <f>D14+D18</f>
        <v>43363526.53</v>
      </c>
      <c r="E20" s="25">
        <f>IF((D20=0),0,(IF((C20=0),0,(D20/C20))))</f>
        <v>33.104005685144486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21</v>
      </c>
      <c r="C25" s="26">
        <v>259164.95799999998</v>
      </c>
      <c r="D25" s="26">
        <v>6631481.974</v>
      </c>
      <c r="E25" s="27">
        <v>25.587880495788326</v>
      </c>
    </row>
    <row r="26" spans="2:5" ht="10.5">
      <c r="B26" s="8" t="s">
        <v>41</v>
      </c>
      <c r="C26" s="26">
        <f>26741+48331</f>
        <v>75072</v>
      </c>
      <c r="D26" s="26">
        <f>637279+1149152</f>
        <v>1786431</v>
      </c>
      <c r="E26" s="27">
        <f>D26/C26</f>
        <v>23.79623561381074</v>
      </c>
    </row>
    <row r="27" spans="2:5" ht="10.5">
      <c r="B27" s="8" t="s">
        <v>42</v>
      </c>
      <c r="C27" s="19">
        <f>57057+49753</f>
        <v>106810</v>
      </c>
      <c r="D27" s="19">
        <f>1262859+1090060</f>
        <v>2352919</v>
      </c>
      <c r="E27" s="20">
        <f>D27/C27</f>
        <v>22.029014137253068</v>
      </c>
    </row>
    <row r="28" spans="2:5" ht="10.5">
      <c r="B28" s="18" t="s">
        <v>101</v>
      </c>
      <c r="C28" s="21">
        <v>72981.65000000001</v>
      </c>
      <c r="D28" s="21">
        <v>6971596.6899999995</v>
      </c>
      <c r="E28" s="22">
        <v>95.5253367113514</v>
      </c>
    </row>
    <row r="29" spans="2:5" ht="10.5">
      <c r="B29" s="23" t="s">
        <v>12</v>
      </c>
      <c r="C29" s="24">
        <f>SUM(C25:C28)</f>
        <v>514028.608</v>
      </c>
      <c r="D29" s="24">
        <f>SUM(D25:D28)</f>
        <v>17742428.663999997</v>
      </c>
      <c r="E29" s="25">
        <f>IF((D29=0),0,(IF((C29=0),0,(D29/C29))))</f>
        <v>34.516422603467234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795889.199</v>
      </c>
      <c r="D31" s="24">
        <f>D20-D29</f>
        <v>25621097.866000004</v>
      </c>
      <c r="E31" s="25">
        <f>IF((D31=0),0,(IF((C31=0),0,(D31/C31))))</f>
        <v>32.191789885064146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1309917.807</v>
      </c>
      <c r="D33" s="24">
        <f>+D29+D31</f>
        <v>43363526.53</v>
      </c>
      <c r="E33" s="25">
        <f>IF((D33=0),0,(IF((C33=0),0,(D33/C33))))</f>
        <v>33.104005685144486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5" ht="10.5">
      <c r="A37" s="16" t="s">
        <v>27</v>
      </c>
      <c r="B37" s="8" t="s">
        <v>28</v>
      </c>
      <c r="C37" s="19">
        <f>C31</f>
        <v>795889.199</v>
      </c>
      <c r="D37" s="19">
        <f>D31</f>
        <v>25621097.866000004</v>
      </c>
      <c r="E37" s="20">
        <f aca="true" t="shared" si="0" ref="E37:E43">IF((D37=0),0,(IF((C37=0),0,(D37/C37))))</f>
        <v>32.191789885064146</v>
      </c>
    </row>
    <row r="38" spans="1:5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</row>
    <row r="39" spans="1:13" ht="11.25" thickBot="1">
      <c r="A39" s="28" t="s">
        <v>31</v>
      </c>
      <c r="B39" s="29" t="s">
        <v>32</v>
      </c>
      <c r="C39" s="30">
        <f>C43-C42</f>
        <v>795889.199</v>
      </c>
      <c r="D39" s="30">
        <f>(SUM(D37))+D38</f>
        <v>25621097.866000004</v>
      </c>
      <c r="E39" s="31">
        <f t="shared" si="0"/>
        <v>32.191789885064146</v>
      </c>
      <c r="K39" s="35"/>
      <c r="L39" s="35"/>
      <c r="M39" s="35"/>
    </row>
    <row r="40" spans="1:13" ht="10.5">
      <c r="A40" s="16" t="s">
        <v>33</v>
      </c>
      <c r="B40" s="18" t="s">
        <v>34</v>
      </c>
      <c r="C40" s="26">
        <f>-389.731814+1099</f>
        <v>709.268186</v>
      </c>
      <c r="D40" s="19">
        <f>-10068.607167042+16959</f>
        <v>6890.392832957999</v>
      </c>
      <c r="E40" s="20">
        <f t="shared" si="0"/>
        <v>9.714791906594835</v>
      </c>
      <c r="K40" s="35"/>
      <c r="L40" s="35"/>
      <c r="M40" s="35"/>
    </row>
    <row r="41" spans="1:13" ht="10.5">
      <c r="A41" s="16" t="s">
        <v>35</v>
      </c>
      <c r="B41" s="18" t="s">
        <v>36</v>
      </c>
      <c r="C41" s="26">
        <f>389.731814-1099</f>
        <v>-709.268186</v>
      </c>
      <c r="D41" s="19">
        <f>10068.607167042-16959</f>
        <v>-6890.392832957999</v>
      </c>
      <c r="E41" s="20">
        <f t="shared" si="0"/>
        <v>9.714791906594835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C37+C38+C40+C41</f>
        <v>795889.199</v>
      </c>
      <c r="D43" s="33">
        <f>D37+D38+D40+D41</f>
        <v>25621097.866000004</v>
      </c>
      <c r="E43" s="34">
        <f t="shared" si="0"/>
        <v>32.191789885064146</v>
      </c>
      <c r="K43" s="35"/>
      <c r="L43" s="35"/>
      <c r="M43" s="35"/>
    </row>
    <row r="44" spans="1:13" ht="12.75">
      <c r="A44" s="36" t="s">
        <v>4</v>
      </c>
      <c r="B44" s="37" t="s">
        <v>4</v>
      </c>
      <c r="C44" s="37"/>
      <c r="D44" s="37"/>
      <c r="E44" s="37"/>
      <c r="K44" s="35"/>
      <c r="L44" s="35"/>
      <c r="M44" s="35"/>
    </row>
    <row r="45" spans="1:13" ht="14.25">
      <c r="A45"/>
      <c r="B45" s="38" t="s">
        <v>4</v>
      </c>
      <c r="C45"/>
      <c r="D45"/>
      <c r="E45"/>
      <c r="K45" s="35"/>
      <c r="L45" s="35"/>
      <c r="M45" s="35"/>
    </row>
    <row r="46" spans="2:5" ht="10.5">
      <c r="B46" s="3"/>
      <c r="C46" s="19"/>
      <c r="D46" s="19"/>
      <c r="E46" s="39"/>
    </row>
    <row r="48" spans="1:6" ht="10.5">
      <c r="A48" s="85" t="s">
        <v>100</v>
      </c>
      <c r="B48" s="85"/>
      <c r="C48" s="85"/>
      <c r="D48" s="85"/>
      <c r="E48" s="85"/>
      <c r="F48" s="85"/>
    </row>
    <row r="49" spans="1:6" ht="25.5" customHeight="1">
      <c r="A49" s="85"/>
      <c r="B49" s="85"/>
      <c r="C49" s="85"/>
      <c r="D49" s="85"/>
      <c r="E49" s="85"/>
      <c r="F49" s="85"/>
    </row>
  </sheetData>
  <sheetProtection/>
  <mergeCells count="1">
    <mergeCell ref="A48:F4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G31" sqref="G31"/>
    </sheetView>
  </sheetViews>
  <sheetFormatPr defaultColWidth="9.8515625" defaultRowHeight="15"/>
  <cols>
    <col min="1" max="1" width="3.28125" style="1" bestFit="1" customWidth="1"/>
    <col min="2" max="2" width="51.7109375" style="6" bestFit="1" customWidth="1"/>
    <col min="3" max="3" width="11.28125" style="6" customWidth="1"/>
    <col min="4" max="4" width="19.7109375" style="6" customWidth="1"/>
    <col min="5" max="5" width="16.00390625" style="6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/>
    </row>
    <row r="2" spans="2:4" ht="10.5">
      <c r="B2" s="42" t="s">
        <v>4</v>
      </c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10" t="s">
        <v>44</v>
      </c>
      <c r="E6" s="11" t="s">
        <v>4</v>
      </c>
    </row>
    <row r="7" ht="10.5">
      <c r="B7" s="3"/>
    </row>
    <row r="8" spans="2:5" ht="10.5">
      <c r="B8" s="12" t="s">
        <v>5</v>
      </c>
      <c r="C8" s="12" t="s">
        <v>6</v>
      </c>
      <c r="D8" s="13" t="s">
        <v>7</v>
      </c>
      <c r="E8" s="43" t="s">
        <v>8</v>
      </c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43</v>
      </c>
      <c r="C11" s="19">
        <v>580585</v>
      </c>
      <c r="D11" s="19">
        <v>17147648.23</v>
      </c>
      <c r="E11" s="20">
        <v>29.53512100725992</v>
      </c>
    </row>
    <row r="12" spans="2:5" ht="10.5">
      <c r="B12" s="18" t="s">
        <v>41</v>
      </c>
      <c r="C12" s="19">
        <f>52281+249044</f>
        <v>301325</v>
      </c>
      <c r="D12" s="19">
        <f>1968715+7335766</f>
        <v>9304481</v>
      </c>
      <c r="E12" s="20">
        <f>D12/C12</f>
        <v>30.878556376005974</v>
      </c>
    </row>
    <row r="13" spans="2:5" ht="10.5">
      <c r="B13" s="8" t="s">
        <v>42</v>
      </c>
      <c r="C13" s="19">
        <f>94746+95240</f>
        <v>189986</v>
      </c>
      <c r="D13" s="19">
        <f>2459416+2539066</f>
        <v>4998482</v>
      </c>
      <c r="E13" s="20">
        <f>D13/C13</f>
        <v>26.309738612318803</v>
      </c>
    </row>
    <row r="14" spans="2:5" ht="10.5">
      <c r="B14" s="23" t="s">
        <v>12</v>
      </c>
      <c r="C14" s="24">
        <f>SUM(C11:C13)</f>
        <v>1071896</v>
      </c>
      <c r="D14" s="24">
        <f>SUM(D11:D13)</f>
        <v>31450611.23</v>
      </c>
      <c r="E14" s="25">
        <f>IF((D14=0),0,(IF((C14=0),0,(D14/C14))))</f>
        <v>29.341103269347027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57851.082</v>
      </c>
      <c r="D17" s="21">
        <v>3210163</v>
      </c>
      <c r="E17" s="22">
        <v>55.49011166290718</v>
      </c>
    </row>
    <row r="18" spans="2:5" ht="10.5">
      <c r="B18" s="23" t="s">
        <v>12</v>
      </c>
      <c r="C18" s="24">
        <f>SUM(C17:C17)</f>
        <v>57851.082</v>
      </c>
      <c r="D18" s="24">
        <f>SUM(D17:D17)</f>
        <v>3210163</v>
      </c>
      <c r="E18" s="25">
        <f>IF((D18=0),0,(IF((C18=0),0,(D18/C18))))</f>
        <v>55.49011166290718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1129747.082</v>
      </c>
      <c r="D20" s="24">
        <f>D14+D18</f>
        <v>34660774.230000004</v>
      </c>
      <c r="E20" s="25">
        <f>IF((D20=0),0,(IF((C20=0),0,(D20/C20))))</f>
        <v>30.680118393082964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21</v>
      </c>
      <c r="C25" s="26">
        <v>303476.57499999995</v>
      </c>
      <c r="D25" s="26">
        <v>8131635.862000005</v>
      </c>
      <c r="E25" s="27">
        <v>26.79493750712063</v>
      </c>
    </row>
    <row r="26" spans="2:5" ht="10.5">
      <c r="B26" s="8" t="s">
        <v>41</v>
      </c>
      <c r="C26" s="26">
        <f>3248+34638</f>
        <v>37886</v>
      </c>
      <c r="D26" s="26">
        <f>77762+866167</f>
        <v>943929</v>
      </c>
      <c r="E26" s="20">
        <f>D26/C26</f>
        <v>24.914981787467667</v>
      </c>
    </row>
    <row r="27" spans="2:5" ht="10.5">
      <c r="B27" s="8" t="s">
        <v>42</v>
      </c>
      <c r="C27" s="19">
        <f>49491+38437</f>
        <v>87928</v>
      </c>
      <c r="D27" s="19">
        <f>1167489+895533</f>
        <v>2063022</v>
      </c>
      <c r="E27" s="20">
        <f>D27/C27</f>
        <v>23.462628514238922</v>
      </c>
    </row>
    <row r="28" spans="2:5" ht="10.5">
      <c r="B28" s="18" t="s">
        <v>22</v>
      </c>
      <c r="C28" s="21">
        <v>57174.225</v>
      </c>
      <c r="D28" s="21">
        <v>3162603.21</v>
      </c>
      <c r="E28" s="22">
        <v>55.31519159201546</v>
      </c>
    </row>
    <row r="29" spans="2:5" ht="10.5">
      <c r="B29" s="23" t="s">
        <v>12</v>
      </c>
      <c r="C29" s="24">
        <f>SUM(C25:C28)</f>
        <v>486464.79999999993</v>
      </c>
      <c r="D29" s="24">
        <f>SUM(D25:D28)</f>
        <v>14301190.072000004</v>
      </c>
      <c r="E29" s="25">
        <f>IF((D29=0),0,(IF((C29=0),0,(D29/C29))))</f>
        <v>29.398201210036177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643282.282</v>
      </c>
      <c r="D31" s="24">
        <f>D20-D29</f>
        <v>20359584.158</v>
      </c>
      <c r="E31" s="25">
        <f>IF((D31=0),0,(IF((C31=0),0,(D31/C31))))</f>
        <v>31.649533537129194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1129747.082</v>
      </c>
      <c r="D33" s="24">
        <f>+D29+D31</f>
        <v>34660774.230000004</v>
      </c>
      <c r="E33" s="25">
        <f>IF((D33=0),0,(IF((C33=0),0,(D33/C33))))</f>
        <v>30.680118393082964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13" ht="10.5">
      <c r="A37" s="16" t="s">
        <v>27</v>
      </c>
      <c r="B37" s="8" t="s">
        <v>28</v>
      </c>
      <c r="C37" s="19">
        <f>C31</f>
        <v>643282.282</v>
      </c>
      <c r="D37" s="19">
        <f>D31</f>
        <v>20359584.158</v>
      </c>
      <c r="E37" s="20">
        <f aca="true" t="shared" si="0" ref="E37:E43">IF((D37=0),0,(IF((C37=0),0,(D37/C37))))</f>
        <v>31.649533537129194</v>
      </c>
      <c r="G37" s="44"/>
      <c r="K37" s="35"/>
      <c r="L37" s="35"/>
      <c r="M37" s="35"/>
    </row>
    <row r="38" spans="1:13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1.25" thickBot="1">
      <c r="A39" s="28" t="s">
        <v>31</v>
      </c>
      <c r="B39" s="29" t="s">
        <v>32</v>
      </c>
      <c r="C39" s="30">
        <f>C43-C42</f>
        <v>643282.282</v>
      </c>
      <c r="D39" s="30">
        <f>(SUM(D37))+D38</f>
        <v>20359584.158</v>
      </c>
      <c r="E39" s="31">
        <f t="shared" si="0"/>
        <v>31.649533537129194</v>
      </c>
      <c r="K39" s="35"/>
      <c r="L39" s="35"/>
      <c r="M39" s="35"/>
    </row>
    <row r="40" spans="1:13" ht="10.5">
      <c r="A40" s="16" t="s">
        <v>33</v>
      </c>
      <c r="B40" s="18" t="s">
        <v>34</v>
      </c>
      <c r="C40" s="26">
        <v>-4004.114517382881</v>
      </c>
      <c r="D40" s="19">
        <v>-96415.54252638057</v>
      </c>
      <c r="E40" s="20">
        <f t="shared" si="0"/>
        <v>24.079117145080676</v>
      </c>
      <c r="K40" s="35"/>
      <c r="L40" s="35"/>
      <c r="M40" s="35"/>
    </row>
    <row r="41" spans="1:13" ht="10.5">
      <c r="A41" s="16" t="s">
        <v>35</v>
      </c>
      <c r="B41" s="18" t="s">
        <v>36</v>
      </c>
      <c r="C41" s="26">
        <v>4004.114517382881</v>
      </c>
      <c r="D41" s="19">
        <v>96415.54252638057</v>
      </c>
      <c r="E41" s="20">
        <f t="shared" si="0"/>
        <v>24.079117145080676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C37+C38+C40+C41</f>
        <v>643282.282</v>
      </c>
      <c r="D43" s="33">
        <f>D37+D38+D40+D41</f>
        <v>20359584.158</v>
      </c>
      <c r="E43" s="34">
        <f t="shared" si="0"/>
        <v>31.649533537129194</v>
      </c>
      <c r="K43" s="35"/>
      <c r="L43" s="35"/>
      <c r="M43" s="35"/>
    </row>
    <row r="44" spans="1:5" ht="12.75">
      <c r="A44" s="36" t="s">
        <v>4</v>
      </c>
      <c r="B44" s="37" t="s">
        <v>4</v>
      </c>
      <c r="C44" s="37"/>
      <c r="D44" s="37"/>
      <c r="E44" s="37"/>
    </row>
    <row r="45" spans="1:5" ht="14.25">
      <c r="A45"/>
      <c r="B45" s="38" t="s">
        <v>4</v>
      </c>
      <c r="C45"/>
      <c r="D45"/>
      <c r="E45"/>
    </row>
    <row r="46" spans="2:5" ht="10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D12" sqref="D12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11.421875" style="6" customWidth="1"/>
    <col min="4" max="4" width="18.8515625" style="6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/>
    </row>
    <row r="2" ht="10.5"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7" t="str">
        <f>'[1]Input Sheet'!B1</f>
        <v>March 2014 ACTUAL</v>
      </c>
      <c r="E6" s="11" t="s">
        <v>4</v>
      </c>
    </row>
    <row r="7" ht="10.5">
      <c r="B7" s="3"/>
    </row>
    <row r="8" spans="2:5" ht="10.5">
      <c r="B8" s="12" t="s">
        <v>5</v>
      </c>
      <c r="C8" s="12" t="s">
        <v>6</v>
      </c>
      <c r="D8" s="13" t="s">
        <v>7</v>
      </c>
      <c r="E8" s="43" t="s">
        <v>8</v>
      </c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43</v>
      </c>
      <c r="C11" s="19">
        <v>295855</v>
      </c>
      <c r="D11" s="19">
        <v>9283759.34</v>
      </c>
      <c r="E11" s="20">
        <v>31.379423501377364</v>
      </c>
    </row>
    <row r="12" spans="2:5" ht="10.5">
      <c r="B12" s="18" t="s">
        <v>41</v>
      </c>
      <c r="C12" s="19">
        <f>180246+250451</f>
        <v>430697</v>
      </c>
      <c r="D12" s="19">
        <f>5522942+6347642</f>
        <v>11870584</v>
      </c>
      <c r="E12" s="20">
        <f>D12/C12</f>
        <v>27.561334302305333</v>
      </c>
    </row>
    <row r="13" spans="2:5" ht="10.5">
      <c r="B13" s="8" t="s">
        <v>42</v>
      </c>
      <c r="C13" s="19">
        <f>143800+138629</f>
        <v>282429</v>
      </c>
      <c r="D13" s="19">
        <f>3191497+3081680</f>
        <v>6273177</v>
      </c>
      <c r="E13" s="20">
        <f>D13/C13</f>
        <v>22.21151864716442</v>
      </c>
    </row>
    <row r="14" spans="2:5" ht="10.5">
      <c r="B14" s="23" t="s">
        <v>12</v>
      </c>
      <c r="C14" s="24">
        <f>SUM(C11:C13)</f>
        <v>1008981</v>
      </c>
      <c r="D14" s="24">
        <f>SUM(D11:D13)</f>
        <v>27427520.34</v>
      </c>
      <c r="E14" s="25">
        <f>IF((D14=0),0,(IF((C14=0),0,(D14/C14))))</f>
        <v>27.183386347215656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42405.761</v>
      </c>
      <c r="D17" s="21">
        <v>2740091.89</v>
      </c>
      <c r="E17" s="22">
        <v>64.61602917584713</v>
      </c>
    </row>
    <row r="18" spans="2:5" ht="10.5">
      <c r="B18" s="23" t="s">
        <v>12</v>
      </c>
      <c r="C18" s="24">
        <f>SUM(C17:C17)</f>
        <v>42405.761</v>
      </c>
      <c r="D18" s="24">
        <f>SUM(D17:D17)</f>
        <v>2740091.89</v>
      </c>
      <c r="E18" s="25">
        <f>IF((D18=0),0,(IF((C18=0),0,(D18/C18))))</f>
        <v>64.61602917584713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1051386.761</v>
      </c>
      <c r="D20" s="24">
        <f>D14+D18</f>
        <v>30167612.23</v>
      </c>
      <c r="E20" s="25">
        <f>IF((D20=0),0,(IF((C20=0),0,(D20/C20))))</f>
        <v>28.693163495141253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43</v>
      </c>
      <c r="C25" s="26">
        <v>143704.15200000003</v>
      </c>
      <c r="D25" s="26">
        <v>3767732.6480000024</v>
      </c>
      <c r="E25" s="27">
        <v>26.218676326067474</v>
      </c>
    </row>
    <row r="26" spans="2:5" ht="10.5">
      <c r="B26" s="8" t="s">
        <v>41</v>
      </c>
      <c r="C26" s="26">
        <f>79491+74136</f>
        <v>153627</v>
      </c>
      <c r="D26" s="26">
        <f>1960975+1738603</f>
        <v>3699578</v>
      </c>
      <c r="E26" s="20">
        <f>D26/C26</f>
        <v>24.081561183906476</v>
      </c>
    </row>
    <row r="27" spans="2:5" ht="10.5">
      <c r="B27" s="8" t="s">
        <v>42</v>
      </c>
      <c r="C27" s="19">
        <f>53897+45385</f>
        <v>99282</v>
      </c>
      <c r="D27" s="19">
        <f>1207738+997263</f>
        <v>2205001</v>
      </c>
      <c r="E27" s="20">
        <f>D27/C27</f>
        <v>22.20947402348865</v>
      </c>
    </row>
    <row r="28" spans="2:5" ht="10.5">
      <c r="B28" s="18" t="s">
        <v>22</v>
      </c>
      <c r="C28" s="21">
        <v>39259.809</v>
      </c>
      <c r="D28" s="21">
        <v>2524811.29</v>
      </c>
      <c r="E28" s="22">
        <v>64.31033044506151</v>
      </c>
    </row>
    <row r="29" spans="2:5" ht="10.5">
      <c r="B29" s="23" t="s">
        <v>12</v>
      </c>
      <c r="C29" s="24">
        <f>SUM(C25:C28)</f>
        <v>435872.961</v>
      </c>
      <c r="D29" s="24">
        <f>SUM(D25:D28)</f>
        <v>12197122.938000001</v>
      </c>
      <c r="E29" s="25">
        <f>IF((D29=0),0,(IF((C29=0),0,(D29/C29))))</f>
        <v>27.98320618470298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615513.7999999999</v>
      </c>
      <c r="D31" s="24">
        <f>D20-D29</f>
        <v>17970489.292</v>
      </c>
      <c r="E31" s="25">
        <f>IF((D31=0),0,(IF((C31=0),0,(D31/C31))))</f>
        <v>29.195916146802883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1051386.761</v>
      </c>
      <c r="D33" s="24">
        <f>+D29+D31</f>
        <v>30167612.23</v>
      </c>
      <c r="E33" s="25">
        <f>IF((D33=0),0,(IF((C33=0),0,(D33/C33))))</f>
        <v>28.693163495141253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13" ht="10.5">
      <c r="A37" s="16" t="s">
        <v>27</v>
      </c>
      <c r="B37" s="8" t="s">
        <v>28</v>
      </c>
      <c r="C37" s="19">
        <f>C31</f>
        <v>615513.7999999999</v>
      </c>
      <c r="D37" s="19">
        <f>D31</f>
        <v>17970489.292</v>
      </c>
      <c r="E37" s="20">
        <f aca="true" t="shared" si="0" ref="E37:E43">IF((D37=0),0,(IF((C37=0),0,(D37/C37))))</f>
        <v>29.195916146802883</v>
      </c>
      <c r="G37" s="44"/>
      <c r="K37" s="35"/>
      <c r="L37" s="35"/>
      <c r="M37" s="35"/>
    </row>
    <row r="38" spans="1:13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1.25" thickBot="1">
      <c r="A39" s="28" t="s">
        <v>31</v>
      </c>
      <c r="B39" s="29" t="s">
        <v>32</v>
      </c>
      <c r="C39" s="30">
        <f>SUM(C37:C38)</f>
        <v>615513.7999999999</v>
      </c>
      <c r="D39" s="30">
        <f>(SUM(D37))+D38</f>
        <v>17970489.292</v>
      </c>
      <c r="E39" s="31">
        <f t="shared" si="0"/>
        <v>29.195916146802883</v>
      </c>
      <c r="K39" s="35"/>
      <c r="L39" s="35"/>
      <c r="M39" s="35"/>
    </row>
    <row r="40" spans="1:13" ht="10.5">
      <c r="A40" s="16" t="s">
        <v>33</v>
      </c>
      <c r="B40" s="18" t="s">
        <v>45</v>
      </c>
      <c r="C40" s="26">
        <f>'[1]Input Sheet'!C173</f>
        <v>-4917.6</v>
      </c>
      <c r="D40" s="19">
        <f>'[1]Input Sheet'!D173</f>
        <v>-486122.53</v>
      </c>
      <c r="E40" s="20">
        <f t="shared" si="0"/>
        <v>98.85361355132585</v>
      </c>
      <c r="K40" s="35"/>
      <c r="L40" s="35"/>
      <c r="M40" s="35"/>
    </row>
    <row r="41" spans="1:13" ht="10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C37+C38+C40+C41</f>
        <v>610596.2</v>
      </c>
      <c r="D43" s="33">
        <f>D37+D38+D40+D41</f>
        <v>17484366.762</v>
      </c>
      <c r="E43" s="34">
        <f t="shared" si="0"/>
        <v>28.63490922806267</v>
      </c>
      <c r="K43" s="35"/>
      <c r="L43" s="35"/>
      <c r="M43" s="35"/>
    </row>
    <row r="44" spans="1:5" ht="12.75">
      <c r="A44" s="36" t="s">
        <v>4</v>
      </c>
      <c r="B44" s="37" t="s">
        <v>4</v>
      </c>
      <c r="C44" s="37"/>
      <c r="D44" s="37"/>
      <c r="E44" s="37"/>
    </row>
    <row r="45" spans="1:5" ht="14.25">
      <c r="A45"/>
      <c r="B45" s="38" t="s">
        <v>4</v>
      </c>
      <c r="C45"/>
      <c r="D45"/>
      <c r="E45"/>
    </row>
    <row r="46" spans="2:5" ht="10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C11" sqref="C1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11.7109375" style="6" customWidth="1"/>
    <col min="4" max="4" width="15.7109375" style="6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/>
    </row>
    <row r="2" ht="10.5"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45" t="str">
        <f>'[2]Input Sheet'!B1</f>
        <v>April 2014 ACTUAL</v>
      </c>
      <c r="E6" s="11" t="s">
        <v>4</v>
      </c>
    </row>
    <row r="7" ht="10.5">
      <c r="B7" s="3"/>
    </row>
    <row r="8" spans="2:5" ht="10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43</v>
      </c>
      <c r="C11" s="19">
        <v>478140</v>
      </c>
      <c r="D11" s="19">
        <v>14450191.76</v>
      </c>
      <c r="E11" s="20">
        <v>30.221675157903544</v>
      </c>
    </row>
    <row r="12" spans="2:5" ht="10.5">
      <c r="B12" s="18" t="s">
        <v>41</v>
      </c>
      <c r="C12" s="19">
        <f>217935+150979</f>
        <v>368914</v>
      </c>
      <c r="D12" s="19">
        <f>5255914+4294641</f>
        <v>9550555</v>
      </c>
      <c r="E12" s="20">
        <f>D12/C12</f>
        <v>25.888296459337408</v>
      </c>
    </row>
    <row r="13" spans="2:5" ht="10.5">
      <c r="B13" s="8" t="s">
        <v>42</v>
      </c>
      <c r="C13" s="19">
        <f>109938+90024</f>
        <v>199962</v>
      </c>
      <c r="D13" s="19">
        <f>2790045+2352528</f>
        <v>5142573</v>
      </c>
      <c r="E13" s="20">
        <f>D13/C13</f>
        <v>25.717751372760823</v>
      </c>
    </row>
    <row r="14" spans="2:5" ht="10.5">
      <c r="B14" s="23" t="s">
        <v>12</v>
      </c>
      <c r="C14" s="24">
        <f>SUM(C11:C13)</f>
        <v>1047016</v>
      </c>
      <c r="D14" s="24">
        <f>SUM(D11:D13)</f>
        <v>29143319.759999998</v>
      </c>
      <c r="E14" s="25">
        <f>IF((D14=0),0,(IF((C14=0),0,(D14/C14))))</f>
        <v>27.834646041703277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55634.780999999995</v>
      </c>
      <c r="D17" s="21">
        <v>2042947.33</v>
      </c>
      <c r="E17" s="22">
        <v>36.720686111804774</v>
      </c>
    </row>
    <row r="18" spans="2:5" ht="10.5">
      <c r="B18" s="23" t="s">
        <v>12</v>
      </c>
      <c r="C18" s="24">
        <f>SUM(C17:C17)</f>
        <v>55634.780999999995</v>
      </c>
      <c r="D18" s="24">
        <f>SUM(D17:D17)</f>
        <v>2042947.33</v>
      </c>
      <c r="E18" s="25">
        <f>IF((D18=0),0,(IF((C18=0),0,(D18/C18))))</f>
        <v>36.720686111804774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1102650.781</v>
      </c>
      <c r="D20" s="24">
        <f>D14+D18</f>
        <v>31186267.089999996</v>
      </c>
      <c r="E20" s="25">
        <f>IF((D20=0),0,(IF((C20=0),0,(D20/C20))))</f>
        <v>28.28299551170408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43</v>
      </c>
      <c r="C25" s="26">
        <v>284640.3479999999</v>
      </c>
      <c r="D25" s="26">
        <v>7045907.992000002</v>
      </c>
      <c r="E25" s="27">
        <v>24.75372181599499</v>
      </c>
    </row>
    <row r="26" spans="2:5" ht="10.5">
      <c r="B26" s="8" t="s">
        <v>41</v>
      </c>
      <c r="C26" s="26">
        <f>103339+67373</f>
        <v>170712</v>
      </c>
      <c r="D26" s="26">
        <f>1881980+1207183</f>
        <v>3089163</v>
      </c>
      <c r="E26" s="20">
        <f>D26/C26</f>
        <v>18.095757767468015</v>
      </c>
    </row>
    <row r="27" spans="2:5" ht="10.5">
      <c r="B27" s="8" t="s">
        <v>42</v>
      </c>
      <c r="C27" s="19">
        <f>64711+50853</f>
        <v>115564</v>
      </c>
      <c r="D27" s="19">
        <f>1480584+1150852</f>
        <v>2631436</v>
      </c>
      <c r="E27" s="20">
        <f>D27/C27</f>
        <v>22.770378318507493</v>
      </c>
    </row>
    <row r="28" spans="2:5" ht="10.5">
      <c r="B28" s="18" t="s">
        <v>22</v>
      </c>
      <c r="C28" s="21">
        <v>55581.937999999995</v>
      </c>
      <c r="D28" s="21">
        <v>2042072.77</v>
      </c>
      <c r="E28" s="22">
        <v>36.739862687047726</v>
      </c>
    </row>
    <row r="29" spans="2:5" ht="10.5">
      <c r="B29" s="23" t="s">
        <v>12</v>
      </c>
      <c r="C29" s="24">
        <f>SUM(C25:C28)</f>
        <v>626498.2859999998</v>
      </c>
      <c r="D29" s="24">
        <f>SUM(D25:D28)</f>
        <v>14808579.762000002</v>
      </c>
      <c r="E29" s="25">
        <f>IF((D29=0),0,(IF((C29=0),0,(D29/C29))))</f>
        <v>23.63706348910906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476152.4950000001</v>
      </c>
      <c r="D31" s="24">
        <f>D20-D29</f>
        <v>16377687.327999994</v>
      </c>
      <c r="E31" s="25">
        <f>IF((D31=0),0,(IF((C31=0),0,(D31/C31))))</f>
        <v>34.39588682193084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1102650.781</v>
      </c>
      <c r="D33" s="24">
        <f>+D29+D31</f>
        <v>31186267.089999996</v>
      </c>
      <c r="E33" s="25">
        <f>IF((D33=0),0,(IF((C33=0),0,(D33/C33))))</f>
        <v>28.28299551170408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13" ht="10.5">
      <c r="A37" s="16" t="s">
        <v>27</v>
      </c>
      <c r="B37" s="8" t="s">
        <v>28</v>
      </c>
      <c r="C37" s="19">
        <f>C31</f>
        <v>476152.4950000001</v>
      </c>
      <c r="D37" s="19">
        <f>D31</f>
        <v>16377687.327999994</v>
      </c>
      <c r="E37" s="20">
        <f aca="true" t="shared" si="0" ref="E37:E43">IF((D37=0),0,(IF((C37=0),0,(D37/C37))))</f>
        <v>34.39588682193084</v>
      </c>
      <c r="G37" s="44"/>
      <c r="K37" s="35"/>
      <c r="L37" s="35"/>
      <c r="M37" s="35"/>
    </row>
    <row r="38" spans="1:13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1.25" thickBot="1">
      <c r="A39" s="28" t="s">
        <v>31</v>
      </c>
      <c r="B39" s="29" t="s">
        <v>32</v>
      </c>
      <c r="C39" s="30">
        <f>C43-C42</f>
        <v>474338.3450000001</v>
      </c>
      <c r="D39" s="30">
        <f>(SUM(D37))+D38</f>
        <v>16377687.327999994</v>
      </c>
      <c r="E39" s="31">
        <f t="shared" si="0"/>
        <v>34.52743700912477</v>
      </c>
      <c r="K39" s="35"/>
      <c r="L39" s="35"/>
      <c r="M39" s="35"/>
    </row>
    <row r="40" spans="1:13" ht="10.5">
      <c r="A40" s="16" t="s">
        <v>33</v>
      </c>
      <c r="B40" s="18" t="s">
        <v>45</v>
      </c>
      <c r="C40" s="26">
        <f>'[2]Input Sheet'!C173</f>
        <v>-1814.15</v>
      </c>
      <c r="D40" s="19">
        <f>'[2]Input Sheet'!D173</f>
        <v>-121701.5</v>
      </c>
      <c r="E40" s="20">
        <f t="shared" si="0"/>
        <v>67.08458506738693</v>
      </c>
      <c r="K40" s="35"/>
      <c r="L40" s="35"/>
      <c r="M40" s="35"/>
    </row>
    <row r="41" spans="1:13" ht="10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C37+C38+C40+C41</f>
        <v>474338.3450000001</v>
      </c>
      <c r="D43" s="33">
        <f>D37+D38+D40+D41</f>
        <v>16255985.827999994</v>
      </c>
      <c r="E43" s="34">
        <f t="shared" si="0"/>
        <v>34.27086593220709</v>
      </c>
      <c r="K43" s="35"/>
      <c r="L43" s="35"/>
      <c r="M43" s="35"/>
    </row>
    <row r="44" spans="1:5" ht="12.75">
      <c r="A44" s="36" t="s">
        <v>4</v>
      </c>
      <c r="B44" s="37" t="s">
        <v>4</v>
      </c>
      <c r="C44" s="37"/>
      <c r="D44" s="37"/>
      <c r="E44" s="37"/>
    </row>
    <row r="45" spans="1:5" ht="14.25">
      <c r="A45"/>
      <c r="B45" s="38" t="s">
        <v>4</v>
      </c>
      <c r="C45"/>
      <c r="D45"/>
      <c r="E45"/>
    </row>
    <row r="46" spans="2:5" ht="10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H21" sqref="H2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>
        <f ca="1">NOW()</f>
        <v>42088.424433796295</v>
      </c>
    </row>
    <row r="2" spans="2:4" ht="10.5">
      <c r="B2" s="6" t="str">
        <f>'[16]Input Sheet'!B1</f>
        <v>May 2014 ACTUAL</v>
      </c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10"/>
      <c r="E6" s="11" t="s">
        <v>4</v>
      </c>
    </row>
    <row r="7" ht="10.5">
      <c r="B7" s="3"/>
    </row>
    <row r="8" spans="2:5" ht="10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98</v>
      </c>
      <c r="C11" s="19">
        <v>378896</v>
      </c>
      <c r="D11" s="19">
        <v>12354119.220000003</v>
      </c>
      <c r="E11" s="20">
        <f>IF((D11=0),0,(IF((C11=0),0,(D11/C11))))</f>
        <v>32.60556780752503</v>
      </c>
    </row>
    <row r="12" spans="2:8" ht="10.5">
      <c r="B12" s="8" t="s">
        <v>41</v>
      </c>
      <c r="C12" s="19">
        <v>317266</v>
      </c>
      <c r="D12" s="19">
        <v>7948457.9276662</v>
      </c>
      <c r="E12" s="20">
        <f>IF((D12=0),0,(IF((C12=0),0,(D12/C12))))</f>
        <v>25.052977399614836</v>
      </c>
      <c r="G12" s="35"/>
      <c r="H12" s="35"/>
    </row>
    <row r="13" spans="2:8" ht="10.5">
      <c r="B13" s="8" t="s">
        <v>42</v>
      </c>
      <c r="C13" s="19">
        <v>137997.74999999988</v>
      </c>
      <c r="D13" s="19">
        <v>3642665.233499998</v>
      </c>
      <c r="E13" s="20">
        <f>IF((D13=0),0,(IF((C13=0),0,(D13/C13))))</f>
        <v>26.396555259053144</v>
      </c>
      <c r="G13" s="35"/>
      <c r="H13" s="35"/>
    </row>
    <row r="14" spans="2:5" ht="10.5">
      <c r="B14" s="23" t="s">
        <v>12</v>
      </c>
      <c r="C14" s="24">
        <f>SUM(C11:C13)</f>
        <v>834159.7499999999</v>
      </c>
      <c r="D14" s="24">
        <f>SUM(D11:D13)</f>
        <v>23945242.381166197</v>
      </c>
      <c r="E14" s="25">
        <f>IF((D14=0),0,(IF((C14=0),0,(D14/C14))))</f>
        <v>28.70582329244033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74853.971</v>
      </c>
      <c r="D17" s="21">
        <v>3958473.4800000004</v>
      </c>
      <c r="E17" s="22">
        <f>IF((D17=0),0,(IF((C17=0),0,(D17/C17))))</f>
        <v>52.882611665318336</v>
      </c>
    </row>
    <row r="18" spans="2:5" ht="10.5">
      <c r="B18" s="23" t="s">
        <v>12</v>
      </c>
      <c r="C18" s="24">
        <f>SUM(C17:C17)</f>
        <v>74853.971</v>
      </c>
      <c r="D18" s="24">
        <f>SUM(D17:D17)</f>
        <v>3958473.4800000004</v>
      </c>
      <c r="E18" s="25">
        <f>IF((D18=0),0,(IF((C18=0),0,(D18/C18))))</f>
        <v>52.882611665318336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909013.7209999999</v>
      </c>
      <c r="D20" s="24">
        <f>D14+D18</f>
        <v>27903715.861166198</v>
      </c>
      <c r="E20" s="25">
        <f>IF((D20=0),0,(IF((C20=0),0,(D20/C20))))</f>
        <v>30.69669380839434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21</v>
      </c>
      <c r="C25" s="26">
        <v>145291.38900000002</v>
      </c>
      <c r="D25" s="26">
        <v>3623221.882999998</v>
      </c>
      <c r="E25" s="27">
        <f>IF((D25=0),0,(IF((C25=0),0,(D25/C25))))</f>
        <v>24.937622992922158</v>
      </c>
    </row>
    <row r="26" spans="2:8" ht="10.5">
      <c r="B26" s="8" t="s">
        <v>41</v>
      </c>
      <c r="C26" s="26">
        <v>185182.73400000005</v>
      </c>
      <c r="D26" s="26">
        <v>4223742.761</v>
      </c>
      <c r="E26" s="27">
        <f>IF((D26=0),0,(IF((C26=0),0,(D26/C26))))</f>
        <v>22.808512811998977</v>
      </c>
      <c r="G26" s="35"/>
      <c r="H26" s="35"/>
    </row>
    <row r="27" spans="2:8" ht="10.5">
      <c r="B27" s="8" t="s">
        <v>42</v>
      </c>
      <c r="C27" s="19">
        <v>9656.808000000023</v>
      </c>
      <c r="D27" s="19">
        <v>287484.9830000006</v>
      </c>
      <c r="E27" s="20">
        <f>IF((D27=0),0,(IF((C27=0),0,(D27/C27))))</f>
        <v>29.770187312412126</v>
      </c>
      <c r="G27" s="35"/>
      <c r="H27" s="35"/>
    </row>
    <row r="28" spans="2:5" ht="10.5">
      <c r="B28" s="18" t="s">
        <v>22</v>
      </c>
      <c r="C28" s="21">
        <v>60890.55499999999</v>
      </c>
      <c r="D28" s="21">
        <v>3360256.9599999995</v>
      </c>
      <c r="E28" s="22">
        <v>55.185191857751995</v>
      </c>
    </row>
    <row r="29" spans="2:5" ht="10.5">
      <c r="B29" s="23" t="s">
        <v>12</v>
      </c>
      <c r="C29" s="24">
        <f>SUM(C25:C28)</f>
        <v>401021.4860000001</v>
      </c>
      <c r="D29" s="24">
        <f>SUM(D25:D28)</f>
        <v>11494706.586999997</v>
      </c>
      <c r="E29" s="25">
        <f>IF((D29=0),0,(IF((C29=0),0,(D29/C29))))</f>
        <v>28.663567884240486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507992.2349999998</v>
      </c>
      <c r="D31" s="24">
        <f>D20-D29</f>
        <v>16409009.2741662</v>
      </c>
      <c r="E31" s="25">
        <f>IF((D31=0),0,(IF((C31=0),0,(D31/C31))))</f>
        <v>32.30169310396291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909013.7209999999</v>
      </c>
      <c r="D33" s="24">
        <f>+D29+D31</f>
        <v>27903715.861166198</v>
      </c>
      <c r="E33" s="25">
        <f>IF((D33=0),0,(IF((C33=0),0,(D33/C33))))</f>
        <v>30.69669380839434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13" ht="10.5">
      <c r="A37" s="16" t="s">
        <v>27</v>
      </c>
      <c r="B37" s="8" t="s">
        <v>28</v>
      </c>
      <c r="C37" s="19">
        <f>C31</f>
        <v>507992.2349999998</v>
      </c>
      <c r="D37" s="19">
        <f>D31</f>
        <v>16409009.2741662</v>
      </c>
      <c r="E37" s="20">
        <f aca="true" t="shared" si="0" ref="E37:E43">IF((D37=0),0,(IF((C37=0),0,(D37/C37))))</f>
        <v>32.30169310396291</v>
      </c>
      <c r="G37" s="44"/>
      <c r="H37" s="35"/>
      <c r="K37" s="35"/>
      <c r="L37" s="35"/>
      <c r="M37" s="35"/>
    </row>
    <row r="38" spans="1:13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1.25" thickBot="1">
      <c r="A39" s="28" t="s">
        <v>31</v>
      </c>
      <c r="B39" s="29" t="s">
        <v>32</v>
      </c>
      <c r="C39" s="30">
        <f>SUM(C37:C38)</f>
        <v>507992.2349999998</v>
      </c>
      <c r="D39" s="30">
        <f>(SUM(D37))+D38</f>
        <v>16409009.2741662</v>
      </c>
      <c r="E39" s="31">
        <f t="shared" si="0"/>
        <v>32.30169310396291</v>
      </c>
      <c r="K39" s="35"/>
      <c r="L39" s="35"/>
      <c r="M39" s="35"/>
    </row>
    <row r="40" spans="1:13" ht="10.5">
      <c r="A40" s="16" t="s">
        <v>33</v>
      </c>
      <c r="B40" s="18" t="s">
        <v>45</v>
      </c>
      <c r="C40" s="26">
        <v>-1519.898959715907</v>
      </c>
      <c r="D40" s="19">
        <v>-134323.5893284634</v>
      </c>
      <c r="E40" s="20">
        <f t="shared" si="0"/>
        <v>88.37665719145606</v>
      </c>
      <c r="K40" s="35"/>
      <c r="L40" s="35"/>
      <c r="M40" s="35"/>
    </row>
    <row r="41" spans="1:13" ht="10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C37+C38+C40+C41</f>
        <v>506472.3360402839</v>
      </c>
      <c r="D43" s="33">
        <f>D37+D38+D40+D41</f>
        <v>16274685.684837736</v>
      </c>
      <c r="E43" s="34">
        <f t="shared" si="0"/>
        <v>32.133414851592754</v>
      </c>
      <c r="K43" s="35"/>
      <c r="L43" s="35"/>
      <c r="M43" s="35"/>
    </row>
    <row r="44" spans="1:5" ht="12.75">
      <c r="A44" s="36" t="s">
        <v>4</v>
      </c>
      <c r="B44" s="37" t="s">
        <v>4</v>
      </c>
      <c r="C44" s="37"/>
      <c r="D44" s="37"/>
      <c r="E44" s="37"/>
    </row>
    <row r="45" spans="1:5" ht="14.25">
      <c r="A45"/>
      <c r="B45" s="38" t="s">
        <v>4</v>
      </c>
      <c r="C45"/>
      <c r="D45"/>
      <c r="E45"/>
    </row>
    <row r="46" spans="2:5" ht="10.5">
      <c r="B46" s="6" t="s">
        <v>99</v>
      </c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23" sqref="E23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December 2012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+'[14]INPUT SHEET'!B1</f>
        <v>December 2012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150586</v>
      </c>
      <c r="E11" s="19">
        <v>6350245.859999999</v>
      </c>
      <c r="F11" s="20">
        <v>42.170227378375145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9" ht="13.5">
      <c r="B12" s="8" t="s">
        <v>42</v>
      </c>
      <c r="C12" s="55" t="s">
        <v>54</v>
      </c>
      <c r="D12" s="19">
        <v>268134</v>
      </c>
      <c r="E12" s="56">
        <v>5871168.654317882</v>
      </c>
      <c r="F12" s="20">
        <v>43.81040557322531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  <c r="Q12" s="35"/>
      <c r="R12" s="35"/>
      <c r="S12" s="35"/>
    </row>
    <row r="13" spans="2:15" ht="13.5">
      <c r="B13" s="23" t="s">
        <v>12</v>
      </c>
      <c r="C13" s="46"/>
      <c r="D13" s="19">
        <f>SUM(D11:D12)</f>
        <v>418720</v>
      </c>
      <c r="E13" s="19">
        <f>SUM(E11:E12)</f>
        <v>12221414.514317881</v>
      </c>
      <c r="F13" s="20">
        <f>IF((E13=0),0,(IF((D13=0),0,(E13/D13))))</f>
        <v>29.187558545848972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150586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345397.141</v>
      </c>
      <c r="E16" s="19">
        <v>7801548.415</v>
      </c>
      <c r="F16" s="20">
        <v>22.587182952391608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29723.617</v>
      </c>
      <c r="E17" s="19">
        <v>931794.24</v>
      </c>
      <c r="F17" s="20">
        <v>31.34861547973788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268134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29723.617</v>
      </c>
    </row>
    <row r="19" spans="2:15" ht="13.5">
      <c r="B19" s="23" t="s">
        <v>12</v>
      </c>
      <c r="C19" s="46"/>
      <c r="D19" s="19">
        <f>SUM(D16:D18)</f>
        <v>375120.75800000003</v>
      </c>
      <c r="E19" s="24">
        <f>SUM(E16:E18)</f>
        <v>8733342.655</v>
      </c>
      <c r="F19" s="20">
        <f>IF((E19=0),0,(IF((D19=0),0,(E19/D19))))</f>
        <v>23.281416633840344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503080.454</v>
      </c>
    </row>
    <row r="21" spans="2:15" ht="13.5">
      <c r="B21" s="17" t="s">
        <v>17</v>
      </c>
      <c r="C21" s="46"/>
      <c r="D21" s="19">
        <f>D13+D19</f>
        <v>793840.758</v>
      </c>
      <c r="E21" s="19">
        <f>E13+E19</f>
        <v>20954757.16931788</v>
      </c>
      <c r="F21" s="20">
        <f>IF((E21=0),0,(IF((D21=0),0,(E21/D21))))</f>
        <v>26.396675854879547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800938.071</v>
      </c>
    </row>
    <row r="23" spans="2:15" ht="13.5">
      <c r="B23" s="12" t="s">
        <v>18</v>
      </c>
      <c r="C23" s="52"/>
      <c r="D23" s="19"/>
      <c r="E23" s="24">
        <f>E12+E19</f>
        <v>14604511.309317881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951524.071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42</v>
      </c>
      <c r="C27" s="55" t="s">
        <v>76</v>
      </c>
      <c r="D27" s="19">
        <v>87199.46600000001</v>
      </c>
      <c r="E27" s="19">
        <v>1750481.1469999994</v>
      </c>
      <c r="F27" s="20">
        <v>40.15329271585895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9" ht="13.5">
      <c r="B28" s="8" t="s">
        <v>62</v>
      </c>
      <c r="C28" s="55" t="s">
        <v>63</v>
      </c>
      <c r="D28" s="19">
        <v>28862.344</v>
      </c>
      <c r="E28" s="19">
        <v>914931.33</v>
      </c>
      <c r="F28" s="20">
        <v>31.699827637006887</v>
      </c>
      <c r="G28" s="47"/>
      <c r="H28" s="47"/>
      <c r="I28" s="47"/>
      <c r="J28" s="47"/>
      <c r="K28" s="47"/>
      <c r="L28" s="47"/>
      <c r="M28" s="47"/>
      <c r="N28" s="47"/>
      <c r="O28" s="58"/>
      <c r="Q28" s="35"/>
      <c r="R28" s="35"/>
      <c r="S28" s="35"/>
    </row>
    <row r="29" spans="2:15" ht="13.5">
      <c r="B29" s="8" t="s">
        <v>78</v>
      </c>
      <c r="C29" s="55" t="s">
        <v>76</v>
      </c>
      <c r="D29" s="19">
        <v>37206.00000000001</v>
      </c>
      <c r="E29" s="19">
        <v>975912.4439999997</v>
      </c>
      <c r="F29" s="20">
        <v>26.22997484276728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19.674</v>
      </c>
      <c r="E30" s="19">
        <v>451.824</v>
      </c>
      <c r="F30" s="20">
        <v>22.965538273863984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153287.48400000003</v>
      </c>
      <c r="E31" s="19">
        <f>SUM(E26:E30)</f>
        <v>3641776.744999999</v>
      </c>
      <c r="F31" s="20">
        <f>IF((E31=0),0,(IF((D31=0),0,(E31/D31))))</f>
        <v>23.75782190410274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116837.81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194112.934</v>
      </c>
    </row>
    <row r="33" spans="2:15" ht="13.5">
      <c r="B33" s="17" t="s">
        <v>24</v>
      </c>
      <c r="C33" s="46"/>
      <c r="D33" s="19">
        <f>D21-D31</f>
        <v>640553.274</v>
      </c>
      <c r="E33" s="19">
        <f>E21-E31</f>
        <v>17312980.42431788</v>
      </c>
      <c r="F33" s="20">
        <f>IF((E33=0),0,(IF((D33=0),0,(E33/D33))))</f>
        <v>27.028166316605045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19.674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310970.418</v>
      </c>
    </row>
    <row r="35" spans="1:15" ht="13.5">
      <c r="A35" s="16" t="s">
        <v>23</v>
      </c>
      <c r="B35" s="17" t="s">
        <v>26</v>
      </c>
      <c r="C35" s="46"/>
      <c r="D35" s="19">
        <f>+D31+D33</f>
        <v>793840.758</v>
      </c>
      <c r="E35" s="19">
        <f>+E31+E33</f>
        <v>20954757.16931788</v>
      </c>
      <c r="F35" s="20">
        <f>IF((E35=0),0,(IF((D35=0),0,(E35/D35))))</f>
        <v>26.396675854879547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640553.6529999999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951524.071</v>
      </c>
    </row>
    <row r="39" spans="1:15" ht="13.5">
      <c r="A39" s="16"/>
      <c r="B39" s="8" t="s">
        <v>28</v>
      </c>
      <c r="C39" s="46"/>
      <c r="D39" s="63">
        <f>D21-D31</f>
        <v>640553.274</v>
      </c>
      <c r="E39" s="63">
        <f>E21-E31</f>
        <v>17312980.42431788</v>
      </c>
      <c r="F39" s="64">
        <f aca="true" t="shared" si="0" ref="F39:F45">IF((E39=0),0,(IF((D39=0),0,(E39/D39))))</f>
        <v>27.028166316605045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0.37899999995715916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640553.6529999999</v>
      </c>
      <c r="E41" s="19">
        <f>(SUM(E39))+E40</f>
        <v>17312980.42431788</v>
      </c>
      <c r="F41" s="20">
        <f t="shared" si="0"/>
        <v>27.02815032469713</v>
      </c>
    </row>
    <row r="42" spans="1:6" ht="13.5">
      <c r="A42" s="16" t="s">
        <v>29</v>
      </c>
      <c r="B42" s="72" t="s">
        <v>34</v>
      </c>
      <c r="C42" s="73"/>
      <c r="D42" s="74">
        <v>-2110.1786297</v>
      </c>
      <c r="E42" s="74">
        <v>-55601.0967139653</v>
      </c>
      <c r="F42" s="20">
        <f t="shared" si="0"/>
        <v>26.349</v>
      </c>
    </row>
    <row r="43" spans="1:6" ht="13.5">
      <c r="A43" s="16" t="s">
        <v>31</v>
      </c>
      <c r="B43" s="72" t="s">
        <v>36</v>
      </c>
      <c r="C43" s="73"/>
      <c r="D43" s="74">
        <v>2110.1786297</v>
      </c>
      <c r="E43" s="74">
        <v>55601.0967139653</v>
      </c>
      <c r="F43" s="20">
        <f t="shared" si="0"/>
        <v>26.349</v>
      </c>
    </row>
    <row r="44" spans="1:6" ht="13.5">
      <c r="A44" s="71" t="s">
        <v>33</v>
      </c>
      <c r="B44" s="8" t="s">
        <v>38</v>
      </c>
      <c r="C44" s="46"/>
      <c r="D44" s="19">
        <v>0</v>
      </c>
      <c r="E44" s="19">
        <v>0</v>
      </c>
      <c r="F44" s="20">
        <f t="shared" si="0"/>
        <v>0</v>
      </c>
    </row>
    <row r="45" spans="1:6" ht="13.5">
      <c r="A45" s="71" t="s">
        <v>35</v>
      </c>
      <c r="B45" s="8" t="s">
        <v>40</v>
      </c>
      <c r="C45" s="55" t="s">
        <v>87</v>
      </c>
      <c r="D45" s="19">
        <f>O36+D42+D43</f>
        <v>640553.6529999999</v>
      </c>
      <c r="E45" s="26">
        <f>SUM(E41:E44)</f>
        <v>17312980.42431788</v>
      </c>
      <c r="F45" s="65">
        <f t="shared" si="0"/>
        <v>27.02815032469713</v>
      </c>
    </row>
    <row r="46" spans="1:6" ht="13.5">
      <c r="A46" s="16" t="s">
        <v>37</v>
      </c>
      <c r="B46" s="37" t="s">
        <v>4</v>
      </c>
      <c r="C46" s="37"/>
      <c r="D46" s="37"/>
      <c r="E46" s="37"/>
      <c r="F46" s="37"/>
    </row>
    <row r="47" spans="1:11" ht="1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">
      <c r="A49"/>
    </row>
    <row r="50" ht="13.5"/>
    <row r="51" ht="13.5"/>
    <row r="52" ht="13.5"/>
    <row r="53" ht="13.5"/>
    <row r="54" spans="2:6" ht="13.5">
      <c r="B54" s="8" t="s">
        <v>95</v>
      </c>
      <c r="C54" s="46"/>
      <c r="D54" s="19"/>
      <c r="E54" s="19"/>
      <c r="F54" s="39"/>
    </row>
    <row r="55" spans="2:6" ht="13.5">
      <c r="B55" s="8"/>
      <c r="C55" s="46"/>
      <c r="F55" s="69"/>
    </row>
    <row r="56" spans="2:3" ht="13.5">
      <c r="B56" s="8" t="s">
        <v>96</v>
      </c>
      <c r="C56" s="46"/>
    </row>
    <row r="57" spans="3:6" ht="13.5">
      <c r="C57" s="68" t="s">
        <v>97</v>
      </c>
      <c r="D57" s="19">
        <f>D13</f>
        <v>418720</v>
      </c>
      <c r="E57" s="70">
        <v>12221414.514317883</v>
      </c>
      <c r="F57" s="20">
        <f>IF((E57=0),0,(IF((D57=0),0,(E57/D57))))</f>
        <v>29.187558545848976</v>
      </c>
    </row>
    <row r="58" ht="13.5">
      <c r="B58" s="6" t="s">
        <v>4</v>
      </c>
    </row>
    <row r="59" ht="13.5">
      <c r="B59" s="6" t="s">
        <v>4</v>
      </c>
    </row>
    <row r="60" ht="10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J19" sqref="J19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>
        <f ca="1">NOW()</f>
        <v>42088.424433796295</v>
      </c>
    </row>
    <row r="2" spans="2:4" ht="10.5">
      <c r="B2" s="6" t="str">
        <f>'[20]Input Sheet'!B1</f>
        <v>June 2014 ACTUAL</v>
      </c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10"/>
      <c r="E6" s="11" t="s">
        <v>4</v>
      </c>
    </row>
    <row r="7" ht="10.5">
      <c r="B7" s="3"/>
    </row>
    <row r="8" spans="2:6" ht="10.5">
      <c r="B8" s="12" t="s">
        <v>5</v>
      </c>
      <c r="C8" s="12" t="s">
        <v>6</v>
      </c>
      <c r="D8" s="13" t="s">
        <v>7</v>
      </c>
      <c r="E8" s="81" t="s">
        <v>8</v>
      </c>
      <c r="F8" s="82"/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98</v>
      </c>
      <c r="C11" s="19">
        <v>574116</v>
      </c>
      <c r="D11" s="19">
        <v>17404939.77</v>
      </c>
      <c r="E11" s="20">
        <f>IF((D11=0),0,(IF((C11=0),0,(D11/C11))))</f>
        <v>30.316068129088894</v>
      </c>
    </row>
    <row r="12" spans="2:8" ht="10.5">
      <c r="B12" s="8" t="s">
        <v>41</v>
      </c>
      <c r="C12" s="19">
        <v>349479</v>
      </c>
      <c r="D12" s="19">
        <v>9018211.178287901</v>
      </c>
      <c r="E12" s="20">
        <f>IF((D12=0),0,(IF((C12=0),0,(D12/C12))))</f>
        <v>25.804729835806732</v>
      </c>
      <c r="G12" s="35"/>
      <c r="H12" s="35"/>
    </row>
    <row r="13" spans="2:8" ht="10.5">
      <c r="B13" s="8" t="s">
        <v>42</v>
      </c>
      <c r="C13" s="19">
        <v>215782.50000000017</v>
      </c>
      <c r="D13" s="19">
        <v>5670449.590500005</v>
      </c>
      <c r="E13" s="20">
        <f>IF((D13=0),0,(IF((C13=0),0,(D13/C13))))</f>
        <v>26.278542469848112</v>
      </c>
      <c r="G13" s="35"/>
      <c r="H13" s="35"/>
    </row>
    <row r="14" spans="2:5" ht="10.5">
      <c r="B14" s="23" t="s">
        <v>12</v>
      </c>
      <c r="C14" s="24">
        <f>SUM(C11:C13)</f>
        <v>1139377.5000000002</v>
      </c>
      <c r="D14" s="24">
        <f>SUM(D11:D13)</f>
        <v>32093600.538787905</v>
      </c>
      <c r="E14" s="25">
        <f>IF((D14=0),0,(IF((C14=0),0,(D14/C14))))</f>
        <v>28.167662200445328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74632.903</v>
      </c>
      <c r="D17" s="21">
        <v>3301338</v>
      </c>
      <c r="E17" s="22">
        <f>IF((D17=0),0,(IF((C17=0),0,(D17/C17))))</f>
        <v>44.23435063218698</v>
      </c>
    </row>
    <row r="18" spans="2:5" ht="10.5">
      <c r="B18" s="23" t="s">
        <v>12</v>
      </c>
      <c r="C18" s="24">
        <f>SUM(C17:C17)</f>
        <v>74632.903</v>
      </c>
      <c r="D18" s="24">
        <f>SUM(D17:D17)</f>
        <v>3301338</v>
      </c>
      <c r="E18" s="25">
        <f>IF((D18=0),0,(IF((C18=0),0,(D18/C18))))</f>
        <v>44.23435063218698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1214010.4030000002</v>
      </c>
      <c r="D20" s="24">
        <f>D14+D18</f>
        <v>35394938.5387879</v>
      </c>
      <c r="E20" s="25">
        <f>IF((D20=0),0,(IF((C20=0),0,(D20/C20))))</f>
        <v>29.155383225153383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21</v>
      </c>
      <c r="C25" s="26">
        <v>322770.6040000001</v>
      </c>
      <c r="D25" s="26">
        <v>7792177.908999998</v>
      </c>
      <c r="E25" s="27">
        <f>IF((D25=0),0,(IF((C25=0),0,(D25/C25))))</f>
        <v>24.141535234106993</v>
      </c>
    </row>
    <row r="26" spans="2:8" ht="10.5">
      <c r="B26" s="8" t="s">
        <v>41</v>
      </c>
      <c r="C26" s="26">
        <v>160259.64899999992</v>
      </c>
      <c r="D26" s="26">
        <v>2970672.6670000013</v>
      </c>
      <c r="E26" s="27">
        <f>IF((D26=0),0,(IF((C26=0),0,(D26/C26))))</f>
        <v>18.536622821381588</v>
      </c>
      <c r="G26" s="35"/>
      <c r="H26" s="35"/>
    </row>
    <row r="27" spans="2:8" ht="10.5">
      <c r="B27" s="8" t="s">
        <v>42</v>
      </c>
      <c r="C27" s="19">
        <v>118807.63899999998</v>
      </c>
      <c r="D27" s="19">
        <v>2753928.8089999985</v>
      </c>
      <c r="E27" s="20">
        <f>IF((D27=0),0,(IF((C27=0),0,(D27/C27))))</f>
        <v>23.179728443219034</v>
      </c>
      <c r="G27" s="35"/>
      <c r="H27" s="35"/>
    </row>
    <row r="28" spans="2:5" ht="10.5">
      <c r="B28" s="18" t="s">
        <v>22</v>
      </c>
      <c r="C28" s="21">
        <v>73983.855</v>
      </c>
      <c r="D28" s="21">
        <v>3293074.88</v>
      </c>
      <c r="E28" s="22">
        <v>44.51072304896791</v>
      </c>
    </row>
    <row r="29" spans="2:5" ht="10.5">
      <c r="B29" s="23" t="s">
        <v>12</v>
      </c>
      <c r="C29" s="24">
        <f>SUM(C25:C28)</f>
        <v>675821.747</v>
      </c>
      <c r="D29" s="24">
        <f>SUM(D25:D28)</f>
        <v>16809854.264999997</v>
      </c>
      <c r="E29" s="25">
        <f>IF((D29=0),0,(IF((C29=0),0,(D29/C29))))</f>
        <v>24.873207083997546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538188.6560000002</v>
      </c>
      <c r="D31" s="24">
        <f>D20-D29</f>
        <v>18585084.273787905</v>
      </c>
      <c r="E31" s="25">
        <f>IF((D31=0),0,(IF((C31=0),0,(D31/C31))))</f>
        <v>34.532657027590524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1214010.4030000002</v>
      </c>
      <c r="D33" s="24">
        <f>+D29+D31</f>
        <v>35394938.5387879</v>
      </c>
      <c r="E33" s="25">
        <f>IF((D33=0),0,(IF((C33=0),0,(D33/C33))))</f>
        <v>29.155383225153383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13" ht="10.5">
      <c r="A37" s="16" t="s">
        <v>27</v>
      </c>
      <c r="B37" s="8" t="s">
        <v>28</v>
      </c>
      <c r="C37" s="19">
        <f>C31</f>
        <v>538188.6560000002</v>
      </c>
      <c r="D37" s="19">
        <f>D31</f>
        <v>18585084.273787905</v>
      </c>
      <c r="E37" s="20">
        <f aca="true" t="shared" si="0" ref="E37:E43">IF((D37=0),0,(IF((C37=0),0,(D37/C37))))</f>
        <v>34.532657027590524</v>
      </c>
      <c r="G37" s="44"/>
      <c r="K37" s="35"/>
      <c r="L37" s="35"/>
      <c r="M37" s="35"/>
    </row>
    <row r="38" spans="1:13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1.25" thickBot="1">
      <c r="A39" s="28" t="s">
        <v>31</v>
      </c>
      <c r="B39" s="29" t="s">
        <v>32</v>
      </c>
      <c r="C39" s="30">
        <f>SUM(C37:C38)</f>
        <v>538188.6560000002</v>
      </c>
      <c r="D39" s="30">
        <f>(SUM(D37))+D38</f>
        <v>18585084.273787905</v>
      </c>
      <c r="E39" s="31">
        <f t="shared" si="0"/>
        <v>34.532657027590524</v>
      </c>
      <c r="K39" s="35"/>
      <c r="L39" s="35"/>
      <c r="M39" s="35"/>
    </row>
    <row r="40" spans="1:13" ht="10.5">
      <c r="A40" s="16" t="s">
        <v>33</v>
      </c>
      <c r="B40" s="18" t="s">
        <v>45</v>
      </c>
      <c r="C40" s="26">
        <v>-721.73</v>
      </c>
      <c r="D40" s="19">
        <v>-27468.82</v>
      </c>
      <c r="E40" s="20">
        <v>38.059689911739845</v>
      </c>
      <c r="K40" s="35"/>
      <c r="L40" s="35"/>
      <c r="M40" s="35"/>
    </row>
    <row r="41" spans="1:13" ht="10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C37+C38+C40+C41</f>
        <v>537466.9260000002</v>
      </c>
      <c r="D43" s="33">
        <f>D37+D38+D40+D41</f>
        <v>18557615.453787904</v>
      </c>
      <c r="E43" s="34">
        <f t="shared" si="0"/>
        <v>34.52792080044735</v>
      </c>
      <c r="K43" s="35"/>
      <c r="L43" s="35"/>
      <c r="M43" s="35"/>
    </row>
    <row r="44" spans="1:5" ht="12.75">
      <c r="A44" s="36" t="s">
        <v>4</v>
      </c>
      <c r="B44" s="37" t="s">
        <v>4</v>
      </c>
      <c r="C44" s="37"/>
      <c r="D44" s="37"/>
      <c r="E44" s="37"/>
    </row>
    <row r="45" spans="1:5" ht="14.25">
      <c r="A45"/>
      <c r="B45" s="38" t="s">
        <v>4</v>
      </c>
      <c r="C45"/>
      <c r="D45"/>
      <c r="E45"/>
    </row>
    <row r="46" spans="2:5" ht="10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I34" sqref="I34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>
        <f ca="1">NOW()</f>
        <v>42088.424433796295</v>
      </c>
    </row>
    <row r="2" spans="2:4" ht="10.5">
      <c r="B2" s="6" t="str">
        <f>'[17]Input Sheet'!B1</f>
        <v>July 2014 ACTUAL</v>
      </c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10"/>
      <c r="E6" s="11" t="s">
        <v>4</v>
      </c>
    </row>
    <row r="7" ht="10.5">
      <c r="B7" s="3"/>
    </row>
    <row r="8" spans="2:6" ht="10.5">
      <c r="B8" s="12" t="s">
        <v>5</v>
      </c>
      <c r="C8" s="12" t="s">
        <v>6</v>
      </c>
      <c r="D8" s="83" t="s">
        <v>7</v>
      </c>
      <c r="E8" s="81" t="s">
        <v>8</v>
      </c>
      <c r="F8" s="82"/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98</v>
      </c>
      <c r="C11" s="19">
        <f>'[17]Input Sheet'!C20</f>
        <v>465645</v>
      </c>
      <c r="D11" s="19">
        <f>'[17]Input Sheet'!C150</f>
        <v>13851169.559999999</v>
      </c>
      <c r="E11" s="20">
        <f>IF((D11=0),0,(IF((C11=0),0,(D11/C11))))</f>
        <v>29.746200560512833</v>
      </c>
    </row>
    <row r="12" spans="2:8" ht="10.5">
      <c r="B12" s="8" t="s">
        <v>41</v>
      </c>
      <c r="C12" s="19">
        <v>432602</v>
      </c>
      <c r="D12" s="19">
        <v>11034901.933142398</v>
      </c>
      <c r="E12" s="20">
        <f>IF((D12=0),0,(IF((C12=0),0,(D12/C12))))</f>
        <v>25.508208314206588</v>
      </c>
      <c r="G12" s="35"/>
      <c r="H12" s="35"/>
    </row>
    <row r="13" spans="2:8" ht="10.5">
      <c r="B13" s="8" t="s">
        <v>42</v>
      </c>
      <c r="C13" s="19">
        <v>202669.0499999998</v>
      </c>
      <c r="D13" s="19">
        <v>5131807.280999996</v>
      </c>
      <c r="E13" s="20">
        <f>IF((D13=0),0,(IF((C13=0),0,(D13/C13))))</f>
        <v>25.32111973189789</v>
      </c>
      <c r="G13" s="35"/>
      <c r="H13" s="35"/>
    </row>
    <row r="14" spans="2:5" ht="10.5">
      <c r="B14" s="23" t="s">
        <v>12</v>
      </c>
      <c r="C14" s="24">
        <f>SUM(C11:C13)</f>
        <v>1100916.0499999998</v>
      </c>
      <c r="D14" s="24">
        <f>SUM(D11:D13)</f>
        <v>30017878.774142392</v>
      </c>
      <c r="E14" s="25">
        <f>IF((D14=0),0,(IF((C14=0),0,(D14/C14))))</f>
        <v>27.26627409432572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f>'[17]Input Sheet'!C56</f>
        <v>89330.635</v>
      </c>
      <c r="D17" s="21">
        <f>'[17]Input Sheet'!C58</f>
        <v>3079256.54</v>
      </c>
      <c r="E17" s="22">
        <f>IF((D17=0),0,(IF((C17=0),0,(D17/C17))))</f>
        <v>34.470330810925056</v>
      </c>
    </row>
    <row r="18" spans="2:5" ht="10.5">
      <c r="B18" s="23" t="s">
        <v>12</v>
      </c>
      <c r="C18" s="24">
        <f>SUM(C17:C17)</f>
        <v>89330.635</v>
      </c>
      <c r="D18" s="24">
        <f>SUM(D17:D17)</f>
        <v>3079256.54</v>
      </c>
      <c r="E18" s="25">
        <f>IF((D18=0),0,(IF((C18=0),0,(D18/C18))))</f>
        <v>34.470330810925056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1190246.6849999998</v>
      </c>
      <c r="D20" s="24">
        <f>D14+D18</f>
        <v>33097135.31414239</v>
      </c>
      <c r="E20" s="25">
        <f>IF((D20=0),0,(IF((C20=0),0,(D20/C20))))</f>
        <v>27.80695441646401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21</v>
      </c>
      <c r="C25" s="26">
        <f>'[17]Input Sheet'!C83</f>
        <v>245957.70500000013</v>
      </c>
      <c r="D25" s="26">
        <f>'[17]Input Sheet'!C84</f>
        <v>5538335.943000003</v>
      </c>
      <c r="E25" s="27">
        <f>IF((D25=0),0,(IF((C25=0),0,(D25/C25))))</f>
        <v>22.517432186155744</v>
      </c>
    </row>
    <row r="26" spans="2:8" ht="10.5">
      <c r="B26" s="8" t="s">
        <v>41</v>
      </c>
      <c r="C26" s="26">
        <v>202953.1329999999</v>
      </c>
      <c r="D26" s="26">
        <v>3989923.049999999</v>
      </c>
      <c r="E26" s="27">
        <f>IF((D26=0),0,(IF((C26=0),0,(D26/C26))))</f>
        <v>19.65933213753345</v>
      </c>
      <c r="G26" s="35"/>
      <c r="H26" s="35"/>
    </row>
    <row r="27" spans="2:8" ht="10.5">
      <c r="B27" s="8" t="s">
        <v>42</v>
      </c>
      <c r="C27" s="19">
        <v>103118.50800000002</v>
      </c>
      <c r="D27" s="19">
        <v>2280461.8709999984</v>
      </c>
      <c r="E27" s="20">
        <f>IF((D27=0),0,(IF((C27=0),0,(D27/C27))))</f>
        <v>22.114961855344127</v>
      </c>
      <c r="G27" s="35"/>
      <c r="H27" s="35"/>
    </row>
    <row r="28" spans="2:5" ht="10.5">
      <c r="B28" s="18" t="s">
        <v>22</v>
      </c>
      <c r="C28" s="21">
        <v>86357.735</v>
      </c>
      <c r="D28" s="21">
        <v>3035862.65</v>
      </c>
      <c r="E28" s="22">
        <v>35.154496004324336</v>
      </c>
    </row>
    <row r="29" spans="2:5" ht="10.5">
      <c r="B29" s="23" t="s">
        <v>12</v>
      </c>
      <c r="C29" s="24">
        <f>SUM(C25:C28)</f>
        <v>638387.081</v>
      </c>
      <c r="D29" s="24">
        <f>SUM(D25:D28)</f>
        <v>14844583.514</v>
      </c>
      <c r="E29" s="25">
        <f>IF((D29=0),0,(IF((C29=0),0,(D29/C29))))</f>
        <v>23.25326429029036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551859.6039999998</v>
      </c>
      <c r="D31" s="24">
        <f>D20-D29</f>
        <v>18252551.800142393</v>
      </c>
      <c r="E31" s="25">
        <f>IF((D31=0),0,(IF((C31=0),0,(D31/C31))))</f>
        <v>33.07462924962052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1190246.6849999998</v>
      </c>
      <c r="D33" s="24">
        <f>+D29+D31</f>
        <v>33097135.31414239</v>
      </c>
      <c r="E33" s="25">
        <f>IF((D33=0),0,(IF((C33=0),0,(D33/C33))))</f>
        <v>27.80695441646401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13" ht="10.5">
      <c r="A37" s="16" t="s">
        <v>27</v>
      </c>
      <c r="B37" s="8" t="s">
        <v>28</v>
      </c>
      <c r="C37" s="19">
        <f>C31</f>
        <v>551859.6039999998</v>
      </c>
      <c r="D37" s="19">
        <f>D31</f>
        <v>18252551.800142393</v>
      </c>
      <c r="E37" s="20">
        <f aca="true" t="shared" si="0" ref="E37:E43">IF((D37=0),0,(IF((C37=0),0,(D37/C37))))</f>
        <v>33.07462924962052</v>
      </c>
      <c r="G37" s="44"/>
      <c r="K37" s="35"/>
      <c r="L37" s="35"/>
      <c r="M37" s="35"/>
    </row>
    <row r="38" spans="1:13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1.25" thickBot="1">
      <c r="A39" s="28" t="s">
        <v>31</v>
      </c>
      <c r="B39" s="29" t="s">
        <v>32</v>
      </c>
      <c r="C39" s="30">
        <f>SUM(C37:C38)</f>
        <v>551859.6039999998</v>
      </c>
      <c r="D39" s="30">
        <f>(SUM(D37))+D38</f>
        <v>18252551.800142393</v>
      </c>
      <c r="E39" s="31">
        <f t="shared" si="0"/>
        <v>33.07462924962052</v>
      </c>
      <c r="K39" s="35"/>
      <c r="L39" s="35"/>
      <c r="M39" s="35"/>
    </row>
    <row r="40" spans="1:13" ht="10.5">
      <c r="A40" s="16" t="s">
        <v>33</v>
      </c>
      <c r="B40" s="18" t="s">
        <v>45</v>
      </c>
      <c r="C40" s="26">
        <v>-813.63</v>
      </c>
      <c r="D40" s="19">
        <v>-39083.27</v>
      </c>
      <c r="E40" s="20">
        <v>48.03567960866733</v>
      </c>
      <c r="K40" s="35"/>
      <c r="L40" s="35"/>
      <c r="M40" s="35"/>
    </row>
    <row r="41" spans="1:13" ht="10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C37+C38+C40+C41</f>
        <v>551045.9739999998</v>
      </c>
      <c r="D43" s="33">
        <f>D37+D38+D40+D41</f>
        <v>18213468.530142393</v>
      </c>
      <c r="E43" s="34">
        <f t="shared" si="0"/>
        <v>33.052538970446044</v>
      </c>
      <c r="K43" s="35"/>
      <c r="L43" s="35"/>
      <c r="M43" s="35"/>
    </row>
    <row r="44" spans="1:5" ht="12.75">
      <c r="A44" s="36" t="s">
        <v>4</v>
      </c>
      <c r="B44" s="37" t="s">
        <v>4</v>
      </c>
      <c r="C44" s="37"/>
      <c r="D44" s="37"/>
      <c r="E44" s="37"/>
    </row>
    <row r="45" spans="1:5" ht="14.25">
      <c r="A45"/>
      <c r="B45" s="38" t="s">
        <v>4</v>
      </c>
      <c r="C45"/>
      <c r="D45"/>
      <c r="E45"/>
    </row>
    <row r="46" spans="2:5" ht="10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L43" sqref="L43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>
        <f ca="1">NOW()</f>
        <v>42088.424433796295</v>
      </c>
    </row>
    <row r="2" spans="2:4" ht="10.5">
      <c r="B2" s="6" t="str">
        <f>'[18]Input Sheet'!B1</f>
        <v>August 2014 ACTUAL</v>
      </c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10"/>
      <c r="E6" s="11" t="s">
        <v>4</v>
      </c>
    </row>
    <row r="7" ht="10.5">
      <c r="B7" s="3"/>
    </row>
    <row r="8" spans="2:5" ht="10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98</v>
      </c>
      <c r="C11" s="19">
        <v>585732</v>
      </c>
      <c r="D11" s="19">
        <v>16752912.01</v>
      </c>
      <c r="E11" s="20">
        <v>28.601667673953276</v>
      </c>
    </row>
    <row r="12" spans="2:9" ht="10.5">
      <c r="B12" s="8" t="s">
        <v>41</v>
      </c>
      <c r="C12" s="19">
        <v>378408</v>
      </c>
      <c r="D12" s="19">
        <v>9922315.778611</v>
      </c>
      <c r="E12" s="20">
        <v>52.3952679280259</v>
      </c>
      <c r="G12" s="35"/>
      <c r="H12" s="35"/>
      <c r="I12" s="35"/>
    </row>
    <row r="13" spans="2:9" ht="10.5">
      <c r="B13" s="8" t="s">
        <v>42</v>
      </c>
      <c r="C13" s="19">
        <v>215726.10000000015</v>
      </c>
      <c r="D13" s="19">
        <v>5500419.330000002</v>
      </c>
      <c r="E13" s="20">
        <v>51.045736487214</v>
      </c>
      <c r="G13" s="35"/>
      <c r="H13" s="35"/>
      <c r="I13" s="35"/>
    </row>
    <row r="14" spans="2:5" ht="10.5">
      <c r="B14" s="23" t="s">
        <v>12</v>
      </c>
      <c r="C14" s="24">
        <f>SUM(C11:C13)</f>
        <v>1179866.1</v>
      </c>
      <c r="D14" s="24">
        <f>SUM(D11:D13)</f>
        <v>32175647.118611004</v>
      </c>
      <c r="E14" s="25">
        <f>IF((D14=0),0,(IF((C14=0),0,(D14/C14))))</f>
        <v>27.270592077025523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85871.148</v>
      </c>
      <c r="D17" s="21">
        <v>2828326.5</v>
      </c>
      <c r="E17" s="22">
        <v>32.93686605890025</v>
      </c>
    </row>
    <row r="18" spans="2:5" ht="10.5">
      <c r="B18" s="23" t="s">
        <v>12</v>
      </c>
      <c r="C18" s="24">
        <f>SUM(C17:C17)</f>
        <v>85871.148</v>
      </c>
      <c r="D18" s="24">
        <f>SUM(D17:D17)</f>
        <v>2828326.5</v>
      </c>
      <c r="E18" s="25">
        <f>IF((D18=0),0,(IF((C18=0),0,(D18/C18))))</f>
        <v>32.93686605890025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1265737.2480000001</v>
      </c>
      <c r="D20" s="24">
        <f>D14+D18</f>
        <v>35003973.61861101</v>
      </c>
      <c r="E20" s="25">
        <f>IF((D20=0),0,(IF((C20=0),0,(D20/C20))))</f>
        <v>27.65500792042031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21</v>
      </c>
      <c r="C25" s="26">
        <v>311854.9870000002</v>
      </c>
      <c r="D25" s="26">
        <v>7201447.073999995</v>
      </c>
      <c r="E25" s="27">
        <v>23.092294092446213</v>
      </c>
    </row>
    <row r="26" spans="2:9" ht="10.5">
      <c r="B26" s="8" t="s">
        <v>41</v>
      </c>
      <c r="C26" s="26">
        <v>187098.828</v>
      </c>
      <c r="D26" s="26">
        <v>3638980.4889999973</v>
      </c>
      <c r="E26" s="27">
        <f>IF((D26=0),0,(IF((C26=0),0,(D26/C26))))</f>
        <v>19.449509801312047</v>
      </c>
      <c r="G26" s="35"/>
      <c r="H26" s="35"/>
      <c r="I26" s="35"/>
    </row>
    <row r="27" spans="2:5" ht="10.5">
      <c r="B27" s="8" t="s">
        <v>42</v>
      </c>
      <c r="C27" s="19">
        <v>127555.59399999995</v>
      </c>
      <c r="D27" s="19">
        <v>2867130.3419999974</v>
      </c>
      <c r="E27" s="20">
        <f>IF((D27=0),0,(IF((C27=0),0,(D27/C27))))</f>
        <v>22.477495906608365</v>
      </c>
    </row>
    <row r="28" spans="2:8" ht="10.5">
      <c r="B28" s="18" t="s">
        <v>22</v>
      </c>
      <c r="C28" s="21">
        <v>84320.438</v>
      </c>
      <c r="D28" s="21">
        <v>2808642.08</v>
      </c>
      <c r="E28" s="22">
        <v>33.3091495563626</v>
      </c>
      <c r="G28" s="35"/>
      <c r="H28" s="35"/>
    </row>
    <row r="29" spans="2:5" ht="10.5">
      <c r="B29" s="23" t="s">
        <v>12</v>
      </c>
      <c r="C29" s="24">
        <f>SUM(C25:C28)</f>
        <v>710829.8470000001</v>
      </c>
      <c r="D29" s="24">
        <f>SUM(D25:D28)</f>
        <v>16516199.98499999</v>
      </c>
      <c r="E29" s="25">
        <f>IF((D29=0),0,(IF((C29=0),0,(D29/C29))))</f>
        <v>23.235096352109128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554907.4010000001</v>
      </c>
      <c r="D31" s="24">
        <f>D20-D29</f>
        <v>18487773.633611016</v>
      </c>
      <c r="E31" s="25">
        <f>IF((D31=0),0,(IF((C31=0),0,(D31/C31))))</f>
        <v>33.316862597785054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1265737.2480000001</v>
      </c>
      <c r="D33" s="24">
        <f>+D29+D31</f>
        <v>35003973.61861101</v>
      </c>
      <c r="E33" s="25">
        <f>IF((D33=0),0,(IF((C33=0),0,(D33/C33))))</f>
        <v>27.65500792042031</v>
      </c>
    </row>
    <row r="34" spans="1:5" ht="10.5">
      <c r="A34" s="16"/>
      <c r="B34" s="8"/>
      <c r="C34" s="19"/>
      <c r="D34" s="19"/>
      <c r="E34" s="20"/>
    </row>
    <row r="35" spans="1:5" ht="10.5">
      <c r="A35" s="16" t="s">
        <v>27</v>
      </c>
      <c r="B35" s="8"/>
      <c r="C35" s="19"/>
      <c r="D35" s="19"/>
      <c r="E35" s="20"/>
    </row>
    <row r="36" spans="1:5" ht="11.25" thickBot="1">
      <c r="A36" s="16" t="s">
        <v>29</v>
      </c>
      <c r="C36" s="19"/>
      <c r="D36" s="19"/>
      <c r="E36" s="20"/>
    </row>
    <row r="37" spans="1:5" ht="11.25" thickBot="1">
      <c r="A37" s="28" t="s">
        <v>31</v>
      </c>
      <c r="B37" s="8" t="s">
        <v>28</v>
      </c>
      <c r="C37" s="19">
        <f>C31</f>
        <v>554907.4010000001</v>
      </c>
      <c r="D37" s="19">
        <f>D31</f>
        <v>18487773.633611016</v>
      </c>
      <c r="E37" s="20">
        <f aca="true" t="shared" si="0" ref="E37:E43">IF((D37=0),0,(IF((C37=0),0,(D37/C37))))</f>
        <v>33.316862597785054</v>
      </c>
    </row>
    <row r="38" spans="1:5" ht="11.25" thickBot="1">
      <c r="A38" s="16" t="s">
        <v>33</v>
      </c>
      <c r="B38" s="18" t="s">
        <v>30</v>
      </c>
      <c r="C38" s="26">
        <v>0</v>
      </c>
      <c r="D38" s="19">
        <v>0</v>
      </c>
      <c r="E38" s="20">
        <f t="shared" si="0"/>
        <v>0</v>
      </c>
    </row>
    <row r="39" spans="1:13" ht="11.25" thickBot="1">
      <c r="A39" s="16" t="s">
        <v>35</v>
      </c>
      <c r="B39" s="29" t="s">
        <v>32</v>
      </c>
      <c r="C39" s="30">
        <f>SUM(C37:C38)</f>
        <v>554907.4010000001</v>
      </c>
      <c r="D39" s="30">
        <f>(SUM(D37))+D38</f>
        <v>18487773.633611016</v>
      </c>
      <c r="E39" s="31">
        <f t="shared" si="0"/>
        <v>33.316862597785054</v>
      </c>
      <c r="G39" s="44"/>
      <c r="K39" s="35"/>
      <c r="L39" s="35"/>
      <c r="M39" s="35"/>
    </row>
    <row r="40" spans="1:13" ht="11.25" thickBot="1">
      <c r="A40" s="16" t="s">
        <v>37</v>
      </c>
      <c r="B40" s="18" t="s">
        <v>45</v>
      </c>
      <c r="C40" s="26">
        <v>-1793.925706393</v>
      </c>
      <c r="D40" s="19">
        <v>-97015.2529</v>
      </c>
      <c r="E40" s="20">
        <v>54.079861030068</v>
      </c>
      <c r="K40" s="35"/>
      <c r="L40" s="35"/>
      <c r="M40" s="35"/>
    </row>
    <row r="41" spans="1:13" ht="11.25" thickBot="1">
      <c r="A41" s="28" t="s">
        <v>39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3.5" thickBot="1">
      <c r="A42" s="36" t="s">
        <v>4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5" thickBot="1">
      <c r="A43"/>
      <c r="B43" s="29" t="s">
        <v>40</v>
      </c>
      <c r="C43" s="33">
        <f>C37+C38+C40+C41</f>
        <v>553113.4752936071</v>
      </c>
      <c r="D43" s="33">
        <f>D37+D38+D40+D41</f>
        <v>18390758.380711015</v>
      </c>
      <c r="E43" s="34">
        <f t="shared" si="0"/>
        <v>33.24952148553011</v>
      </c>
      <c r="K43" s="35"/>
      <c r="L43" s="35"/>
      <c r="M43" s="35"/>
    </row>
    <row r="44" spans="2:13" ht="12.75">
      <c r="B44" s="37" t="s">
        <v>4</v>
      </c>
      <c r="C44" s="37"/>
      <c r="D44" s="37"/>
      <c r="E44" s="37"/>
      <c r="K44" s="35"/>
      <c r="L44" s="35"/>
      <c r="M44" s="35"/>
    </row>
    <row r="45" spans="2:13" ht="14.25">
      <c r="B45" s="38" t="s">
        <v>4</v>
      </c>
      <c r="C45"/>
      <c r="D45"/>
      <c r="E45"/>
      <c r="K45" s="35"/>
      <c r="L45" s="35"/>
      <c r="M45" s="35"/>
    </row>
    <row r="46" spans="2:5" ht="10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J36" sqref="J36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>
        <f ca="1">NOW()</f>
        <v>42088.424433796295</v>
      </c>
    </row>
    <row r="2" spans="2:4" ht="10.5">
      <c r="B2" s="6" t="str">
        <f>'[19]Input Sheet'!B1</f>
        <v>September 2014 ACTUAL</v>
      </c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10"/>
      <c r="E6" s="11" t="s">
        <v>4</v>
      </c>
    </row>
    <row r="7" ht="10.5">
      <c r="B7" s="3"/>
    </row>
    <row r="8" spans="2:5" ht="10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98</v>
      </c>
      <c r="C11" s="19">
        <v>210517</v>
      </c>
      <c r="D11" s="19">
        <v>5643959.499999999</v>
      </c>
      <c r="E11" s="20">
        <v>26.809993967233044</v>
      </c>
    </row>
    <row r="12" spans="2:9" ht="10.5">
      <c r="B12" s="8" t="s">
        <v>41</v>
      </c>
      <c r="C12" s="19">
        <v>419768</v>
      </c>
      <c r="D12" s="19">
        <v>11388378.0500587</v>
      </c>
      <c r="E12" s="20">
        <v>54.143751945049985</v>
      </c>
      <c r="G12" s="35"/>
      <c r="H12" s="35"/>
      <c r="I12" s="35"/>
    </row>
    <row r="13" spans="2:9" ht="10.5">
      <c r="B13" s="8" t="s">
        <v>42</v>
      </c>
      <c r="C13" s="19">
        <v>229325.39999999985</v>
      </c>
      <c r="D13" s="19">
        <v>4664969.173499998</v>
      </c>
      <c r="E13" s="20">
        <v>40.685393064329496</v>
      </c>
      <c r="G13" s="35"/>
      <c r="H13" s="35"/>
      <c r="I13" s="35"/>
    </row>
    <row r="14" spans="2:5" ht="10.5">
      <c r="B14" s="23" t="s">
        <v>12</v>
      </c>
      <c r="C14" s="24">
        <f>SUM(C11:C13)</f>
        <v>859610.3999999999</v>
      </c>
      <c r="D14" s="24">
        <f>SUM(D11:D13)</f>
        <v>21697306.723558698</v>
      </c>
      <c r="E14" s="25">
        <f>IF((D14=0),0,(IF((C14=0),0,(D14/C14))))</f>
        <v>25.240861119826725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43761.142</v>
      </c>
      <c r="D17" s="21">
        <v>1585860.99</v>
      </c>
      <c r="E17" s="22">
        <v>36.23902205294368</v>
      </c>
    </row>
    <row r="18" spans="2:5" ht="10.5">
      <c r="B18" s="23" t="s">
        <v>12</v>
      </c>
      <c r="C18" s="24">
        <f>SUM(C17:C17)</f>
        <v>43761.142</v>
      </c>
      <c r="D18" s="24">
        <f>SUM(D17:D17)</f>
        <v>1585860.99</v>
      </c>
      <c r="E18" s="25">
        <f>IF((D18=0),0,(IF((C18=0),0,(D18/C18))))</f>
        <v>36.23902205294368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903371.5419999999</v>
      </c>
      <c r="D20" s="24">
        <f>D14+D18</f>
        <v>23283167.713558696</v>
      </c>
      <c r="E20" s="25">
        <f>IF((D20=0),0,(IF((C20=0),0,(D20/C20))))</f>
        <v>25.773634247998814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21</v>
      </c>
      <c r="C25" s="26">
        <v>118998.195</v>
      </c>
      <c r="D25" s="26">
        <v>2667905.3789999997</v>
      </c>
      <c r="E25" s="27">
        <v>22.419712996487043</v>
      </c>
    </row>
    <row r="26" spans="2:9" ht="10.5">
      <c r="B26" s="8" t="s">
        <v>41</v>
      </c>
      <c r="C26" s="26">
        <v>163982.67299999986</v>
      </c>
      <c r="D26" s="26">
        <v>3319801.760000001</v>
      </c>
      <c r="E26" s="27">
        <v>40.46073586834313</v>
      </c>
      <c r="G26" s="35"/>
      <c r="H26" s="35"/>
      <c r="I26" s="35"/>
    </row>
    <row r="27" spans="2:9" ht="10.5">
      <c r="B27" s="8" t="s">
        <v>42</v>
      </c>
      <c r="C27" s="19">
        <v>99998.36700000003</v>
      </c>
      <c r="D27" s="19">
        <v>2090219.6309999991</v>
      </c>
      <c r="E27" s="20">
        <v>41.80094881910455</v>
      </c>
      <c r="G27" s="35"/>
      <c r="H27" s="35"/>
      <c r="I27" s="35"/>
    </row>
    <row r="28" spans="2:5" ht="10.5">
      <c r="B28" s="18" t="s">
        <v>22</v>
      </c>
      <c r="C28" s="21">
        <v>41317.39</v>
      </c>
      <c r="D28" s="21">
        <v>1532162.05</v>
      </c>
      <c r="E28" s="22">
        <v>37.082740463519116</v>
      </c>
    </row>
    <row r="29" spans="2:5" ht="10.5">
      <c r="B29" s="23" t="s">
        <v>12</v>
      </c>
      <c r="C29" s="24">
        <f>SUM(C25:C28)</f>
        <v>424296.62499999994</v>
      </c>
      <c r="D29" s="24">
        <f>SUM(D25:D28)</f>
        <v>9610088.82</v>
      </c>
      <c r="E29" s="25">
        <f>IF((D29=0),0,(IF((C29=0),0,(D29/C29))))</f>
        <v>22.649458548014614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479074.91699999996</v>
      </c>
      <c r="D31" s="24">
        <f>D20-D29</f>
        <v>13673078.893558696</v>
      </c>
      <c r="E31" s="25">
        <f>IF((D31=0),0,(IF((C31=0),0,(D31/C31))))</f>
        <v>28.540586051092916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903371.5419999999</v>
      </c>
      <c r="D33" s="24">
        <f>+D29+D31</f>
        <v>23283167.713558696</v>
      </c>
      <c r="E33" s="25">
        <f>IF((D33=0),0,(IF((C33=0),0,(D33/C33))))</f>
        <v>25.773634247998814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13" ht="10.5">
      <c r="A37" s="16" t="s">
        <v>27</v>
      </c>
      <c r="B37" s="8" t="s">
        <v>28</v>
      </c>
      <c r="C37" s="19">
        <f>C31</f>
        <v>479074.91699999996</v>
      </c>
      <c r="D37" s="19">
        <f>D31</f>
        <v>13673078.893558696</v>
      </c>
      <c r="E37" s="20">
        <f aca="true" t="shared" si="0" ref="E37:E43">IF((D37=0),0,(IF((C37=0),0,(D37/C37))))</f>
        <v>28.540586051092916</v>
      </c>
      <c r="G37" s="44"/>
      <c r="K37" s="35"/>
      <c r="L37" s="35"/>
      <c r="M37" s="35"/>
    </row>
    <row r="38" spans="1:13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1.25" thickBot="1">
      <c r="A39" s="28" t="s">
        <v>31</v>
      </c>
      <c r="B39" s="29" t="s">
        <v>32</v>
      </c>
      <c r="C39" s="30">
        <f>SUM(C37:C38)</f>
        <v>479074.91699999996</v>
      </c>
      <c r="D39" s="30">
        <f>SUM(D37:D38)</f>
        <v>13673078.893558696</v>
      </c>
      <c r="E39" s="31">
        <f t="shared" si="0"/>
        <v>28.540586051092916</v>
      </c>
      <c r="K39" s="35"/>
      <c r="L39" s="35"/>
      <c r="M39" s="35"/>
    </row>
    <row r="40" spans="1:13" ht="10.5">
      <c r="A40" s="16" t="s">
        <v>33</v>
      </c>
      <c r="B40" s="18" t="s">
        <v>45</v>
      </c>
      <c r="C40" s="26">
        <v>-1494.158944384</v>
      </c>
      <c r="D40" s="19">
        <v>-63835.6632</v>
      </c>
      <c r="E40" s="20">
        <f t="shared" si="0"/>
        <v>42.72347559805136</v>
      </c>
      <c r="K40" s="35"/>
      <c r="L40" s="35"/>
      <c r="M40" s="35"/>
    </row>
    <row r="41" spans="1:13" ht="10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C37+C38+C40+C41</f>
        <v>477580.75805561594</v>
      </c>
      <c r="D43" s="33">
        <f>D37+D38+D40+D41</f>
        <v>13609243.230358696</v>
      </c>
      <c r="E43" s="34">
        <f t="shared" si="0"/>
        <v>28.49621346924922</v>
      </c>
      <c r="K43" s="35"/>
      <c r="L43" s="35"/>
      <c r="M43" s="35"/>
    </row>
    <row r="44" spans="1:5" ht="12.75">
      <c r="A44" s="36" t="s">
        <v>4</v>
      </c>
      <c r="B44" s="37" t="s">
        <v>4</v>
      </c>
      <c r="C44" s="37"/>
      <c r="D44" s="37"/>
      <c r="E44" s="37"/>
    </row>
    <row r="45" spans="1:5" ht="14.25">
      <c r="A45"/>
      <c r="B45" s="38" t="s">
        <v>4</v>
      </c>
      <c r="C45"/>
      <c r="D45"/>
      <c r="E45"/>
    </row>
    <row r="46" spans="2:5" ht="10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D20" sqref="D20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5">
      <c r="B1" s="2" t="s">
        <v>0</v>
      </c>
      <c r="C1" s="3"/>
      <c r="D1" s="4"/>
      <c r="E1" s="5">
        <f ca="1">NOW()</f>
        <v>42088.424433796295</v>
      </c>
    </row>
    <row r="2" spans="2:4" ht="10.5">
      <c r="B2" s="6" t="str">
        <f>'[21]Input Sheet'!B1</f>
        <v>October 2014 ACTUAL</v>
      </c>
      <c r="D2" s="7"/>
    </row>
    <row r="3" spans="2:4" ht="10.5">
      <c r="B3" s="8" t="s">
        <v>1</v>
      </c>
      <c r="D3" s="9"/>
    </row>
    <row r="4" ht="10.5">
      <c r="B4" s="8" t="s">
        <v>2</v>
      </c>
    </row>
    <row r="5" spans="2:4" ht="10.5">
      <c r="B5" s="3"/>
      <c r="D5" s="8"/>
    </row>
    <row r="6" spans="2:5" ht="10.5">
      <c r="B6" s="8" t="s">
        <v>3</v>
      </c>
      <c r="D6" s="10"/>
      <c r="E6" s="11" t="s">
        <v>4</v>
      </c>
    </row>
    <row r="7" ht="10.5">
      <c r="B7" s="3"/>
    </row>
    <row r="8" spans="2:5" ht="10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0.5">
      <c r="B9" s="12"/>
      <c r="C9" s="14"/>
      <c r="D9" s="15" t="s">
        <v>9</v>
      </c>
      <c r="E9" s="14"/>
    </row>
    <row r="10" spans="1:2" ht="10.5">
      <c r="A10" s="16" t="s">
        <v>10</v>
      </c>
      <c r="B10" s="17" t="s">
        <v>11</v>
      </c>
    </row>
    <row r="11" spans="2:5" ht="10.5">
      <c r="B11" s="18" t="s">
        <v>43</v>
      </c>
      <c r="C11" s="19">
        <v>0</v>
      </c>
      <c r="D11" s="19">
        <v>0</v>
      </c>
      <c r="E11" s="20">
        <v>0</v>
      </c>
    </row>
    <row r="12" spans="2:9" ht="10.5">
      <c r="B12" s="8" t="s">
        <v>41</v>
      </c>
      <c r="C12" s="19">
        <v>242417</v>
      </c>
      <c r="D12" s="19">
        <v>6227643.1069132</v>
      </c>
      <c r="E12" s="20">
        <v>59.160916176145065</v>
      </c>
      <c r="G12" s="35"/>
      <c r="H12" s="35"/>
      <c r="I12" s="35"/>
    </row>
    <row r="13" spans="2:9" ht="10.5">
      <c r="B13" s="8" t="s">
        <v>42</v>
      </c>
      <c r="C13" s="19">
        <v>248849.84999999992</v>
      </c>
      <c r="D13" s="19">
        <v>6095173.9169999985</v>
      </c>
      <c r="E13" s="20">
        <v>48.98573524542282</v>
      </c>
      <c r="G13" s="35"/>
      <c r="H13" s="35"/>
      <c r="I13" s="35"/>
    </row>
    <row r="14" spans="2:5" ht="10.5">
      <c r="B14" s="23" t="s">
        <v>12</v>
      </c>
      <c r="C14" s="24">
        <f>SUM(C11:C13)</f>
        <v>491266.8499999999</v>
      </c>
      <c r="D14" s="24">
        <f>SUM(D11:D13)</f>
        <v>12322817.023913197</v>
      </c>
      <c r="E14" s="25">
        <f>IF((D14=0),0,(IF((C14=0),0,(D14/C14))))</f>
        <v>25.08375442778848</v>
      </c>
    </row>
    <row r="15" spans="2:5" ht="10.5">
      <c r="B15" s="3"/>
      <c r="C15" s="19"/>
      <c r="D15" s="19"/>
      <c r="E15" s="20"/>
    </row>
    <row r="16" spans="1:5" ht="10.5">
      <c r="A16" s="16" t="s">
        <v>13</v>
      </c>
      <c r="B16" s="17" t="s">
        <v>14</v>
      </c>
      <c r="C16" s="19"/>
      <c r="D16" s="19"/>
      <c r="E16" s="20"/>
    </row>
    <row r="17" spans="2:5" ht="10.5">
      <c r="B17" s="8" t="s">
        <v>15</v>
      </c>
      <c r="C17" s="21">
        <v>61187.967000000004</v>
      </c>
      <c r="D17" s="21">
        <v>2110218.26</v>
      </c>
      <c r="E17" s="22">
        <v>34.48747136834926</v>
      </c>
    </row>
    <row r="18" spans="2:5" ht="10.5">
      <c r="B18" s="23" t="s">
        <v>12</v>
      </c>
      <c r="C18" s="24">
        <f>SUM(C17:C17)</f>
        <v>61187.967000000004</v>
      </c>
      <c r="D18" s="24">
        <f>SUM(D17:D17)</f>
        <v>2110218.26</v>
      </c>
      <c r="E18" s="25">
        <f>IF((D18=0),0,(IF((C18=0),0,(D18/C18))))</f>
        <v>34.48747136834926</v>
      </c>
    </row>
    <row r="19" spans="2:5" ht="10.5">
      <c r="B19" s="3"/>
      <c r="C19" s="19"/>
      <c r="D19" s="19"/>
      <c r="E19" s="20"/>
    </row>
    <row r="20" spans="1:5" ht="10.5">
      <c r="A20" s="16" t="s">
        <v>16</v>
      </c>
      <c r="B20" s="17" t="s">
        <v>17</v>
      </c>
      <c r="C20" s="24">
        <f>C14+C18</f>
        <v>552454.8169999999</v>
      </c>
      <c r="D20" s="24">
        <f>D14+D18</f>
        <v>14433035.283913197</v>
      </c>
      <c r="E20" s="25">
        <f>IF((D20=0),0,(IF((C20=0),0,(D20/C20))))</f>
        <v>26.125277289261465</v>
      </c>
    </row>
    <row r="21" spans="2:5" ht="10.5">
      <c r="B21" s="3"/>
      <c r="C21" s="19"/>
      <c r="D21" s="19"/>
      <c r="E21" s="20"/>
    </row>
    <row r="22" spans="2:5" ht="10.5">
      <c r="B22" s="12" t="s">
        <v>18</v>
      </c>
      <c r="C22" s="19"/>
      <c r="D22" s="19"/>
      <c r="E22" s="20"/>
    </row>
    <row r="23" spans="2:5" ht="10.5">
      <c r="B23" s="12"/>
      <c r="C23" s="19"/>
      <c r="D23" s="19"/>
      <c r="E23" s="20"/>
    </row>
    <row r="24" spans="1:4" ht="10.5">
      <c r="A24" s="16" t="s">
        <v>19</v>
      </c>
      <c r="B24" s="17" t="s">
        <v>20</v>
      </c>
      <c r="D24" s="19"/>
    </row>
    <row r="25" spans="2:5" ht="10.5">
      <c r="B25" s="8" t="s">
        <v>21</v>
      </c>
      <c r="C25" s="26">
        <v>0</v>
      </c>
      <c r="D25" s="26">
        <v>0</v>
      </c>
      <c r="E25" s="27">
        <v>0</v>
      </c>
    </row>
    <row r="26" spans="2:9" ht="10.5">
      <c r="B26" s="8" t="s">
        <v>41</v>
      </c>
      <c r="C26" s="26">
        <v>33640.03799999999</v>
      </c>
      <c r="D26" s="26">
        <v>774515.6330000005</v>
      </c>
      <c r="E26" s="27">
        <v>41.641587699649776</v>
      </c>
      <c r="G26" s="35"/>
      <c r="H26" s="35"/>
      <c r="I26" s="35"/>
    </row>
    <row r="27" spans="2:9" ht="10.5">
      <c r="B27" s="8" t="s">
        <v>42</v>
      </c>
      <c r="C27" s="19">
        <v>8590.964000000004</v>
      </c>
      <c r="D27" s="19">
        <v>195693.48399999994</v>
      </c>
      <c r="E27" s="20">
        <v>45.41924450312956</v>
      </c>
      <c r="G27" s="35"/>
      <c r="H27" s="35"/>
      <c r="I27" s="35"/>
    </row>
    <row r="28" spans="2:5" ht="10.5">
      <c r="B28" s="18" t="s">
        <v>22</v>
      </c>
      <c r="C28" s="21">
        <v>34855.195</v>
      </c>
      <c r="D28" s="21">
        <v>1260145.1</v>
      </c>
      <c r="E28" s="22">
        <v>36.1537240001096</v>
      </c>
    </row>
    <row r="29" spans="2:5" ht="10.5">
      <c r="B29" s="23" t="s">
        <v>12</v>
      </c>
      <c r="C29" s="24">
        <f>SUM(C25:C28)</f>
        <v>77086.19699999999</v>
      </c>
      <c r="D29" s="24">
        <f>SUM(D25:D28)</f>
        <v>2230354.2170000006</v>
      </c>
      <c r="E29" s="25">
        <f>IF((D29=0),0,(IF((C29=0),0,(D29/C29))))</f>
        <v>28.93325009923633</v>
      </c>
    </row>
    <row r="30" spans="2:5" ht="10.5">
      <c r="B30" s="3"/>
      <c r="C30" s="19"/>
      <c r="D30" s="19"/>
      <c r="E30" s="20"/>
    </row>
    <row r="31" spans="1:5" ht="10.5">
      <c r="A31" s="16" t="s">
        <v>23</v>
      </c>
      <c r="B31" s="17" t="s">
        <v>24</v>
      </c>
      <c r="C31" s="24">
        <f>C20-C29</f>
        <v>475368.61999999994</v>
      </c>
      <c r="D31" s="24">
        <f>D20-D29</f>
        <v>12202681.066913197</v>
      </c>
      <c r="E31" s="25">
        <f>IF((D31=0),0,(IF((C31=0),0,(D31/C31))))</f>
        <v>25.669933928144435</v>
      </c>
    </row>
    <row r="32" spans="2:5" ht="10.5">
      <c r="B32" s="3"/>
      <c r="C32" s="19"/>
      <c r="D32" s="19"/>
      <c r="E32" s="20"/>
    </row>
    <row r="33" spans="1:5" ht="10.5">
      <c r="A33" s="16" t="s">
        <v>25</v>
      </c>
      <c r="B33" s="17" t="s">
        <v>26</v>
      </c>
      <c r="C33" s="24">
        <f>+C29+C31</f>
        <v>552454.8169999999</v>
      </c>
      <c r="D33" s="24">
        <f>+D29+D31</f>
        <v>14433035.283913197</v>
      </c>
      <c r="E33" s="25">
        <f>IF((D33=0),0,(IF((C33=0),0,(D33/C33))))</f>
        <v>26.125277289261465</v>
      </c>
    </row>
    <row r="34" spans="1:5" ht="10.5">
      <c r="A34" s="16"/>
      <c r="B34" s="8"/>
      <c r="C34" s="19"/>
      <c r="D34" s="19"/>
      <c r="E34" s="20"/>
    </row>
    <row r="35" spans="1:5" ht="10.5">
      <c r="A35" s="16"/>
      <c r="B35" s="8"/>
      <c r="C35" s="19"/>
      <c r="D35" s="19"/>
      <c r="E35" s="20"/>
    </row>
    <row r="36" spans="3:5" ht="10.5">
      <c r="C36" s="19"/>
      <c r="D36" s="19"/>
      <c r="E36" s="20"/>
    </row>
    <row r="37" spans="1:13" ht="10.5">
      <c r="A37" s="16" t="s">
        <v>27</v>
      </c>
      <c r="B37" s="8" t="s">
        <v>28</v>
      </c>
      <c r="C37" s="19">
        <f>C31</f>
        <v>475368.61999999994</v>
      </c>
      <c r="D37" s="19">
        <f>D31</f>
        <v>12202681.066913197</v>
      </c>
      <c r="E37" s="20">
        <f aca="true" t="shared" si="0" ref="E37:E43">IF((D37=0),0,(IF((C37=0),0,(D37/C37))))</f>
        <v>25.669933928144435</v>
      </c>
      <c r="G37" s="44"/>
      <c r="K37" s="35"/>
      <c r="L37" s="35"/>
      <c r="M37" s="35"/>
    </row>
    <row r="38" spans="1:13" ht="11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1.25" thickBot="1">
      <c r="A39" s="28" t="s">
        <v>31</v>
      </c>
      <c r="B39" s="29" t="s">
        <v>32</v>
      </c>
      <c r="C39" s="30">
        <f>SUM(C37:C38)</f>
        <v>475368.61999999994</v>
      </c>
      <c r="D39" s="30">
        <f>SUM(D37:D38)</f>
        <v>12202681.066913197</v>
      </c>
      <c r="E39" s="31">
        <f t="shared" si="0"/>
        <v>25.669933928144435</v>
      </c>
      <c r="K39" s="35"/>
      <c r="L39" s="35"/>
      <c r="M39" s="35"/>
    </row>
    <row r="40" spans="1:13" ht="10.5">
      <c r="A40" s="16" t="s">
        <v>33</v>
      </c>
      <c r="B40" s="18" t="s">
        <v>45</v>
      </c>
      <c r="C40" s="26">
        <v>-235.29</v>
      </c>
      <c r="D40" s="19">
        <v>-6248.83</v>
      </c>
      <c r="E40" s="20">
        <f t="shared" si="0"/>
        <v>26.557992264864637</v>
      </c>
      <c r="K40" s="35"/>
      <c r="L40" s="35"/>
      <c r="M40" s="35"/>
    </row>
    <row r="41" spans="1:13" ht="10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1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1.25" thickBot="1">
      <c r="A43" s="28" t="s">
        <v>39</v>
      </c>
      <c r="B43" s="29" t="s">
        <v>40</v>
      </c>
      <c r="C43" s="33">
        <f>SUM(C39:C42)</f>
        <v>475133.32999999996</v>
      </c>
      <c r="D43" s="33">
        <f>SUM(D39:D42)</f>
        <v>12196432.236913197</v>
      </c>
      <c r="E43" s="34">
        <f t="shared" si="0"/>
        <v>25.66949415422656</v>
      </c>
      <c r="K43" s="35"/>
      <c r="L43" s="35"/>
      <c r="M43" s="35"/>
    </row>
    <row r="44" spans="1:5" ht="12.75">
      <c r="A44" s="36" t="s">
        <v>4</v>
      </c>
      <c r="B44" s="37" t="s">
        <v>4</v>
      </c>
      <c r="C44" s="37"/>
      <c r="D44" s="37"/>
      <c r="E44" s="37"/>
    </row>
    <row r="45" spans="1:5" ht="14.25">
      <c r="A45"/>
      <c r="B45" s="38" t="s">
        <v>4</v>
      </c>
      <c r="C45"/>
      <c r="D45"/>
      <c r="E45"/>
    </row>
    <row r="46" spans="2:5" ht="10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D29" sqref="D29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January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+'[3]INPUT SHEET'!B1</f>
        <v>January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88</v>
      </c>
      <c r="C11" s="55" t="s">
        <v>53</v>
      </c>
      <c r="D11" s="24">
        <v>361369</v>
      </c>
      <c r="E11" s="19">
        <v>12500079.649999999</v>
      </c>
      <c r="F11" s="20">
        <v>34.590901958939476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89</v>
      </c>
      <c r="C12" s="55"/>
      <c r="D12" s="24">
        <f>137871+119307</f>
        <v>257178</v>
      </c>
      <c r="E12" s="19">
        <f>3161178+2840504</f>
        <v>6001682</v>
      </c>
      <c r="F12" s="20">
        <f>E12/D12</f>
        <v>23.336685097481123</v>
      </c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618547</v>
      </c>
      <c r="E13" s="19">
        <f>SUM(E11:E12)</f>
        <v>18501761.65</v>
      </c>
      <c r="F13" s="20">
        <f>IF((E13=0),0,(IF((D13=0),0,(E13/D13))))</f>
        <v>29.9116504485512</v>
      </c>
      <c r="G13" s="47"/>
      <c r="H13" s="47"/>
      <c r="I13" s="47"/>
      <c r="J13" s="47"/>
      <c r="K13" s="47"/>
      <c r="L13" s="47"/>
      <c r="M13" s="47"/>
      <c r="N13" s="47"/>
      <c r="O13" s="58">
        <v>361369</v>
      </c>
    </row>
    <row r="14" spans="2:15" ht="13.5">
      <c r="B14" s="3"/>
      <c r="C14" s="46"/>
      <c r="D14" s="19"/>
      <c r="E14" s="19"/>
      <c r="F14" s="20"/>
      <c r="G14" s="57" t="s">
        <v>13</v>
      </c>
      <c r="H14" s="47" t="s">
        <v>56</v>
      </c>
      <c r="I14" s="47"/>
      <c r="J14" s="47"/>
      <c r="K14" s="47"/>
      <c r="L14" s="47"/>
      <c r="M14" s="47"/>
      <c r="N14" s="47"/>
      <c r="O14" s="58"/>
    </row>
    <row r="15" spans="1:15" ht="13.5">
      <c r="A15" s="16" t="s">
        <v>13</v>
      </c>
      <c r="B15" s="17" t="s">
        <v>14</v>
      </c>
      <c r="C15" s="46"/>
      <c r="D15" s="19"/>
      <c r="E15" s="19"/>
      <c r="F15" s="20"/>
      <c r="G15" s="47"/>
      <c r="H15" s="47" t="s">
        <v>57</v>
      </c>
      <c r="I15" s="47" t="s">
        <v>58</v>
      </c>
      <c r="J15" s="47"/>
      <c r="K15" s="47"/>
      <c r="L15" s="47"/>
      <c r="M15" s="47"/>
      <c r="N15" s="47"/>
      <c r="O15" s="58" t="s">
        <v>4</v>
      </c>
    </row>
    <row r="16" spans="1:15" ht="13.5">
      <c r="A16" s="6"/>
      <c r="B16" s="8" t="s">
        <v>59</v>
      </c>
      <c r="C16" s="55" t="s">
        <v>60</v>
      </c>
      <c r="D16" s="19">
        <v>253250.454</v>
      </c>
      <c r="E16" s="19">
        <v>5534224.632</v>
      </c>
      <c r="F16" s="20">
        <v>21.852772797003556</v>
      </c>
      <c r="G16" s="47"/>
      <c r="H16" s="47"/>
      <c r="I16" s="57" t="s">
        <v>10</v>
      </c>
      <c r="J16" s="47" t="s">
        <v>61</v>
      </c>
      <c r="K16" s="47"/>
      <c r="L16" s="47"/>
      <c r="M16" s="47"/>
      <c r="N16" s="47"/>
      <c r="O16" s="19">
        <v>257178</v>
      </c>
    </row>
    <row r="17" spans="2:15" ht="13.5">
      <c r="B17" s="8" t="s">
        <v>62</v>
      </c>
      <c r="C17" s="55" t="s">
        <v>63</v>
      </c>
      <c r="D17" s="19">
        <v>32671.794</v>
      </c>
      <c r="E17" s="19">
        <v>1273881.54</v>
      </c>
      <c r="F17" s="20">
        <v>38.99025379506249</v>
      </c>
      <c r="G17" s="47"/>
      <c r="H17" s="47"/>
      <c r="I17" s="57" t="s">
        <v>13</v>
      </c>
      <c r="J17" s="47" t="s">
        <v>64</v>
      </c>
      <c r="K17" s="47"/>
      <c r="L17" s="47"/>
      <c r="M17" s="47"/>
      <c r="N17" s="47"/>
      <c r="O17" s="19">
        <v>32671.794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 t="s">
        <v>67</v>
      </c>
      <c r="I18" s="47" t="s">
        <v>68</v>
      </c>
      <c r="J18" s="47"/>
      <c r="K18" s="47"/>
      <c r="L18" s="47"/>
      <c r="M18" s="47"/>
      <c r="N18" s="47"/>
      <c r="O18" s="58">
        <v>0</v>
      </c>
    </row>
    <row r="19" spans="2:15" ht="13.5">
      <c r="B19" s="23" t="s">
        <v>12</v>
      </c>
      <c r="C19" s="46"/>
      <c r="D19" s="19">
        <f>SUM(D16:D18)</f>
        <v>285922.248</v>
      </c>
      <c r="E19" s="24">
        <f>SUM(E16:E18)</f>
        <v>6808106.172</v>
      </c>
      <c r="F19" s="20">
        <f>IF((E19=0),0,(IF((D19=0),0,(E19/D19))))</f>
        <v>23.811040307713306</v>
      </c>
      <c r="G19" s="47"/>
      <c r="H19" s="47" t="s">
        <v>69</v>
      </c>
      <c r="I19" s="47" t="s">
        <v>70</v>
      </c>
      <c r="J19" s="47"/>
      <c r="K19" s="47"/>
      <c r="L19" s="47"/>
      <c r="M19" s="47"/>
      <c r="N19" s="47"/>
      <c r="O19" s="19">
        <v>401285.529</v>
      </c>
    </row>
    <row r="20" spans="2:15" ht="13.5">
      <c r="B20" s="3"/>
      <c r="C20" s="46"/>
      <c r="D20" s="19"/>
      <c r="E20" s="19"/>
      <c r="F20" s="20"/>
      <c r="G20" s="47"/>
      <c r="H20" s="47" t="s">
        <v>71</v>
      </c>
      <c r="I20" s="47" t="s">
        <v>72</v>
      </c>
      <c r="J20" s="47"/>
      <c r="K20" s="47"/>
      <c r="L20" s="47"/>
      <c r="M20" s="47"/>
      <c r="N20" s="47"/>
      <c r="O20" s="19">
        <v>0</v>
      </c>
    </row>
    <row r="21" spans="1:15" ht="13.5">
      <c r="A21" s="16" t="s">
        <v>16</v>
      </c>
      <c r="B21" s="17" t="s">
        <v>17</v>
      </c>
      <c r="C21" s="46"/>
      <c r="D21" s="19">
        <f>D13+D19</f>
        <v>904469.248</v>
      </c>
      <c r="E21" s="19">
        <f>E13+E19</f>
        <v>25309867.821999997</v>
      </c>
      <c r="F21" s="20">
        <f>IF((E21=0),0,(IF((D21=0),0,(E21/D21))))</f>
        <v>27.983115930106223</v>
      </c>
      <c r="G21" s="47"/>
      <c r="H21" s="47"/>
      <c r="I21" s="47"/>
      <c r="J21" s="49" t="s">
        <v>73</v>
      </c>
      <c r="K21" s="47"/>
      <c r="L21" s="47"/>
      <c r="M21" s="47"/>
      <c r="N21" s="47"/>
      <c r="O21" s="58">
        <f>SUM(O16:O20)</f>
        <v>691135.323</v>
      </c>
    </row>
    <row r="22" spans="2:15" ht="13.5">
      <c r="B22" s="3"/>
      <c r="C22" s="46"/>
      <c r="D22" s="19"/>
      <c r="E22" s="19"/>
      <c r="F22" s="20"/>
      <c r="G22" s="47"/>
      <c r="H22" s="47"/>
      <c r="I22" s="47"/>
      <c r="J22" s="47"/>
      <c r="K22" s="47"/>
      <c r="L22" s="47"/>
      <c r="M22" s="47"/>
      <c r="N22" s="47"/>
      <c r="O22" s="58"/>
    </row>
    <row r="23" spans="2:15" ht="13.5">
      <c r="B23" s="12" t="s">
        <v>18</v>
      </c>
      <c r="C23" s="52"/>
      <c r="D23" s="19"/>
      <c r="E23" s="24">
        <f>E12+E19</f>
        <v>12809788.172</v>
      </c>
      <c r="F23" s="20"/>
      <c r="G23" s="57" t="s">
        <v>16</v>
      </c>
      <c r="H23" s="47" t="s">
        <v>74</v>
      </c>
      <c r="I23" s="47"/>
      <c r="J23" s="47"/>
      <c r="K23" s="47"/>
      <c r="L23" s="47"/>
      <c r="M23" s="47"/>
      <c r="N23" s="47"/>
      <c r="O23" s="58">
        <v>1052504</v>
      </c>
    </row>
    <row r="24" spans="2:15" ht="13.5">
      <c r="B24" s="12"/>
      <c r="C24" s="52"/>
      <c r="D24" s="19"/>
      <c r="E24" s="19"/>
      <c r="F24" s="20"/>
      <c r="G24" s="47"/>
      <c r="H24" s="47"/>
      <c r="I24" s="47"/>
      <c r="J24" s="47"/>
      <c r="K24" s="47"/>
      <c r="L24" s="47"/>
      <c r="M24" s="47"/>
      <c r="N24" s="47"/>
      <c r="O24" s="58"/>
    </row>
    <row r="25" spans="1:15" ht="13.5">
      <c r="A25" s="16" t="s">
        <v>19</v>
      </c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2:15" ht="13.5">
      <c r="B26" s="8" t="s">
        <v>90</v>
      </c>
      <c r="C26" s="55" t="s">
        <v>60</v>
      </c>
      <c r="D26" s="19">
        <v>4183.678</v>
      </c>
      <c r="E26" s="19">
        <v>125142.179</v>
      </c>
      <c r="F26" s="20">
        <v>29.912000636760286</v>
      </c>
      <c r="G26" s="54" t="s">
        <v>75</v>
      </c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89</v>
      </c>
      <c r="C27" s="55"/>
      <c r="D27" s="19">
        <f>31607+26541</f>
        <v>58148</v>
      </c>
      <c r="E27" s="19">
        <f>671510+569432</f>
        <v>1240942</v>
      </c>
      <c r="F27" s="20">
        <f>E27/D27</f>
        <v>21.34109513654812</v>
      </c>
      <c r="G27" s="54"/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30438.222999999998</v>
      </c>
      <c r="E28" s="19">
        <v>1226173.28</v>
      </c>
      <c r="F28" s="20">
        <v>40.28399686801691</v>
      </c>
      <c r="G28" s="47"/>
      <c r="H28" s="47" t="s">
        <v>57</v>
      </c>
      <c r="I28" s="47" t="s">
        <v>68</v>
      </c>
      <c r="J28" s="47"/>
      <c r="K28" s="47"/>
      <c r="L28" s="47"/>
      <c r="M28" s="47"/>
      <c r="N28" s="47"/>
      <c r="O28" s="58">
        <v>0</v>
      </c>
    </row>
    <row r="29" spans="2:15" ht="13.5">
      <c r="B29" s="8" t="s">
        <v>78</v>
      </c>
      <c r="C29" s="55" t="s">
        <v>76</v>
      </c>
      <c r="D29" s="19">
        <v>112061.47800000012</v>
      </c>
      <c r="E29" s="19">
        <v>2935644.1420000005</v>
      </c>
      <c r="F29" s="20">
        <v>26.19672874562655</v>
      </c>
      <c r="G29" s="47"/>
      <c r="H29" s="47" t="s">
        <v>67</v>
      </c>
      <c r="I29" s="47" t="s">
        <v>70</v>
      </c>
      <c r="J29" s="47"/>
      <c r="K29" s="47"/>
      <c r="L29" s="47"/>
      <c r="M29" s="47"/>
      <c r="N29" s="47"/>
      <c r="O29" s="19">
        <v>164039.33299999998</v>
      </c>
    </row>
    <row r="30" spans="2:15" ht="13.5">
      <c r="B30" s="8" t="s">
        <v>65</v>
      </c>
      <c r="C30" s="55" t="s">
        <v>66</v>
      </c>
      <c r="D30" s="19">
        <v>161.197</v>
      </c>
      <c r="E30" s="19">
        <v>4634.792</v>
      </c>
      <c r="F30" s="20">
        <v>28.75234650768935</v>
      </c>
      <c r="G30" s="47"/>
      <c r="H30" s="47" t="s">
        <v>69</v>
      </c>
      <c r="I30" s="47" t="s">
        <v>79</v>
      </c>
      <c r="J30" s="47"/>
      <c r="K30" s="47"/>
      <c r="L30" s="47"/>
      <c r="M30" s="47"/>
      <c r="N30" s="47"/>
      <c r="O30" s="59">
        <v>188825.49999999997</v>
      </c>
    </row>
    <row r="31" spans="2:15" ht="13.5">
      <c r="B31" s="23" t="s">
        <v>12</v>
      </c>
      <c r="C31" s="46"/>
      <c r="D31" s="19">
        <f>SUM(D26:D30)</f>
        <v>204992.57600000012</v>
      </c>
      <c r="E31" s="19">
        <f>SUM(E26:E30)</f>
        <v>5532536.393</v>
      </c>
      <c r="F31" s="20">
        <f>IF((E31=0),0,(IF((D31=0),0,(E31/D31))))</f>
        <v>26.98895980018319</v>
      </c>
      <c r="G31" s="47"/>
      <c r="H31" s="47" t="s">
        <v>71</v>
      </c>
      <c r="I31" s="47" t="s">
        <v>72</v>
      </c>
      <c r="J31" s="47"/>
      <c r="K31" s="47"/>
      <c r="L31" s="47"/>
      <c r="M31" s="47"/>
      <c r="N31" s="47"/>
      <c r="O31" s="19">
        <v>161.197</v>
      </c>
    </row>
    <row r="32" spans="2:15" ht="13.5">
      <c r="B32" s="3"/>
      <c r="C32" s="46"/>
      <c r="D32" s="19"/>
      <c r="E32" s="19"/>
      <c r="F32" s="20"/>
      <c r="G32" s="47"/>
      <c r="H32" s="47"/>
      <c r="I32" s="47"/>
      <c r="J32" s="49" t="s">
        <v>80</v>
      </c>
      <c r="K32" s="47"/>
      <c r="L32" s="47"/>
      <c r="M32" s="47"/>
      <c r="N32" s="47"/>
      <c r="O32" s="58">
        <f>SUM(O28:O31)</f>
        <v>353026.02999999997</v>
      </c>
    </row>
    <row r="33" spans="1:15" ht="13.5">
      <c r="A33" s="16" t="s">
        <v>23</v>
      </c>
      <c r="B33" s="17" t="s">
        <v>24</v>
      </c>
      <c r="C33" s="46"/>
      <c r="D33" s="19">
        <f>D21-D31</f>
        <v>699476.6719999999</v>
      </c>
      <c r="E33" s="19">
        <f>E21-E31</f>
        <v>19777331.428999998</v>
      </c>
      <c r="F33" s="20">
        <f>IF((E33=0),0,(IF((D33=0),0,(E33/D33))))</f>
        <v>28.274468928965227</v>
      </c>
      <c r="G33" s="47"/>
      <c r="H33" s="47"/>
      <c r="I33" s="47"/>
      <c r="J33" s="47"/>
      <c r="K33" s="47"/>
      <c r="L33" s="47"/>
      <c r="M33" s="47"/>
      <c r="N33" s="47"/>
      <c r="O33" s="58"/>
    </row>
    <row r="34" spans="2:15" ht="13.5">
      <c r="B34" s="3"/>
      <c r="C34" s="46"/>
      <c r="D34" s="19"/>
      <c r="E34" s="19"/>
      <c r="F34" s="20"/>
      <c r="G34" s="57" t="s">
        <v>23</v>
      </c>
      <c r="H34" s="47" t="s">
        <v>81</v>
      </c>
      <c r="I34" s="47"/>
      <c r="J34" s="47"/>
      <c r="K34" s="47"/>
      <c r="L34" s="47"/>
      <c r="M34" s="47"/>
      <c r="N34" s="47"/>
      <c r="O34" s="58">
        <f>+O23-O32</f>
        <v>699477.97</v>
      </c>
    </row>
    <row r="35" spans="1:15" ht="13.5">
      <c r="A35" s="16" t="s">
        <v>25</v>
      </c>
      <c r="B35" s="17" t="s">
        <v>26</v>
      </c>
      <c r="C35" s="46"/>
      <c r="D35" s="19">
        <f>+D31+D33</f>
        <v>904469.248</v>
      </c>
      <c r="E35" s="19">
        <f>+E31+E33</f>
        <v>25309867.821999997</v>
      </c>
      <c r="F35" s="20">
        <f>IF((E35=0),0,(IF((D35=0),0,(E35/D35))))</f>
        <v>27.983115930106223</v>
      </c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3.5">
      <c r="A36" s="16"/>
      <c r="B36" s="8"/>
      <c r="C36" s="46"/>
      <c r="D36" s="19"/>
      <c r="E36" s="19"/>
      <c r="F36" s="20"/>
      <c r="G36" s="57" t="s">
        <v>82</v>
      </c>
      <c r="H36" s="47" t="s">
        <v>83</v>
      </c>
      <c r="I36" s="47"/>
      <c r="J36" s="47"/>
      <c r="K36" s="47"/>
      <c r="L36" s="47"/>
      <c r="M36" s="47"/>
      <c r="N36" s="47" t="s">
        <v>4</v>
      </c>
      <c r="O36" s="58">
        <f>O32+O34</f>
        <v>1052504</v>
      </c>
    </row>
    <row r="37" spans="1:15" ht="13.5">
      <c r="A37" s="16"/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60" t="s">
        <v>4</v>
      </c>
      <c r="O37" s="61" t="s">
        <v>4</v>
      </c>
    </row>
    <row r="38" spans="4:15" ht="13.5">
      <c r="D38" s="19"/>
      <c r="E38" s="19"/>
      <c r="F38" s="20"/>
      <c r="G38" s="47" t="s">
        <v>84</v>
      </c>
      <c r="H38" s="62" t="s">
        <v>85</v>
      </c>
      <c r="I38" s="47"/>
      <c r="J38" s="47"/>
      <c r="K38" s="47"/>
      <c r="L38" s="47"/>
      <c r="M38" s="47"/>
      <c r="N38" s="61" t="s">
        <v>4</v>
      </c>
      <c r="O38" s="58" t="s">
        <v>4</v>
      </c>
    </row>
    <row r="39" spans="1:6" ht="13.5">
      <c r="A39" s="16" t="s">
        <v>27</v>
      </c>
      <c r="B39" s="8" t="s">
        <v>28</v>
      </c>
      <c r="C39" s="46"/>
      <c r="D39" s="63">
        <f>D21-D31</f>
        <v>699476.6719999999</v>
      </c>
      <c r="E39" s="63">
        <f>E21-E31</f>
        <v>19777331.428999998</v>
      </c>
      <c r="F39" s="64">
        <f aca="true" t="shared" si="0" ref="F39:F45">IF((E39=0),0,(IF((D39=0),0,(E39/D39))))</f>
        <v>28.274468928965227</v>
      </c>
    </row>
    <row r="40" spans="1:6" ht="13.5">
      <c r="A40" s="16" t="s">
        <v>29</v>
      </c>
      <c r="B40" s="8" t="s">
        <v>86</v>
      </c>
      <c r="C40" s="46"/>
      <c r="D40" s="19">
        <f>D41-D39</f>
        <v>1.2980000000679865</v>
      </c>
      <c r="E40" s="19">
        <v>0</v>
      </c>
      <c r="F40" s="20">
        <f t="shared" si="0"/>
        <v>0</v>
      </c>
    </row>
    <row r="41" spans="1:6" ht="13.5">
      <c r="A41" s="16" t="s">
        <v>31</v>
      </c>
      <c r="B41" s="8" t="s">
        <v>32</v>
      </c>
      <c r="C41" s="46"/>
      <c r="D41" s="19">
        <f>D45-D44</f>
        <v>699477.97</v>
      </c>
      <c r="E41" s="19">
        <f>(SUM(E39))+E40</f>
        <v>19777331.428999998</v>
      </c>
      <c r="F41" s="20">
        <f t="shared" si="0"/>
        <v>28.27441646089297</v>
      </c>
    </row>
    <row r="42" spans="1:6" ht="13.5">
      <c r="A42" s="71" t="s">
        <v>33</v>
      </c>
      <c r="B42" s="72" t="s">
        <v>34</v>
      </c>
      <c r="C42" s="73"/>
      <c r="D42" s="74">
        <v>-3843.1049285999998</v>
      </c>
      <c r="E42" s="74">
        <v>-98744.73803544839</v>
      </c>
      <c r="F42" s="20">
        <f t="shared" si="0"/>
        <v>25.694</v>
      </c>
    </row>
    <row r="43" spans="1:6" ht="13.5">
      <c r="A43" s="71" t="s">
        <v>35</v>
      </c>
      <c r="B43" s="72" t="s">
        <v>36</v>
      </c>
      <c r="C43" s="73"/>
      <c r="D43" s="74">
        <v>3843.1049285999998</v>
      </c>
      <c r="E43" s="74">
        <v>98744.73803544839</v>
      </c>
      <c r="F43" s="20">
        <f t="shared" si="0"/>
        <v>25.694</v>
      </c>
    </row>
    <row r="44" spans="1:6" ht="13.5">
      <c r="A44" s="16" t="s">
        <v>37</v>
      </c>
      <c r="B44" s="8" t="s">
        <v>38</v>
      </c>
      <c r="C44" s="46"/>
      <c r="D44" s="19">
        <v>0</v>
      </c>
      <c r="E44" s="19">
        <v>0</v>
      </c>
      <c r="F44" s="20">
        <f t="shared" si="0"/>
        <v>0</v>
      </c>
    </row>
    <row r="45" spans="1:11" ht="13.5">
      <c r="A45" s="16" t="s">
        <v>39</v>
      </c>
      <c r="B45" s="8" t="s">
        <v>40</v>
      </c>
      <c r="C45" s="55" t="s">
        <v>87</v>
      </c>
      <c r="D45" s="19">
        <v>699477.97</v>
      </c>
      <c r="E45" s="26">
        <f>SUM(E41:E44)</f>
        <v>19777331.428999998</v>
      </c>
      <c r="F45" s="65">
        <f t="shared" si="0"/>
        <v>28.27441646089297</v>
      </c>
      <c r="G45" s="37"/>
      <c r="H45" s="37"/>
      <c r="I45" s="37"/>
      <c r="J45" s="37"/>
      <c r="K45" s="37"/>
    </row>
    <row r="46" spans="1:11" ht="14.25">
      <c r="A46" s="36" t="s">
        <v>4</v>
      </c>
      <c r="B46" s="37" t="s">
        <v>4</v>
      </c>
      <c r="C46" s="37"/>
      <c r="D46" s="37"/>
      <c r="E46" s="37"/>
      <c r="F46" s="37"/>
      <c r="G46" s="66" t="s">
        <v>4</v>
      </c>
      <c r="H46" s="67"/>
      <c r="I46" s="67" t="s">
        <v>4</v>
      </c>
      <c r="J46" s="67"/>
      <c r="K46"/>
    </row>
    <row r="47" spans="1:6" ht="14.25">
      <c r="A47"/>
      <c r="B47" s="38" t="s">
        <v>4</v>
      </c>
      <c r="C47"/>
      <c r="D47"/>
      <c r="E47"/>
      <c r="F47"/>
    </row>
    <row r="48" spans="2:6" ht="10.5">
      <c r="B48" s="3"/>
      <c r="C48" s="46"/>
      <c r="D48" s="19"/>
      <c r="E48" s="19"/>
      <c r="F48" s="39"/>
    </row>
    <row r="51" spans="2:8" ht="14.25">
      <c r="B51"/>
      <c r="C51"/>
      <c r="D51"/>
      <c r="E51"/>
      <c r="F51"/>
      <c r="G51"/>
      <c r="H51"/>
    </row>
    <row r="52" spans="2:8" ht="14.25">
      <c r="B52"/>
      <c r="C52"/>
      <c r="D52"/>
      <c r="E52"/>
      <c r="F52"/>
      <c r="G52"/>
      <c r="H52"/>
    </row>
    <row r="53" spans="2:8" ht="14.25">
      <c r="B53"/>
      <c r="C53"/>
      <c r="D53"/>
      <c r="E53"/>
      <c r="F53"/>
      <c r="G53"/>
      <c r="H53"/>
    </row>
    <row r="54" spans="2:8" ht="14.25">
      <c r="B54"/>
      <c r="C54"/>
      <c r="D54"/>
      <c r="E54"/>
      <c r="F54"/>
      <c r="G54"/>
      <c r="H54"/>
    </row>
    <row r="55" spans="2:8" ht="14.25">
      <c r="B55"/>
      <c r="C55"/>
      <c r="D55"/>
      <c r="E55"/>
      <c r="F55"/>
      <c r="G55"/>
      <c r="H55"/>
    </row>
    <row r="56" spans="2:8" ht="14.25">
      <c r="B56"/>
      <c r="C56"/>
      <c r="D56"/>
      <c r="E56"/>
      <c r="F56"/>
      <c r="G56"/>
      <c r="H56"/>
    </row>
    <row r="57" spans="2:8" ht="14.25">
      <c r="B57"/>
      <c r="C57"/>
      <c r="D57"/>
      <c r="E57"/>
      <c r="F57"/>
      <c r="G57"/>
      <c r="H57"/>
    </row>
    <row r="58" spans="2:8" ht="14.25">
      <c r="B58"/>
      <c r="C58"/>
      <c r="D58"/>
      <c r="E58"/>
      <c r="F58"/>
      <c r="G58"/>
      <c r="H58"/>
    </row>
    <row r="59" ht="10.5">
      <c r="B59" s="6" t="s">
        <v>4</v>
      </c>
    </row>
    <row r="60" ht="10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4">
      <selection activeCell="D16" sqref="D16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February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">
        <v>91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88</v>
      </c>
      <c r="C11" s="55" t="s">
        <v>53</v>
      </c>
      <c r="D11" s="24">
        <v>408907</v>
      </c>
      <c r="E11" s="19">
        <v>14357766.07</v>
      </c>
      <c r="F11" s="20">
        <v>35.11254654481337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89</v>
      </c>
      <c r="C12" s="55"/>
      <c r="D12" s="24">
        <f>114786+4958</f>
        <v>119744</v>
      </c>
      <c r="E12" s="19">
        <f>2785894+153727</f>
        <v>2939621</v>
      </c>
      <c r="F12" s="20">
        <f>E12/D12</f>
        <v>24.549213321753072</v>
      </c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528651</v>
      </c>
      <c r="E13" s="19">
        <f>SUM(E11:E12)</f>
        <v>17297387.07</v>
      </c>
      <c r="F13" s="20">
        <f>IF((E13=0),0,(IF((D13=0),0,(E13/D13))))</f>
        <v>32.719860683134996</v>
      </c>
      <c r="G13" s="47"/>
      <c r="H13" s="47"/>
      <c r="I13" s="47"/>
      <c r="J13" s="47"/>
      <c r="K13" s="47"/>
      <c r="L13" s="47"/>
      <c r="M13" s="47"/>
      <c r="N13" s="47"/>
      <c r="O13" s="58">
        <v>408907</v>
      </c>
    </row>
    <row r="14" spans="2:15" ht="13.5">
      <c r="B14" s="3"/>
      <c r="C14" s="46"/>
      <c r="D14" s="19"/>
      <c r="E14" s="19"/>
      <c r="F14" s="20"/>
      <c r="G14" s="57" t="s">
        <v>13</v>
      </c>
      <c r="H14" s="47" t="s">
        <v>56</v>
      </c>
      <c r="I14" s="47"/>
      <c r="J14" s="47"/>
      <c r="K14" s="47"/>
      <c r="L14" s="47"/>
      <c r="M14" s="47"/>
      <c r="N14" s="47"/>
      <c r="O14" s="58"/>
    </row>
    <row r="15" spans="1:15" ht="13.5">
      <c r="A15" s="16" t="s">
        <v>13</v>
      </c>
      <c r="B15" s="17" t="s">
        <v>14</v>
      </c>
      <c r="C15" s="46"/>
      <c r="D15" s="19"/>
      <c r="E15" s="19"/>
      <c r="F15" s="20"/>
      <c r="G15" s="47"/>
      <c r="H15" s="47" t="s">
        <v>57</v>
      </c>
      <c r="I15" s="47" t="s">
        <v>58</v>
      </c>
      <c r="J15" s="47"/>
      <c r="K15" s="47"/>
      <c r="L15" s="47"/>
      <c r="M15" s="47"/>
      <c r="N15" s="47"/>
      <c r="O15" s="58" t="s">
        <v>4</v>
      </c>
    </row>
    <row r="16" spans="1:15" ht="13.5">
      <c r="A16" s="6"/>
      <c r="B16" s="8" t="s">
        <v>59</v>
      </c>
      <c r="C16" s="55" t="s">
        <v>60</v>
      </c>
      <c r="D16" s="19">
        <v>210119.107</v>
      </c>
      <c r="E16" s="19">
        <v>4598873.431</v>
      </c>
      <c r="F16" s="20">
        <v>21.886983514545395</v>
      </c>
      <c r="G16" s="47"/>
      <c r="H16" s="47"/>
      <c r="I16" s="57" t="s">
        <v>10</v>
      </c>
      <c r="J16" s="47" t="s">
        <v>61</v>
      </c>
      <c r="K16" s="47"/>
      <c r="L16" s="47"/>
      <c r="M16" s="47"/>
      <c r="N16" s="47"/>
      <c r="O16" s="19">
        <v>119745</v>
      </c>
    </row>
    <row r="17" spans="2:15" ht="13.5">
      <c r="B17" s="8" t="s">
        <v>62</v>
      </c>
      <c r="C17" s="55" t="s">
        <v>63</v>
      </c>
      <c r="D17" s="19">
        <v>25731.873999999996</v>
      </c>
      <c r="E17" s="19">
        <v>908077.46</v>
      </c>
      <c r="F17" s="20">
        <v>35.28998548648264</v>
      </c>
      <c r="G17" s="47"/>
      <c r="H17" s="47"/>
      <c r="I17" s="57" t="s">
        <v>13</v>
      </c>
      <c r="J17" s="47" t="s">
        <v>64</v>
      </c>
      <c r="K17" s="47"/>
      <c r="L17" s="47"/>
      <c r="M17" s="47"/>
      <c r="N17" s="47"/>
      <c r="O17" s="19">
        <v>25732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 t="s">
        <v>67</v>
      </c>
      <c r="I18" s="47" t="s">
        <v>68</v>
      </c>
      <c r="J18" s="47"/>
      <c r="K18" s="47"/>
      <c r="L18" s="47"/>
      <c r="M18" s="47"/>
      <c r="N18" s="47"/>
      <c r="O18" s="58">
        <v>0</v>
      </c>
    </row>
    <row r="19" spans="2:15" ht="13.5">
      <c r="B19" s="23" t="s">
        <v>12</v>
      </c>
      <c r="C19" s="46"/>
      <c r="D19" s="19">
        <f>SUM(D16:D18)</f>
        <v>235850.98099999997</v>
      </c>
      <c r="E19" s="24">
        <f>SUM(E16:E18)</f>
        <v>5506950.891</v>
      </c>
      <c r="F19" s="20">
        <f>IF((E19=0),0,(IF((D19=0),0,(E19/D19))))</f>
        <v>23.34928126078051</v>
      </c>
      <c r="G19" s="47"/>
      <c r="H19" s="47" t="s">
        <v>69</v>
      </c>
      <c r="I19" s="47" t="s">
        <v>70</v>
      </c>
      <c r="J19" s="47"/>
      <c r="K19" s="47"/>
      <c r="L19" s="47"/>
      <c r="M19" s="47"/>
      <c r="N19" s="47"/>
      <c r="O19" s="19">
        <v>317733</v>
      </c>
    </row>
    <row r="20" spans="2:15" ht="13.5">
      <c r="B20" s="3"/>
      <c r="C20" s="46"/>
      <c r="D20" s="19"/>
      <c r="E20" s="19"/>
      <c r="F20" s="20"/>
      <c r="G20" s="47"/>
      <c r="H20" s="47" t="s">
        <v>71</v>
      </c>
      <c r="I20" s="47" t="s">
        <v>72</v>
      </c>
      <c r="J20" s="47"/>
      <c r="K20" s="47"/>
      <c r="L20" s="47"/>
      <c r="M20" s="47"/>
      <c r="N20" s="47"/>
      <c r="O20" s="19">
        <v>0</v>
      </c>
    </row>
    <row r="21" spans="1:15" ht="13.5">
      <c r="A21" s="16" t="s">
        <v>16</v>
      </c>
      <c r="B21" s="17" t="s">
        <v>17</v>
      </c>
      <c r="C21" s="46"/>
      <c r="D21" s="19">
        <f>D13+D19</f>
        <v>764501.9809999999</v>
      </c>
      <c r="E21" s="19">
        <f>E13+E19</f>
        <v>22804337.961</v>
      </c>
      <c r="F21" s="20">
        <f>IF((E21=0),0,(IF((D21=0),0,(E21/D21))))</f>
        <v>29.829010947978173</v>
      </c>
      <c r="G21" s="47"/>
      <c r="H21" s="47"/>
      <c r="I21" s="47"/>
      <c r="J21" s="49" t="s">
        <v>73</v>
      </c>
      <c r="K21" s="47"/>
      <c r="L21" s="47"/>
      <c r="M21" s="47"/>
      <c r="N21" s="47"/>
      <c r="O21" s="58">
        <v>463210</v>
      </c>
    </row>
    <row r="22" spans="2:15" ht="13.5">
      <c r="B22" s="3"/>
      <c r="C22" s="46"/>
      <c r="D22" s="19"/>
      <c r="E22" s="19"/>
      <c r="F22" s="20"/>
      <c r="G22" s="47"/>
      <c r="H22" s="47"/>
      <c r="I22" s="47"/>
      <c r="J22" s="47"/>
      <c r="K22" s="47"/>
      <c r="L22" s="47"/>
      <c r="M22" s="47"/>
      <c r="N22" s="47"/>
      <c r="O22" s="58"/>
    </row>
    <row r="23" spans="2:15" ht="13.5">
      <c r="B23" s="12" t="s">
        <v>18</v>
      </c>
      <c r="C23" s="52"/>
      <c r="D23" s="19"/>
      <c r="E23" s="24">
        <f>E12+E19</f>
        <v>8446571.890999999</v>
      </c>
      <c r="F23" s="20"/>
      <c r="G23" s="57" t="s">
        <v>16</v>
      </c>
      <c r="H23" s="47" t="s">
        <v>74</v>
      </c>
      <c r="I23" s="47"/>
      <c r="J23" s="47"/>
      <c r="K23" s="47"/>
      <c r="L23" s="47"/>
      <c r="M23" s="47"/>
      <c r="N23" s="47"/>
      <c r="O23" s="58">
        <v>872117</v>
      </c>
    </row>
    <row r="24" spans="2:15" ht="13.5">
      <c r="B24" s="12"/>
      <c r="C24" s="52"/>
      <c r="D24" s="19"/>
      <c r="E24" s="19"/>
      <c r="F24" s="20"/>
      <c r="G24" s="47"/>
      <c r="H24" s="47"/>
      <c r="I24" s="47"/>
      <c r="J24" s="47"/>
      <c r="K24" s="47"/>
      <c r="L24" s="47"/>
      <c r="M24" s="47"/>
      <c r="N24" s="47"/>
      <c r="O24" s="58"/>
    </row>
    <row r="25" spans="1:15" ht="13.5">
      <c r="A25" s="16" t="s">
        <v>19</v>
      </c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2:15" ht="13.5">
      <c r="B26" s="8" t="s">
        <v>90</v>
      </c>
      <c r="C26" s="55" t="s">
        <v>60</v>
      </c>
      <c r="D26" s="19">
        <v>6244.295</v>
      </c>
      <c r="E26" s="19">
        <v>204313.332</v>
      </c>
      <c r="F26" s="20">
        <v>32.71999993594152</v>
      </c>
      <c r="G26" s="54" t="s">
        <v>75</v>
      </c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89</v>
      </c>
      <c r="C27" s="55"/>
      <c r="D27" s="19">
        <f>5644+365</f>
        <v>6009</v>
      </c>
      <c r="E27" s="19">
        <f>124826+8184</f>
        <v>133010</v>
      </c>
      <c r="F27" s="20">
        <f>E27/D27</f>
        <v>22.135130637377266</v>
      </c>
      <c r="G27" s="54"/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23837.371</v>
      </c>
      <c r="E28" s="19">
        <v>861988.6400000001</v>
      </c>
      <c r="F28" s="20">
        <v>36.16122935704613</v>
      </c>
      <c r="G28" s="47"/>
      <c r="H28" s="47" t="s">
        <v>57</v>
      </c>
      <c r="I28" s="47" t="s">
        <v>68</v>
      </c>
      <c r="J28" s="47"/>
      <c r="K28" s="47"/>
      <c r="L28" s="47"/>
      <c r="M28" s="47"/>
      <c r="N28" s="47"/>
      <c r="O28" s="58">
        <v>0</v>
      </c>
    </row>
    <row r="29" spans="2:15" ht="13.5">
      <c r="B29" s="8" t="s">
        <v>78</v>
      </c>
      <c r="C29" s="55" t="s">
        <v>76</v>
      </c>
      <c r="D29" s="19">
        <v>118180.16499999967</v>
      </c>
      <c r="E29" s="19">
        <v>3257961.5660000024</v>
      </c>
      <c r="F29" s="20">
        <v>27.567752727371904</v>
      </c>
      <c r="G29" s="47"/>
      <c r="H29" s="47" t="s">
        <v>67</v>
      </c>
      <c r="I29" s="47" t="s">
        <v>70</v>
      </c>
      <c r="J29" s="47"/>
      <c r="K29" s="47"/>
      <c r="L29" s="47"/>
      <c r="M29" s="47"/>
      <c r="N29" s="47"/>
      <c r="O29" s="19">
        <v>122717</v>
      </c>
    </row>
    <row r="30" spans="2:15" ht="13.5">
      <c r="B30" s="8" t="s">
        <v>65</v>
      </c>
      <c r="C30" s="55" t="s">
        <v>66</v>
      </c>
      <c r="D30" s="19">
        <v>24.958</v>
      </c>
      <c r="E30" s="19">
        <v>787.501</v>
      </c>
      <c r="F30" s="20">
        <v>31.553049122525845</v>
      </c>
      <c r="G30" s="47"/>
      <c r="H30" s="47" t="s">
        <v>69</v>
      </c>
      <c r="I30" s="47" t="s">
        <v>79</v>
      </c>
      <c r="J30" s="47"/>
      <c r="K30" s="47"/>
      <c r="L30" s="47"/>
      <c r="M30" s="47"/>
      <c r="N30" s="47"/>
      <c r="O30" s="59">
        <v>139168</v>
      </c>
    </row>
    <row r="31" spans="2:15" ht="13.5">
      <c r="B31" s="23" t="s">
        <v>12</v>
      </c>
      <c r="C31" s="46"/>
      <c r="D31" s="19">
        <f>SUM(D26:D30)</f>
        <v>154295.78899999967</v>
      </c>
      <c r="E31" s="19">
        <f>SUM(E26:E30)</f>
        <v>4458061.039000003</v>
      </c>
      <c r="F31" s="20">
        <f>IF((E31=0),0,(IF((D31=0),0,(E31/D31))))</f>
        <v>28.8929533844894</v>
      </c>
      <c r="G31" s="47"/>
      <c r="H31" s="47" t="s">
        <v>71</v>
      </c>
      <c r="I31" s="47" t="s">
        <v>72</v>
      </c>
      <c r="J31" s="47"/>
      <c r="K31" s="47"/>
      <c r="L31" s="47"/>
      <c r="M31" s="47"/>
      <c r="N31" s="47"/>
      <c r="O31" s="19">
        <v>25</v>
      </c>
    </row>
    <row r="32" spans="2:15" ht="13.5">
      <c r="B32" s="3"/>
      <c r="C32" s="46"/>
      <c r="D32" s="19"/>
      <c r="E32" s="19"/>
      <c r="F32" s="20"/>
      <c r="G32" s="47"/>
      <c r="H32" s="47"/>
      <c r="I32" s="47"/>
      <c r="J32" s="49" t="s">
        <v>80</v>
      </c>
      <c r="K32" s="47"/>
      <c r="L32" s="47"/>
      <c r="M32" s="47"/>
      <c r="N32" s="47"/>
      <c r="O32" s="58">
        <v>261910</v>
      </c>
    </row>
    <row r="33" spans="1:15" ht="13.5">
      <c r="A33" s="16" t="s">
        <v>23</v>
      </c>
      <c r="B33" s="17" t="s">
        <v>24</v>
      </c>
      <c r="C33" s="46"/>
      <c r="D33" s="19">
        <f>D21-D31</f>
        <v>610206.1920000003</v>
      </c>
      <c r="E33" s="19">
        <f>E21-E31</f>
        <v>18346276.922</v>
      </c>
      <c r="F33" s="20">
        <f>IF((E33=0),0,(IF((D33=0),0,(E33/D33))))</f>
        <v>30.06570100816019</v>
      </c>
      <c r="G33" s="47"/>
      <c r="H33" s="47"/>
      <c r="I33" s="47"/>
      <c r="J33" s="47"/>
      <c r="K33" s="47"/>
      <c r="L33" s="47"/>
      <c r="M33" s="47"/>
      <c r="N33" s="47"/>
      <c r="O33" s="58"/>
    </row>
    <row r="34" spans="2:15" ht="13.5">
      <c r="B34" s="3"/>
      <c r="C34" s="46"/>
      <c r="D34" s="19"/>
      <c r="E34" s="19"/>
      <c r="F34" s="20"/>
      <c r="G34" s="57" t="s">
        <v>23</v>
      </c>
      <c r="H34" s="47" t="s">
        <v>81</v>
      </c>
      <c r="I34" s="47"/>
      <c r="J34" s="47"/>
      <c r="K34" s="47"/>
      <c r="L34" s="47"/>
      <c r="M34" s="47"/>
      <c r="N34" s="47"/>
      <c r="O34" s="58">
        <f>+O23-O32</f>
        <v>610207</v>
      </c>
    </row>
    <row r="35" spans="1:15" ht="13.5">
      <c r="A35" s="16" t="s">
        <v>25</v>
      </c>
      <c r="B35" s="17" t="s">
        <v>26</v>
      </c>
      <c r="C35" s="46"/>
      <c r="D35" s="19">
        <f>+D31+D33</f>
        <v>764501.9809999999</v>
      </c>
      <c r="E35" s="19">
        <f>+E31+E33</f>
        <v>22804337.961000003</v>
      </c>
      <c r="F35" s="20">
        <f>IF((E35=0),0,(IF((D35=0),0,(E35/D35))))</f>
        <v>29.82901094797818</v>
      </c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3.5">
      <c r="A36" s="16"/>
      <c r="B36" s="8"/>
      <c r="C36" s="46"/>
      <c r="D36" s="19"/>
      <c r="E36" s="19"/>
      <c r="F36" s="20"/>
      <c r="G36" s="57" t="s">
        <v>82</v>
      </c>
      <c r="H36" s="47" t="s">
        <v>83</v>
      </c>
      <c r="I36" s="47"/>
      <c r="J36" s="47"/>
      <c r="K36" s="47"/>
      <c r="L36" s="47"/>
      <c r="M36" s="47"/>
      <c r="N36" s="47" t="s">
        <v>4</v>
      </c>
      <c r="O36" s="58">
        <f>O32+O34</f>
        <v>872117</v>
      </c>
    </row>
    <row r="37" spans="1:15" ht="13.5">
      <c r="A37" s="16"/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60" t="s">
        <v>4</v>
      </c>
      <c r="O37" s="61" t="s">
        <v>4</v>
      </c>
    </row>
    <row r="38" spans="4:15" ht="13.5">
      <c r="D38" s="19"/>
      <c r="E38" s="19"/>
      <c r="F38" s="20"/>
      <c r="G38" s="47" t="s">
        <v>84</v>
      </c>
      <c r="H38" s="62" t="s">
        <v>85</v>
      </c>
      <c r="I38" s="47"/>
      <c r="J38" s="47"/>
      <c r="K38" s="47"/>
      <c r="L38" s="47"/>
      <c r="M38" s="47"/>
      <c r="N38" s="61" t="s">
        <v>4</v>
      </c>
      <c r="O38" s="58" t="s">
        <v>4</v>
      </c>
    </row>
    <row r="39" spans="1:6" ht="13.5">
      <c r="A39" s="16" t="s">
        <v>27</v>
      </c>
      <c r="B39" s="8" t="s">
        <v>28</v>
      </c>
      <c r="C39" s="46"/>
      <c r="D39" s="63">
        <f>D21-D31</f>
        <v>610206.1920000003</v>
      </c>
      <c r="E39" s="63">
        <f>E21-E31</f>
        <v>18346276.922</v>
      </c>
      <c r="F39" s="64">
        <f aca="true" t="shared" si="0" ref="F39:F45">IF((E39=0),0,(IF((D39=0),0,(E39/D39))))</f>
        <v>30.06570100816019</v>
      </c>
    </row>
    <row r="40" spans="1:6" ht="13.5">
      <c r="A40" s="16" t="s">
        <v>29</v>
      </c>
      <c r="B40" s="8" t="s">
        <v>86</v>
      </c>
      <c r="C40" s="46"/>
      <c r="D40" s="19">
        <f>D41-D39</f>
        <v>0.8079999997280538</v>
      </c>
      <c r="E40" s="19">
        <v>0</v>
      </c>
      <c r="F40" s="20">
        <f t="shared" si="0"/>
        <v>0</v>
      </c>
    </row>
    <row r="41" spans="1:6" ht="13.5">
      <c r="A41" s="16" t="s">
        <v>31</v>
      </c>
      <c r="B41" s="8" t="s">
        <v>32</v>
      </c>
      <c r="C41" s="46"/>
      <c r="D41" s="19">
        <f>D45-D44</f>
        <v>610207</v>
      </c>
      <c r="E41" s="19">
        <f>(SUM(E39))+E40</f>
        <v>18346276.922</v>
      </c>
      <c r="F41" s="20">
        <f t="shared" si="0"/>
        <v>30.065661196938084</v>
      </c>
    </row>
    <row r="42" spans="1:6" ht="13.5">
      <c r="A42" s="71" t="s">
        <v>33</v>
      </c>
      <c r="B42" s="72" t="s">
        <v>34</v>
      </c>
      <c r="C42" s="73"/>
      <c r="D42" s="74">
        <v>-3843.1049285999998</v>
      </c>
      <c r="E42" s="74">
        <v>-98744.73803544839</v>
      </c>
      <c r="F42" s="20">
        <f t="shared" si="0"/>
        <v>25.694</v>
      </c>
    </row>
    <row r="43" spans="1:6" ht="13.5">
      <c r="A43" s="71" t="s">
        <v>35</v>
      </c>
      <c r="B43" s="72" t="s">
        <v>36</v>
      </c>
      <c r="C43" s="73"/>
      <c r="D43" s="74">
        <v>3843.1049285999998</v>
      </c>
      <c r="E43" s="74">
        <v>98744.73803544839</v>
      </c>
      <c r="F43" s="20">
        <f t="shared" si="0"/>
        <v>25.694</v>
      </c>
    </row>
    <row r="44" spans="1:6" ht="13.5">
      <c r="A44" s="16" t="s">
        <v>37</v>
      </c>
      <c r="B44" s="8" t="s">
        <v>38</v>
      </c>
      <c r="C44" s="46"/>
      <c r="D44" s="19">
        <v>0</v>
      </c>
      <c r="E44" s="19">
        <v>0</v>
      </c>
      <c r="F44" s="20">
        <f t="shared" si="0"/>
        <v>0</v>
      </c>
    </row>
    <row r="45" spans="1:11" ht="13.5">
      <c r="A45" s="16" t="s">
        <v>39</v>
      </c>
      <c r="B45" s="8" t="s">
        <v>40</v>
      </c>
      <c r="C45" s="55" t="s">
        <v>87</v>
      </c>
      <c r="D45" s="19">
        <v>610207</v>
      </c>
      <c r="E45" s="26">
        <f>SUM(E41:E44)</f>
        <v>18346276.922</v>
      </c>
      <c r="F45" s="65">
        <f t="shared" si="0"/>
        <v>30.065661196938084</v>
      </c>
      <c r="G45" s="37"/>
      <c r="H45" s="37"/>
      <c r="I45" s="37"/>
      <c r="J45" s="37"/>
      <c r="K45" s="37"/>
    </row>
    <row r="46" spans="1:11" ht="15">
      <c r="A46" s="36" t="s">
        <v>4</v>
      </c>
      <c r="B46" s="37" t="s">
        <v>4</v>
      </c>
      <c r="C46" s="37"/>
      <c r="D46" s="37"/>
      <c r="E46" s="37"/>
      <c r="F46" s="37"/>
      <c r="G46" s="66" t="s">
        <v>4</v>
      </c>
      <c r="H46" s="67"/>
      <c r="I46" s="67" t="s">
        <v>4</v>
      </c>
      <c r="J46" s="67"/>
      <c r="K46"/>
    </row>
    <row r="47" spans="1:6" ht="14.25">
      <c r="A47"/>
      <c r="B47" s="38" t="s">
        <v>4</v>
      </c>
      <c r="C47"/>
      <c r="D47"/>
      <c r="E47"/>
      <c r="F47"/>
    </row>
    <row r="48" spans="2:6" ht="10.5">
      <c r="B48" s="3"/>
      <c r="C48" s="46"/>
      <c r="D48" s="19"/>
      <c r="E48" s="19"/>
      <c r="F48" s="39"/>
    </row>
    <row r="54" spans="2:7" ht="14.25">
      <c r="B54"/>
      <c r="C54"/>
      <c r="D54"/>
      <c r="E54"/>
      <c r="F54"/>
      <c r="G54"/>
    </row>
    <row r="55" spans="2:7" ht="14.25">
      <c r="B55"/>
      <c r="C55"/>
      <c r="D55"/>
      <c r="E55"/>
      <c r="F55"/>
      <c r="G55"/>
    </row>
    <row r="56" spans="2:7" ht="14.25">
      <c r="B56"/>
      <c r="C56"/>
      <c r="D56"/>
      <c r="E56"/>
      <c r="F56"/>
      <c r="G56"/>
    </row>
    <row r="57" spans="2:7" ht="14.25">
      <c r="B57"/>
      <c r="C57"/>
      <c r="D57"/>
      <c r="E57"/>
      <c r="F57"/>
      <c r="G57"/>
    </row>
    <row r="58" spans="2:7" ht="14.25">
      <c r="B58"/>
      <c r="C58"/>
      <c r="D58"/>
      <c r="E58"/>
      <c r="F58"/>
      <c r="G58"/>
    </row>
    <row r="59" spans="2:7" ht="14.25">
      <c r="B59"/>
      <c r="C59"/>
      <c r="D59"/>
      <c r="E59"/>
      <c r="F59"/>
      <c r="G59"/>
    </row>
    <row r="60" spans="2:7" ht="14.25">
      <c r="B60"/>
      <c r="C60"/>
      <c r="D60"/>
      <c r="E60"/>
      <c r="F60"/>
      <c r="G6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4">
      <selection activeCell="E28" sqref="E28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March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10" t="str">
        <f>+'[4]INPUT SHEET'!B1</f>
        <v>March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88</v>
      </c>
      <c r="C11" s="55" t="s">
        <v>53</v>
      </c>
      <c r="D11" s="24">
        <v>598568</v>
      </c>
      <c r="E11" s="19">
        <v>19477121.750000004</v>
      </c>
      <c r="F11" s="20">
        <v>32.53953059635664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89</v>
      </c>
      <c r="C12" s="55"/>
      <c r="D12" s="24">
        <f>136489</f>
        <v>136489</v>
      </c>
      <c r="E12" s="19">
        <f>3251142</f>
        <v>3251142</v>
      </c>
      <c r="F12" s="20">
        <f>E12/D12</f>
        <v>23.81980965499051</v>
      </c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735057</v>
      </c>
      <c r="E13" s="19">
        <f>SUM(E11:E12)</f>
        <v>22728263.750000004</v>
      </c>
      <c r="F13" s="20">
        <f>IF((E13=0),0,(IF((D13=0),0,(E13/D13))))</f>
        <v>30.920409913789005</v>
      </c>
      <c r="G13" s="57" t="s">
        <v>10</v>
      </c>
      <c r="H13" s="47" t="s">
        <v>11</v>
      </c>
      <c r="I13" s="47"/>
      <c r="J13" s="47"/>
      <c r="K13" s="47"/>
      <c r="L13" s="47"/>
      <c r="M13" s="47"/>
      <c r="N13" s="47"/>
      <c r="O13" s="47"/>
    </row>
    <row r="14" spans="2:15" ht="13.5">
      <c r="B14" s="3"/>
      <c r="C14" s="46"/>
      <c r="D14" s="19"/>
      <c r="E14" s="19"/>
      <c r="F14" s="20"/>
      <c r="G14" s="47"/>
      <c r="H14" s="47"/>
      <c r="I14" s="47" t="s">
        <v>55</v>
      </c>
      <c r="J14" s="47"/>
      <c r="K14" s="47"/>
      <c r="L14" s="47"/>
      <c r="M14" s="47"/>
      <c r="N14" s="47"/>
      <c r="O14" s="19">
        <v>598568</v>
      </c>
    </row>
    <row r="15" spans="2:15" ht="13.5">
      <c r="B15" s="17" t="s">
        <v>14</v>
      </c>
      <c r="C15" s="46"/>
      <c r="D15" s="19"/>
      <c r="E15" s="19"/>
      <c r="F15" s="20"/>
      <c r="G15" s="47"/>
      <c r="H15" s="47"/>
      <c r="I15" s="47"/>
      <c r="J15" s="47"/>
      <c r="K15" s="47"/>
      <c r="L15" s="47"/>
      <c r="M15" s="47"/>
      <c r="N15" s="47"/>
      <c r="O15" s="58"/>
    </row>
    <row r="16" spans="2:15" ht="13.5">
      <c r="B16" s="8" t="s">
        <v>59</v>
      </c>
      <c r="C16" s="55" t="s">
        <v>60</v>
      </c>
      <c r="D16" s="19">
        <v>119838.717</v>
      </c>
      <c r="E16" s="19">
        <v>2952868.613</v>
      </c>
      <c r="F16" s="20">
        <v>24.64035569573062</v>
      </c>
      <c r="G16" s="57" t="s">
        <v>13</v>
      </c>
      <c r="H16" s="47" t="s">
        <v>56</v>
      </c>
      <c r="I16" s="47"/>
      <c r="J16" s="47"/>
      <c r="K16" s="47"/>
      <c r="L16" s="47"/>
      <c r="M16" s="47"/>
      <c r="N16" s="47"/>
      <c r="O16" s="58"/>
    </row>
    <row r="17" spans="1:15" ht="13.5">
      <c r="A17" s="16" t="s">
        <v>13</v>
      </c>
      <c r="B17" s="8" t="s">
        <v>62</v>
      </c>
      <c r="C17" s="55" t="s">
        <v>63</v>
      </c>
      <c r="D17" s="19">
        <v>23023.225</v>
      </c>
      <c r="E17" s="19">
        <v>902702.1200000001</v>
      </c>
      <c r="F17" s="20">
        <v>39.208326374780256</v>
      </c>
      <c r="G17" s="47"/>
      <c r="H17" s="47" t="s">
        <v>57</v>
      </c>
      <c r="I17" s="47" t="s">
        <v>58</v>
      </c>
      <c r="J17" s="47"/>
      <c r="K17" s="47"/>
      <c r="L17" s="47"/>
      <c r="M17" s="47"/>
      <c r="N17" s="47"/>
      <c r="O17" s="58" t="s">
        <v>4</v>
      </c>
    </row>
    <row r="18" spans="1:15" ht="13.5">
      <c r="A18" s="6"/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10</v>
      </c>
      <c r="J18" s="47" t="s">
        <v>61</v>
      </c>
      <c r="K18" s="47"/>
      <c r="L18" s="47"/>
      <c r="M18" s="47"/>
      <c r="N18" s="47"/>
      <c r="O18" s="19">
        <v>136489.35</v>
      </c>
    </row>
    <row r="19" spans="2:15" ht="13.5">
      <c r="B19" s="23" t="s">
        <v>12</v>
      </c>
      <c r="C19" s="46"/>
      <c r="D19" s="19">
        <f>SUM(D16:D18)</f>
        <v>142861.942</v>
      </c>
      <c r="E19" s="24">
        <f>SUM(E16:E18)</f>
        <v>3855570.733</v>
      </c>
      <c r="F19" s="20">
        <f>IF((E19=0),0,(IF((D19=0),0,(E19/D19))))</f>
        <v>26.98808849315516</v>
      </c>
      <c r="G19" s="47"/>
      <c r="H19" s="47"/>
      <c r="I19" s="57" t="s">
        <v>13</v>
      </c>
      <c r="J19" s="47" t="s">
        <v>64</v>
      </c>
      <c r="K19" s="47"/>
      <c r="L19" s="47"/>
      <c r="M19" s="47"/>
      <c r="N19" s="47"/>
      <c r="O19" s="19">
        <v>23023.225</v>
      </c>
    </row>
    <row r="20" spans="2:15" ht="13.5">
      <c r="B20" s="3"/>
      <c r="C20" s="46"/>
      <c r="D20" s="19"/>
      <c r="E20" s="19"/>
      <c r="F20" s="20"/>
      <c r="G20" s="47"/>
      <c r="H20" s="47" t="s">
        <v>67</v>
      </c>
      <c r="I20" s="47" t="s">
        <v>68</v>
      </c>
      <c r="J20" s="47"/>
      <c r="K20" s="47"/>
      <c r="L20" s="47"/>
      <c r="M20" s="47"/>
      <c r="N20" s="47"/>
      <c r="O20" s="58">
        <v>0</v>
      </c>
    </row>
    <row r="21" spans="2:15" ht="13.5">
      <c r="B21" s="17" t="s">
        <v>17</v>
      </c>
      <c r="C21" s="46"/>
      <c r="D21" s="19">
        <f>D13+D19</f>
        <v>877918.942</v>
      </c>
      <c r="E21" s="19">
        <f>E13+E19</f>
        <v>26583834.483000003</v>
      </c>
      <c r="F21" s="20">
        <f>IF((E21=0),0,(IF((D21=0),0,(E21/D21))))</f>
        <v>30.28051134474782</v>
      </c>
      <c r="G21" s="47"/>
      <c r="H21" s="47" t="s">
        <v>69</v>
      </c>
      <c r="I21" s="47" t="s">
        <v>70</v>
      </c>
      <c r="J21" s="47"/>
      <c r="K21" s="47"/>
      <c r="L21" s="47"/>
      <c r="M21" s="47"/>
      <c r="N21" s="47"/>
      <c r="O21" s="19">
        <v>213998.40899999999</v>
      </c>
    </row>
    <row r="22" spans="2:15" ht="13.5">
      <c r="B22" s="3"/>
      <c r="C22" s="46"/>
      <c r="D22" s="19"/>
      <c r="E22" s="19"/>
      <c r="F22" s="20"/>
      <c r="G22" s="47"/>
      <c r="H22" s="47" t="s">
        <v>71</v>
      </c>
      <c r="I22" s="47" t="s">
        <v>72</v>
      </c>
      <c r="J22" s="47"/>
      <c r="K22" s="47"/>
      <c r="L22" s="47"/>
      <c r="M22" s="47"/>
      <c r="N22" s="47"/>
      <c r="O22" s="19">
        <v>0</v>
      </c>
    </row>
    <row r="23" spans="1:15" ht="13.5">
      <c r="A23" s="16" t="s">
        <v>16</v>
      </c>
      <c r="B23" s="12" t="s">
        <v>18</v>
      </c>
      <c r="C23" s="52"/>
      <c r="D23" s="19"/>
      <c r="E23" s="24">
        <f>E12+E19</f>
        <v>7106712.733</v>
      </c>
      <c r="F23" s="20"/>
      <c r="G23" s="47"/>
      <c r="H23" s="47"/>
      <c r="I23" s="47"/>
      <c r="J23" s="49" t="s">
        <v>73</v>
      </c>
      <c r="K23" s="47"/>
      <c r="L23" s="47"/>
      <c r="M23" s="47"/>
      <c r="N23" s="47"/>
      <c r="O23" s="58">
        <f>SUM(O18:O22)</f>
        <v>373510.984</v>
      </c>
    </row>
    <row r="24" spans="2:15" ht="13.5">
      <c r="B24" s="12"/>
      <c r="C24" s="52"/>
      <c r="D24" s="19"/>
      <c r="E24" s="19"/>
      <c r="F24" s="20"/>
      <c r="G24" s="47"/>
      <c r="H24" s="47"/>
      <c r="I24" s="47"/>
      <c r="J24" s="47"/>
      <c r="K24" s="47"/>
      <c r="L24" s="47"/>
      <c r="M24" s="47"/>
      <c r="N24" s="47"/>
      <c r="O24" s="58"/>
    </row>
    <row r="25" spans="2:15" ht="13.5">
      <c r="B25" s="17" t="s">
        <v>20</v>
      </c>
      <c r="C25" s="46"/>
      <c r="E25" s="19"/>
      <c r="G25" s="57" t="s">
        <v>16</v>
      </c>
      <c r="H25" s="47" t="s">
        <v>74</v>
      </c>
      <c r="I25" s="47"/>
      <c r="J25" s="47"/>
      <c r="K25" s="47"/>
      <c r="L25" s="47"/>
      <c r="M25" s="47"/>
      <c r="N25" s="47"/>
      <c r="O25" s="58">
        <f>+O14+O23</f>
        <v>972078.9839999999</v>
      </c>
    </row>
    <row r="26" spans="2:15" ht="13.5">
      <c r="B26" s="8" t="s">
        <v>90</v>
      </c>
      <c r="C26" s="55" t="s">
        <v>60</v>
      </c>
      <c r="D26" s="19">
        <v>2406.839</v>
      </c>
      <c r="E26" s="19">
        <v>74419.459</v>
      </c>
      <c r="F26" s="20">
        <v>30.919998803409786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89</v>
      </c>
      <c r="C27" s="55" t="s">
        <v>76</v>
      </c>
      <c r="D27" s="19">
        <f>+'[4]INPUT SHEET'!C114</f>
        <v>1851.944000000001</v>
      </c>
      <c r="E27" s="19">
        <f>+'[4]INPUT SHEET'!C116</f>
        <v>40611.586</v>
      </c>
      <c r="F27" s="20">
        <f>E27/D27</f>
        <v>21.929165244737412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20793.813000000002</v>
      </c>
      <c r="E28" s="19">
        <v>841796.0500000002</v>
      </c>
      <c r="F28" s="20">
        <v>40.483005690202184</v>
      </c>
      <c r="G28" s="54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207254.58099999963</v>
      </c>
      <c r="E29" s="19">
        <v>5966030.012999998</v>
      </c>
      <c r="F29" s="20">
        <v>28.785998283917348</v>
      </c>
      <c r="G29" s="47"/>
      <c r="H29" s="47"/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381.854</v>
      </c>
      <c r="E30" s="19">
        <v>12503.735</v>
      </c>
      <c r="F30" s="20">
        <v>32.74480560633122</v>
      </c>
      <c r="G30" s="57" t="s">
        <v>19</v>
      </c>
      <c r="H30" s="47" t="s">
        <v>77</v>
      </c>
      <c r="I30" s="47"/>
      <c r="J30" s="47"/>
      <c r="K30" s="47"/>
      <c r="L30" s="47"/>
      <c r="M30" s="47"/>
      <c r="N30" s="47"/>
      <c r="O30" s="58"/>
    </row>
    <row r="31" spans="2:15" ht="13.5">
      <c r="B31" s="23" t="s">
        <v>12</v>
      </c>
      <c r="C31" s="46"/>
      <c r="D31" s="19">
        <v>232689.0309999996</v>
      </c>
      <c r="E31" s="19">
        <v>6935360.842999999</v>
      </c>
      <c r="F31" s="20">
        <v>29.805276222926086</v>
      </c>
      <c r="G31" s="47"/>
      <c r="H31" s="47" t="s">
        <v>57</v>
      </c>
      <c r="I31" s="47" t="s">
        <v>68</v>
      </c>
      <c r="J31" s="47"/>
      <c r="K31" s="47"/>
      <c r="L31" s="47"/>
      <c r="M31" s="47"/>
      <c r="N31" s="47"/>
      <c r="O31" s="58">
        <v>0</v>
      </c>
    </row>
    <row r="32" spans="2:15" ht="13.5">
      <c r="B32" s="3"/>
      <c r="C32" s="46"/>
      <c r="D32" s="19"/>
      <c r="E32" s="19"/>
      <c r="F32" s="20"/>
      <c r="G32" s="47"/>
      <c r="H32" s="47" t="s">
        <v>67</v>
      </c>
      <c r="I32" s="47" t="s">
        <v>70</v>
      </c>
      <c r="J32" s="47"/>
      <c r="K32" s="47"/>
      <c r="L32" s="47"/>
      <c r="M32" s="47"/>
      <c r="N32" s="47"/>
      <c r="O32" s="19">
        <v>198500.177</v>
      </c>
    </row>
    <row r="33" spans="2:15" ht="13.5">
      <c r="B33" s="17" t="s">
        <v>24</v>
      </c>
      <c r="C33" s="46"/>
      <c r="D33" s="19">
        <f>D21-D31</f>
        <v>645229.9110000004</v>
      </c>
      <c r="E33" s="19">
        <f>E21-E31</f>
        <v>19648473.640000004</v>
      </c>
      <c r="F33" s="20">
        <f>IF((E33=0),0,(IF((D33=0),0,(E33/D33))))</f>
        <v>30.451895215998427</v>
      </c>
      <c r="G33" s="47"/>
      <c r="H33" s="47" t="s">
        <v>69</v>
      </c>
      <c r="I33" s="47" t="s">
        <v>79</v>
      </c>
      <c r="J33" s="47"/>
      <c r="K33" s="47"/>
      <c r="L33" s="47"/>
      <c r="M33" s="47"/>
      <c r="N33" s="47"/>
      <c r="O33" s="59">
        <v>127966.688</v>
      </c>
    </row>
    <row r="34" spans="2:15" ht="13.5">
      <c r="B34" s="3"/>
      <c r="C34" s="46"/>
      <c r="D34" s="19"/>
      <c r="E34" s="19"/>
      <c r="F34" s="20"/>
      <c r="G34" s="47"/>
      <c r="H34" s="47" t="s">
        <v>71</v>
      </c>
      <c r="I34" s="47" t="s">
        <v>72</v>
      </c>
      <c r="J34" s="47"/>
      <c r="K34" s="47"/>
      <c r="L34" s="47"/>
      <c r="M34" s="47"/>
      <c r="N34" s="47"/>
      <c r="O34" s="19">
        <v>381.854</v>
      </c>
    </row>
    <row r="35" spans="2:15" ht="13.5">
      <c r="B35" s="17" t="s">
        <v>26</v>
      </c>
      <c r="C35" s="46"/>
      <c r="D35" s="19">
        <f>+D31+D33</f>
        <v>877918.942</v>
      </c>
      <c r="E35" s="19">
        <f>+E31+E33</f>
        <v>26583834.483000003</v>
      </c>
      <c r="F35" s="20">
        <f>IF((E35=0),0,(IF((D35=0),0,(E35/D35))))</f>
        <v>30.28051134474782</v>
      </c>
      <c r="G35" s="47"/>
      <c r="H35" s="47"/>
      <c r="I35" s="47"/>
      <c r="J35" s="49" t="s">
        <v>80</v>
      </c>
      <c r="K35" s="47"/>
      <c r="L35" s="47"/>
      <c r="M35" s="47"/>
      <c r="N35" s="47"/>
      <c r="O35" s="58">
        <f>SUM(O31:O34)</f>
        <v>326848.719</v>
      </c>
    </row>
    <row r="36" spans="1:15" ht="13.5">
      <c r="A36" s="16" t="s">
        <v>23</v>
      </c>
      <c r="B36" s="8"/>
      <c r="C36" s="46"/>
      <c r="D36" s="19"/>
      <c r="E36" s="19"/>
      <c r="F36" s="20"/>
      <c r="G36" s="47"/>
      <c r="H36" s="47"/>
      <c r="I36" s="47"/>
      <c r="J36" s="47"/>
      <c r="K36" s="47"/>
      <c r="L36" s="47"/>
      <c r="M36" s="47"/>
      <c r="N36" s="47"/>
      <c r="O36" s="58"/>
    </row>
    <row r="37" spans="2:15" ht="13.5">
      <c r="B37" s="8"/>
      <c r="C37" s="46"/>
      <c r="D37" s="19"/>
      <c r="E37" s="19"/>
      <c r="F37" s="20"/>
      <c r="G37" s="57" t="s">
        <v>23</v>
      </c>
      <c r="H37" s="47" t="s">
        <v>81</v>
      </c>
      <c r="I37" s="47"/>
      <c r="J37" s="47"/>
      <c r="K37" s="47"/>
      <c r="L37" s="47"/>
      <c r="M37" s="47"/>
      <c r="N37" s="47"/>
      <c r="O37" s="58">
        <f>+O25-O35</f>
        <v>645230.2649999999</v>
      </c>
    </row>
    <row r="38" spans="1:15" ht="13.5">
      <c r="A38" s="16" t="s">
        <v>25</v>
      </c>
      <c r="D38" s="19"/>
      <c r="E38" s="19"/>
      <c r="F38" s="20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3.5">
      <c r="A39" s="16"/>
      <c r="B39" s="8" t="s">
        <v>28</v>
      </c>
      <c r="C39" s="46"/>
      <c r="D39" s="63">
        <f>D21-D31</f>
        <v>645229.9110000004</v>
      </c>
      <c r="E39" s="63">
        <f>E21-E31</f>
        <v>19648473.640000004</v>
      </c>
      <c r="F39" s="64">
        <f aca="true" t="shared" si="0" ref="F39:F45">IF((E39=0),0,(IF((D39=0),0,(E39/D39))))</f>
        <v>30.451895215998427</v>
      </c>
      <c r="G39" s="57" t="s">
        <v>82</v>
      </c>
      <c r="H39" s="47" t="s">
        <v>83</v>
      </c>
      <c r="I39" s="47"/>
      <c r="J39" s="47"/>
      <c r="K39" s="47"/>
      <c r="L39" s="47"/>
      <c r="M39" s="47"/>
      <c r="N39" s="47" t="s">
        <v>4</v>
      </c>
      <c r="O39" s="58">
        <f>O35+O37</f>
        <v>972078.9839999999</v>
      </c>
    </row>
    <row r="40" spans="1:15" ht="13.5">
      <c r="A40" s="16"/>
      <c r="B40" s="8" t="s">
        <v>86</v>
      </c>
      <c r="C40" s="46"/>
      <c r="D40" s="19">
        <f>D41-D39</f>
        <v>0.3539999994682148</v>
      </c>
      <c r="E40" s="19">
        <v>0</v>
      </c>
      <c r="F40" s="20">
        <f t="shared" si="0"/>
        <v>0</v>
      </c>
      <c r="G40" s="47"/>
      <c r="H40" s="47"/>
      <c r="I40" s="47"/>
      <c r="J40" s="47"/>
      <c r="K40" s="47"/>
      <c r="L40" s="47"/>
      <c r="M40" s="47"/>
      <c r="N40" s="60" t="s">
        <v>4</v>
      </c>
      <c r="O40" s="61" t="s">
        <v>4</v>
      </c>
    </row>
    <row r="41" spans="2:15" ht="13.5">
      <c r="B41" s="8" t="s">
        <v>32</v>
      </c>
      <c r="C41" s="46"/>
      <c r="D41" s="19">
        <f>D45-D44</f>
        <v>645230.2649999999</v>
      </c>
      <c r="E41" s="19">
        <f>(SUM(E39))+E40</f>
        <v>19648473.640000004</v>
      </c>
      <c r="F41" s="20">
        <f t="shared" si="0"/>
        <v>30.451878508829722</v>
      </c>
      <c r="G41" s="47" t="s">
        <v>84</v>
      </c>
      <c r="H41" s="62" t="s">
        <v>85</v>
      </c>
      <c r="I41" s="47"/>
      <c r="J41" s="47"/>
      <c r="K41" s="47"/>
      <c r="L41" s="47"/>
      <c r="M41" s="47"/>
      <c r="N41" s="61" t="s">
        <v>4</v>
      </c>
      <c r="O41" s="58" t="s">
        <v>4</v>
      </c>
    </row>
    <row r="42" spans="1:6" ht="13.5">
      <c r="A42" s="71" t="s">
        <v>27</v>
      </c>
      <c r="B42" s="72" t="s">
        <v>34</v>
      </c>
      <c r="C42" s="73"/>
      <c r="D42" s="74">
        <v>-4712.0578659</v>
      </c>
      <c r="E42" s="74">
        <v>-128629.7556233382</v>
      </c>
      <c r="F42" s="20">
        <f t="shared" si="0"/>
        <v>27.298</v>
      </c>
    </row>
    <row r="43" spans="1:6" ht="13.5">
      <c r="A43" s="71" t="s">
        <v>29</v>
      </c>
      <c r="B43" s="72" t="s">
        <v>36</v>
      </c>
      <c r="C43" s="73"/>
      <c r="D43" s="74">
        <v>4712.0578659</v>
      </c>
      <c r="E43" s="74">
        <v>128629.7556233382</v>
      </c>
      <c r="F43" s="20">
        <f t="shared" si="0"/>
        <v>27.298</v>
      </c>
    </row>
    <row r="44" spans="1:6" ht="13.5">
      <c r="A44" s="71" t="s">
        <v>31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33</v>
      </c>
      <c r="B45" s="75" t="s">
        <v>40</v>
      </c>
      <c r="C45" s="76" t="s">
        <v>87</v>
      </c>
      <c r="D45" s="74">
        <v>645230.2649999999</v>
      </c>
      <c r="E45" s="77">
        <f>SUM(E41:E44)</f>
        <v>19648473.640000004</v>
      </c>
      <c r="F45" s="65">
        <f t="shared" si="0"/>
        <v>30.451878508829722</v>
      </c>
    </row>
    <row r="46" spans="1:6" ht="13.5">
      <c r="A46" s="71" t="s">
        <v>35</v>
      </c>
      <c r="B46" s="78" t="s">
        <v>4</v>
      </c>
      <c r="C46" s="78"/>
      <c r="D46" s="78"/>
      <c r="E46" s="78"/>
      <c r="F46" s="37"/>
    </row>
    <row r="47" spans="1:6" ht="14.25">
      <c r="A47" s="71" t="s">
        <v>37</v>
      </c>
      <c r="B47" s="79" t="s">
        <v>4</v>
      </c>
      <c r="C47" s="80"/>
      <c r="D47" s="80"/>
      <c r="E47" s="80"/>
      <c r="F47"/>
    </row>
    <row r="48" spans="1:11" ht="12.75">
      <c r="A48" s="16" t="s">
        <v>39</v>
      </c>
      <c r="B48" s="3"/>
      <c r="C48" s="46"/>
      <c r="D48" s="19"/>
      <c r="E48" s="19"/>
      <c r="F48" s="39"/>
      <c r="G48" s="37"/>
      <c r="H48" s="37"/>
      <c r="I48" s="37"/>
      <c r="J48" s="37"/>
      <c r="K48" s="37"/>
    </row>
    <row r="49" spans="1:11" ht="14.25">
      <c r="A49" s="36" t="s">
        <v>4</v>
      </c>
      <c r="G49" s="66" t="s">
        <v>4</v>
      </c>
      <c r="H49" s="67"/>
      <c r="I49" s="67" t="s">
        <v>4</v>
      </c>
      <c r="J49" s="67"/>
      <c r="K49"/>
    </row>
    <row r="50" ht="14.25">
      <c r="A50"/>
    </row>
    <row r="52" spans="2:8" ht="14.25">
      <c r="B52"/>
      <c r="C52"/>
      <c r="D52"/>
      <c r="E52"/>
      <c r="F52"/>
      <c r="G52"/>
      <c r="H52"/>
    </row>
    <row r="53" spans="2:8" ht="14.25">
      <c r="B53"/>
      <c r="C53"/>
      <c r="D53"/>
      <c r="E53"/>
      <c r="F53"/>
      <c r="G53"/>
      <c r="H53"/>
    </row>
    <row r="54" spans="2:8" ht="14.25">
      <c r="B54"/>
      <c r="C54"/>
      <c r="D54"/>
      <c r="E54"/>
      <c r="F54"/>
      <c r="G54"/>
      <c r="H54"/>
    </row>
    <row r="55" spans="2:8" ht="14.25">
      <c r="B55"/>
      <c r="C55"/>
      <c r="D55"/>
      <c r="E55"/>
      <c r="F55"/>
      <c r="G55"/>
      <c r="H55"/>
    </row>
    <row r="56" spans="2:8" ht="14.25">
      <c r="B56"/>
      <c r="C56"/>
      <c r="D56"/>
      <c r="E56"/>
      <c r="F56"/>
      <c r="G56"/>
      <c r="H56"/>
    </row>
    <row r="57" spans="2:8" ht="14.25">
      <c r="B57"/>
      <c r="C57"/>
      <c r="D57"/>
      <c r="E57"/>
      <c r="F57"/>
      <c r="G57"/>
      <c r="H57"/>
    </row>
    <row r="58" spans="2:8" ht="14.25">
      <c r="B58"/>
      <c r="C58"/>
      <c r="D58"/>
      <c r="E58"/>
      <c r="F58"/>
      <c r="G58"/>
      <c r="H58"/>
    </row>
    <row r="59" ht="10.5">
      <c r="B59" s="6" t="s">
        <v>4</v>
      </c>
    </row>
    <row r="60" ht="10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21" sqref="E21"/>
    </sheetView>
  </sheetViews>
  <sheetFormatPr defaultColWidth="9.8515625" defaultRowHeight="15"/>
  <cols>
    <col min="1" max="1" width="2.8515625" style="1" bestFit="1" customWidth="1"/>
    <col min="2" max="2" width="63.5742187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April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10" t="str">
        <f>+'[5]INPUT SHEET'!B1</f>
        <v>April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88</v>
      </c>
      <c r="C11" s="55" t="s">
        <v>53</v>
      </c>
      <c r="D11" s="24">
        <v>455195</v>
      </c>
      <c r="E11" s="19">
        <v>14662596.35</v>
      </c>
      <c r="F11" s="20">
        <v>32.21168147716912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89</v>
      </c>
      <c r="C12" s="55" t="s">
        <v>54</v>
      </c>
      <c r="D12" s="19">
        <v>123570.3</v>
      </c>
      <c r="E12" s="56">
        <f>3071971.803+11534</f>
        <v>3083505.803</v>
      </c>
      <c r="F12" s="20">
        <f>E12/D12</f>
        <v>24.95345405004277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578765.3</v>
      </c>
      <c r="E13" s="19">
        <f>SUM(E11:E12)</f>
        <v>17746102.153</v>
      </c>
      <c r="F13" s="20">
        <f>IF((E13=0),0,(IF((D13=0),0,(E13/D13))))</f>
        <v>30.66200090606676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455195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70533.949</v>
      </c>
      <c r="E16" s="19">
        <v>1820592.641</v>
      </c>
      <c r="F16" s="20">
        <v>25.81157962671281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23262.766000000003</v>
      </c>
      <c r="E17" s="19">
        <v>827119.8500000001</v>
      </c>
      <c r="F17" s="20">
        <v>35.55552465257141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123570.3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23262.766000000003</v>
      </c>
    </row>
    <row r="19" spans="2:15" ht="13.5">
      <c r="B19" s="23" t="s">
        <v>12</v>
      </c>
      <c r="C19" s="46"/>
      <c r="D19" s="19">
        <f>SUM(D16:D18)</f>
        <v>93796.715</v>
      </c>
      <c r="E19" s="24">
        <f>SUM(E16:E18)</f>
        <v>2647712.4910000004</v>
      </c>
      <c r="F19" s="20">
        <f>IF((E19=0),0,(IF((D19=0),0,(E19/D19))))</f>
        <v>28.22820064647254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158730.748</v>
      </c>
    </row>
    <row r="21" spans="2:15" ht="13.5">
      <c r="B21" s="17" t="s">
        <v>17</v>
      </c>
      <c r="C21" s="46"/>
      <c r="D21" s="19">
        <f>D13+D19</f>
        <v>672562.015</v>
      </c>
      <c r="E21" s="19">
        <f>E13+E19</f>
        <v>20393814.644</v>
      </c>
      <c r="F21" s="20">
        <f>IF((E21=0),0,(IF((D21=0),0,(E21/D21))))</f>
        <v>30.32257872011996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305563.814</v>
      </c>
    </row>
    <row r="23" spans="2:15" ht="13.5">
      <c r="B23" s="12" t="s">
        <v>18</v>
      </c>
      <c r="C23" s="52"/>
      <c r="D23" s="19"/>
      <c r="E23" s="24">
        <f>E12+E19</f>
        <v>5731218.294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760758.814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90</v>
      </c>
      <c r="C26" s="55" t="s">
        <v>60</v>
      </c>
      <c r="D26" s="19">
        <v>6488.284</v>
      </c>
      <c r="E26" s="19">
        <v>198813.997</v>
      </c>
      <c r="F26" s="20">
        <v>30.64199979532339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89</v>
      </c>
      <c r="C27" s="55" t="s">
        <v>76</v>
      </c>
      <c r="D27" s="19">
        <v>5401.719</v>
      </c>
      <c r="E27" s="19">
        <v>121754.04600000007</v>
      </c>
      <c r="F27" s="20">
        <f>E27/D27</f>
        <v>22.539870363489857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20360.586000000003</v>
      </c>
      <c r="E28" s="19">
        <v>755499.12</v>
      </c>
      <c r="F28" s="20">
        <v>37.10596148853475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129694.77600000003</v>
      </c>
      <c r="E29" s="19">
        <v>3543180.212</v>
      </c>
      <c r="F29" s="20">
        <v>27.31937492995091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16.733</v>
      </c>
      <c r="E30" s="19">
        <v>573.053</v>
      </c>
      <c r="F30" s="20">
        <v>34.246877427837205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161962.09800000003</v>
      </c>
      <c r="E31" s="19">
        <f>SUM(E26:E30)</f>
        <v>4619820.428</v>
      </c>
      <c r="F31" s="20">
        <f>IF((E31=0),0,(IF((D31=0),0,(E31/D31))))</f>
        <v>28.52408362850424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133177.365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116964.8</v>
      </c>
    </row>
    <row r="33" spans="2:15" ht="13.5">
      <c r="B33" s="17" t="s">
        <v>24</v>
      </c>
      <c r="C33" s="46"/>
      <c r="D33" s="19">
        <f>D21-D31</f>
        <v>510599.917</v>
      </c>
      <c r="E33" s="19">
        <f>E21-E31</f>
        <v>15773994.216000002</v>
      </c>
      <c r="F33" s="20">
        <f>IF((E33=0),0,(IF((D33=0),0,(E33/D33))))</f>
        <v>30.89306067396012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16.733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250158.898</v>
      </c>
    </row>
    <row r="35" spans="1:15" ht="13.5">
      <c r="A35" s="16" t="s">
        <v>23</v>
      </c>
      <c r="B35" s="17" t="s">
        <v>26</v>
      </c>
      <c r="C35" s="46"/>
      <c r="D35" s="19">
        <f>+D31+D33</f>
        <v>672562.015</v>
      </c>
      <c r="E35" s="19">
        <f>+E31+E33</f>
        <v>20393814.644</v>
      </c>
      <c r="F35" s="20">
        <f>IF((E35=0),0,(IF((D35=0),0,(E35/D35))))</f>
        <v>30.32257872011996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510599.916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760758.814</v>
      </c>
    </row>
    <row r="39" spans="1:15" ht="13.5">
      <c r="A39" s="16"/>
      <c r="B39" s="8" t="s">
        <v>28</v>
      </c>
      <c r="C39" s="46"/>
      <c r="D39" s="63">
        <f>D21-D31</f>
        <v>510599.917</v>
      </c>
      <c r="E39" s="63">
        <f>E21-E31</f>
        <v>15773994.216000002</v>
      </c>
      <c r="F39" s="64">
        <f aca="true" t="shared" si="0" ref="F39:F46">IF((E39=0),0,(IF((D39=0),0,(E39/D39))))</f>
        <v>30.89306067396012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-2836.6410000000033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D46-D45</f>
        <v>507763.276</v>
      </c>
      <c r="E41" s="19">
        <f>(SUM(E39))+E40</f>
        <v>15773994.216000002</v>
      </c>
      <c r="F41" s="20">
        <f t="shared" si="0"/>
        <v>31.0656460629894</v>
      </c>
    </row>
    <row r="42" spans="1:6" ht="13.5">
      <c r="A42" s="71" t="s">
        <v>29</v>
      </c>
      <c r="B42" s="72" t="s">
        <v>34</v>
      </c>
      <c r="C42" s="73"/>
      <c r="D42" s="74">
        <v>-2298.0777127</v>
      </c>
      <c r="E42" s="74">
        <v>-57592.1255579747</v>
      </c>
      <c r="F42" s="20">
        <f t="shared" si="0"/>
        <v>25.061</v>
      </c>
    </row>
    <row r="43" spans="1:6" ht="13.5">
      <c r="A43" s="71" t="s">
        <v>31</v>
      </c>
      <c r="B43" s="72" t="s">
        <v>36</v>
      </c>
      <c r="C43" s="73"/>
      <c r="D43" s="74">
        <v>2298.0777127</v>
      </c>
      <c r="E43" s="74">
        <v>57592.1255579747</v>
      </c>
      <c r="F43" s="20">
        <f t="shared" si="0"/>
        <v>25.061</v>
      </c>
    </row>
    <row r="44" spans="1:6" ht="13.5">
      <c r="A44" s="71" t="s">
        <v>33</v>
      </c>
      <c r="B44" s="72" t="s">
        <v>92</v>
      </c>
      <c r="C44" s="73"/>
      <c r="D44" s="74">
        <v>-2836.64</v>
      </c>
      <c r="E44" s="74">
        <v>-43139.93</v>
      </c>
      <c r="F44" s="20">
        <f t="shared" si="0"/>
        <v>15.208108889390266</v>
      </c>
    </row>
    <row r="45" spans="1:6" ht="13.5">
      <c r="A45" s="71" t="s">
        <v>35</v>
      </c>
      <c r="B45" s="75" t="s">
        <v>38</v>
      </c>
      <c r="C45" s="73"/>
      <c r="D45" s="74">
        <v>0</v>
      </c>
      <c r="E45" s="74">
        <v>0</v>
      </c>
      <c r="F45" s="20">
        <f t="shared" si="0"/>
        <v>0</v>
      </c>
    </row>
    <row r="46" spans="1:6" ht="13.5">
      <c r="A46" s="71" t="s">
        <v>37</v>
      </c>
      <c r="B46" s="75" t="s">
        <v>40</v>
      </c>
      <c r="C46" s="76" t="s">
        <v>87</v>
      </c>
      <c r="D46" s="74">
        <v>507763.276</v>
      </c>
      <c r="E46" s="77">
        <f>SUM(E41:E45)</f>
        <v>15730854.286000002</v>
      </c>
      <c r="F46" s="65">
        <f t="shared" si="0"/>
        <v>30.98068534991885</v>
      </c>
    </row>
    <row r="47" spans="1:11" ht="13.5">
      <c r="A47" s="71" t="s">
        <v>39</v>
      </c>
      <c r="B47" s="78" t="s">
        <v>4</v>
      </c>
      <c r="C47" s="78"/>
      <c r="D47" s="78"/>
      <c r="E47" s="78"/>
      <c r="F47" s="37"/>
      <c r="G47" s="37"/>
      <c r="H47" s="37"/>
      <c r="I47" s="37"/>
      <c r="J47" s="37"/>
      <c r="K47" s="37"/>
    </row>
    <row r="48" spans="1:11" ht="14.25">
      <c r="A48" s="16" t="s">
        <v>93</v>
      </c>
      <c r="B48" s="38" t="s">
        <v>4</v>
      </c>
      <c r="C48"/>
      <c r="D48"/>
      <c r="E48"/>
      <c r="F48"/>
      <c r="G48" s="66" t="s">
        <v>4</v>
      </c>
      <c r="H48" s="67"/>
      <c r="I48" s="67" t="s">
        <v>4</v>
      </c>
      <c r="J48" s="67"/>
      <c r="K48"/>
    </row>
    <row r="49" spans="1:6" ht="12.75">
      <c r="A49" s="36" t="s">
        <v>4</v>
      </c>
      <c r="B49" s="3"/>
      <c r="C49" s="46"/>
      <c r="D49" s="19"/>
      <c r="E49" s="19"/>
      <c r="F49" s="39"/>
    </row>
    <row r="50" ht="14.25">
      <c r="A50"/>
    </row>
    <row r="53" spans="1:7" ht="14.25">
      <c r="A53"/>
      <c r="B53"/>
      <c r="C53"/>
      <c r="D53"/>
      <c r="E53"/>
      <c r="F53"/>
      <c r="G53"/>
    </row>
    <row r="54" spans="1:7" ht="14.25">
      <c r="A54"/>
      <c r="B54"/>
      <c r="C54"/>
      <c r="D54"/>
      <c r="E54"/>
      <c r="F54"/>
      <c r="G54"/>
    </row>
    <row r="55" spans="1:7" ht="14.25">
      <c r="A55"/>
      <c r="B55"/>
      <c r="C55"/>
      <c r="D55"/>
      <c r="E55"/>
      <c r="F55"/>
      <c r="G55"/>
    </row>
    <row r="56" spans="1:7" ht="14.25">
      <c r="A56"/>
      <c r="B56"/>
      <c r="C56"/>
      <c r="D56"/>
      <c r="E56"/>
      <c r="F56"/>
      <c r="G56"/>
    </row>
    <row r="57" spans="1:7" ht="14.25">
      <c r="A57"/>
      <c r="B57"/>
      <c r="C57"/>
      <c r="D57"/>
      <c r="E57"/>
      <c r="F57"/>
      <c r="G57"/>
    </row>
    <row r="58" spans="1:7" ht="14.25">
      <c r="A58"/>
      <c r="B58"/>
      <c r="C58"/>
      <c r="D58"/>
      <c r="E58"/>
      <c r="F58"/>
      <c r="G58"/>
    </row>
    <row r="59" spans="1:7" ht="14.25">
      <c r="A59"/>
      <c r="B59"/>
      <c r="C59"/>
      <c r="D59"/>
      <c r="E59"/>
      <c r="F59"/>
      <c r="G59"/>
    </row>
    <row r="60" spans="1:7" ht="14.25">
      <c r="A60"/>
      <c r="B60"/>
      <c r="C60"/>
      <c r="D60"/>
      <c r="E60"/>
      <c r="F60"/>
      <c r="G60"/>
    </row>
    <row r="61" ht="10.5">
      <c r="B61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E11" sqref="E1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May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10" t="str">
        <f>+'[6]INPUT SHEET'!B1</f>
        <v>May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56804</v>
      </c>
      <c r="E11" s="19">
        <v>1984479.8800000001</v>
      </c>
      <c r="F11" s="20">
        <v>34.93556580522499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114136.2+34780</f>
        <v>148916.2</v>
      </c>
      <c r="E12" s="56">
        <f>2752115.3145+954052</f>
        <v>3706167.3145</v>
      </c>
      <c r="F12" s="20">
        <f>E12/D12</f>
        <v>24.8876033265689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205720.2</v>
      </c>
      <c r="E13" s="19">
        <f>SUM(E11:E12)</f>
        <v>5690647.1945</v>
      </c>
      <c r="F13" s="20">
        <f>IF((E13=0),0,(IF((D13=0),0,(E13/D13))))</f>
        <v>27.662073021997838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56804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312404.038</v>
      </c>
      <c r="E16" s="19">
        <v>7760783.083</v>
      </c>
      <c r="F16" s="20">
        <v>24.84213434846831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30417.627</v>
      </c>
      <c r="E17" s="19">
        <v>1083155.17</v>
      </c>
      <c r="F17" s="20">
        <v>35.60945664827831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148915.8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30417.627</v>
      </c>
    </row>
    <row r="19" spans="2:15" ht="13.5">
      <c r="B19" s="23" t="s">
        <v>12</v>
      </c>
      <c r="C19" s="46"/>
      <c r="D19" s="19">
        <f>SUM(D16:D18)</f>
        <v>342821.665</v>
      </c>
      <c r="E19" s="24">
        <f>SUM(E16:E18)</f>
        <v>8843938.252999999</v>
      </c>
      <c r="F19" s="20">
        <f>IF((E19=0),0,(IF((D19=0),0,(E19/D19))))</f>
        <v>25.797489353538957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382139.537</v>
      </c>
    </row>
    <row r="21" spans="2:15" ht="13.5">
      <c r="B21" s="17" t="s">
        <v>17</v>
      </c>
      <c r="C21" s="46"/>
      <c r="D21" s="19">
        <f>D13+D19</f>
        <v>548541.865</v>
      </c>
      <c r="E21" s="19">
        <f>E13+E19</f>
        <v>14534585.447499998</v>
      </c>
      <c r="F21" s="20">
        <f>IF((E21=0),0,(IF((D21=0),0,(E21/D21))))</f>
        <v>26.496766017120677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561472.964</v>
      </c>
    </row>
    <row r="23" spans="2:15" ht="13.5">
      <c r="B23" s="12" t="s">
        <v>18</v>
      </c>
      <c r="C23" s="52"/>
      <c r="D23" s="19"/>
      <c r="E23" s="24">
        <f>E19+E12</f>
        <v>12550105.567499999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618276.964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170.282</v>
      </c>
      <c r="E26" s="19">
        <v>4710.342</v>
      </c>
      <c r="F26" s="20">
        <v>27.66200772835649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3925.986+2632</f>
        <v>6557.986</v>
      </c>
      <c r="E27" s="19">
        <f>85827.206+58153</f>
        <v>143980.206</v>
      </c>
      <c r="F27" s="20">
        <f>E27/D27</f>
        <v>21.954942569258307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18868.319</v>
      </c>
      <c r="E28" s="19">
        <v>776098.8899999999</v>
      </c>
      <c r="F28" s="20">
        <v>41.13238121530593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14576.067999999997</v>
      </c>
      <c r="E29" s="19">
        <v>375689.333</v>
      </c>
      <c r="F29" s="20">
        <v>25.774394919123598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91.132</v>
      </c>
      <c r="E30" s="19">
        <v>6436.387</v>
      </c>
      <c r="F30" s="20">
        <v>70.62707940130798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40263.787</v>
      </c>
      <c r="E31" s="19">
        <f>SUM(E26:E30)</f>
        <v>1306915.1579999998</v>
      </c>
      <c r="F31" s="20">
        <f>IF((E31=0),0,(IF((D31=0),0,(E31/D31))))</f>
        <v>32.458823557754265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19989.545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89918.493</v>
      </c>
    </row>
    <row r="33" spans="2:15" ht="13.5">
      <c r="B33" s="17" t="s">
        <v>24</v>
      </c>
      <c r="C33" s="46"/>
      <c r="D33" s="19">
        <f>D21-D31</f>
        <v>508278.078</v>
      </c>
      <c r="E33" s="19">
        <f>E21-E31</f>
        <v>13227670.289499998</v>
      </c>
      <c r="F33" s="20">
        <f>IF((E33=0),0,(IF((D33=0),0,(E33/D33))))</f>
        <v>26.024475306015457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91.132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109999.17</v>
      </c>
    </row>
    <row r="35" spans="1:15" ht="13.5">
      <c r="A35" s="16" t="s">
        <v>23</v>
      </c>
      <c r="B35" s="17" t="s">
        <v>26</v>
      </c>
      <c r="C35" s="46"/>
      <c r="D35" s="19">
        <f>+D31+D33</f>
        <v>548541.865</v>
      </c>
      <c r="E35" s="19">
        <f>+E31+E33</f>
        <v>14534585.447499998</v>
      </c>
      <c r="F35" s="20">
        <f>IF((E35=0),0,(IF((D35=0),0,(E35/D35))))</f>
        <v>26.496766017120677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508277.79400000005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618276.964</v>
      </c>
    </row>
    <row r="39" spans="1:15" ht="13.5">
      <c r="A39" s="16"/>
      <c r="B39" s="8" t="s">
        <v>28</v>
      </c>
      <c r="C39" s="46"/>
      <c r="D39" s="63">
        <f>D21-D31</f>
        <v>508278.078</v>
      </c>
      <c r="E39" s="63">
        <f>E21-E31</f>
        <v>13227670.289499998</v>
      </c>
      <c r="F39" s="64">
        <f aca="true" t="shared" si="0" ref="F39:F45">IF((E39=0),0,(IF((D39=0),0,(E39/D39))))</f>
        <v>26.024475306015457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-0.2839999999268912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508277.79400000005</v>
      </c>
      <c r="E41" s="19">
        <f>(SUM(E39))+E40</f>
        <v>13227670.289499998</v>
      </c>
      <c r="F41" s="20">
        <f t="shared" si="0"/>
        <v>26.0244898471799</v>
      </c>
    </row>
    <row r="42" spans="1:6" ht="13.5">
      <c r="A42" s="71" t="s">
        <v>29</v>
      </c>
      <c r="B42" s="72" t="s">
        <v>34</v>
      </c>
      <c r="C42" s="73"/>
      <c r="D42" s="74">
        <v>2093.7955426</v>
      </c>
      <c r="E42" s="74">
        <v>56931.35135898659</v>
      </c>
      <c r="F42" s="20">
        <f t="shared" si="0"/>
        <v>27.190501747028886</v>
      </c>
    </row>
    <row r="43" spans="1:6" ht="13.5">
      <c r="A43" s="71" t="s">
        <v>31</v>
      </c>
      <c r="B43" s="72" t="s">
        <v>36</v>
      </c>
      <c r="C43" s="73"/>
      <c r="D43" s="74">
        <v>-2093.7955426</v>
      </c>
      <c r="E43" s="74">
        <v>-56931.35135898659</v>
      </c>
      <c r="F43" s="20">
        <f t="shared" si="0"/>
        <v>27.190501747028886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508277.79400000005</v>
      </c>
      <c r="E45" s="77">
        <f>SUM(E41:E44)</f>
        <v>13227670.289499998</v>
      </c>
      <c r="F45" s="65">
        <f t="shared" si="0"/>
        <v>26.0244898471799</v>
      </c>
    </row>
    <row r="46" spans="1:6" ht="13.5">
      <c r="A46" s="16" t="s">
        <v>37</v>
      </c>
      <c r="B46" s="37" t="s">
        <v>4</v>
      </c>
      <c r="C46" s="37"/>
      <c r="D46" s="37"/>
      <c r="E46" s="37"/>
      <c r="F46" s="37"/>
    </row>
    <row r="47" spans="1:11" ht="14.2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4.2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4.25">
      <c r="A49"/>
    </row>
    <row r="52" spans="1:8" ht="14.25">
      <c r="A52"/>
      <c r="B52"/>
      <c r="C52"/>
      <c r="D52"/>
      <c r="E52"/>
      <c r="F52"/>
      <c r="G52"/>
      <c r="H52"/>
    </row>
    <row r="53" spans="1:8" ht="14.25">
      <c r="A53"/>
      <c r="B53"/>
      <c r="C53"/>
      <c r="D53"/>
      <c r="E53"/>
      <c r="F53"/>
      <c r="G53"/>
      <c r="H53"/>
    </row>
    <row r="54" spans="1:8" ht="14.25">
      <c r="A54"/>
      <c r="B54"/>
      <c r="C54"/>
      <c r="D54"/>
      <c r="E54"/>
      <c r="F54"/>
      <c r="G54"/>
      <c r="H54"/>
    </row>
    <row r="55" spans="1:8" ht="14.25">
      <c r="A55"/>
      <c r="B55"/>
      <c r="C55"/>
      <c r="D55"/>
      <c r="E55"/>
      <c r="F55"/>
      <c r="G55"/>
      <c r="H55"/>
    </row>
    <row r="56" spans="1:8" ht="14.25">
      <c r="A56"/>
      <c r="B56"/>
      <c r="C56"/>
      <c r="D56"/>
      <c r="E56"/>
      <c r="F56"/>
      <c r="G56"/>
      <c r="H56"/>
    </row>
    <row r="57" spans="1:8" ht="14.25">
      <c r="A57"/>
      <c r="B57"/>
      <c r="C57"/>
      <c r="D57"/>
      <c r="E57"/>
      <c r="F57"/>
      <c r="G57"/>
      <c r="H57"/>
    </row>
    <row r="58" spans="1:8" ht="14.25">
      <c r="A58"/>
      <c r="B58"/>
      <c r="C58"/>
      <c r="D58"/>
      <c r="E58"/>
      <c r="F58"/>
      <c r="G58"/>
      <c r="H58"/>
    </row>
    <row r="59" spans="1:8" ht="14.25">
      <c r="A59"/>
      <c r="B59"/>
      <c r="C59"/>
      <c r="D59"/>
      <c r="E59"/>
      <c r="F59"/>
      <c r="G59"/>
      <c r="H59"/>
    </row>
    <row r="60" ht="10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E29" sqref="E29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June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+'[7]INPUT SHEET'!B1</f>
        <v>June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117583</v>
      </c>
      <c r="E11" s="19">
        <v>4565301.46</v>
      </c>
      <c r="F11" s="20">
        <v>38.8262032776847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64342+100108</f>
        <v>164450</v>
      </c>
      <c r="E12" s="56">
        <f>1657032.7755+2587388</f>
        <v>4244420.7754999995</v>
      </c>
      <c r="F12" s="20">
        <f>E12/D12</f>
        <v>25.80979492550927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282033</v>
      </c>
      <c r="E13" s="19">
        <f>SUM(E11:E12)</f>
        <v>8809722.2355</v>
      </c>
      <c r="F13" s="20">
        <f>IF((E13=0),0,(IF((D13=0),0,(E13/D13))))</f>
        <v>31.236494436821225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117583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339467.989</v>
      </c>
      <c r="E16" s="19">
        <v>7961858.63</v>
      </c>
      <c r="F16" s="20">
        <v>23.453930526568737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17500.513</v>
      </c>
      <c r="E17" s="19">
        <v>601077.62</v>
      </c>
      <c r="F17" s="20">
        <v>34.34628573459533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164450.55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17500.513</v>
      </c>
    </row>
    <row r="19" spans="2:15" ht="13.5">
      <c r="B19" s="23" t="s">
        <v>12</v>
      </c>
      <c r="C19" s="46"/>
      <c r="D19" s="19">
        <f>SUM(D16:D18)</f>
        <v>356968.502</v>
      </c>
      <c r="E19" s="24">
        <f>SUM(E16:E18)</f>
        <v>8562936.25</v>
      </c>
      <c r="F19" s="20">
        <f>IF((E19=0),0,(IF((D19=0),0,(E19/D19))))</f>
        <v>23.987932274203846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471998.151</v>
      </c>
    </row>
    <row r="21" spans="2:15" ht="13.5">
      <c r="B21" s="17" t="s">
        <v>17</v>
      </c>
      <c r="C21" s="46"/>
      <c r="D21" s="19">
        <f>D13+D19</f>
        <v>639001.502</v>
      </c>
      <c r="E21" s="19">
        <f>E13+E19</f>
        <v>17372658.4855</v>
      </c>
      <c r="F21" s="20">
        <f>IF((E21=0),0,(IF((D21=0),0,(E21/D21))))</f>
        <v>27.18719507094367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v>653949.214</v>
      </c>
    </row>
    <row r="23" spans="2:15" ht="13.5">
      <c r="B23" s="12" t="s">
        <v>18</v>
      </c>
      <c r="C23" s="52"/>
      <c r="D23" s="19"/>
      <c r="E23" s="24">
        <f>E12+E19</f>
        <v>12807357.0255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v>771532.214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18326.385+21560</f>
        <v>39886.384999999995</v>
      </c>
      <c r="E27" s="19">
        <f>412956.898+485037</f>
        <v>897993.898</v>
      </c>
      <c r="F27" s="20">
        <v>22.53346189114765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13819.028999999999</v>
      </c>
      <c r="E28" s="19">
        <v>503976.9</v>
      </c>
      <c r="F28" s="20">
        <f>E28/D28</f>
        <v>36.46977656679062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46137.005000000005</v>
      </c>
      <c r="E29" s="19">
        <v>1417882.6349999981</v>
      </c>
      <c r="F29" s="20">
        <v>30.732004277260693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78.945</v>
      </c>
      <c r="E30" s="19">
        <v>1991.139</v>
      </c>
      <c r="F30" s="20">
        <v>25.221850655519667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99921.364</v>
      </c>
      <c r="E31" s="19">
        <f>SUM(E26:E30)</f>
        <v>2821844.5719999983</v>
      </c>
      <c r="F31" s="20">
        <f>IF((E31=0),0,(IF((D31=0),0,(E31/D31))))</f>
        <v>28.240653039924457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80670.185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151702.15500000003</v>
      </c>
    </row>
    <row r="33" spans="2:15" ht="13.5">
      <c r="B33" s="17" t="s">
        <v>24</v>
      </c>
      <c r="C33" s="46"/>
      <c r="D33" s="19">
        <f>D21-D31</f>
        <v>539080.138</v>
      </c>
      <c r="E33" s="19">
        <f>E21-E31</f>
        <v>14550813.913500002</v>
      </c>
      <c r="F33" s="20">
        <f>IF((E33=0),0,(IF((D33=0),0,(E33/D33))))</f>
        <v>26.99193104662298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78.945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232451.28500000003</v>
      </c>
    </row>
    <row r="35" spans="1:15" ht="13.5">
      <c r="A35" s="16" t="s">
        <v>23</v>
      </c>
      <c r="B35" s="17" t="s">
        <v>26</v>
      </c>
      <c r="C35" s="46"/>
      <c r="D35" s="19">
        <f>+D31+D33</f>
        <v>639001.5020000001</v>
      </c>
      <c r="E35" s="19">
        <f>+E31+E33</f>
        <v>17372658.4855</v>
      </c>
      <c r="F35" s="20">
        <f>IF((E35=0),0,(IF((D35=0),0,(E35/D35))))</f>
        <v>27.187195070943663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539080.929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771532.214</v>
      </c>
    </row>
    <row r="39" spans="1:15" ht="13.5">
      <c r="A39" s="16"/>
      <c r="B39" s="8" t="s">
        <v>28</v>
      </c>
      <c r="C39" s="46"/>
      <c r="D39" s="63">
        <f>D21-D31</f>
        <v>539080.138</v>
      </c>
      <c r="E39" s="63">
        <f>E21-E31</f>
        <v>14550813.913500002</v>
      </c>
      <c r="F39" s="64">
        <f aca="true" t="shared" si="0" ref="F39:F45">IF((E39=0),0,(IF((D39=0),0,(E39/D39))))</f>
        <v>26.99193104662298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0.790999999968335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539080.929</v>
      </c>
      <c r="E41" s="19">
        <f>(SUM(E39))+E40</f>
        <v>14550813.913500002</v>
      </c>
      <c r="F41" s="20">
        <f t="shared" si="0"/>
        <v>26.991891441034454</v>
      </c>
    </row>
    <row r="42" spans="1:6" ht="13.5">
      <c r="A42" s="71" t="s">
        <v>29</v>
      </c>
      <c r="B42" s="72" t="s">
        <v>34</v>
      </c>
      <c r="C42" s="73"/>
      <c r="D42" s="74">
        <v>-736</v>
      </c>
      <c r="E42" s="74">
        <v>-19020</v>
      </c>
      <c r="F42" s="20">
        <f t="shared" si="0"/>
        <v>25.842391304347824</v>
      </c>
    </row>
    <row r="43" spans="1:6" ht="13.5">
      <c r="A43" s="71" t="s">
        <v>31</v>
      </c>
      <c r="B43" s="72" t="s">
        <v>36</v>
      </c>
      <c r="C43" s="73"/>
      <c r="D43" s="74">
        <v>736</v>
      </c>
      <c r="E43" s="74">
        <v>19020</v>
      </c>
      <c r="F43" s="20">
        <f t="shared" si="0"/>
        <v>25.842391304347824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539080.929</v>
      </c>
      <c r="E45" s="77">
        <f>SUM(E41:E44)</f>
        <v>14550813.913500002</v>
      </c>
      <c r="F45" s="65">
        <f t="shared" si="0"/>
        <v>26.991891441034454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4.2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4.2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4.25">
      <c r="A49"/>
    </row>
    <row r="54" spans="2:7" ht="14.25">
      <c r="B54"/>
      <c r="C54"/>
      <c r="D54"/>
      <c r="E54"/>
      <c r="F54"/>
      <c r="G54"/>
    </row>
    <row r="55" spans="2:7" ht="14.25">
      <c r="B55"/>
      <c r="C55"/>
      <c r="D55"/>
      <c r="E55"/>
      <c r="F55"/>
      <c r="G55"/>
    </row>
    <row r="56" spans="2:7" ht="14.25">
      <c r="B56"/>
      <c r="C56"/>
      <c r="D56"/>
      <c r="E56"/>
      <c r="F56"/>
      <c r="G56"/>
    </row>
    <row r="57" spans="2:7" ht="14.25">
      <c r="B57"/>
      <c r="C57"/>
      <c r="D57"/>
      <c r="E57"/>
      <c r="F57"/>
      <c r="G57"/>
    </row>
    <row r="58" spans="2:7" ht="14.25">
      <c r="B58"/>
      <c r="C58"/>
      <c r="D58"/>
      <c r="E58"/>
      <c r="F58"/>
      <c r="G58"/>
    </row>
    <row r="59" ht="10.5">
      <c r="B59" s="6" t="s">
        <v>4</v>
      </c>
    </row>
    <row r="60" ht="10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E11" sqref="E1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42088.424433796295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July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+'[8]INPUT SHEET'!B1</f>
        <v>July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129852</v>
      </c>
      <c r="E11" s="19">
        <v>4803971.859999999</v>
      </c>
      <c r="F11" s="20">
        <v>36.9957479284108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v>252456.2</v>
      </c>
      <c r="E12" s="56">
        <v>6292779.2875</v>
      </c>
      <c r="F12" s="20">
        <f>E12/D12</f>
        <v>24.926222004054562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382308.2</v>
      </c>
      <c r="E13" s="19">
        <f>SUM(E11:E12)</f>
        <v>11096751.147499999</v>
      </c>
      <c r="F13" s="20">
        <f>IF((E13=0),0,(IF((D13=0),0,(E13/D13))))</f>
        <v>29.025668681707582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129852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323767.317</v>
      </c>
      <c r="E16" s="19">
        <v>7553271.726</v>
      </c>
      <c r="F16" s="20">
        <v>23.329321180371025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22622.764000000003</v>
      </c>
      <c r="E17" s="19">
        <v>1076674.0299999998</v>
      </c>
      <c r="F17" s="20">
        <v>47.592505937824384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252456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22622.764000000003</v>
      </c>
    </row>
    <row r="19" spans="2:15" ht="13.5">
      <c r="B19" s="23" t="s">
        <v>12</v>
      </c>
      <c r="C19" s="46"/>
      <c r="D19" s="19">
        <f>SUM(D16:D18)</f>
        <v>346390.081</v>
      </c>
      <c r="E19" s="24">
        <f>SUM(E16:E18)</f>
        <v>8629945.756</v>
      </c>
      <c r="F19" s="20">
        <f>IF((E19=0),0,(IF((D19=0),0,(E19/D19))))</f>
        <v>24.913951724847454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514324.121</v>
      </c>
    </row>
    <row r="21" spans="2:15" ht="13.5">
      <c r="B21" s="17" t="s">
        <v>17</v>
      </c>
      <c r="C21" s="46"/>
      <c r="D21" s="19">
        <f>D13+D19</f>
        <v>728698.281</v>
      </c>
      <c r="E21" s="19">
        <f>E13+E19</f>
        <v>19726696.9035</v>
      </c>
      <c r="F21" s="20">
        <f>IF((E21=0),0,(IF((D21=0),0,(E21/D21))))</f>
        <v>27.071145106077175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v>789402.885</v>
      </c>
    </row>
    <row r="23" spans="2:15" ht="13.5">
      <c r="B23" s="12" t="s">
        <v>18</v>
      </c>
      <c r="C23" s="52"/>
      <c r="D23" s="19"/>
      <c r="E23" s="24">
        <f>E12+E19</f>
        <v>14922725.043499999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919254.885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2.359</v>
      </c>
      <c r="E26" s="19">
        <v>68.473</v>
      </c>
      <c r="F26" s="20">
        <v>29.02628232301823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42083.655+35835</f>
        <v>77918.655</v>
      </c>
      <c r="E27" s="19">
        <f>958831.932999998+810916</f>
        <v>1769747.9329999979</v>
      </c>
      <c r="F27" s="20">
        <v>22.783950989998317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19689.267</v>
      </c>
      <c r="E28" s="19">
        <v>1022279.47</v>
      </c>
      <c r="F28" s="20">
        <f>E28/D28</f>
        <v>51.920646411062435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63712.15500000003</v>
      </c>
      <c r="E29" s="19">
        <v>1993187.0730000036</v>
      </c>
      <c r="F29" s="20">
        <v>31.284251380290037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156.26</v>
      </c>
      <c r="E30" s="19">
        <v>7509.833</v>
      </c>
      <c r="F30" s="20">
        <v>48.05985536925637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161478.69600000003</v>
      </c>
      <c r="E31" s="19">
        <f>SUM(E26:E30)</f>
        <v>4792792.782000001</v>
      </c>
      <c r="F31" s="20">
        <f>IF((E31=0),0,(IF((D31=0),0,(E31/D31))))</f>
        <v>29.6806507652254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132784.308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219094.777</v>
      </c>
    </row>
    <row r="33" spans="2:15" ht="13.5">
      <c r="B33" s="17" t="s">
        <v>24</v>
      </c>
      <c r="C33" s="46"/>
      <c r="D33" s="19">
        <f>D21-D31</f>
        <v>567219.585</v>
      </c>
      <c r="E33" s="19">
        <f>E21-E31</f>
        <v>14933904.121499997</v>
      </c>
      <c r="F33" s="20">
        <f>IF((E33=0),0,(IF((D33=0),0,(E33/D33))))</f>
        <v>26.32825896076913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156.26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352035.345</v>
      </c>
    </row>
    <row r="35" spans="1:15" ht="13.5">
      <c r="A35" s="16" t="s">
        <v>23</v>
      </c>
      <c r="B35" s="17" t="s">
        <v>26</v>
      </c>
      <c r="C35" s="46"/>
      <c r="D35" s="19">
        <f>+D31+D33</f>
        <v>728698.281</v>
      </c>
      <c r="E35" s="19">
        <f>+E31+E33</f>
        <v>19726696.9035</v>
      </c>
      <c r="F35" s="20">
        <f>IF((E35=0),0,(IF((D35=0),0,(E35/D35))))</f>
        <v>27.071145106077175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567219.54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919254.885</v>
      </c>
    </row>
    <row r="39" spans="1:15" ht="13.5">
      <c r="A39" s="16"/>
      <c r="B39" s="8" t="s">
        <v>28</v>
      </c>
      <c r="C39" s="46"/>
      <c r="D39" s="63">
        <f>D21-D31</f>
        <v>567219.585</v>
      </c>
      <c r="E39" s="63">
        <f>E21-E31</f>
        <v>14933904.121499997</v>
      </c>
      <c r="F39" s="64">
        <f aca="true" t="shared" si="0" ref="F39:F45">IF((E39=0),0,(IF((D39=0),0,(E39/D39))))</f>
        <v>26.32825896076913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-0.044999999925494194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567219.54</v>
      </c>
      <c r="E41" s="19">
        <f>(SUM(E39))+E40</f>
        <v>14933904.121499997</v>
      </c>
      <c r="F41" s="20">
        <f t="shared" si="0"/>
        <v>26.32826104950474</v>
      </c>
    </row>
    <row r="42" spans="1:6" ht="13.5">
      <c r="A42" s="71" t="s">
        <v>29</v>
      </c>
      <c r="B42" s="72" t="s">
        <v>34</v>
      </c>
      <c r="C42" s="73"/>
      <c r="D42" s="74">
        <v>-1554.9335424000003</v>
      </c>
      <c r="E42" s="74">
        <v>-40642.85196668621</v>
      </c>
      <c r="F42" s="20">
        <f t="shared" si="0"/>
        <v>26.137999379674454</v>
      </c>
    </row>
    <row r="43" spans="1:6" ht="13.5">
      <c r="A43" s="71" t="s">
        <v>31</v>
      </c>
      <c r="B43" s="72" t="s">
        <v>36</v>
      </c>
      <c r="C43" s="73"/>
      <c r="D43" s="74">
        <v>1554.9335424000003</v>
      </c>
      <c r="E43" s="74">
        <v>40642.85196668621</v>
      </c>
      <c r="F43" s="20">
        <f t="shared" si="0"/>
        <v>26.137999379674454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567219.54</v>
      </c>
      <c r="E45" s="77">
        <f>SUM(E41:E44)</f>
        <v>14933904.121499997</v>
      </c>
      <c r="F45" s="65">
        <f t="shared" si="0"/>
        <v>26.32826104950474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4.2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4.2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4.25">
      <c r="A49"/>
    </row>
    <row r="52" spans="2:8" ht="14.25">
      <c r="B52"/>
      <c r="C52"/>
      <c r="D52"/>
      <c r="E52"/>
      <c r="F52"/>
      <c r="G52"/>
      <c r="H52"/>
    </row>
    <row r="53" spans="2:8" ht="14.25">
      <c r="B53"/>
      <c r="C53"/>
      <c r="D53"/>
      <c r="E53"/>
      <c r="F53"/>
      <c r="G53"/>
      <c r="H53"/>
    </row>
    <row r="54" spans="2:8" ht="14.25">
      <c r="B54"/>
      <c r="C54"/>
      <c r="D54"/>
      <c r="E54"/>
      <c r="F54"/>
      <c r="G54"/>
      <c r="H54"/>
    </row>
    <row r="55" spans="2:8" ht="14.25">
      <c r="B55"/>
      <c r="C55"/>
      <c r="D55"/>
      <c r="E55"/>
      <c r="F55"/>
      <c r="G55"/>
      <c r="H55"/>
    </row>
    <row r="56" spans="2:8" ht="14.25">
      <c r="B56"/>
      <c r="C56"/>
      <c r="D56"/>
      <c r="E56"/>
      <c r="F56"/>
      <c r="G56"/>
      <c r="H56"/>
    </row>
    <row r="57" spans="2:8" ht="14.25">
      <c r="B57"/>
      <c r="C57"/>
      <c r="D57"/>
      <c r="E57"/>
      <c r="F57"/>
      <c r="G57"/>
      <c r="H57"/>
    </row>
    <row r="58" spans="2:8" ht="14.25">
      <c r="B58"/>
      <c r="C58"/>
      <c r="D58"/>
      <c r="E58"/>
      <c r="F58"/>
      <c r="G58"/>
      <c r="H58"/>
    </row>
    <row r="59" spans="2:8" ht="14.25">
      <c r="B59"/>
      <c r="C59"/>
      <c r="D59"/>
      <c r="E59"/>
      <c r="F59"/>
      <c r="G59"/>
      <c r="H59"/>
    </row>
    <row r="60" spans="2:8" ht="14.25">
      <c r="B60"/>
      <c r="C60"/>
      <c r="D60"/>
      <c r="E60"/>
      <c r="F60"/>
      <c r="G60"/>
      <c r="H60"/>
    </row>
    <row r="61" spans="2:8" ht="14.25">
      <c r="B61"/>
      <c r="C61"/>
      <c r="D61"/>
      <c r="E61"/>
      <c r="F61"/>
      <c r="G61"/>
      <c r="H61"/>
    </row>
    <row r="62" spans="2:8" ht="14.25">
      <c r="B62"/>
      <c r="C62"/>
      <c r="D62"/>
      <c r="E62"/>
      <c r="F62"/>
      <c r="G62"/>
      <c r="H62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2014-06-25T16:05:33Z</dcterms:created>
  <dcterms:modified xsi:type="dcterms:W3CDTF">2015-03-25T14:11:38Z</dcterms:modified>
  <cp:category/>
  <cp:version/>
  <cp:contentType/>
  <cp:contentStatus/>
</cp:coreProperties>
</file>