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3"/>
  </bookViews>
  <sheets>
    <sheet name="Nov 2012-Dec 2013" sheetId="1" r:id="rId1"/>
    <sheet name="Jan 2014 - Oct 2014" sheetId="2" r:id="rId2"/>
    <sheet name="CHART" sheetId="3" r:id="rId3"/>
    <sheet name="Jan 2014 - Oct 2014 (short)" sheetId="4" r:id="rId4"/>
    <sheet name="Jan 2014 - Dec 2014 (KPSC 2-3)" sheetId="5" r:id="rId5"/>
    <sheet name="KPSC 2-3 att 1" sheetId="6" r:id="rId6"/>
    <sheet name="November 2012" sheetId="7" r:id="rId7"/>
    <sheet name="December 2012" sheetId="8" r:id="rId8"/>
    <sheet name="January 2013" sheetId="9" r:id="rId9"/>
    <sheet name="February 2013" sheetId="10" r:id="rId10"/>
    <sheet name="March 2013" sheetId="11" r:id="rId11"/>
    <sheet name="April 2013" sheetId="12" r:id="rId12"/>
    <sheet name="May 2013" sheetId="13" r:id="rId13"/>
    <sheet name="June 2013" sheetId="14" r:id="rId14"/>
    <sheet name="July 2013" sheetId="15" r:id="rId15"/>
    <sheet name="August 2013" sheetId="16" r:id="rId16"/>
    <sheet name="September 2013" sheetId="17" r:id="rId17"/>
    <sheet name="October 2013" sheetId="18" r:id="rId18"/>
    <sheet name="November 2013" sheetId="19" r:id="rId19"/>
    <sheet name="December 2013" sheetId="20" r:id="rId20"/>
    <sheet name="January 2014" sheetId="21" r:id="rId21"/>
    <sheet name="February 2014" sheetId="22" r:id="rId22"/>
    <sheet name="March 2014" sheetId="23" r:id="rId23"/>
    <sheet name="April 2014" sheetId="24" r:id="rId24"/>
    <sheet name="May 2014" sheetId="25" r:id="rId25"/>
    <sheet name="June 2014" sheetId="26" r:id="rId26"/>
    <sheet name="July 2014" sheetId="27" r:id="rId27"/>
    <sheet name="August 2014" sheetId="28" r:id="rId28"/>
    <sheet name="September 2014" sheetId="29" r:id="rId29"/>
    <sheet name="October 2014" sheetId="30" r:id="rId30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xlfn.IFERROR" hidden="1">#NAME?</definedName>
    <definedName name="_xlnm.Print_Area" localSheetId="3">'Jan 2014 - Oct 2014 (short)'!$O$21:$V$31</definedName>
  </definedNames>
  <calcPr fullCalcOnLoad="1"/>
</workbook>
</file>

<file path=xl/comments1.xml><?xml version="1.0" encoding="utf-8"?>
<comments xmlns="http://schemas.openxmlformats.org/spreadsheetml/2006/main">
  <authors>
    <author>American Electric Power?</author>
    <author>s129520</author>
  </authors>
  <commentList>
    <comment ref="AM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AN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AM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AN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AM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AN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AM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AN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AM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AN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AM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AN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AM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AN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AM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AN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AM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AN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AM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AN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AM46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  <comment ref="BA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BB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BA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BB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BA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BB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BA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BB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BA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BB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BA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BB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BA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BB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BA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BB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BA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BB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BA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BB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BA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6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19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29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0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9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2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4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O13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6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O13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O13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O13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O13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O13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O13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O13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O13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O13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  <comment ref="E57" authorId="0">
      <text>
        <r>
          <rPr>
            <b/>
            <u val="single"/>
            <sz val="8"/>
            <color indexed="10"/>
            <rFont val="Times New Roman"/>
            <family val="1"/>
          </rPr>
          <t>Source 17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(Estimated 151$ Fuel Cost)</t>
        </r>
        <r>
          <rPr>
            <b/>
            <sz val="8"/>
            <rFont val="Times New Roman"/>
            <family val="1"/>
          </rPr>
          <t xml:space="preserve">
KPCO Section
Forecast 151$ column
Total Big Sandy + RP AEG1 + RP AEG2</t>
        </r>
      </text>
    </comment>
  </commentList>
</comments>
</file>

<file path=xl/comments8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E12" authorId="0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(Actual 151$ Fuel Cost)</t>
        </r>
        <r>
          <rPr>
            <b/>
            <sz val="8"/>
            <rFont val="Times New Roman"/>
            <family val="1"/>
          </rPr>
          <t xml:space="preserve">
KPCO section
Forecast 151$ Column
RP AEG1</t>
        </r>
      </text>
    </comment>
    <comment ref="O13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AEG1 (right before total)</t>
        </r>
      </text>
    </comment>
    <comment ref="E27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AEG1 (right before total)
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2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3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  <comment ref="E57" authorId="0">
      <text>
        <r>
          <rPr>
            <b/>
            <u val="single"/>
            <sz val="8"/>
            <color indexed="10"/>
            <rFont val="Times New Roman"/>
            <family val="1"/>
          </rPr>
          <t>Source 17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(Estimated 151$ Fuel Cost)</t>
        </r>
        <r>
          <rPr>
            <b/>
            <sz val="8"/>
            <rFont val="Times New Roman"/>
            <family val="1"/>
          </rPr>
          <t xml:space="preserve">
KPCO Section
Forecast 151$ column
Total Big Sandy + RP AEG1 + RP AEG2</t>
        </r>
      </text>
    </comment>
  </commentList>
</comments>
</file>

<file path=xl/comments9.xml><?xml version="1.0" encoding="utf-8"?>
<comments xmlns="http://schemas.openxmlformats.org/spreadsheetml/2006/main">
  <authors>
    <author>American Electric Power?</author>
    <author>s129520</author>
  </authors>
  <commentList>
    <comment ref="D11" authorId="0">
      <text>
        <r>
          <rPr>
            <b/>
            <u val="single"/>
            <sz val="8"/>
            <color indexed="10"/>
            <rFont val="Times New Roman"/>
            <family val="1"/>
          </rPr>
          <t>Source 1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(CA-AEPEAST)</t>
        </r>
        <r>
          <rPr>
            <b/>
            <sz val="8"/>
            <rFont val="Times New Roman"/>
            <family val="1"/>
          </rPr>
          <t xml:space="preserve">
APCO/KPCO Steam section
Net MWH column
Total Big Sandy</t>
        </r>
      </text>
    </comment>
    <comment ref="E11" authorId="1">
      <text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7"/>
            <rFont val="Times New Roman"/>
            <family val="1"/>
          </rPr>
          <t xml:space="preserve"> (Actual 151$ Fuel Cost)</t>
        </r>
        <r>
          <rPr>
            <b/>
            <sz val="8"/>
            <rFont val="Times New Roman"/>
            <family val="1"/>
          </rPr>
          <t xml:space="preserve">
KPCO section
Forecast 151$ column
Big Sandy</t>
        </r>
        <r>
          <rPr>
            <b/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top section of Economy page (received))
Receiving member - KPCO
MWH column
Total Kentucky</t>
        </r>
      </text>
    </comment>
    <comment ref="E1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(Top section of Primary page (received) </t>
        </r>
        <r>
          <rPr>
            <b/>
            <sz val="8"/>
            <color indexed="12"/>
            <rFont val="Times New Roman"/>
            <family val="1"/>
          </rPr>
          <t xml:space="preserve">PLUS
</t>
        </r>
        <r>
          <rPr>
            <b/>
            <sz val="8"/>
            <rFont val="Times New Roman"/>
            <family val="1"/>
          </rPr>
          <t xml:space="preserve"> top section of Economy page (received))
Receiving member - KPCO
Charge ($) column
Total Kentucky</t>
        </r>
      </text>
    </comment>
    <comment ref="O16" authorId="0">
      <text>
        <r>
          <rPr>
            <b/>
            <u val="single"/>
            <sz val="8"/>
            <color indexed="10"/>
            <rFont val="Times New Roman"/>
            <family val="1"/>
          </rPr>
          <t>Source 4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 xml:space="preserve">(ECRRGEN2)
</t>
        </r>
        <r>
          <rPr>
            <b/>
            <sz val="8"/>
            <rFont val="Times New Roman"/>
            <family val="1"/>
          </rPr>
          <t>Rockport 1 Kentucky's portion
Total for Period (bottom right corner)</t>
        </r>
      </text>
    </comment>
    <comment ref="D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E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Fuel Cost column
Total Cash - Kentucky</t>
        </r>
      </text>
    </comment>
    <comment ref="O17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Total MWH column
Total Cash - Kentucky</t>
        </r>
      </text>
    </comment>
    <comment ref="D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E18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7"/>
            <rFont val="Times New Roman"/>
            <family val="1"/>
          </rPr>
          <t xml:space="preserve"> (Interruptibles)</t>
        </r>
        <r>
          <rPr>
            <b/>
            <sz val="8"/>
            <rFont val="Times New Roman"/>
            <family val="1"/>
          </rPr>
          <t xml:space="preserve">
151 Cost Section
Total Receive - KPCO
</t>
        </r>
      </text>
    </comment>
    <comment ref="O19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Receiving member - KPCO
MWH column
Total Appalachian</t>
        </r>
      </text>
    </comment>
    <comment ref="O2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MWH section
Total receive - KPCO
</t>
        </r>
      </text>
    </comment>
    <comment ref="D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MWH column
Total Kentucky</t>
        </r>
      </text>
    </comment>
    <comment ref="E26" authorId="0">
      <text>
        <r>
          <rPr>
            <b/>
            <u val="single"/>
            <sz val="8"/>
            <color indexed="10"/>
            <rFont val="Times New Roman"/>
            <family val="1"/>
          </rPr>
          <t>Source 5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(Primary/Economy sheets - IPS)</t>
        </r>
        <r>
          <rPr>
            <b/>
            <sz val="8"/>
            <rFont val="Times New Roman"/>
            <family val="1"/>
          </rPr>
          <t xml:space="preserve">
Bottom section of Primary page (delivered) </t>
        </r>
        <r>
          <rPr>
            <b/>
            <sz val="8"/>
            <color indexed="12"/>
            <rFont val="Times New Roman"/>
            <family val="1"/>
          </rPr>
          <t>PLUS</t>
        </r>
        <r>
          <rPr>
            <b/>
            <sz val="8"/>
            <rFont val="Times New Roman"/>
            <family val="1"/>
          </rPr>
          <t xml:space="preserve">
bottom section of Economy page (delivered)
Credit ($) column
Total Kentucky</t>
        </r>
      </text>
    </comment>
    <comment ref="D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MWH column
Total Cash - Kentucky</t>
        </r>
      </text>
    </comment>
    <comment ref="E28" authorId="0">
      <text>
        <r>
          <rPr>
            <b/>
            <u val="single"/>
            <sz val="8"/>
            <color indexed="10"/>
            <rFont val="Times New Roman"/>
            <family val="1"/>
          </rPr>
          <t>Source 2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(ECRFC200)</t>
        </r>
        <r>
          <rPr>
            <b/>
            <sz val="8"/>
            <rFont val="Times New Roman"/>
            <family val="1"/>
          </rPr>
          <t xml:space="preserve">
Kentucky Power section
Allocated Fuel Cost column
Total Cash - Kentucky</t>
        </r>
      </text>
    </comment>
    <comment ref="D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Allocated MWH column
Total Kentucky units</t>
        </r>
      </text>
    </comment>
    <comment ref="E29" authorId="0">
      <text>
        <r>
          <rPr>
            <b/>
            <u val="single"/>
            <sz val="8"/>
            <color indexed="10"/>
            <rFont val="Times New Roman"/>
            <family val="1"/>
          </rPr>
          <t>Source 3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(ECRM422P)</t>
        </r>
        <r>
          <rPr>
            <b/>
            <sz val="8"/>
            <rFont val="Times New Roman"/>
            <family val="1"/>
          </rPr>
          <t xml:space="preserve">
Kentucky Power section
151 column
Total Kentucky units
</t>
        </r>
        <r>
          <rPr>
            <b/>
            <u val="single"/>
            <sz val="8"/>
            <color indexed="12"/>
            <rFont val="Times New Roman"/>
            <family val="1"/>
          </rPr>
          <t>LESS</t>
        </r>
        <r>
          <rPr>
            <b/>
            <sz val="8"/>
            <color indexed="12"/>
            <rFont val="Times New Roman"/>
            <family val="1"/>
          </rPr>
          <t xml:space="preserve"> 
</t>
        </r>
        <r>
          <rPr>
            <b/>
            <u val="single"/>
            <sz val="8"/>
            <color indexed="10"/>
            <rFont val="Times New Roman"/>
            <family val="1"/>
          </rPr>
          <t>Source 16</t>
        </r>
        <r>
          <rPr>
            <b/>
            <sz val="8"/>
            <color indexed="12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>consumables (chemicals)</t>
        </r>
      </text>
    </comment>
    <comment ref="O29" authorId="0">
      <text>
        <r>
          <rPr>
            <b/>
            <u val="single"/>
            <sz val="8"/>
            <color indexed="10"/>
            <rFont val="Times New Roman"/>
            <family val="1"/>
          </rPr>
          <t>Source 19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(Summary of Energy Settlementy sheets - IPS)</t>
        </r>
        <r>
          <rPr>
            <b/>
            <sz val="8"/>
            <rFont val="Times New Roman"/>
            <family val="1"/>
          </rPr>
          <t xml:space="preserve">
(Bottom section of Settlements page 4) 
Deliver member - KPCO
MWH column
Total Appalachian</t>
        </r>
      </text>
    </comment>
    <comment ref="D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E30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(Interruptibles)</t>
        </r>
        <r>
          <rPr>
            <b/>
            <sz val="8"/>
            <rFont val="Times New Roman"/>
            <family val="1"/>
          </rPr>
          <t xml:space="preserve">
151 Cost Section
Total deliver - KPCO</t>
        </r>
      </text>
    </comment>
    <comment ref="O30" authorId="0">
      <text>
        <r>
          <rPr>
            <b/>
            <u val="single"/>
            <sz val="8"/>
            <color indexed="10"/>
            <rFont val="Times New Roman"/>
            <family val="1"/>
          </rPr>
          <t>Source 10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(ECRM452P)</t>
        </r>
        <r>
          <rPr>
            <b/>
            <u val="single"/>
            <sz val="8"/>
            <color indexed="10"/>
            <rFont val="Times New Roman"/>
            <family val="1"/>
          </rPr>
          <t xml:space="preserve">
</t>
        </r>
        <r>
          <rPr>
            <b/>
            <sz val="8"/>
            <rFont val="Times New Roman"/>
            <family val="1"/>
          </rPr>
          <t xml:space="preserve">Month Summary - Sales for Resale + Interchange DEL - Cash
KPCO - MWH
</t>
        </r>
      </text>
    </comment>
    <comment ref="O31" authorId="0">
      <text>
        <r>
          <rPr>
            <b/>
            <u val="single"/>
            <sz val="8"/>
            <color indexed="10"/>
            <rFont val="Times New Roman"/>
            <family val="1"/>
          </rPr>
          <t>Source 7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7"/>
            <rFont val="Times New Roman"/>
            <family val="1"/>
          </rPr>
          <t>(Interruptbiles)</t>
        </r>
        <r>
          <rPr>
            <b/>
            <sz val="8"/>
            <rFont val="Times New Roman"/>
            <family val="1"/>
          </rPr>
          <t xml:space="preserve">
MWH section
Total deliver -KPCO</t>
        </r>
      </text>
    </comment>
    <comment ref="D45" authorId="0">
      <text>
        <r>
          <rPr>
            <b/>
            <u val="single"/>
            <sz val="8"/>
            <color indexed="10"/>
            <rFont val="Times New Roman"/>
            <family val="1"/>
          </rPr>
          <t>NET ENERGY REQUIRMENT LINE O36 KPCO</t>
        </r>
        <r>
          <rPr>
            <b/>
            <sz val="8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<sst xmlns="http://schemas.openxmlformats.org/spreadsheetml/2006/main" count="4184" uniqueCount="158">
  <si>
    <t>KENTUCKY POWER COMPANY</t>
  </si>
  <si>
    <t>SOURCES AND DISPOSITION OF ENERGY FOR</t>
  </si>
  <si>
    <t>FERC TYPE FUEL COST ADJUSTMENT CLAUSE</t>
  </si>
  <si>
    <t>FUEL IDENTIFIED PORTION (A/C 151 FUEL BASIS)</t>
  </si>
  <si>
    <t xml:space="preserve"> </t>
  </si>
  <si>
    <t>SOURCES OF ENERGY</t>
  </si>
  <si>
    <t>MWH</t>
  </si>
  <si>
    <t>AMOUNT</t>
  </si>
  <si>
    <t>$ / MWH</t>
  </si>
  <si>
    <t>($)</t>
  </si>
  <si>
    <t>1.</t>
  </si>
  <si>
    <t>NET GENERATION:</t>
  </si>
  <si>
    <t xml:space="preserve">    TOTAL</t>
  </si>
  <si>
    <t>2.</t>
  </si>
  <si>
    <t>OTHER PURCHASES (CASH SETTLED):</t>
  </si>
  <si>
    <t xml:space="preserve">  Third Party Power Purchase</t>
  </si>
  <si>
    <t>3.</t>
  </si>
  <si>
    <t>TOTAL SOURCES (1+2)</t>
  </si>
  <si>
    <t>DISPOSITION OF ENERGY</t>
  </si>
  <si>
    <t>4.</t>
  </si>
  <si>
    <t>OFF SYSTEM ALLOCATION OF SOURCES:</t>
  </si>
  <si>
    <t xml:space="preserve">  Big Sandy</t>
  </si>
  <si>
    <t xml:space="preserve"> Third Party Power Purchase</t>
  </si>
  <si>
    <t>5.</t>
  </si>
  <si>
    <t>FUEL IDENTIFIED FOR NER (3-4)</t>
  </si>
  <si>
    <t>6.</t>
  </si>
  <si>
    <t>TOTAL (4+5)</t>
  </si>
  <si>
    <t>A.</t>
  </si>
  <si>
    <t>FUEL IDENTIFIED FOR NER (LINE 5 ABOVE)</t>
  </si>
  <si>
    <t>B.</t>
  </si>
  <si>
    <t>NON-MONETARY  COMPANY RECEIPTS AND DELIVERIES</t>
  </si>
  <si>
    <t>C.</t>
  </si>
  <si>
    <t>FUEL IDENTIFIED FOR NER (LINES A+B)</t>
  </si>
  <si>
    <t>D.</t>
  </si>
  <si>
    <t>OUT-OF-PERIOD ADJUSTMENT - OSS Adj for PJM Load Recon</t>
  </si>
  <si>
    <t>E.</t>
  </si>
  <si>
    <t>OUT-OF-PERIOD ADJUSTMENT - Pool Purch for PJM Load Recon</t>
  </si>
  <si>
    <t>F.</t>
  </si>
  <si>
    <t>CONVENTIONAL HYDRO</t>
  </si>
  <si>
    <t>G.</t>
  </si>
  <si>
    <t>TOTAL SUPPLY FOR NET ENERGY REQUIREMENT (NER)</t>
  </si>
  <si>
    <t>Mitchell</t>
  </si>
  <si>
    <t>Rockport</t>
  </si>
  <si>
    <t>Big Sandy</t>
  </si>
  <si>
    <t>February 2014 ACTUAL</t>
  </si>
  <si>
    <t xml:space="preserve">OUT-OF-PERIOD ADJUSTMENT - Spot Market Energy for PJM Load Recon </t>
  </si>
  <si>
    <t>OUT-OF-PERIOD ADJUSTMENT</t>
  </si>
  <si>
    <t>SOURCES AND DISPOSITION OF ENERGY FOR FERC TYPE FUEL COST ADJUSTMENT CLAUSE</t>
  </si>
  <si>
    <t>MILLS/kWh</t>
  </si>
  <si>
    <t>ESTIMATED</t>
  </si>
  <si>
    <t>TOTAL</t>
  </si>
  <si>
    <t>SOURCES</t>
  </si>
  <si>
    <t xml:space="preserve">  OWN FOSSIL GENERATION</t>
  </si>
  <si>
    <t>(1)</t>
  </si>
  <si>
    <t>(4)</t>
  </si>
  <si>
    <t>Fossil Steam</t>
  </si>
  <si>
    <t>INTER-COMPANY RECEIPTS:</t>
  </si>
  <si>
    <t>a.</t>
  </si>
  <si>
    <t>Purchased Power (Excluding Interchange)  *</t>
  </si>
  <si>
    <t xml:space="preserve">  SYSTEM POOL - PRIMARY &amp; ECONOMY</t>
  </si>
  <si>
    <t>(5)</t>
  </si>
  <si>
    <t>Unit Power Purchases (AEG)</t>
  </si>
  <si>
    <t xml:space="preserve">  AEP SYSTEM CASH PURCHASES</t>
  </si>
  <si>
    <t>(2)</t>
  </si>
  <si>
    <t>Other*</t>
  </si>
  <si>
    <t xml:space="preserve">  INTERRUPTIBLE BUY-THROUGH</t>
  </si>
  <si>
    <t>(7)</t>
  </si>
  <si>
    <t>b.</t>
  </si>
  <si>
    <t>Non-Associated Companies</t>
  </si>
  <si>
    <t>c.</t>
  </si>
  <si>
    <t>System Account</t>
  </si>
  <si>
    <t>d.</t>
  </si>
  <si>
    <t>Interruptible Buy-Through</t>
  </si>
  <si>
    <t>Total Inter-Company Receipts</t>
  </si>
  <si>
    <t>TOTAL SOURCES (1 + 2)</t>
  </si>
  <si>
    <t>DISPOSITION</t>
  </si>
  <si>
    <t>(3)</t>
  </si>
  <si>
    <t>INTER-COMPANY DELIVERIES:</t>
  </si>
  <si>
    <t xml:space="preserve">  OWN GENERATION </t>
  </si>
  <si>
    <t>System Sales for Resale (w/o fuel adjustment)</t>
  </si>
  <si>
    <t>Total Inter-Company Deliveries</t>
  </si>
  <si>
    <t>NET ENERGY REQUIREMENT (3 - 4)</t>
  </si>
  <si>
    <t>8.</t>
  </si>
  <si>
    <t>TOTAL DISPOSITION (4 + 5 + 6 + 7)</t>
  </si>
  <si>
    <t>*</t>
  </si>
  <si>
    <t>Excludes power that did not enter or flow out of AEP System.</t>
  </si>
  <si>
    <t>NON-MONETARY INTER-COMPANY (RECEIPTS(+) DELIVERIES(-))</t>
  </si>
  <si>
    <t>(8)</t>
  </si>
  <si>
    <t>OWN FOSSIL GENERATION</t>
  </si>
  <si>
    <t>ROCKPORT</t>
  </si>
  <si>
    <t>SYSTEM POOL - PRIMARY &amp; ECONOMY</t>
  </si>
  <si>
    <t>February 2013 ACTUAL</t>
  </si>
  <si>
    <t>OUT-OF-PERIOD ADJUSTMENT - Wildcat Wind Gen (Jan-Mar 2013)</t>
  </si>
  <si>
    <t>H</t>
  </si>
  <si>
    <t xml:space="preserve">  ROCKPORT</t>
  </si>
  <si>
    <t xml:space="preserve">  UNIT POWER PURCHASE (AEG) ROCKPORT #1 USE AVG RATE FROM POWER BILL</t>
  </si>
  <si>
    <t xml:space="preserve">  UNIT POWER PURCHASE (AEG) ROCKPORT #2 USE AVG RATE FROM POWER BILL</t>
  </si>
  <si>
    <t>(6)</t>
  </si>
  <si>
    <t xml:space="preserve">   Big Sandy</t>
  </si>
  <si>
    <t>( A ) Includes prior period adjustments for January and February 2014 due to heat rate curve corrections for Mitchell</t>
  </si>
  <si>
    <t>* Revisions for January 2014 and February 2014 were reflected in the May 2014 NER.  Please see KIUC 2-6 in Case No. 2014-0225 for explanation.</t>
  </si>
  <si>
    <t xml:space="preserve"> Third Party Power Purchase*</t>
  </si>
  <si>
    <t>November 2012 ACTUAL</t>
  </si>
  <si>
    <t>December 2012 ACTUAL</t>
  </si>
  <si>
    <t>January 2013 ACTUAL</t>
  </si>
  <si>
    <t>March 2013 ACTUAL</t>
  </si>
  <si>
    <t>April 2013 ACTUAL</t>
  </si>
  <si>
    <t>May 2013 ACTUAL</t>
  </si>
  <si>
    <t>June 2013 ACTUAL</t>
  </si>
  <si>
    <t>July 2013 ACTUAL</t>
  </si>
  <si>
    <t>August 2013 ACTUAL</t>
  </si>
  <si>
    <t>September 2013 ACTUAL</t>
  </si>
  <si>
    <t>October 2013 ACTUAL</t>
  </si>
  <si>
    <t>November 2013 ACTUAL</t>
  </si>
  <si>
    <t>December 2013 ACTUAL</t>
  </si>
  <si>
    <t>March 2014 ACTUAL</t>
  </si>
  <si>
    <t>April 2014 ACTUAL</t>
  </si>
  <si>
    <t>May 2014 ACTUAL</t>
  </si>
  <si>
    <t>June 2014 ACTUAL</t>
  </si>
  <si>
    <t>July 2014 ACTUAL</t>
  </si>
  <si>
    <t>August 2014 ACTUAL</t>
  </si>
  <si>
    <t>September 2014 ACTUAL</t>
  </si>
  <si>
    <t>October 2014 ACTUAL</t>
  </si>
  <si>
    <t>10 month total</t>
  </si>
  <si>
    <t>November 2014 ACTUAL</t>
  </si>
  <si>
    <t>Actual</t>
  </si>
  <si>
    <t xml:space="preserve">  KP Share of Mitchell Unit 1</t>
  </si>
  <si>
    <t xml:space="preserve">  KP Share of Mitchell Unit 2</t>
  </si>
  <si>
    <t xml:space="preserve">  UNIT POWER PURCHASE (AEG) ROCKPORT #1</t>
  </si>
  <si>
    <t xml:space="preserve">  UNIT POWER PURCHASE (AEG) ROCKPORT #2</t>
  </si>
  <si>
    <t>---</t>
  </si>
  <si>
    <t>Internal Load Marginal Loss Allocation</t>
  </si>
  <si>
    <t>Notes</t>
  </si>
  <si>
    <t>Assume no changes to Big Sandy  or Rockport dispatch and cost.</t>
  </si>
  <si>
    <t>For Off System Sales (OSS) adjustment, reduce total fuel cost by no-load cost to determine total $/MWh incremental cost.</t>
  </si>
  <si>
    <t>Remove all fuel cost of Mitchell, including, as applicable, no-load and incremental fuel cost.</t>
  </si>
  <si>
    <t>Estimated increase in purchases required to serve internal load.</t>
  </si>
  <si>
    <t>Estimated reduction in MWhs and cost allocated to OSS from remaining units that must now be retained in order to serve internal load.</t>
  </si>
  <si>
    <t>Conservatively assume all purchases originally assigned to OSS were still allocated to OSS (i.e., none were retained for internal load needs).</t>
  </si>
  <si>
    <t>Remaining cost used to serve internal load without Mitchell.  Still assigns Big Sandy and Rockport no load cost to internal load.</t>
  </si>
  <si>
    <t>December 2014 ACTUAL</t>
  </si>
  <si>
    <t>Nov 2014 (KPSC 2-3)</t>
  </si>
  <si>
    <t>Dec 2014 (KPSC 2-3)</t>
  </si>
  <si>
    <t>NL</t>
  </si>
  <si>
    <t>OSS</t>
  </si>
  <si>
    <t>Total Gen</t>
  </si>
  <si>
    <t>ALL OF 2014</t>
  </si>
  <si>
    <t>Jan- Oct 2014</t>
  </si>
  <si>
    <t>Fuel Cost $/MWh Allocated to OSS</t>
  </si>
  <si>
    <t>Fuel Cost $/MWh Allocated to NL</t>
  </si>
  <si>
    <t>Fuel Cost $/MWh by Generation Plant</t>
  </si>
  <si>
    <t>Jan. 2014 - Oct. 2014 (10 month avg.)</t>
  </si>
  <si>
    <t>COMPARISON OF ACTUAL FUEL EXPENSE PER MWH, FUEL EXPENSE PER MWH CHARGED TO RETAIL NATIVE LOAD CUSTOMERS, AND FUEL EXPENSE PER MWH ALLOCATED TO OFF-SYSTEM SALES</t>
  </si>
  <si>
    <t>ERROR</t>
  </si>
  <si>
    <t>Total</t>
  </si>
  <si>
    <t>Jan- Oct 2014  MWh</t>
  </si>
  <si>
    <t>Jan- Oct 2014  $</t>
  </si>
  <si>
    <t>KPCO Methodology Jan- Oct 2014  $/MWh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</si>
</sst>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"/>
    <numFmt numFmtId="166" formatCode="0.000_)"/>
    <numFmt numFmtId="167" formatCode="0.000"/>
    <numFmt numFmtId="168" formatCode="0.00000_)"/>
    <numFmt numFmtId="169" formatCode="[$-409]mmmm\-yy;@"/>
    <numFmt numFmtId="170" formatCode="_(* #,##0_);_(* \(#,##0\);_(* &quot;-&quot;??_);_(@_)"/>
    <numFmt numFmtId="171" formatCode="0.00000"/>
    <numFmt numFmtId="172" formatCode="_(* #,##0.0_);_(* \(#,##0.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0000000"/>
    <numFmt numFmtId="176" formatCode="0.0000000"/>
    <numFmt numFmtId="177" formatCode="0.000000"/>
    <numFmt numFmtId="178" formatCode="0.0000"/>
    <numFmt numFmtId="179" formatCode="#,##0.000_);\(#,##0.000\)"/>
    <numFmt numFmtId="180" formatCode="#,##0.0_);\(#,##0.0\)"/>
    <numFmt numFmtId="181" formatCode="[$-409]dddd\,\ mmmm\ d\,\ yyyy"/>
    <numFmt numFmtId="182" formatCode="[$-409]h:mm:ss\ AM/PM"/>
    <numFmt numFmtId="183" formatCode="mmm\.\ yyyy"/>
    <numFmt numFmtId="184" formatCode="mmm\-yyyy"/>
    <numFmt numFmtId="185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sz val="8"/>
      <name val="Century Gothic"/>
      <family val="2"/>
    </font>
    <font>
      <b/>
      <sz val="8"/>
      <color indexed="17"/>
      <name val="Century Gothic"/>
      <family val="2"/>
    </font>
    <font>
      <b/>
      <u val="single"/>
      <sz val="8"/>
      <name val="Century Gothic"/>
      <family val="2"/>
    </font>
    <font>
      <u val="single"/>
      <sz val="8"/>
      <name val="Century Gothic"/>
      <family val="2"/>
    </font>
    <font>
      <b/>
      <sz val="8"/>
      <color indexed="12"/>
      <name val="Century Gothic"/>
      <family val="2"/>
    </font>
    <font>
      <b/>
      <sz val="8"/>
      <color indexed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8"/>
      <color indexed="10"/>
      <name val="Century Gothic"/>
      <family val="2"/>
    </font>
    <font>
      <sz val="8"/>
      <name val="Arial"/>
      <family val="2"/>
    </font>
    <font>
      <b/>
      <u val="single"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b/>
      <sz val="8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56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2060"/>
      <name val="Century Gothic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center"/>
      <protection/>
    </xf>
    <xf numFmtId="165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 quotePrefix="1">
      <alignment horizontal="center"/>
      <protection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center"/>
      <protection/>
    </xf>
    <xf numFmtId="44" fontId="6" fillId="0" borderId="0" xfId="44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 quotePrefix="1">
      <alignment horizontal="center"/>
      <protection/>
    </xf>
    <xf numFmtId="0" fontId="2" fillId="0" borderId="0" xfId="0" applyFont="1" applyFill="1" applyAlignment="1" quotePrefix="1">
      <alignment horizontal="center"/>
    </xf>
    <xf numFmtId="0" fontId="8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/>
      <protection/>
    </xf>
    <xf numFmtId="166" fontId="4" fillId="0" borderId="0" xfId="0" applyNumberFormat="1" applyFon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166" fontId="4" fillId="0" borderId="10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37" fontId="2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 applyProtection="1">
      <alignment horizontal="left"/>
      <protection/>
    </xf>
    <xf numFmtId="37" fontId="4" fillId="0" borderId="12" xfId="0" applyNumberFormat="1" applyFont="1" applyFill="1" applyBorder="1" applyAlignment="1" applyProtection="1">
      <alignment/>
      <protection/>
    </xf>
    <xf numFmtId="166" fontId="4" fillId="0" borderId="13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>
      <alignment/>
    </xf>
    <xf numFmtId="37" fontId="2" fillId="0" borderId="12" xfId="0" applyNumberFormat="1" applyFont="1" applyFill="1" applyBorder="1" applyAlignment="1" applyProtection="1">
      <alignment/>
      <protection/>
    </xf>
    <xf numFmtId="167" fontId="2" fillId="0" borderId="13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68" fontId="4" fillId="0" borderId="0" xfId="0" applyNumberFormat="1" applyFont="1" applyFill="1" applyAlignment="1" applyProtection="1">
      <alignment/>
      <protection/>
    </xf>
    <xf numFmtId="166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169" fontId="4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43" fontId="4" fillId="0" borderId="0" xfId="42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/>
      <protection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 quotePrefix="1">
      <alignment horizontal="right"/>
      <protection/>
    </xf>
    <xf numFmtId="0" fontId="12" fillId="0" borderId="0" xfId="0" applyFont="1" applyFill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>
      <alignment/>
      <protection locked="0"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Fill="1" applyAlignment="1" applyProtection="1">
      <alignment/>
      <protection locked="0"/>
    </xf>
    <xf numFmtId="170" fontId="4" fillId="0" borderId="0" xfId="0" applyNumberFormat="1" applyFont="1" applyAlignment="1">
      <alignment/>
    </xf>
    <xf numFmtId="170" fontId="4" fillId="0" borderId="0" xfId="42" applyNumberFormat="1" applyFont="1" applyAlignment="1">
      <alignment/>
    </xf>
    <xf numFmtId="0" fontId="13" fillId="0" borderId="0" xfId="0" applyFont="1" applyAlignment="1">
      <alignment horizontal="left"/>
    </xf>
    <xf numFmtId="37" fontId="4" fillId="33" borderId="0" xfId="0" applyNumberFormat="1" applyFont="1" applyFill="1" applyAlignment="1" applyProtection="1">
      <alignment/>
      <protection/>
    </xf>
    <xf numFmtId="166" fontId="4" fillId="33" borderId="0" xfId="0" applyNumberFormat="1" applyFont="1" applyFill="1" applyAlignment="1" applyProtection="1">
      <alignment/>
      <protection/>
    </xf>
    <xf numFmtId="171" fontId="4" fillId="0" borderId="0" xfId="0" applyNumberFormat="1" applyFont="1" applyFill="1" applyAlignment="1" applyProtection="1">
      <alignment/>
      <protection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0" fontId="9" fillId="0" borderId="0" xfId="0" applyFont="1" applyFill="1" applyAlignment="1" quotePrefix="1">
      <alignment horizontal="center"/>
    </xf>
    <xf numFmtId="164" fontId="4" fillId="0" borderId="0" xfId="0" applyNumberFormat="1" applyFont="1" applyFill="1" applyAlignment="1" applyProtection="1">
      <alignment/>
      <protection/>
    </xf>
    <xf numFmtId="170" fontId="4" fillId="0" borderId="0" xfId="42" applyNumberFormat="1" applyFont="1" applyFill="1" applyAlignment="1" applyProtection="1">
      <alignment/>
      <protection/>
    </xf>
    <xf numFmtId="0" fontId="2" fillId="34" borderId="0" xfId="0" applyFont="1" applyFill="1" applyAlignment="1" quotePrefix="1">
      <alignment horizontal="center"/>
    </xf>
    <xf numFmtId="0" fontId="4" fillId="34" borderId="0" xfId="0" applyFont="1" applyFill="1" applyBorder="1" applyAlignment="1" applyProtection="1">
      <alignment horizontal="left"/>
      <protection/>
    </xf>
    <xf numFmtId="0" fontId="9" fillId="34" borderId="0" xfId="0" applyFont="1" applyFill="1" applyAlignment="1" applyProtection="1">
      <alignment horizontal="center"/>
      <protection/>
    </xf>
    <xf numFmtId="37" fontId="4" fillId="34" borderId="0" xfId="0" applyNumberFormat="1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left"/>
      <protection/>
    </xf>
    <xf numFmtId="0" fontId="9" fillId="34" borderId="0" xfId="0" applyFont="1" applyFill="1" applyAlignment="1" applyProtection="1" quotePrefix="1">
      <alignment horizontal="center"/>
      <protection/>
    </xf>
    <xf numFmtId="37" fontId="4" fillId="34" borderId="0" xfId="0" applyNumberFormat="1" applyFont="1" applyFill="1" applyBorder="1" applyAlignment="1" applyProtection="1">
      <alignment/>
      <protection/>
    </xf>
    <xf numFmtId="0" fontId="11" fillId="34" borderId="0" xfId="0" applyFont="1" applyFill="1" applyAlignment="1">
      <alignment horizontal="left"/>
    </xf>
    <xf numFmtId="0" fontId="11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44" fontId="6" fillId="34" borderId="0" xfId="44" applyFont="1" applyFill="1" applyAlignment="1" applyProtection="1">
      <alignment horizontal="center"/>
      <protection/>
    </xf>
    <xf numFmtId="0" fontId="0" fillId="0" borderId="0" xfId="0" applyAlignment="1">
      <alignment horizontal="right"/>
    </xf>
    <xf numFmtId="17" fontId="4" fillId="0" borderId="0" xfId="0" applyNumberFormat="1" applyFont="1" applyFill="1" applyAlignment="1">
      <alignment/>
    </xf>
    <xf numFmtId="44" fontId="4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/>
    </xf>
    <xf numFmtId="0" fontId="2" fillId="35" borderId="0" xfId="0" applyFont="1" applyFill="1" applyAlignment="1">
      <alignment horizontal="center"/>
    </xf>
    <xf numFmtId="0" fontId="6" fillId="35" borderId="0" xfId="0" applyFont="1" applyFill="1" applyAlignment="1" applyProtection="1">
      <alignment horizontal="center"/>
      <protection/>
    </xf>
    <xf numFmtId="0" fontId="0" fillId="35" borderId="0" xfId="0" applyFill="1" applyAlignment="1">
      <alignment/>
    </xf>
    <xf numFmtId="0" fontId="7" fillId="35" borderId="0" xfId="0" applyFont="1" applyFill="1" applyAlignment="1" applyProtection="1">
      <alignment horizontal="center"/>
      <protection/>
    </xf>
    <xf numFmtId="0" fontId="2" fillId="35" borderId="0" xfId="0" applyFont="1" applyFill="1" applyAlignment="1" quotePrefix="1">
      <alignment horizontal="center"/>
    </xf>
    <xf numFmtId="0" fontId="8" fillId="35" borderId="0" xfId="0" applyFont="1" applyFill="1" applyAlignment="1" applyProtection="1">
      <alignment horizontal="left"/>
      <protection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 applyProtection="1">
      <alignment/>
      <protection/>
    </xf>
    <xf numFmtId="37" fontId="4" fillId="35" borderId="0" xfId="0" applyNumberFormat="1" applyFont="1" applyFill="1" applyAlignment="1" applyProtection="1">
      <alignment/>
      <protection/>
    </xf>
    <xf numFmtId="0" fontId="4" fillId="35" borderId="0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 horizontal="left"/>
      <protection/>
    </xf>
    <xf numFmtId="0" fontId="9" fillId="35" borderId="0" xfId="0" applyFont="1" applyFill="1" applyAlignment="1" applyProtection="1">
      <alignment horizontal="left"/>
      <protection/>
    </xf>
    <xf numFmtId="37" fontId="2" fillId="35" borderId="0" xfId="0" applyNumberFormat="1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37" fontId="4" fillId="35" borderId="10" xfId="0" applyNumberFormat="1" applyFont="1" applyFill="1" applyBorder="1" applyAlignment="1" applyProtection="1">
      <alignment/>
      <protection/>
    </xf>
    <xf numFmtId="37" fontId="4" fillId="35" borderId="0" xfId="0" applyNumberFormat="1" applyFont="1" applyFill="1" applyBorder="1" applyAlignment="1" applyProtection="1">
      <alignment/>
      <protection/>
    </xf>
    <xf numFmtId="174" fontId="4" fillId="35" borderId="0" xfId="0" applyNumberFormat="1" applyFont="1" applyFill="1" applyAlignment="1">
      <alignment/>
    </xf>
    <xf numFmtId="44" fontId="4" fillId="35" borderId="0" xfId="0" applyNumberFormat="1" applyFont="1" applyFill="1" applyAlignment="1">
      <alignment/>
    </xf>
    <xf numFmtId="9" fontId="0" fillId="35" borderId="0" xfId="59" applyFont="1" applyFill="1" applyAlignment="1">
      <alignment/>
    </xf>
    <xf numFmtId="0" fontId="2" fillId="11" borderId="0" xfId="0" applyFont="1" applyFill="1" applyAlignment="1" quotePrefix="1">
      <alignment horizontal="center"/>
    </xf>
    <xf numFmtId="0" fontId="8" fillId="11" borderId="0" xfId="0" applyFont="1" applyFill="1" applyAlignment="1" applyProtection="1">
      <alignment horizontal="left"/>
      <protection/>
    </xf>
    <xf numFmtId="44" fontId="4" fillId="11" borderId="0" xfId="0" applyNumberFormat="1" applyFont="1" applyFill="1" applyAlignment="1">
      <alignment/>
    </xf>
    <xf numFmtId="0" fontId="4" fillId="11" borderId="0" xfId="0" applyFont="1" applyFill="1" applyAlignment="1">
      <alignment/>
    </xf>
    <xf numFmtId="0" fontId="0" fillId="11" borderId="0" xfId="0" applyFill="1" applyAlignment="1">
      <alignment/>
    </xf>
    <xf numFmtId="174" fontId="4" fillId="11" borderId="0" xfId="0" applyNumberFormat="1" applyFont="1" applyFill="1" applyAlignment="1">
      <alignment/>
    </xf>
    <xf numFmtId="37" fontId="2" fillId="11" borderId="0" xfId="0" applyNumberFormat="1" applyFont="1" applyFill="1" applyAlignment="1" applyProtection="1">
      <alignment/>
      <protection/>
    </xf>
    <xf numFmtId="0" fontId="59" fillId="11" borderId="0" xfId="0" applyFont="1" applyFill="1" applyAlignment="1" applyProtection="1">
      <alignment horizontal="left"/>
      <protection/>
    </xf>
    <xf numFmtId="37" fontId="2" fillId="11" borderId="1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79" fontId="4" fillId="0" borderId="10" xfId="0" applyNumberFormat="1" applyFont="1" applyFill="1" applyBorder="1" applyAlignment="1">
      <alignment/>
    </xf>
    <xf numFmtId="179" fontId="4" fillId="0" borderId="0" xfId="0" applyNumberFormat="1" applyFont="1" applyFill="1" applyAlignment="1" quotePrefix="1">
      <alignment horizontal="center"/>
    </xf>
    <xf numFmtId="37" fontId="2" fillId="36" borderId="14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 quotePrefix="1">
      <alignment horizontal="center"/>
    </xf>
    <xf numFmtId="39" fontId="6" fillId="35" borderId="0" xfId="0" applyNumberFormat="1" applyFont="1" applyFill="1" applyAlignment="1" applyProtection="1">
      <alignment horizontal="center"/>
      <protection/>
    </xf>
    <xf numFmtId="39" fontId="4" fillId="35" borderId="0" xfId="0" applyNumberFormat="1" applyFont="1" applyFill="1" applyAlignment="1">
      <alignment/>
    </xf>
    <xf numFmtId="39" fontId="4" fillId="35" borderId="0" xfId="0" applyNumberFormat="1" applyFont="1" applyFill="1" applyAlignment="1" applyProtection="1">
      <alignment/>
      <protection/>
    </xf>
    <xf numFmtId="0" fontId="0" fillId="35" borderId="0" xfId="0" applyFill="1" applyAlignment="1">
      <alignment horizontal="right"/>
    </xf>
    <xf numFmtId="9" fontId="0" fillId="35" borderId="0" xfId="59" applyFont="1" applyFill="1" applyAlignment="1">
      <alignment horizontal="right"/>
    </xf>
    <xf numFmtId="9" fontId="0" fillId="36" borderId="0" xfId="59" applyFont="1" applyFill="1" applyAlignment="1">
      <alignment horizontal="right"/>
    </xf>
    <xf numFmtId="0" fontId="0" fillId="11" borderId="0" xfId="0" applyFill="1" applyAlignment="1">
      <alignment horizontal="right"/>
    </xf>
    <xf numFmtId="0" fontId="57" fillId="0" borderId="0" xfId="0" applyFont="1" applyAlignment="1">
      <alignment horizontal="right" vertical="center" wrapText="1"/>
    </xf>
    <xf numFmtId="183" fontId="57" fillId="0" borderId="0" xfId="0" applyNumberFormat="1" applyFont="1" applyAlignment="1">
      <alignment horizontal="right" vertical="center" wrapText="1"/>
    </xf>
    <xf numFmtId="17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166" fontId="4" fillId="36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36" borderId="0" xfId="0" applyFill="1" applyAlignment="1">
      <alignment/>
    </xf>
    <xf numFmtId="0" fontId="57" fillId="34" borderId="1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57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43" fontId="0" fillId="34" borderId="0" xfId="42" applyFont="1" applyFill="1" applyBorder="1" applyAlignment="1">
      <alignment horizontal="center" vertical="center" wrapText="1"/>
    </xf>
    <xf numFmtId="2" fontId="0" fillId="34" borderId="0" xfId="42" applyNumberFormat="1" applyFont="1" applyFill="1" applyBorder="1" applyAlignment="1">
      <alignment horizontal="center" vertical="center" wrapText="1"/>
    </xf>
    <xf numFmtId="43" fontId="57" fillId="34" borderId="0" xfId="42" applyFont="1" applyFill="1" applyBorder="1" applyAlignment="1">
      <alignment horizontal="center" vertical="center" wrapText="1"/>
    </xf>
    <xf numFmtId="2" fontId="57" fillId="34" borderId="0" xfId="42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57" fillId="34" borderId="18" xfId="0" applyFont="1" applyFill="1" applyBorder="1" applyAlignment="1">
      <alignment horizontal="right" vertical="center" wrapText="1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/>
    </xf>
    <xf numFmtId="183" fontId="57" fillId="34" borderId="0" xfId="0" applyNumberFormat="1" applyFont="1" applyFill="1" applyBorder="1" applyAlignment="1">
      <alignment horizontal="center" vertical="center" wrapText="1"/>
    </xf>
    <xf numFmtId="2" fontId="0" fillId="36" borderId="0" xfId="0" applyNumberFormat="1" applyFill="1" applyAlignment="1">
      <alignment/>
    </xf>
    <xf numFmtId="185" fontId="0" fillId="36" borderId="0" xfId="0" applyNumberFormat="1" applyFill="1" applyAlignment="1">
      <alignment/>
    </xf>
    <xf numFmtId="2" fontId="0" fillId="0" borderId="0" xfId="0" applyNumberFormat="1" applyFill="1" applyAlignment="1">
      <alignment/>
    </xf>
    <xf numFmtId="37" fontId="0" fillId="35" borderId="0" xfId="0" applyNumberFormat="1" applyFill="1" applyAlignment="1">
      <alignment horizontal="right"/>
    </xf>
    <xf numFmtId="39" fontId="0" fillId="35" borderId="0" xfId="0" applyNumberFormat="1" applyFill="1" applyAlignment="1">
      <alignment horizontal="right"/>
    </xf>
    <xf numFmtId="9" fontId="0" fillId="36" borderId="0" xfId="59" applyFont="1" applyFill="1" applyAlignment="1">
      <alignment/>
    </xf>
    <xf numFmtId="0" fontId="2" fillId="0" borderId="0" xfId="0" applyFont="1" applyFill="1" applyAlignment="1" applyProtection="1" quotePrefix="1">
      <alignment horizontal="center"/>
      <protection/>
    </xf>
    <xf numFmtId="0" fontId="57" fillId="34" borderId="20" xfId="0" applyFont="1" applyFill="1" applyBorder="1" applyAlignment="1">
      <alignment horizontal="center"/>
    </xf>
    <xf numFmtId="0" fontId="57" fillId="34" borderId="21" xfId="0" applyFont="1" applyFill="1" applyBorder="1" applyAlignment="1">
      <alignment horizontal="center"/>
    </xf>
    <xf numFmtId="0" fontId="57" fillId="34" borderId="22" xfId="0" applyFont="1" applyFill="1" applyBorder="1" applyAlignment="1">
      <alignment horizontal="center"/>
    </xf>
    <xf numFmtId="0" fontId="57" fillId="34" borderId="15" xfId="0" applyFont="1" applyFill="1" applyBorder="1" applyAlignment="1">
      <alignment horizontal="center" wrapText="1"/>
    </xf>
    <xf numFmtId="0" fontId="57" fillId="34" borderId="0" xfId="0" applyFont="1" applyFill="1" applyBorder="1" applyAlignment="1">
      <alignment horizontal="center" wrapText="1"/>
    </xf>
    <xf numFmtId="0" fontId="57" fillId="34" borderId="16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7" fontId="0" fillId="0" borderId="0" xfId="0" applyNumberForma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externalLink" Target="externalLinks/externalLink6.xml" /><Relationship Id="rId39" Type="http://schemas.openxmlformats.org/officeDocument/2006/relationships/externalLink" Target="externalLinks/externalLink7.xml" /><Relationship Id="rId40" Type="http://schemas.openxmlformats.org/officeDocument/2006/relationships/externalLink" Target="externalLinks/externalLink8.xml" /><Relationship Id="rId41" Type="http://schemas.openxmlformats.org/officeDocument/2006/relationships/externalLink" Target="externalLinks/externalLink9.xml" /><Relationship Id="rId42" Type="http://schemas.openxmlformats.org/officeDocument/2006/relationships/externalLink" Target="externalLinks/externalLink10.xml" /><Relationship Id="rId43" Type="http://schemas.openxmlformats.org/officeDocument/2006/relationships/externalLink" Target="externalLinks/externalLink11.xml" /><Relationship Id="rId44" Type="http://schemas.openxmlformats.org/officeDocument/2006/relationships/externalLink" Target="externalLinks/externalLink12.xml" /><Relationship Id="rId45" Type="http://schemas.openxmlformats.org/officeDocument/2006/relationships/externalLink" Target="externalLinks/externalLink13.xml" /><Relationship Id="rId46" Type="http://schemas.openxmlformats.org/officeDocument/2006/relationships/externalLink" Target="externalLinks/externalLink14.xml" /><Relationship Id="rId47" Type="http://schemas.openxmlformats.org/officeDocument/2006/relationships/externalLink" Target="externalLinks/externalLink15.xml" /><Relationship Id="rId48" Type="http://schemas.openxmlformats.org/officeDocument/2006/relationships/externalLink" Target="externalLinks/externalLink16.xml" /><Relationship Id="rId49" Type="http://schemas.openxmlformats.org/officeDocument/2006/relationships/externalLink" Target="externalLinks/externalLink17.xml" /><Relationship Id="rId50" Type="http://schemas.openxmlformats.org/officeDocument/2006/relationships/externalLink" Target="externalLinks/externalLink18.xml" /><Relationship Id="rId51" Type="http://schemas.openxmlformats.org/officeDocument/2006/relationships/externalLink" Target="externalLinks/externalLink19.xml" /><Relationship Id="rId52" Type="http://schemas.openxmlformats.org/officeDocument/2006/relationships/externalLink" Target="externalLinks/externalLink20.xml" /><Relationship Id="rId53" Type="http://schemas.openxmlformats.org/officeDocument/2006/relationships/externalLink" Target="externalLinks/externalLink21.xml" /><Relationship Id="rId5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85725</xdr:colOff>
      <xdr:row>8</xdr:row>
      <xdr:rowOff>38100</xdr:rowOff>
    </xdr:from>
    <xdr:to>
      <xdr:col>59</xdr:col>
      <xdr:colOff>209550</xdr:colOff>
      <xdr:row>10</xdr:row>
      <xdr:rowOff>161925</xdr:rowOff>
    </xdr:to>
    <xdr:sp>
      <xdr:nvSpPr>
        <xdr:cNvPr id="1" name="Straight Arrow Connector 2"/>
        <xdr:cNvSpPr>
          <a:spLocks/>
        </xdr:cNvSpPr>
      </xdr:nvSpPr>
      <xdr:spPr>
        <a:xfrm flipH="1">
          <a:off x="67656075" y="1638300"/>
          <a:ext cx="123825" cy="523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533400</xdr:colOff>
      <xdr:row>9</xdr:row>
      <xdr:rowOff>57150</xdr:rowOff>
    </xdr:from>
    <xdr:to>
      <xdr:col>53</xdr:col>
      <xdr:colOff>47625</xdr:colOff>
      <xdr:row>11</xdr:row>
      <xdr:rowOff>66675</xdr:rowOff>
    </xdr:to>
    <xdr:sp>
      <xdr:nvSpPr>
        <xdr:cNvPr id="2" name="Straight Arrow Connector 5"/>
        <xdr:cNvSpPr>
          <a:spLocks/>
        </xdr:cNvSpPr>
      </xdr:nvSpPr>
      <xdr:spPr>
        <a:xfrm flipH="1">
          <a:off x="60712350" y="1857375"/>
          <a:ext cx="247650" cy="409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581025</xdr:colOff>
      <xdr:row>9</xdr:row>
      <xdr:rowOff>95250</xdr:rowOff>
    </xdr:from>
    <xdr:to>
      <xdr:col>46</xdr:col>
      <xdr:colOff>704850</xdr:colOff>
      <xdr:row>11</xdr:row>
      <xdr:rowOff>9525</xdr:rowOff>
    </xdr:to>
    <xdr:sp>
      <xdr:nvSpPr>
        <xdr:cNvPr id="3" name="Straight Arrow Connector 6"/>
        <xdr:cNvSpPr>
          <a:spLocks/>
        </xdr:cNvSpPr>
      </xdr:nvSpPr>
      <xdr:spPr>
        <a:xfrm flipH="1">
          <a:off x="54102000" y="1895475"/>
          <a:ext cx="123825" cy="314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JUSTIN\Public\Internal\Regulatory%20Services\Bob%20Russell%201\Account%20151%20Fuel%20-%20$%20&amp;%20MWH%20(NER)\Year%202014\Actual\03-14%20Actual%20Regulated%20NE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JUSTIN\Public\Internal\Regulatory%20Services\Bob%20Russell%201\Account%20151%20Fuel%20-%20$%20&amp;%20MWH%20(NER)\Year%202013\Actual\September%202013%20NER%20Actua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JUSTIN\Public\Internal\Regulatory%20Services\Bob%20Russell%201\Account%20151%20Fuel%20-%20$%20&amp;%20MWH%20(NER)\Year%202013\Actual\October%202013%20NER%20Actu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JUSTIN\Public\Internal\Regulatory%20Services\Bob%20Russell%201\Account%20151%20Fuel%20-%20$%20&amp;%20MWH%20(NER)\Year%202013\Actual\November%202013%20NER%20Actua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JUSTIN\Public\Internal\Regulatory%20Services\Bob%20Russell%201\Account%20151%20Fuel%20-%20$%20&amp;%20MWH%20(NER)\Year%202013\Actual\December%202013%20NER%20Actu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JUSTIN\Public\Internal\Regulatory%20Services\Bob%20Russell%201\Account%20151%20Fuel%20-%20$%20&amp;%20MWH%20(NER)\Year%202012\December%202012%20NER%20Actua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JUSTIN\Public\Internal\Regulatory%20Services\Bob%20Russell%201\Account%20151%20Fuel%20-%20$%20&amp;%20MWH%20(NER)\Year%202012\November%202012%20NER%20Actua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JUSTIN\Public\Internal\Regulatory%20Services\Bob%20Russell%201\Account%20151%20Fuel%20-%20$%20&amp;%20MWH%20(NER)\Year%202014\Actual\05-14%20Actual%20Regulated%20NER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JUSTIN\Public\Internal\Regulatory%20Services\Bob%20Russell%201\Account%20151%20Fuel%20-%20$%20&amp;%20MWH%20(NER)\Year%202014\Actual\07-14%20Actual%20Regulated%20N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JUSTIN\Public\Internal\Regulatory%20Services\Bob%20Russell%201\Account%20151%20Fuel%20-%20$%20&amp;%20MWH%20(NER)\Year%202014\Actual\08-14%20Actual%20Regulated%20NE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JUSTIN\Public\Internal\Regulatory%20Services\Bob%20Russell%201\Account%20151%20Fuel%20-%20$%20&amp;%20MWH%20(NER)\Year%202014\Actual\09-14%20Actual%20Regulated%20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JUSTIN\Public\Internal\Regulatory%20Services\Bob%20Russell%201\Account%20151%20Fuel%20-%20$%20&amp;%20MWH%20(NER)\Year%202014\Actual\04-14%20Actual%20Regulated%20N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JUSTIN\Public\Internal\Regulatory%20Services\Bob%20Russell%201\Account%20151%20Fuel%20-%20$%20&amp;%20MWH%20(NER)\Year%202014\Actual\06-14%20Actual%20Regulated%20NER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JUSTIN\Public\Internal\Regulatory%20Services\Bob%20Russell%201\Account%20151%20Fuel%20-%20$%20&amp;%20MWH%20(NER)\Year%202014\Actual\10-14%20Actual%20Regulated%20N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JUSTIN\Public\Internal\Regulatory%20Services\Bob%20Russell%201\Account%20151%20Fuel%20-%20$%20&amp;%20MWH%20(NER)\Year%202013\Actual\January%2013%20NER%20Actu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JUSTIN\Public\Internal\Regulatory%20Services\Bob%20Russell%201\Account%20151%20Fuel%20-%20$%20&amp;%20MWH%20(NER)\Year%202013\Actual\March%2013%20NER%20Actual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JUSTIN\Public\Internal\Regulatory%20Services\Bob%20Russell%201\Account%20151%20Fuel%20-%20$%20&amp;%20MWH%20(NER)\Year%202013\Actual\April%2013%20NER%20Actual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JUSTIN\Public\Internal\Regulatory%20Services\Bob%20Russell%201\Account%20151%20Fuel%20-%20$%20&amp;%20MWH%20(NER)\Year%202013\Actual\May%2013%20NER%20Actual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JUSTIN\Public\Internal\Regulatory%20Services\Bob%20Russell%201\Account%20151%20Fuel%20-%20$%20&amp;%20MWH%20(NER)\Year%202013\Actual\June%2013%20NER%20Actual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JUSTIN\Public\Internal\Regulatory%20Services\Bob%20Russell%201\Account%20151%20Fuel%20-%20$%20&amp;%20MWH%20(NER)\Year%202013\Actual\July%202013%20NER%20Actu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JUSTIN\Public\Internal\Regulatory%20Services\Bob%20Russell%201\Account%20151%20Fuel%20-%20$%20&amp;%20MWH%20(NER)\Year%202013\Actual\August%202013%20NER%20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Generation"/>
      <sheetName val="Fuel Input"/>
      <sheetName val="Input Sheet"/>
      <sheetName val="APPALACHIAN"/>
      <sheetName val="KENTUCKY"/>
      <sheetName val="INDIANA"/>
      <sheetName val="Purchase Pivot"/>
      <sheetName val="Purchase Dump"/>
      <sheetName val="Unit Cost Report"/>
      <sheetName val="Pool Flow Report"/>
    </sheetNames>
    <sheetDataSet>
      <sheetData sheetId="3">
        <row r="1">
          <cell r="B1" t="str">
            <v>March 2014 ACTUAL</v>
          </cell>
        </row>
        <row r="173">
          <cell r="C173">
            <v>-4917.6</v>
          </cell>
          <cell r="D173">
            <v>-486122.53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September 2013 ACTUAL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October 2013 ACTUAL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November 2013 ACTUAL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December 2013 ACTUAL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December 2012 ACTUAL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November 2012 ACTUAL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Generation"/>
      <sheetName val="Fuel Input"/>
      <sheetName val="Input Sheet"/>
      <sheetName val="APPALACHIAN"/>
      <sheetName val="KENTUCKY"/>
      <sheetName val="INDIANA"/>
      <sheetName val="Purchase Pivot"/>
      <sheetName val="Purchase Dump"/>
      <sheetName val="Unit Cost Report"/>
      <sheetName val="Pool Flow Report"/>
    </sheetNames>
    <sheetDataSet>
      <sheetData sheetId="3">
        <row r="1">
          <cell r="B1" t="str">
            <v>May 2014 ACTUAL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Generation"/>
      <sheetName val="Fuel Input"/>
      <sheetName val="Input Sheet"/>
      <sheetName val="APPALACHIAN"/>
      <sheetName val="KENTUCKY"/>
      <sheetName val="INDIANA"/>
      <sheetName val="Purchase Pivot"/>
      <sheetName val="Purchase Dump"/>
      <sheetName val="Unit Cost Report"/>
      <sheetName val="Pool Flow Report"/>
    </sheetNames>
    <sheetDataSet>
      <sheetData sheetId="3">
        <row r="1">
          <cell r="B1" t="str">
            <v>July 2014 ACTUAL</v>
          </cell>
        </row>
        <row r="20">
          <cell r="C20">
            <v>465645</v>
          </cell>
        </row>
        <row r="56">
          <cell r="C56">
            <v>89330.635</v>
          </cell>
        </row>
        <row r="58">
          <cell r="C58">
            <v>3079256.54</v>
          </cell>
        </row>
        <row r="83">
          <cell r="C83">
            <v>245957.70500000013</v>
          </cell>
        </row>
        <row r="84">
          <cell r="C84">
            <v>5538335.943000003</v>
          </cell>
        </row>
        <row r="150">
          <cell r="C150">
            <v>13851169.559999999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Generation"/>
      <sheetName val="Fuel Input"/>
      <sheetName val="Input Sheet"/>
      <sheetName val="APPALACHIAN"/>
      <sheetName val="KENTUCKY"/>
      <sheetName val="INDIANA"/>
      <sheetName val="Purchase Pivot"/>
      <sheetName val="Purchase Dump"/>
      <sheetName val="Unit Cost Report"/>
      <sheetName val="Pool Flow Report"/>
    </sheetNames>
    <sheetDataSet>
      <sheetData sheetId="3">
        <row r="1">
          <cell r="B1" t="str">
            <v>August 2014 ACTUAL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Generation"/>
      <sheetName val="Fuel Input"/>
      <sheetName val="Input Sheet"/>
      <sheetName val="APPALACHIAN"/>
      <sheetName val="KENTUCKY"/>
      <sheetName val="INDIANA"/>
      <sheetName val="Purchase Pivot"/>
      <sheetName val="Purchase Dump"/>
      <sheetName val="Unit Cost Report"/>
      <sheetName val="Pool Flow Report"/>
    </sheetNames>
    <sheetDataSet>
      <sheetData sheetId="3">
        <row r="1">
          <cell r="B1" t="str">
            <v>September 2014 ACTUAL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Generation"/>
      <sheetName val="Fuel Input"/>
      <sheetName val="Input Sheet"/>
      <sheetName val="APPALACHIAN"/>
      <sheetName val="KENTUCKY"/>
      <sheetName val="INDIANA"/>
      <sheetName val="Purchase Pivot"/>
      <sheetName val="Purchase Dump"/>
      <sheetName val="Unit Cost Report"/>
      <sheetName val="Pool Flow Report"/>
    </sheetNames>
    <sheetDataSet>
      <sheetData sheetId="3">
        <row r="1">
          <cell r="B1" t="str">
            <v>April 2014 ACTUAL</v>
          </cell>
        </row>
        <row r="173">
          <cell r="C173">
            <v>-1814.15</v>
          </cell>
          <cell r="D173">
            <v>-121701.5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Generation"/>
      <sheetName val="Fuel Input"/>
      <sheetName val="Input Sheet"/>
      <sheetName val="APPALACHIAN"/>
      <sheetName val="KENTUCKY"/>
      <sheetName val="INDIANA"/>
      <sheetName val="Purchase Pivot"/>
      <sheetName val="Purchase Dump"/>
      <sheetName val="Unit Cost Report"/>
      <sheetName val="Pool Flow Report"/>
    </sheetNames>
    <sheetDataSet>
      <sheetData sheetId="3">
        <row r="1">
          <cell r="B1" t="str">
            <v>June 2014 ACTUAL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Generation"/>
      <sheetName val="Fuel Input"/>
      <sheetName val="Input Sheet"/>
      <sheetName val="APPALACHIAN"/>
      <sheetName val="KENTUCKY"/>
      <sheetName val="INDIANA"/>
      <sheetName val="Purchase Pivot"/>
      <sheetName val="Purchase Dump"/>
      <sheetName val="Unit Cost Report"/>
      <sheetName val="Pool Flow Report"/>
    </sheetNames>
    <sheetDataSet>
      <sheetData sheetId="3">
        <row r="1">
          <cell r="B1" t="str">
            <v>October 2014 ACTUAL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January 2013 ACTUAL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March 2013 ACTUAL</v>
          </cell>
        </row>
        <row r="114">
          <cell r="C114">
            <v>1851.944000000001</v>
          </cell>
        </row>
        <row r="116">
          <cell r="C116">
            <v>40611.586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April 2013 ACTUAL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May 2013 ACTUAL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June 2013 ACTUAL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July 2013 ACTUAL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NER"/>
      <sheetName val="Checklist1"/>
      <sheetName val="INPUT SHEET"/>
      <sheetName val="APPALACHIAN"/>
      <sheetName val="KENTUCKY"/>
      <sheetName val="INDIANA"/>
      <sheetName val="OPCO"/>
      <sheetName val="COLUMBUS"/>
      <sheetName val="Purchases Pivot"/>
      <sheetName val="Sales Pivot"/>
      <sheetName val="Unit Cost Report"/>
      <sheetName val="Pool Flow"/>
      <sheetName val="Purchases Dump"/>
      <sheetName val="Sales Dump (452)"/>
    </sheetNames>
    <sheetDataSet>
      <sheetData sheetId="2">
        <row r="1">
          <cell r="B1" t="str">
            <v>August 2013 ACTUAL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2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3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T63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2.8515625" style="1" bestFit="1" customWidth="1"/>
    <col min="2" max="2" width="51.710937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8" max="8" width="2.8515625" style="1" bestFit="1" customWidth="1"/>
    <col min="9" max="9" width="51.00390625" style="6" customWidth="1"/>
    <col min="10" max="10" width="3.140625" style="48" hidden="1" customWidth="1"/>
    <col min="11" max="11" width="13.28125" style="6" customWidth="1"/>
    <col min="12" max="12" width="14.421875" style="6" customWidth="1"/>
    <col min="13" max="13" width="12.140625" style="6" customWidth="1"/>
    <col min="15" max="15" width="2.8515625" style="1" bestFit="1" customWidth="1"/>
    <col min="16" max="16" width="51.00390625" style="6" customWidth="1"/>
    <col min="17" max="17" width="3.140625" style="48" hidden="1" customWidth="1"/>
    <col min="18" max="18" width="13.28125" style="6" customWidth="1"/>
    <col min="19" max="19" width="14.421875" style="6" customWidth="1"/>
    <col min="20" max="20" width="12.140625" style="6" customWidth="1"/>
    <col min="22" max="22" width="2.8515625" style="1" bestFit="1" customWidth="1"/>
    <col min="23" max="23" width="51.00390625" style="6" customWidth="1"/>
    <col min="24" max="24" width="3.140625" style="48" hidden="1" customWidth="1"/>
    <col min="25" max="25" width="13.28125" style="6" customWidth="1"/>
    <col min="26" max="26" width="14.421875" style="6" customWidth="1"/>
    <col min="27" max="27" width="12.140625" style="6" customWidth="1"/>
    <col min="29" max="29" width="2.8515625" style="1" bestFit="1" customWidth="1"/>
    <col min="30" max="30" width="51.00390625" style="6" customWidth="1"/>
    <col min="31" max="31" width="3.140625" style="48" hidden="1" customWidth="1"/>
    <col min="32" max="32" width="13.28125" style="6" customWidth="1"/>
    <col min="33" max="33" width="14.421875" style="6" customWidth="1"/>
    <col min="34" max="34" width="12.140625" style="6" customWidth="1"/>
    <col min="36" max="36" width="2.8515625" style="1" bestFit="1" customWidth="1"/>
    <col min="37" max="37" width="63.57421875" style="6" customWidth="1"/>
    <col min="38" max="38" width="3.140625" style="48" hidden="1" customWidth="1"/>
    <col min="39" max="39" width="13.28125" style="6" customWidth="1"/>
    <col min="40" max="40" width="14.421875" style="6" customWidth="1"/>
    <col min="41" max="41" width="12.140625" style="6" customWidth="1"/>
    <col min="50" max="50" width="2.8515625" style="1" bestFit="1" customWidth="1"/>
    <col min="51" max="51" width="51.00390625" style="6" customWidth="1"/>
    <col min="52" max="52" width="3.140625" style="48" hidden="1" customWidth="1"/>
    <col min="53" max="53" width="13.28125" style="6" customWidth="1"/>
    <col min="54" max="54" width="14.421875" style="6" customWidth="1"/>
    <col min="55" max="55" width="12.140625" style="6" customWidth="1"/>
    <col min="57" max="57" width="2.8515625" style="1" bestFit="1" customWidth="1"/>
    <col min="58" max="58" width="51.00390625" style="6" customWidth="1"/>
    <col min="59" max="59" width="3.140625" style="48" hidden="1" customWidth="1"/>
    <col min="60" max="60" width="13.28125" style="6" customWidth="1"/>
    <col min="61" max="61" width="14.421875" style="6" customWidth="1"/>
    <col min="62" max="62" width="12.140625" style="6" customWidth="1"/>
    <col min="64" max="64" width="2.8515625" style="1" bestFit="1" customWidth="1"/>
    <col min="65" max="65" width="51.00390625" style="6" customWidth="1"/>
    <col min="66" max="66" width="3.140625" style="48" hidden="1" customWidth="1"/>
    <col min="67" max="67" width="13.28125" style="6" customWidth="1"/>
    <col min="68" max="68" width="22.00390625" style="6" customWidth="1"/>
    <col min="69" max="69" width="12.140625" style="6" customWidth="1"/>
    <col min="72" max="72" width="2.8515625" style="1" bestFit="1" customWidth="1"/>
    <col min="73" max="73" width="51.00390625" style="6" customWidth="1"/>
    <col min="74" max="74" width="3.140625" style="48" hidden="1" customWidth="1"/>
    <col min="75" max="75" width="13.28125" style="6" customWidth="1"/>
    <col min="76" max="76" width="16.7109375" style="6" customWidth="1"/>
    <col min="77" max="77" width="12.140625" style="6" customWidth="1"/>
    <col min="79" max="79" width="2.8515625" style="1" bestFit="1" customWidth="1"/>
    <col min="80" max="80" width="51.00390625" style="6" customWidth="1"/>
    <col min="81" max="81" width="3.140625" style="48" hidden="1" customWidth="1"/>
    <col min="82" max="82" width="13.28125" style="6" customWidth="1"/>
    <col min="83" max="83" width="14.421875" style="6" customWidth="1"/>
    <col min="84" max="84" width="12.140625" style="6" customWidth="1"/>
    <col min="86" max="86" width="2.8515625" style="1" bestFit="1" customWidth="1"/>
    <col min="87" max="87" width="51.00390625" style="6" customWidth="1"/>
    <col min="88" max="88" width="3.140625" style="48" hidden="1" customWidth="1"/>
    <col min="89" max="89" width="13.28125" style="6" customWidth="1"/>
    <col min="90" max="90" width="14.421875" style="6" customWidth="1"/>
    <col min="91" max="91" width="12.140625" style="6" customWidth="1"/>
    <col min="93" max="93" width="2.8515625" style="1" bestFit="1" customWidth="1"/>
    <col min="94" max="94" width="51.00390625" style="6" customWidth="1"/>
    <col min="95" max="95" width="3.140625" style="48" hidden="1" customWidth="1"/>
    <col min="96" max="96" width="13.28125" style="6" customWidth="1"/>
    <col min="97" max="97" width="14.421875" style="6" customWidth="1"/>
    <col min="98" max="98" width="12.140625" style="6" customWidth="1"/>
  </cols>
  <sheetData>
    <row r="1" spans="2:98" ht="15">
      <c r="B1" s="2" t="s">
        <v>0</v>
      </c>
      <c r="C1" s="46"/>
      <c r="D1" s="3"/>
      <c r="E1" s="4"/>
      <c r="F1" s="5">
        <v>42097.43346157407</v>
      </c>
      <c r="I1" s="2" t="s">
        <v>0</v>
      </c>
      <c r="J1" s="46"/>
      <c r="K1" s="3"/>
      <c r="L1" s="4"/>
      <c r="M1" s="5">
        <v>42097.433563425926</v>
      </c>
      <c r="P1" s="2" t="s">
        <v>0</v>
      </c>
      <c r="Q1" s="46"/>
      <c r="R1" s="3"/>
      <c r="S1" s="4"/>
      <c r="T1" s="5">
        <v>42097.433666666664</v>
      </c>
      <c r="W1" s="2" t="s">
        <v>0</v>
      </c>
      <c r="X1" s="46"/>
      <c r="Y1" s="3"/>
      <c r="Z1" s="4"/>
      <c r="AA1" s="5">
        <v>42097.433750578704</v>
      </c>
      <c r="AD1" s="2" t="s">
        <v>0</v>
      </c>
      <c r="AE1" s="46"/>
      <c r="AF1" s="3"/>
      <c r="AG1" s="4"/>
      <c r="AH1" s="5">
        <v>42097.43390497685</v>
      </c>
      <c r="AK1" s="2" t="s">
        <v>0</v>
      </c>
      <c r="AL1" s="46"/>
      <c r="AM1" s="3"/>
      <c r="AN1" s="4"/>
      <c r="AO1" s="5">
        <v>42097.43407210648</v>
      </c>
      <c r="AQ1" s="1"/>
      <c r="AR1" s="2" t="s">
        <v>0</v>
      </c>
      <c r="AS1" s="46"/>
      <c r="AT1" s="3"/>
      <c r="AU1" s="4"/>
      <c r="AV1" s="5">
        <v>42097.43409224537</v>
      </c>
      <c r="AY1" s="2" t="s">
        <v>0</v>
      </c>
      <c r="AZ1" s="46"/>
      <c r="BA1" s="3"/>
      <c r="BB1" s="4"/>
      <c r="BC1" s="5">
        <v>42097.43451006944</v>
      </c>
      <c r="BF1" s="2" t="s">
        <v>0</v>
      </c>
      <c r="BG1" s="46"/>
      <c r="BH1" s="3"/>
      <c r="BI1" s="4"/>
      <c r="BJ1" s="5">
        <v>42097.43452835648</v>
      </c>
      <c r="BM1" s="2" t="s">
        <v>0</v>
      </c>
      <c r="BN1" s="46"/>
      <c r="BO1" s="3"/>
      <c r="BP1" s="4"/>
      <c r="BQ1" s="5" t="s">
        <v>4</v>
      </c>
      <c r="BU1" s="2" t="s">
        <v>0</v>
      </c>
      <c r="BV1" s="46"/>
      <c r="BW1" s="3"/>
      <c r="BX1" s="4"/>
      <c r="BY1" s="5" t="s">
        <v>4</v>
      </c>
      <c r="CB1" s="2" t="s">
        <v>0</v>
      </c>
      <c r="CC1" s="46"/>
      <c r="CD1" s="3"/>
      <c r="CE1" s="4"/>
      <c r="CF1" s="5" t="s">
        <v>4</v>
      </c>
      <c r="CI1" s="2" t="s">
        <v>0</v>
      </c>
      <c r="CJ1" s="46"/>
      <c r="CK1" s="3"/>
      <c r="CL1" s="4"/>
      <c r="CM1" s="5" t="s">
        <v>4</v>
      </c>
      <c r="CP1" s="2" t="s">
        <v>0</v>
      </c>
      <c r="CQ1" s="46"/>
      <c r="CR1" s="3"/>
      <c r="CS1" s="4"/>
      <c r="CT1" s="5" t="s">
        <v>4</v>
      </c>
    </row>
    <row r="2" spans="5:97" ht="13.5">
      <c r="E2" s="7"/>
      <c r="L2" s="7"/>
      <c r="S2" s="7"/>
      <c r="Z2" s="7"/>
      <c r="AG2" s="7"/>
      <c r="AN2" s="7"/>
      <c r="AQ2" s="1"/>
      <c r="AR2" s="6"/>
      <c r="AS2" s="48"/>
      <c r="AT2" s="6"/>
      <c r="AU2" s="7"/>
      <c r="AV2" s="6"/>
      <c r="BB2" s="7"/>
      <c r="BI2" s="7"/>
      <c r="BP2" s="7"/>
      <c r="BX2" s="7"/>
      <c r="CE2" s="7"/>
      <c r="CL2" s="7"/>
      <c r="CS2" s="7"/>
    </row>
    <row r="3" spans="2:97" ht="13.5">
      <c r="B3" s="8" t="s">
        <v>1</v>
      </c>
      <c r="C3" s="46"/>
      <c r="E3" s="9"/>
      <c r="I3" s="8" t="s">
        <v>1</v>
      </c>
      <c r="J3" s="46"/>
      <c r="L3" s="9"/>
      <c r="P3" s="8" t="s">
        <v>1</v>
      </c>
      <c r="Q3" s="46"/>
      <c r="S3" s="9"/>
      <c r="W3" s="8" t="s">
        <v>1</v>
      </c>
      <c r="X3" s="46"/>
      <c r="Z3" s="9"/>
      <c r="AD3" s="8" t="s">
        <v>1</v>
      </c>
      <c r="AE3" s="46"/>
      <c r="AG3" s="9"/>
      <c r="AK3" s="8" t="s">
        <v>1</v>
      </c>
      <c r="AL3" s="46"/>
      <c r="AN3" s="9"/>
      <c r="AQ3" s="1"/>
      <c r="AR3" s="8" t="s">
        <v>1</v>
      </c>
      <c r="AS3" s="46"/>
      <c r="AT3" s="6"/>
      <c r="AU3" s="9"/>
      <c r="AV3" s="6"/>
      <c r="AY3" s="8" t="s">
        <v>1</v>
      </c>
      <c r="AZ3" s="46"/>
      <c r="BB3" s="9"/>
      <c r="BF3" s="8" t="s">
        <v>1</v>
      </c>
      <c r="BG3" s="46"/>
      <c r="BI3" s="9"/>
      <c r="BM3" s="8" t="s">
        <v>1</v>
      </c>
      <c r="BN3" s="46"/>
      <c r="BP3" s="9"/>
      <c r="BU3" s="8" t="s">
        <v>1</v>
      </c>
      <c r="BV3" s="46"/>
      <c r="BX3" s="9"/>
      <c r="CB3" s="8" t="s">
        <v>1</v>
      </c>
      <c r="CC3" s="46"/>
      <c r="CE3" s="9"/>
      <c r="CI3" s="8" t="s">
        <v>1</v>
      </c>
      <c r="CJ3" s="46"/>
      <c r="CL3" s="9"/>
      <c r="CP3" s="8" t="s">
        <v>1</v>
      </c>
      <c r="CQ3" s="46"/>
      <c r="CS3" s="9"/>
    </row>
    <row r="4" spans="2:95" ht="13.5">
      <c r="B4" s="8" t="s">
        <v>2</v>
      </c>
      <c r="C4" s="46"/>
      <c r="I4" s="8" t="s">
        <v>2</v>
      </c>
      <c r="J4" s="46"/>
      <c r="P4" s="8" t="s">
        <v>2</v>
      </c>
      <c r="Q4" s="46"/>
      <c r="W4" s="8" t="s">
        <v>2</v>
      </c>
      <c r="X4" s="46"/>
      <c r="AD4" s="8" t="s">
        <v>2</v>
      </c>
      <c r="AE4" s="46"/>
      <c r="AK4" s="8" t="s">
        <v>2</v>
      </c>
      <c r="AL4" s="46"/>
      <c r="AQ4" s="1"/>
      <c r="AR4" s="8" t="s">
        <v>2</v>
      </c>
      <c r="AS4" s="46"/>
      <c r="AT4" s="6"/>
      <c r="AU4" s="6"/>
      <c r="AV4" s="6"/>
      <c r="AY4" s="8" t="s">
        <v>2</v>
      </c>
      <c r="AZ4" s="46"/>
      <c r="BF4" s="8" t="s">
        <v>2</v>
      </c>
      <c r="BG4" s="46"/>
      <c r="BM4" s="8" t="s">
        <v>2</v>
      </c>
      <c r="BN4" s="46"/>
      <c r="BU4" s="8" t="s">
        <v>2</v>
      </c>
      <c r="BV4" s="46"/>
      <c r="CB4" s="8" t="s">
        <v>2</v>
      </c>
      <c r="CC4" s="46"/>
      <c r="CI4" s="8" t="s">
        <v>2</v>
      </c>
      <c r="CJ4" s="46"/>
      <c r="CP4" s="8" t="s">
        <v>2</v>
      </c>
      <c r="CQ4" s="46"/>
    </row>
    <row r="5" spans="2:97" ht="13.5">
      <c r="B5" s="3"/>
      <c r="C5" s="46"/>
      <c r="E5" s="8"/>
      <c r="I5" s="3"/>
      <c r="J5" s="46"/>
      <c r="L5" s="8"/>
      <c r="P5" s="3"/>
      <c r="Q5" s="46"/>
      <c r="S5" s="8"/>
      <c r="W5" s="3"/>
      <c r="X5" s="46"/>
      <c r="Z5" s="8"/>
      <c r="AD5" s="3"/>
      <c r="AE5" s="46"/>
      <c r="AG5" s="8"/>
      <c r="AK5" s="3"/>
      <c r="AL5" s="46"/>
      <c r="AN5" s="8"/>
      <c r="AQ5" s="1"/>
      <c r="AR5" s="3"/>
      <c r="AS5" s="46"/>
      <c r="AT5" s="6"/>
      <c r="AU5" s="8"/>
      <c r="AV5" s="6"/>
      <c r="AY5" s="3"/>
      <c r="AZ5" s="46"/>
      <c r="BB5" s="8"/>
      <c r="BF5" s="3"/>
      <c r="BG5" s="46"/>
      <c r="BI5" s="8"/>
      <c r="BM5" s="3"/>
      <c r="BN5" s="46"/>
      <c r="BP5" s="8"/>
      <c r="BU5" s="3"/>
      <c r="BV5" s="46"/>
      <c r="BX5" s="8"/>
      <c r="CB5" s="3"/>
      <c r="CC5" s="46"/>
      <c r="CE5" s="8"/>
      <c r="CI5" s="3"/>
      <c r="CJ5" s="46"/>
      <c r="CL5" s="8"/>
      <c r="CP5" s="3"/>
      <c r="CQ5" s="46"/>
      <c r="CS5" s="8"/>
    </row>
    <row r="6" spans="2:98" ht="13.5">
      <c r="B6" s="8" t="s">
        <v>3</v>
      </c>
      <c r="C6" s="46"/>
      <c r="E6" s="51" t="s">
        <v>102</v>
      </c>
      <c r="F6" s="11" t="s">
        <v>4</v>
      </c>
      <c r="I6" s="8" t="s">
        <v>3</v>
      </c>
      <c r="J6" s="46"/>
      <c r="L6" s="51" t="s">
        <v>103</v>
      </c>
      <c r="M6" s="11" t="s">
        <v>4</v>
      </c>
      <c r="P6" s="8" t="s">
        <v>3</v>
      </c>
      <c r="Q6" s="46"/>
      <c r="S6" s="51" t="s">
        <v>104</v>
      </c>
      <c r="T6" s="11" t="s">
        <v>4</v>
      </c>
      <c r="W6" s="8" t="s">
        <v>3</v>
      </c>
      <c r="X6" s="46"/>
      <c r="Z6" s="51" t="s">
        <v>91</v>
      </c>
      <c r="AA6" s="11" t="s">
        <v>4</v>
      </c>
      <c r="AD6" s="8" t="s">
        <v>3</v>
      </c>
      <c r="AE6" s="46"/>
      <c r="AG6" s="10" t="s">
        <v>105</v>
      </c>
      <c r="AH6" s="11" t="s">
        <v>4</v>
      </c>
      <c r="AK6" s="8" t="s">
        <v>3</v>
      </c>
      <c r="AL6" s="46"/>
      <c r="AN6" s="10" t="s">
        <v>106</v>
      </c>
      <c r="AO6" s="11" t="s">
        <v>4</v>
      </c>
      <c r="AQ6" s="1"/>
      <c r="AR6" s="8" t="s">
        <v>3</v>
      </c>
      <c r="AS6" s="46"/>
      <c r="AT6" s="6"/>
      <c r="AU6" s="10" t="s">
        <v>107</v>
      </c>
      <c r="AV6" s="11" t="s">
        <v>4</v>
      </c>
      <c r="AY6" s="8" t="s">
        <v>3</v>
      </c>
      <c r="AZ6" s="46"/>
      <c r="BB6" s="51" t="s">
        <v>108</v>
      </c>
      <c r="BC6" s="11" t="s">
        <v>4</v>
      </c>
      <c r="BF6" s="8" t="s">
        <v>3</v>
      </c>
      <c r="BG6" s="46"/>
      <c r="BI6" s="51" t="s">
        <v>109</v>
      </c>
      <c r="BJ6" s="11" t="s">
        <v>4</v>
      </c>
      <c r="BM6" s="8" t="s">
        <v>3</v>
      </c>
      <c r="BN6" s="46"/>
      <c r="BP6" s="10" t="s">
        <v>110</v>
      </c>
      <c r="BQ6" s="11" t="s">
        <v>4</v>
      </c>
      <c r="BU6" s="8" t="s">
        <v>3</v>
      </c>
      <c r="BV6" s="46"/>
      <c r="BW6" s="158" t="s">
        <v>111</v>
      </c>
      <c r="BX6" s="158"/>
      <c r="BY6" s="158"/>
      <c r="CB6" s="8" t="s">
        <v>3</v>
      </c>
      <c r="CC6" s="46"/>
      <c r="CD6" s="158" t="s">
        <v>112</v>
      </c>
      <c r="CE6" s="158"/>
      <c r="CF6" s="158"/>
      <c r="CI6" s="8" t="s">
        <v>3</v>
      </c>
      <c r="CJ6" s="46"/>
      <c r="CK6" s="158" t="s">
        <v>113</v>
      </c>
      <c r="CL6" s="158"/>
      <c r="CM6" s="158"/>
      <c r="CP6" s="8" t="s">
        <v>3</v>
      </c>
      <c r="CQ6" s="46"/>
      <c r="CR6" s="158" t="s">
        <v>114</v>
      </c>
      <c r="CS6" s="158"/>
      <c r="CT6" s="158"/>
    </row>
    <row r="7" spans="2:95" ht="13.5">
      <c r="B7" s="3"/>
      <c r="C7" s="46"/>
      <c r="I7" s="3"/>
      <c r="J7" s="46"/>
      <c r="P7" s="3"/>
      <c r="Q7" s="46"/>
      <c r="W7" s="3"/>
      <c r="X7" s="46"/>
      <c r="AD7" s="3"/>
      <c r="AE7" s="46"/>
      <c r="AK7" s="3"/>
      <c r="AL7" s="46"/>
      <c r="AQ7" s="1"/>
      <c r="AR7" s="3"/>
      <c r="AS7" s="46"/>
      <c r="AT7" s="6"/>
      <c r="AU7" s="6"/>
      <c r="AV7" s="6"/>
      <c r="AY7" s="3"/>
      <c r="AZ7" s="46"/>
      <c r="BF7" s="3"/>
      <c r="BG7" s="46"/>
      <c r="BM7" s="3"/>
      <c r="BN7" s="46"/>
      <c r="BU7" s="3"/>
      <c r="BV7" s="46"/>
      <c r="CB7" s="3"/>
      <c r="CC7" s="46"/>
      <c r="CI7" s="3"/>
      <c r="CJ7" s="46"/>
      <c r="CP7" s="3"/>
      <c r="CQ7" s="46"/>
    </row>
    <row r="8" spans="2:98" ht="12.75">
      <c r="B8" s="12" t="s">
        <v>5</v>
      </c>
      <c r="C8" s="52"/>
      <c r="D8" s="12" t="s">
        <v>6</v>
      </c>
      <c r="E8" s="13" t="s">
        <v>7</v>
      </c>
      <c r="F8" s="12" t="s">
        <v>48</v>
      </c>
      <c r="I8" s="12" t="s">
        <v>5</v>
      </c>
      <c r="J8" s="52"/>
      <c r="K8" s="12" t="s">
        <v>6</v>
      </c>
      <c r="L8" s="13" t="s">
        <v>7</v>
      </c>
      <c r="M8" s="12" t="s">
        <v>48</v>
      </c>
      <c r="P8" s="12" t="s">
        <v>5</v>
      </c>
      <c r="Q8" s="52"/>
      <c r="R8" s="12" t="s">
        <v>6</v>
      </c>
      <c r="S8" s="13" t="s">
        <v>7</v>
      </c>
      <c r="T8" s="12" t="s">
        <v>48</v>
      </c>
      <c r="W8" s="12" t="s">
        <v>5</v>
      </c>
      <c r="X8" s="52"/>
      <c r="Y8" s="12" t="s">
        <v>6</v>
      </c>
      <c r="Z8" s="13" t="s">
        <v>7</v>
      </c>
      <c r="AA8" s="12" t="s">
        <v>48</v>
      </c>
      <c r="AD8" s="12" t="s">
        <v>5</v>
      </c>
      <c r="AE8" s="52"/>
      <c r="AF8" s="12" t="s">
        <v>6</v>
      </c>
      <c r="AG8" s="13" t="s">
        <v>7</v>
      </c>
      <c r="AH8" s="12" t="s">
        <v>48</v>
      </c>
      <c r="AK8" s="12" t="s">
        <v>5</v>
      </c>
      <c r="AL8" s="52"/>
      <c r="AM8" s="12" t="s">
        <v>6</v>
      </c>
      <c r="AN8" s="13" t="s">
        <v>7</v>
      </c>
      <c r="AO8" s="12" t="s">
        <v>48</v>
      </c>
      <c r="AQ8" s="1"/>
      <c r="AR8" s="12" t="s">
        <v>5</v>
      </c>
      <c r="AS8" s="52"/>
      <c r="AT8" s="12" t="s">
        <v>6</v>
      </c>
      <c r="AU8" s="13" t="s">
        <v>7</v>
      </c>
      <c r="AV8" s="12" t="s">
        <v>48</v>
      </c>
      <c r="AY8" s="12" t="s">
        <v>5</v>
      </c>
      <c r="AZ8" s="52"/>
      <c r="BA8" s="12" t="s">
        <v>6</v>
      </c>
      <c r="BB8" s="13" t="s">
        <v>7</v>
      </c>
      <c r="BC8" s="12" t="s">
        <v>48</v>
      </c>
      <c r="BF8" s="12" t="s">
        <v>5</v>
      </c>
      <c r="BG8" s="52"/>
      <c r="BH8" s="12" t="s">
        <v>6</v>
      </c>
      <c r="BI8" s="13" t="s">
        <v>7</v>
      </c>
      <c r="BJ8" s="12" t="s">
        <v>48</v>
      </c>
      <c r="BM8" s="12" t="s">
        <v>5</v>
      </c>
      <c r="BN8" s="52"/>
      <c r="BO8" s="12" t="s">
        <v>6</v>
      </c>
      <c r="BP8" s="13" t="s">
        <v>7</v>
      </c>
      <c r="BQ8" s="12" t="s">
        <v>48</v>
      </c>
      <c r="BU8" s="12" t="s">
        <v>5</v>
      </c>
      <c r="BV8" s="52"/>
      <c r="BW8" s="12" t="s">
        <v>6</v>
      </c>
      <c r="BX8" s="13" t="s">
        <v>7</v>
      </c>
      <c r="BY8" s="12" t="s">
        <v>48</v>
      </c>
      <c r="CB8" s="12" t="s">
        <v>5</v>
      </c>
      <c r="CC8" s="52"/>
      <c r="CD8" s="12" t="s">
        <v>6</v>
      </c>
      <c r="CE8" s="13" t="s">
        <v>7</v>
      </c>
      <c r="CF8" s="12" t="s">
        <v>48</v>
      </c>
      <c r="CI8" s="12" t="s">
        <v>5</v>
      </c>
      <c r="CJ8" s="52"/>
      <c r="CK8" s="12" t="s">
        <v>6</v>
      </c>
      <c r="CL8" s="13" t="s">
        <v>7</v>
      </c>
      <c r="CM8" s="12" t="s">
        <v>48</v>
      </c>
      <c r="CP8" s="12" t="s">
        <v>5</v>
      </c>
      <c r="CQ8" s="52"/>
      <c r="CR8" s="12" t="s">
        <v>6</v>
      </c>
      <c r="CS8" s="13" t="s">
        <v>7</v>
      </c>
      <c r="CT8" s="12" t="s">
        <v>48</v>
      </c>
    </row>
    <row r="9" spans="2:98" ht="13.5">
      <c r="B9" s="12"/>
      <c r="C9" s="52"/>
      <c r="D9" s="14"/>
      <c r="E9" s="15" t="s">
        <v>9</v>
      </c>
      <c r="F9" s="14"/>
      <c r="I9" s="12"/>
      <c r="J9" s="52"/>
      <c r="K9" s="14"/>
      <c r="L9" s="15" t="s">
        <v>9</v>
      </c>
      <c r="M9" s="14"/>
      <c r="P9" s="12"/>
      <c r="Q9" s="52"/>
      <c r="R9" s="14"/>
      <c r="S9" s="15" t="s">
        <v>9</v>
      </c>
      <c r="T9" s="14"/>
      <c r="W9" s="12"/>
      <c r="X9" s="52"/>
      <c r="Y9" s="14"/>
      <c r="Z9" s="15" t="s">
        <v>9</v>
      </c>
      <c r="AA9" s="14"/>
      <c r="AD9" s="12"/>
      <c r="AE9" s="52"/>
      <c r="AF9" s="14"/>
      <c r="AG9" s="15" t="s">
        <v>9</v>
      </c>
      <c r="AH9" s="14"/>
      <c r="AK9" s="12"/>
      <c r="AL9" s="52"/>
      <c r="AM9" s="14"/>
      <c r="AN9" s="15" t="s">
        <v>9</v>
      </c>
      <c r="AO9" s="14"/>
      <c r="AQ9" s="1"/>
      <c r="AR9" s="12"/>
      <c r="AS9" s="52"/>
      <c r="AT9" s="14"/>
      <c r="AU9" s="15" t="s">
        <v>9</v>
      </c>
      <c r="AV9" s="14"/>
      <c r="AY9" s="12"/>
      <c r="AZ9" s="52"/>
      <c r="BA9" s="14"/>
      <c r="BB9" s="15" t="s">
        <v>9</v>
      </c>
      <c r="BC9" s="14"/>
      <c r="BF9" s="12"/>
      <c r="BG9" s="52"/>
      <c r="BH9" s="14"/>
      <c r="BI9" s="15" t="s">
        <v>9</v>
      </c>
      <c r="BJ9" s="14"/>
      <c r="BM9" s="12"/>
      <c r="BN9" s="52"/>
      <c r="BO9" s="14"/>
      <c r="BP9" s="15" t="s">
        <v>9</v>
      </c>
      <c r="BQ9" s="14"/>
      <c r="BU9" s="12"/>
      <c r="BV9" s="52"/>
      <c r="BW9" s="14"/>
      <c r="BX9" s="15" t="s">
        <v>9</v>
      </c>
      <c r="BY9" s="14"/>
      <c r="CB9" s="12"/>
      <c r="CC9" s="52"/>
      <c r="CD9" s="14"/>
      <c r="CE9" s="15" t="s">
        <v>9</v>
      </c>
      <c r="CF9" s="14"/>
      <c r="CI9" s="12"/>
      <c r="CJ9" s="52"/>
      <c r="CK9" s="14"/>
      <c r="CL9" s="15" t="s">
        <v>9</v>
      </c>
      <c r="CM9" s="14"/>
      <c r="CP9" s="12"/>
      <c r="CQ9" s="52"/>
      <c r="CR9" s="14"/>
      <c r="CS9" s="15" t="s">
        <v>9</v>
      </c>
      <c r="CT9" s="14"/>
    </row>
    <row r="10" spans="1:95" ht="13.5">
      <c r="A10" s="16" t="s">
        <v>10</v>
      </c>
      <c r="B10" s="17" t="s">
        <v>11</v>
      </c>
      <c r="C10" s="46"/>
      <c r="H10" s="16" t="s">
        <v>10</v>
      </c>
      <c r="I10" s="17" t="s">
        <v>11</v>
      </c>
      <c r="J10" s="46"/>
      <c r="O10" s="16" t="s">
        <v>10</v>
      </c>
      <c r="P10" s="17" t="s">
        <v>11</v>
      </c>
      <c r="Q10" s="46"/>
      <c r="V10" s="16" t="s">
        <v>10</v>
      </c>
      <c r="W10" s="17" t="s">
        <v>11</v>
      </c>
      <c r="X10" s="46"/>
      <c r="AC10" s="16" t="s">
        <v>10</v>
      </c>
      <c r="AD10" s="17" t="s">
        <v>11</v>
      </c>
      <c r="AE10" s="46"/>
      <c r="AJ10" s="16" t="s">
        <v>10</v>
      </c>
      <c r="AK10" s="17" t="s">
        <v>11</v>
      </c>
      <c r="AL10" s="46"/>
      <c r="AQ10" s="16" t="s">
        <v>10</v>
      </c>
      <c r="AR10" s="17" t="s">
        <v>11</v>
      </c>
      <c r="AS10" s="46"/>
      <c r="AT10" s="6"/>
      <c r="AU10" s="6"/>
      <c r="AV10" s="6"/>
      <c r="AX10" s="16" t="s">
        <v>10</v>
      </c>
      <c r="AY10" s="17" t="s">
        <v>11</v>
      </c>
      <c r="AZ10" s="46"/>
      <c r="BE10" s="16" t="s">
        <v>10</v>
      </c>
      <c r="BF10" s="17" t="s">
        <v>11</v>
      </c>
      <c r="BG10" s="46"/>
      <c r="BL10" s="16" t="s">
        <v>10</v>
      </c>
      <c r="BM10" s="17" t="s">
        <v>11</v>
      </c>
      <c r="BN10" s="46"/>
      <c r="BT10" s="16" t="s">
        <v>10</v>
      </c>
      <c r="BU10" s="17" t="s">
        <v>11</v>
      </c>
      <c r="BV10" s="46"/>
      <c r="CA10" s="16" t="s">
        <v>10</v>
      </c>
      <c r="CB10" s="17" t="s">
        <v>11</v>
      </c>
      <c r="CC10" s="46"/>
      <c r="CH10" s="16" t="s">
        <v>10</v>
      </c>
      <c r="CI10" s="17" t="s">
        <v>11</v>
      </c>
      <c r="CJ10" s="46"/>
      <c r="CO10" s="16" t="s">
        <v>10</v>
      </c>
      <c r="CP10" s="17" t="s">
        <v>11</v>
      </c>
      <c r="CQ10" s="46"/>
    </row>
    <row r="11" spans="2:98" ht="13.5">
      <c r="B11" s="8" t="s">
        <v>52</v>
      </c>
      <c r="C11" s="55" t="s">
        <v>53</v>
      </c>
      <c r="D11" s="24">
        <v>21774</v>
      </c>
      <c r="E11" s="19">
        <v>-511961.61999999994</v>
      </c>
      <c r="F11" s="20">
        <v>-23.512520437218697</v>
      </c>
      <c r="I11" s="8" t="s">
        <v>52</v>
      </c>
      <c r="J11" s="55" t="s">
        <v>53</v>
      </c>
      <c r="K11" s="24">
        <v>150586</v>
      </c>
      <c r="L11" s="19">
        <v>6350245.859999999</v>
      </c>
      <c r="M11" s="20">
        <v>42.170227378375145</v>
      </c>
      <c r="P11" s="8" t="s">
        <v>88</v>
      </c>
      <c r="Q11" s="55" t="s">
        <v>53</v>
      </c>
      <c r="R11" s="24">
        <v>361369</v>
      </c>
      <c r="S11" s="19">
        <v>12500079.649999999</v>
      </c>
      <c r="T11" s="20">
        <v>34.590901958939476</v>
      </c>
      <c r="W11" s="8" t="s">
        <v>88</v>
      </c>
      <c r="X11" s="55" t="s">
        <v>53</v>
      </c>
      <c r="Y11" s="24">
        <v>408907</v>
      </c>
      <c r="Z11" s="19">
        <v>14357766.07</v>
      </c>
      <c r="AA11" s="20">
        <v>35.11254654481337</v>
      </c>
      <c r="AD11" s="8" t="s">
        <v>88</v>
      </c>
      <c r="AE11" s="55" t="s">
        <v>53</v>
      </c>
      <c r="AF11" s="24">
        <v>598568</v>
      </c>
      <c r="AG11" s="19">
        <v>19477121.750000004</v>
      </c>
      <c r="AH11" s="20">
        <v>32.53953059635664</v>
      </c>
      <c r="AK11" s="8" t="s">
        <v>88</v>
      </c>
      <c r="AL11" s="55" t="s">
        <v>53</v>
      </c>
      <c r="AM11" s="24">
        <v>455195</v>
      </c>
      <c r="AN11" s="19">
        <v>14662596.35</v>
      </c>
      <c r="AO11" s="20">
        <v>32.21168147716912</v>
      </c>
      <c r="AQ11" s="1"/>
      <c r="AR11" s="8" t="s">
        <v>52</v>
      </c>
      <c r="AS11" s="55" t="s">
        <v>53</v>
      </c>
      <c r="AT11" s="24">
        <v>56804</v>
      </c>
      <c r="AU11" s="19">
        <v>1984479.8800000001</v>
      </c>
      <c r="AV11" s="20">
        <v>34.93556580522499</v>
      </c>
      <c r="AY11" s="8" t="s">
        <v>52</v>
      </c>
      <c r="AZ11" s="55" t="s">
        <v>53</v>
      </c>
      <c r="BA11" s="24">
        <v>117583</v>
      </c>
      <c r="BB11" s="19">
        <v>4565301.46</v>
      </c>
      <c r="BC11" s="20">
        <v>38.8262032776847</v>
      </c>
      <c r="BF11" s="8" t="s">
        <v>52</v>
      </c>
      <c r="BG11" s="55" t="s">
        <v>53</v>
      </c>
      <c r="BH11" s="24">
        <v>129852</v>
      </c>
      <c r="BI11" s="19">
        <v>4803971.859999999</v>
      </c>
      <c r="BJ11" s="20">
        <v>36.9957479284108</v>
      </c>
      <c r="BM11" s="8" t="s">
        <v>52</v>
      </c>
      <c r="BN11" s="55" t="s">
        <v>53</v>
      </c>
      <c r="BO11" s="19">
        <v>108582</v>
      </c>
      <c r="BP11" s="19">
        <v>4070432.3899999997</v>
      </c>
      <c r="BQ11" s="20">
        <v>37.48717457773848</v>
      </c>
      <c r="BU11" s="8" t="s">
        <v>52</v>
      </c>
      <c r="BV11" s="55" t="s">
        <v>53</v>
      </c>
      <c r="BW11" s="19">
        <v>95190</v>
      </c>
      <c r="BX11" s="19">
        <v>3372429.37</v>
      </c>
      <c r="BY11" s="20">
        <v>35.42839972686207</v>
      </c>
      <c r="CB11" s="8" t="s">
        <v>52</v>
      </c>
      <c r="CC11" s="55" t="s">
        <v>53</v>
      </c>
      <c r="CD11" s="19">
        <v>16734</v>
      </c>
      <c r="CE11" s="19">
        <v>324640.7199999999</v>
      </c>
      <c r="CF11" s="20">
        <v>19.400066929604392</v>
      </c>
      <c r="CI11" s="8" t="s">
        <v>52</v>
      </c>
      <c r="CJ11" s="55" t="s">
        <v>53</v>
      </c>
      <c r="CK11" s="19">
        <v>35869</v>
      </c>
      <c r="CL11" s="19">
        <v>2075966.83</v>
      </c>
      <c r="CM11" s="20">
        <v>57.876350887953386</v>
      </c>
      <c r="CP11" s="8" t="s">
        <v>52</v>
      </c>
      <c r="CQ11" s="55" t="s">
        <v>53</v>
      </c>
      <c r="CR11" s="19">
        <v>379794</v>
      </c>
      <c r="CS11" s="19">
        <v>13224760.229999999</v>
      </c>
      <c r="CT11" s="20">
        <v>34.82087718605349</v>
      </c>
    </row>
    <row r="12" spans="2:98" ht="13.5">
      <c r="B12" s="8" t="s">
        <v>42</v>
      </c>
      <c r="C12" s="55" t="s">
        <v>54</v>
      </c>
      <c r="D12" s="19">
        <v>230953</v>
      </c>
      <c r="E12" s="56">
        <v>4768738.568509182</v>
      </c>
      <c r="F12" s="20">
        <v>41.315596002259454</v>
      </c>
      <c r="I12" s="8" t="s">
        <v>42</v>
      </c>
      <c r="J12" s="55" t="s">
        <v>54</v>
      </c>
      <c r="K12" s="19">
        <v>268134</v>
      </c>
      <c r="L12" s="56">
        <v>5871168.654317882</v>
      </c>
      <c r="M12" s="20">
        <v>43.81040557322531</v>
      </c>
      <c r="P12" s="8" t="s">
        <v>89</v>
      </c>
      <c r="Q12" s="55"/>
      <c r="R12" s="24">
        <v>257178</v>
      </c>
      <c r="S12" s="19">
        <v>6001682</v>
      </c>
      <c r="T12" s="20">
        <v>23.336685097481123</v>
      </c>
      <c r="W12" s="8" t="s">
        <v>89</v>
      </c>
      <c r="X12" s="55"/>
      <c r="Y12" s="24">
        <v>119744</v>
      </c>
      <c r="Z12" s="19">
        <v>2939621</v>
      </c>
      <c r="AA12" s="20">
        <v>24.549213321753072</v>
      </c>
      <c r="AD12" s="8" t="s">
        <v>89</v>
      </c>
      <c r="AE12" s="55"/>
      <c r="AF12" s="24">
        <v>136489</v>
      </c>
      <c r="AG12" s="19">
        <v>3251142</v>
      </c>
      <c r="AH12" s="20">
        <v>23.81980965499051</v>
      </c>
      <c r="AK12" s="8" t="s">
        <v>89</v>
      </c>
      <c r="AL12" s="55" t="s">
        <v>54</v>
      </c>
      <c r="AM12" s="19">
        <v>123570.3</v>
      </c>
      <c r="AN12" s="56">
        <v>3083505.803</v>
      </c>
      <c r="AO12" s="20">
        <v>24.95345405004277</v>
      </c>
      <c r="AQ12" s="1"/>
      <c r="AR12" s="8" t="s">
        <v>94</v>
      </c>
      <c r="AS12" s="55" t="s">
        <v>54</v>
      </c>
      <c r="AT12" s="19">
        <v>148916.2</v>
      </c>
      <c r="AU12" s="56">
        <v>3706167.3145</v>
      </c>
      <c r="AV12" s="20">
        <v>24.8876033265689</v>
      </c>
      <c r="AY12" s="8" t="s">
        <v>94</v>
      </c>
      <c r="AZ12" s="55" t="s">
        <v>54</v>
      </c>
      <c r="BA12" s="19">
        <v>164450</v>
      </c>
      <c r="BB12" s="56">
        <v>4244420.7754999995</v>
      </c>
      <c r="BC12" s="20">
        <v>25.80979492550927</v>
      </c>
      <c r="BF12" s="8" t="s">
        <v>94</v>
      </c>
      <c r="BG12" s="55" t="s">
        <v>54</v>
      </c>
      <c r="BH12" s="19">
        <v>252456.2</v>
      </c>
      <c r="BI12" s="56">
        <v>6292779.2875</v>
      </c>
      <c r="BJ12" s="20">
        <v>24.926222004054562</v>
      </c>
      <c r="BM12" s="8" t="s">
        <v>94</v>
      </c>
      <c r="BN12" s="55" t="s">
        <v>54</v>
      </c>
      <c r="BO12" s="19">
        <v>221556.55</v>
      </c>
      <c r="BP12" s="59">
        <v>5609166.795</v>
      </c>
      <c r="BQ12" s="20">
        <v>25.317088549176272</v>
      </c>
      <c r="BU12" s="8" t="s">
        <v>94</v>
      </c>
      <c r="BV12" s="55" t="s">
        <v>54</v>
      </c>
      <c r="BW12" s="19">
        <v>216061.5</v>
      </c>
      <c r="BX12" s="59">
        <v>4765771.047</v>
      </c>
      <c r="BY12" s="20">
        <v>22.0574745940392</v>
      </c>
      <c r="CB12" s="8" t="s">
        <v>94</v>
      </c>
      <c r="CC12" s="55" t="s">
        <v>54</v>
      </c>
      <c r="CD12" s="19">
        <v>217598.55</v>
      </c>
      <c r="CE12" s="59">
        <v>5551673.852</v>
      </c>
      <c r="CF12" s="20">
        <v>25.51337705145554</v>
      </c>
      <c r="CI12" s="8" t="s">
        <v>94</v>
      </c>
      <c r="CJ12" s="55" t="s">
        <v>54</v>
      </c>
      <c r="CK12" s="19">
        <v>240251.85</v>
      </c>
      <c r="CL12" s="59">
        <v>6112024.174000001</v>
      </c>
      <c r="CM12" s="20">
        <v>25.4400712169334</v>
      </c>
      <c r="CP12" s="8" t="s">
        <v>94</v>
      </c>
      <c r="CQ12" s="55" t="s">
        <v>54</v>
      </c>
      <c r="CR12" s="19">
        <v>272982</v>
      </c>
      <c r="CS12" s="59">
        <v>6894591.5695</v>
      </c>
      <c r="CT12" s="20">
        <v>25.256579442966935</v>
      </c>
    </row>
    <row r="13" spans="2:98" ht="13.5">
      <c r="B13" s="23" t="s">
        <v>12</v>
      </c>
      <c r="C13" s="46"/>
      <c r="D13" s="19">
        <v>252727</v>
      </c>
      <c r="E13" s="19">
        <v>4256776.948509182</v>
      </c>
      <c r="F13" s="20">
        <v>16.84338020278475</v>
      </c>
      <c r="I13" s="23" t="s">
        <v>12</v>
      </c>
      <c r="J13" s="46"/>
      <c r="K13" s="19">
        <v>418720</v>
      </c>
      <c r="L13" s="19">
        <v>12221414.514317881</v>
      </c>
      <c r="M13" s="20">
        <v>29.187558545848972</v>
      </c>
      <c r="P13" s="23" t="s">
        <v>12</v>
      </c>
      <c r="Q13" s="46"/>
      <c r="R13" s="19">
        <v>618547</v>
      </c>
      <c r="S13" s="19">
        <v>18501761.65</v>
      </c>
      <c r="T13" s="20">
        <v>29.9116504485512</v>
      </c>
      <c r="W13" s="23" t="s">
        <v>12</v>
      </c>
      <c r="X13" s="46"/>
      <c r="Y13" s="19">
        <v>528651</v>
      </c>
      <c r="Z13" s="19">
        <v>17297387.07</v>
      </c>
      <c r="AA13" s="20">
        <v>32.719860683134996</v>
      </c>
      <c r="AD13" s="23" t="s">
        <v>12</v>
      </c>
      <c r="AE13" s="46"/>
      <c r="AF13" s="19">
        <v>735057</v>
      </c>
      <c r="AG13" s="19">
        <v>22728263.750000004</v>
      </c>
      <c r="AH13" s="20">
        <v>30.920409913789005</v>
      </c>
      <c r="AK13" s="23" t="s">
        <v>12</v>
      </c>
      <c r="AL13" s="46"/>
      <c r="AM13" s="19">
        <v>578765.3</v>
      </c>
      <c r="AN13" s="19">
        <v>17746102.153</v>
      </c>
      <c r="AO13" s="20">
        <v>30.66200090606676</v>
      </c>
      <c r="AQ13" s="1"/>
      <c r="AR13" s="23" t="s">
        <v>12</v>
      </c>
      <c r="AS13" s="46"/>
      <c r="AT13" s="19">
        <v>205720.2</v>
      </c>
      <c r="AU13" s="19">
        <v>5690647.1945</v>
      </c>
      <c r="AV13" s="20">
        <v>27.662073021997838</v>
      </c>
      <c r="AY13" s="23" t="s">
        <v>12</v>
      </c>
      <c r="AZ13" s="46"/>
      <c r="BA13" s="19">
        <v>282033</v>
      </c>
      <c r="BB13" s="19">
        <v>8809722.2355</v>
      </c>
      <c r="BC13" s="20">
        <v>31.236494436821225</v>
      </c>
      <c r="BF13" s="23" t="s">
        <v>12</v>
      </c>
      <c r="BG13" s="46"/>
      <c r="BH13" s="19">
        <v>382308.2</v>
      </c>
      <c r="BI13" s="19">
        <v>11096751.147499999</v>
      </c>
      <c r="BJ13" s="20">
        <v>29.025668681707582</v>
      </c>
      <c r="BM13" s="23" t="s">
        <v>12</v>
      </c>
      <c r="BN13" s="46"/>
      <c r="BO13" s="19">
        <v>330138.55</v>
      </c>
      <c r="BP13" s="19">
        <v>9679599.184999999</v>
      </c>
      <c r="BQ13" s="20">
        <v>29.31980886509618</v>
      </c>
      <c r="BU13" s="23" t="s">
        <v>12</v>
      </c>
      <c r="BV13" s="46"/>
      <c r="BW13" s="19">
        <v>311251.5</v>
      </c>
      <c r="BX13" s="19">
        <v>8138200.417</v>
      </c>
      <c r="BY13" s="20">
        <v>26.146702640790487</v>
      </c>
      <c r="CB13" s="23" t="s">
        <v>12</v>
      </c>
      <c r="CC13" s="46"/>
      <c r="CD13" s="19">
        <v>234332.55</v>
      </c>
      <c r="CE13" s="19">
        <v>5876314.572</v>
      </c>
      <c r="CF13" s="20">
        <v>25.076817420371178</v>
      </c>
      <c r="CI13" s="23" t="s">
        <v>12</v>
      </c>
      <c r="CJ13" s="46"/>
      <c r="CK13" s="19">
        <v>276120.85</v>
      </c>
      <c r="CL13" s="19">
        <v>8187991.004000001</v>
      </c>
      <c r="CM13" s="20">
        <v>29.653649856575488</v>
      </c>
      <c r="CP13" s="23" t="s">
        <v>12</v>
      </c>
      <c r="CQ13" s="46"/>
      <c r="CR13" s="19">
        <v>652776</v>
      </c>
      <c r="CS13" s="19">
        <v>20119351.7995</v>
      </c>
      <c r="CT13" s="20">
        <v>30.821218610212384</v>
      </c>
    </row>
    <row r="14" spans="2:98" ht="13.5">
      <c r="B14" s="3"/>
      <c r="C14" s="46"/>
      <c r="D14" s="19"/>
      <c r="E14" s="19"/>
      <c r="F14" s="20"/>
      <c r="I14" s="3"/>
      <c r="J14" s="46"/>
      <c r="K14" s="19"/>
      <c r="L14" s="19"/>
      <c r="M14" s="20"/>
      <c r="P14" s="3"/>
      <c r="Q14" s="46"/>
      <c r="R14" s="19"/>
      <c r="S14" s="19"/>
      <c r="T14" s="20"/>
      <c r="W14" s="3"/>
      <c r="X14" s="46"/>
      <c r="Y14" s="19"/>
      <c r="Z14" s="19"/>
      <c r="AA14" s="20"/>
      <c r="AD14" s="3"/>
      <c r="AE14" s="46"/>
      <c r="AF14" s="19"/>
      <c r="AG14" s="19"/>
      <c r="AH14" s="20"/>
      <c r="AK14" s="3"/>
      <c r="AL14" s="46"/>
      <c r="AM14" s="19"/>
      <c r="AN14" s="19"/>
      <c r="AO14" s="20"/>
      <c r="AQ14" s="1"/>
      <c r="AR14" s="3"/>
      <c r="AS14" s="46"/>
      <c r="AT14" s="19"/>
      <c r="AU14" s="19"/>
      <c r="AV14" s="20"/>
      <c r="AY14" s="3"/>
      <c r="AZ14" s="46"/>
      <c r="BA14" s="19"/>
      <c r="BB14" s="19"/>
      <c r="BC14" s="20"/>
      <c r="BF14" s="3"/>
      <c r="BG14" s="46"/>
      <c r="BH14" s="19"/>
      <c r="BI14" s="19"/>
      <c r="BJ14" s="20"/>
      <c r="BM14" s="3"/>
      <c r="BN14" s="46"/>
      <c r="BO14" s="19"/>
      <c r="BP14" s="19"/>
      <c r="BQ14" s="20"/>
      <c r="BU14" s="3"/>
      <c r="BV14" s="46"/>
      <c r="BW14" s="19"/>
      <c r="BX14" s="19"/>
      <c r="BY14" s="20"/>
      <c r="CB14" s="3"/>
      <c r="CC14" s="46"/>
      <c r="CD14" s="19"/>
      <c r="CE14" s="19"/>
      <c r="CF14" s="20"/>
      <c r="CI14" s="3"/>
      <c r="CJ14" s="46"/>
      <c r="CK14" s="19"/>
      <c r="CL14" s="19"/>
      <c r="CM14" s="20"/>
      <c r="CP14" s="3"/>
      <c r="CQ14" s="46"/>
      <c r="CR14" s="19"/>
      <c r="CS14" s="19"/>
      <c r="CT14" s="20"/>
    </row>
    <row r="15" spans="2:98" ht="13.5">
      <c r="B15" s="17" t="s">
        <v>14</v>
      </c>
      <c r="C15" s="46"/>
      <c r="D15" s="19"/>
      <c r="E15" s="19"/>
      <c r="F15" s="20"/>
      <c r="I15" s="17" t="s">
        <v>14</v>
      </c>
      <c r="J15" s="46"/>
      <c r="K15" s="19"/>
      <c r="L15" s="19"/>
      <c r="M15" s="20"/>
      <c r="O15" s="16" t="s">
        <v>13</v>
      </c>
      <c r="P15" s="17" t="s">
        <v>14</v>
      </c>
      <c r="Q15" s="46"/>
      <c r="R15" s="19"/>
      <c r="S15" s="19"/>
      <c r="T15" s="20"/>
      <c r="V15" s="16" t="s">
        <v>13</v>
      </c>
      <c r="W15" s="17" t="s">
        <v>14</v>
      </c>
      <c r="X15" s="46"/>
      <c r="Y15" s="19"/>
      <c r="Z15" s="19"/>
      <c r="AA15" s="20"/>
      <c r="AD15" s="17" t="s">
        <v>14</v>
      </c>
      <c r="AE15" s="46"/>
      <c r="AF15" s="19"/>
      <c r="AG15" s="19"/>
      <c r="AH15" s="20"/>
      <c r="AK15" s="17" t="s">
        <v>14</v>
      </c>
      <c r="AL15" s="46"/>
      <c r="AM15" s="19"/>
      <c r="AN15" s="19"/>
      <c r="AO15" s="20"/>
      <c r="AQ15" s="1"/>
      <c r="AR15" s="17" t="s">
        <v>14</v>
      </c>
      <c r="AS15" s="46"/>
      <c r="AT15" s="19"/>
      <c r="AU15" s="19"/>
      <c r="AV15" s="20"/>
      <c r="AY15" s="17" t="s">
        <v>14</v>
      </c>
      <c r="AZ15" s="46"/>
      <c r="BA15" s="19"/>
      <c r="BB15" s="19"/>
      <c r="BC15" s="20"/>
      <c r="BF15" s="17" t="s">
        <v>14</v>
      </c>
      <c r="BG15" s="46"/>
      <c r="BH15" s="19"/>
      <c r="BI15" s="19"/>
      <c r="BJ15" s="20"/>
      <c r="BM15" s="17" t="s">
        <v>14</v>
      </c>
      <c r="BN15" s="46"/>
      <c r="BO15" s="19"/>
      <c r="BP15" s="19"/>
      <c r="BQ15" s="20"/>
      <c r="BU15" s="17" t="s">
        <v>14</v>
      </c>
      <c r="BV15" s="46"/>
      <c r="BW15" s="19"/>
      <c r="BX15" s="19"/>
      <c r="BY15" s="20"/>
      <c r="CB15" s="17" t="s">
        <v>14</v>
      </c>
      <c r="CC15" s="46"/>
      <c r="CD15" s="19"/>
      <c r="CE15" s="19"/>
      <c r="CF15" s="20"/>
      <c r="CI15" s="17" t="s">
        <v>14</v>
      </c>
      <c r="CJ15" s="46"/>
      <c r="CK15" s="19"/>
      <c r="CL15" s="19"/>
      <c r="CM15" s="20"/>
      <c r="CP15" s="17" t="s">
        <v>14</v>
      </c>
      <c r="CQ15" s="46"/>
      <c r="CR15" s="19"/>
      <c r="CS15" s="19"/>
      <c r="CT15" s="20"/>
    </row>
    <row r="16" spans="1:98" ht="13.5">
      <c r="A16" s="16" t="s">
        <v>13</v>
      </c>
      <c r="B16" s="8" t="s">
        <v>59</v>
      </c>
      <c r="C16" s="55" t="s">
        <v>60</v>
      </c>
      <c r="D16" s="19">
        <v>358488.954</v>
      </c>
      <c r="E16" s="19">
        <v>7375439.425</v>
      </c>
      <c r="F16" s="20">
        <v>20.573686699981277</v>
      </c>
      <c r="H16" s="16" t="s">
        <v>13</v>
      </c>
      <c r="I16" s="8" t="s">
        <v>59</v>
      </c>
      <c r="J16" s="55" t="s">
        <v>60</v>
      </c>
      <c r="K16" s="19">
        <v>345397.141</v>
      </c>
      <c r="L16" s="19">
        <v>7801548.415</v>
      </c>
      <c r="M16" s="20">
        <v>22.587182952391608</v>
      </c>
      <c r="O16" s="6"/>
      <c r="P16" s="8" t="s">
        <v>59</v>
      </c>
      <c r="Q16" s="55" t="s">
        <v>60</v>
      </c>
      <c r="R16" s="19">
        <v>253250.454</v>
      </c>
      <c r="S16" s="19">
        <v>5534224.632</v>
      </c>
      <c r="T16" s="20">
        <v>21.852772797003556</v>
      </c>
      <c r="V16" s="6"/>
      <c r="W16" s="8" t="s">
        <v>59</v>
      </c>
      <c r="X16" s="55" t="s">
        <v>60</v>
      </c>
      <c r="Y16" s="19">
        <v>210119.107</v>
      </c>
      <c r="Z16" s="19">
        <v>4598873.431</v>
      </c>
      <c r="AA16" s="20">
        <v>21.886983514545395</v>
      </c>
      <c r="AD16" s="8" t="s">
        <v>59</v>
      </c>
      <c r="AE16" s="55" t="s">
        <v>60</v>
      </c>
      <c r="AF16" s="19">
        <v>119838.717</v>
      </c>
      <c r="AG16" s="19">
        <v>2952868.613</v>
      </c>
      <c r="AH16" s="20">
        <v>24.64035569573062</v>
      </c>
      <c r="AJ16" s="16" t="s">
        <v>13</v>
      </c>
      <c r="AK16" s="8" t="s">
        <v>59</v>
      </c>
      <c r="AL16" s="55" t="s">
        <v>60</v>
      </c>
      <c r="AM16" s="19">
        <v>70533.949</v>
      </c>
      <c r="AN16" s="19">
        <v>1820592.641</v>
      </c>
      <c r="AO16" s="20">
        <v>25.81157962671281</v>
      </c>
      <c r="AQ16" s="16" t="s">
        <v>13</v>
      </c>
      <c r="AR16" s="8" t="s">
        <v>59</v>
      </c>
      <c r="AS16" s="55" t="s">
        <v>60</v>
      </c>
      <c r="AT16" s="19">
        <v>312404.038</v>
      </c>
      <c r="AU16" s="19">
        <v>7760783.083</v>
      </c>
      <c r="AV16" s="20">
        <v>24.84213434846831</v>
      </c>
      <c r="AX16" s="16" t="s">
        <v>13</v>
      </c>
      <c r="AY16" s="8" t="s">
        <v>59</v>
      </c>
      <c r="AZ16" s="55" t="s">
        <v>60</v>
      </c>
      <c r="BA16" s="19">
        <v>339467.989</v>
      </c>
      <c r="BB16" s="19">
        <v>7961858.63</v>
      </c>
      <c r="BC16" s="20">
        <v>23.453930526568737</v>
      </c>
      <c r="BE16" s="16" t="s">
        <v>13</v>
      </c>
      <c r="BF16" s="8" t="s">
        <v>59</v>
      </c>
      <c r="BG16" s="55" t="s">
        <v>60</v>
      </c>
      <c r="BH16" s="19">
        <v>323767.317</v>
      </c>
      <c r="BI16" s="19">
        <v>7553271.726</v>
      </c>
      <c r="BJ16" s="20">
        <v>23.329321180371025</v>
      </c>
      <c r="BL16" s="16" t="s">
        <v>13</v>
      </c>
      <c r="BM16" s="8" t="s">
        <v>59</v>
      </c>
      <c r="BN16" s="55" t="s">
        <v>60</v>
      </c>
      <c r="BO16" s="19">
        <v>384074.148</v>
      </c>
      <c r="BP16" s="19">
        <v>9569166.085</v>
      </c>
      <c r="BQ16" s="20">
        <v>24.91489243634279</v>
      </c>
      <c r="BT16" s="16" t="s">
        <v>13</v>
      </c>
      <c r="BU16" s="8" t="s">
        <v>59</v>
      </c>
      <c r="BV16" s="55" t="s">
        <v>60</v>
      </c>
      <c r="BW16" s="19">
        <v>300808.441</v>
      </c>
      <c r="BX16" s="19">
        <v>7043403.513</v>
      </c>
      <c r="BY16" s="20">
        <v>23.414913124063563</v>
      </c>
      <c r="CA16" s="16" t="s">
        <v>13</v>
      </c>
      <c r="CB16" s="8" t="s">
        <v>59</v>
      </c>
      <c r="CC16" s="55" t="s">
        <v>60</v>
      </c>
      <c r="CD16" s="19">
        <v>306431.826</v>
      </c>
      <c r="CE16" s="19">
        <v>7832526.479</v>
      </c>
      <c r="CF16" s="20">
        <v>25.560420995565913</v>
      </c>
      <c r="CH16" s="16" t="s">
        <v>13</v>
      </c>
      <c r="CI16" s="8" t="s">
        <v>59</v>
      </c>
      <c r="CJ16" s="55" t="s">
        <v>60</v>
      </c>
      <c r="CK16" s="19">
        <v>352668.654</v>
      </c>
      <c r="CL16" s="19">
        <v>8310982.944</v>
      </c>
      <c r="CM16" s="20">
        <v>23.565981409847673</v>
      </c>
      <c r="CO16" s="16" t="s">
        <v>13</v>
      </c>
      <c r="CP16" s="8" t="s">
        <v>59</v>
      </c>
      <c r="CQ16" s="55" t="s">
        <v>60</v>
      </c>
      <c r="CR16" s="19">
        <v>272738.118</v>
      </c>
      <c r="CS16" s="19">
        <v>5986721.537</v>
      </c>
      <c r="CT16" s="20">
        <v>21.95043942115931</v>
      </c>
    </row>
    <row r="17" spans="1:98" ht="13.5">
      <c r="A17" s="6"/>
      <c r="B17" s="8" t="s">
        <v>62</v>
      </c>
      <c r="C17" s="55" t="s">
        <v>63</v>
      </c>
      <c r="D17" s="19">
        <v>21575.684</v>
      </c>
      <c r="E17" s="19">
        <v>855939.8999999999</v>
      </c>
      <c r="F17" s="20">
        <v>39.671507053959445</v>
      </c>
      <c r="H17" s="6"/>
      <c r="I17" s="8" t="s">
        <v>62</v>
      </c>
      <c r="J17" s="55" t="s">
        <v>63</v>
      </c>
      <c r="K17" s="19">
        <v>29723.617</v>
      </c>
      <c r="L17" s="19">
        <v>931794.24</v>
      </c>
      <c r="M17" s="20">
        <v>31.34861547973788</v>
      </c>
      <c r="P17" s="8" t="s">
        <v>62</v>
      </c>
      <c r="Q17" s="55" t="s">
        <v>63</v>
      </c>
      <c r="R17" s="19">
        <v>32671.794</v>
      </c>
      <c r="S17" s="19">
        <v>1273881.54</v>
      </c>
      <c r="T17" s="20">
        <v>38.99025379506249</v>
      </c>
      <c r="W17" s="8" t="s">
        <v>62</v>
      </c>
      <c r="X17" s="55" t="s">
        <v>63</v>
      </c>
      <c r="Y17" s="19">
        <v>25731.873999999996</v>
      </c>
      <c r="Z17" s="19">
        <v>908077.46</v>
      </c>
      <c r="AA17" s="20">
        <v>35.28998548648264</v>
      </c>
      <c r="AC17" s="16" t="s">
        <v>13</v>
      </c>
      <c r="AD17" s="8" t="s">
        <v>62</v>
      </c>
      <c r="AE17" s="55" t="s">
        <v>63</v>
      </c>
      <c r="AF17" s="19">
        <v>23023.225</v>
      </c>
      <c r="AG17" s="19">
        <v>902702.1200000001</v>
      </c>
      <c r="AH17" s="20">
        <v>39.208326374780256</v>
      </c>
      <c r="AJ17" s="6"/>
      <c r="AK17" s="8" t="s">
        <v>62</v>
      </c>
      <c r="AL17" s="55" t="s">
        <v>63</v>
      </c>
      <c r="AM17" s="19">
        <v>23262.766000000003</v>
      </c>
      <c r="AN17" s="19">
        <v>827119.8500000001</v>
      </c>
      <c r="AO17" s="20">
        <v>35.55552465257141</v>
      </c>
      <c r="AQ17" s="6"/>
      <c r="AR17" s="8" t="s">
        <v>62</v>
      </c>
      <c r="AS17" s="55" t="s">
        <v>63</v>
      </c>
      <c r="AT17" s="19">
        <v>30417.627</v>
      </c>
      <c r="AU17" s="19">
        <v>1083155.17</v>
      </c>
      <c r="AV17" s="20">
        <v>35.60945664827831</v>
      </c>
      <c r="AX17" s="6"/>
      <c r="AY17" s="8" t="s">
        <v>62</v>
      </c>
      <c r="AZ17" s="55" t="s">
        <v>63</v>
      </c>
      <c r="BA17" s="19">
        <v>17500.513</v>
      </c>
      <c r="BB17" s="19">
        <v>601077.62</v>
      </c>
      <c r="BC17" s="20">
        <v>34.34628573459533</v>
      </c>
      <c r="BE17" s="6"/>
      <c r="BF17" s="8" t="s">
        <v>62</v>
      </c>
      <c r="BG17" s="55" t="s">
        <v>63</v>
      </c>
      <c r="BH17" s="19">
        <v>22622.764000000003</v>
      </c>
      <c r="BI17" s="19">
        <v>1076674.0299999998</v>
      </c>
      <c r="BJ17" s="20">
        <v>47.592505937824384</v>
      </c>
      <c r="BL17" s="6"/>
      <c r="BM17" s="8" t="s">
        <v>62</v>
      </c>
      <c r="BN17" s="55" t="s">
        <v>63</v>
      </c>
      <c r="BO17" s="19">
        <v>21153.111</v>
      </c>
      <c r="BP17" s="19">
        <v>698486.84</v>
      </c>
      <c r="BQ17" s="20">
        <v>33.020525444224255</v>
      </c>
      <c r="BT17" s="6"/>
      <c r="BU17" s="8" t="s">
        <v>62</v>
      </c>
      <c r="BV17" s="55" t="s">
        <v>63</v>
      </c>
      <c r="BW17" s="19">
        <v>28094.875</v>
      </c>
      <c r="BX17" s="19">
        <v>1064344.61</v>
      </c>
      <c r="BY17" s="20">
        <v>37.883941822129486</v>
      </c>
      <c r="CA17" s="6"/>
      <c r="CB17" s="8" t="s">
        <v>62</v>
      </c>
      <c r="CC17" s="55" t="s">
        <v>63</v>
      </c>
      <c r="CD17" s="19">
        <v>29288.992</v>
      </c>
      <c r="CE17" s="19">
        <v>972711.89</v>
      </c>
      <c r="CF17" s="20">
        <v>33.21083531997277</v>
      </c>
      <c r="CH17" s="6"/>
      <c r="CI17" s="8" t="s">
        <v>62</v>
      </c>
      <c r="CJ17" s="55" t="s">
        <v>63</v>
      </c>
      <c r="CK17" s="19">
        <v>24114.307999999997</v>
      </c>
      <c r="CL17" s="19">
        <v>793593.51</v>
      </c>
      <c r="CM17" s="20">
        <v>32.909653057429644</v>
      </c>
      <c r="CO17" s="6"/>
      <c r="CP17" s="8" t="s">
        <v>62</v>
      </c>
      <c r="CQ17" s="55" t="s">
        <v>63</v>
      </c>
      <c r="CR17" s="19">
        <v>31447.161999999997</v>
      </c>
      <c r="CS17" s="19">
        <v>1116409.91</v>
      </c>
      <c r="CT17" s="20">
        <v>35.501133933803</v>
      </c>
    </row>
    <row r="18" spans="2:98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I18" s="8" t="s">
        <v>65</v>
      </c>
      <c r="J18" s="55" t="s">
        <v>66</v>
      </c>
      <c r="K18" s="19">
        <v>0</v>
      </c>
      <c r="L18" s="19">
        <v>0</v>
      </c>
      <c r="M18" s="20">
        <v>0</v>
      </c>
      <c r="P18" s="8" t="s">
        <v>65</v>
      </c>
      <c r="Q18" s="55" t="s">
        <v>66</v>
      </c>
      <c r="R18" s="19">
        <v>0</v>
      </c>
      <c r="S18" s="19">
        <v>0</v>
      </c>
      <c r="T18" s="20">
        <v>0</v>
      </c>
      <c r="W18" s="8" t="s">
        <v>65</v>
      </c>
      <c r="X18" s="55" t="s">
        <v>66</v>
      </c>
      <c r="Y18" s="19">
        <v>0</v>
      </c>
      <c r="Z18" s="19">
        <v>0</v>
      </c>
      <c r="AA18" s="20">
        <v>0</v>
      </c>
      <c r="AC18" s="6"/>
      <c r="AD18" s="8" t="s">
        <v>65</v>
      </c>
      <c r="AE18" s="55" t="s">
        <v>66</v>
      </c>
      <c r="AF18" s="19">
        <v>0</v>
      </c>
      <c r="AG18" s="19">
        <v>0</v>
      </c>
      <c r="AH18" s="20">
        <v>0</v>
      </c>
      <c r="AK18" s="8" t="s">
        <v>65</v>
      </c>
      <c r="AL18" s="55" t="s">
        <v>66</v>
      </c>
      <c r="AM18" s="19">
        <v>0</v>
      </c>
      <c r="AN18" s="19">
        <v>0</v>
      </c>
      <c r="AO18" s="20">
        <v>0</v>
      </c>
      <c r="AQ18" s="1"/>
      <c r="AR18" s="8" t="s">
        <v>65</v>
      </c>
      <c r="AS18" s="55" t="s">
        <v>66</v>
      </c>
      <c r="AT18" s="19">
        <v>0</v>
      </c>
      <c r="AU18" s="19">
        <v>0</v>
      </c>
      <c r="AV18" s="20">
        <v>0</v>
      </c>
      <c r="AY18" s="8" t="s">
        <v>65</v>
      </c>
      <c r="AZ18" s="55" t="s">
        <v>66</v>
      </c>
      <c r="BA18" s="19">
        <v>0</v>
      </c>
      <c r="BB18" s="19">
        <v>0</v>
      </c>
      <c r="BC18" s="20">
        <v>0</v>
      </c>
      <c r="BF18" s="8" t="s">
        <v>65</v>
      </c>
      <c r="BG18" s="55" t="s">
        <v>66</v>
      </c>
      <c r="BH18" s="19">
        <v>0</v>
      </c>
      <c r="BI18" s="19">
        <v>0</v>
      </c>
      <c r="BJ18" s="20">
        <v>0</v>
      </c>
      <c r="BM18" s="8" t="s">
        <v>65</v>
      </c>
      <c r="BN18" s="55" t="s">
        <v>66</v>
      </c>
      <c r="BO18" s="19">
        <v>0</v>
      </c>
      <c r="BP18" s="19">
        <v>0</v>
      </c>
      <c r="BQ18" s="20">
        <v>0</v>
      </c>
      <c r="BU18" s="8" t="s">
        <v>65</v>
      </c>
      <c r="BV18" s="55" t="s">
        <v>66</v>
      </c>
      <c r="BW18" s="19">
        <v>0</v>
      </c>
      <c r="BX18" s="19">
        <v>0</v>
      </c>
      <c r="BY18" s="20">
        <v>0</v>
      </c>
      <c r="CB18" s="8" t="s">
        <v>65</v>
      </c>
      <c r="CC18" s="55" t="s">
        <v>66</v>
      </c>
      <c r="CD18" s="19">
        <v>0</v>
      </c>
      <c r="CE18" s="19">
        <v>0</v>
      </c>
      <c r="CF18" s="20">
        <v>0</v>
      </c>
      <c r="CI18" s="8" t="s">
        <v>65</v>
      </c>
      <c r="CJ18" s="55" t="s">
        <v>66</v>
      </c>
      <c r="CK18" s="19">
        <v>0</v>
      </c>
      <c r="CL18" s="19">
        <v>0</v>
      </c>
      <c r="CM18" s="20">
        <v>0</v>
      </c>
      <c r="CP18" s="8" t="s">
        <v>65</v>
      </c>
      <c r="CQ18" s="55" t="s">
        <v>66</v>
      </c>
      <c r="CR18" s="19">
        <v>0</v>
      </c>
      <c r="CS18" s="19">
        <v>0</v>
      </c>
      <c r="CT18" s="20">
        <v>0</v>
      </c>
    </row>
    <row r="19" spans="2:98" ht="13.5">
      <c r="B19" s="23" t="s">
        <v>12</v>
      </c>
      <c r="C19" s="46"/>
      <c r="D19" s="19">
        <v>380064.63800000004</v>
      </c>
      <c r="E19" s="24">
        <v>8231379.324999999</v>
      </c>
      <c r="F19" s="20">
        <v>21.65784054079769</v>
      </c>
      <c r="I19" s="23" t="s">
        <v>12</v>
      </c>
      <c r="J19" s="46"/>
      <c r="K19" s="19">
        <v>375120.75800000003</v>
      </c>
      <c r="L19" s="24">
        <v>8733342.655</v>
      </c>
      <c r="M19" s="20">
        <v>23.281416633840344</v>
      </c>
      <c r="P19" s="23" t="s">
        <v>12</v>
      </c>
      <c r="Q19" s="46"/>
      <c r="R19" s="19">
        <v>285922.248</v>
      </c>
      <c r="S19" s="24">
        <v>6808106.172</v>
      </c>
      <c r="T19" s="20">
        <v>23.811040307713306</v>
      </c>
      <c r="W19" s="23" t="s">
        <v>12</v>
      </c>
      <c r="X19" s="46"/>
      <c r="Y19" s="19">
        <v>235850.98099999997</v>
      </c>
      <c r="Z19" s="24">
        <v>5506950.891</v>
      </c>
      <c r="AA19" s="20">
        <v>23.34928126078051</v>
      </c>
      <c r="AD19" s="23" t="s">
        <v>12</v>
      </c>
      <c r="AE19" s="46"/>
      <c r="AF19" s="19">
        <v>142861.942</v>
      </c>
      <c r="AG19" s="24">
        <v>3855570.733</v>
      </c>
      <c r="AH19" s="20">
        <v>26.98808849315516</v>
      </c>
      <c r="AK19" s="23" t="s">
        <v>12</v>
      </c>
      <c r="AL19" s="46"/>
      <c r="AM19" s="19">
        <v>93796.715</v>
      </c>
      <c r="AN19" s="24">
        <v>2647712.4910000004</v>
      </c>
      <c r="AO19" s="20">
        <v>28.22820064647254</v>
      </c>
      <c r="AQ19" s="1"/>
      <c r="AR19" s="23" t="s">
        <v>12</v>
      </c>
      <c r="AS19" s="46"/>
      <c r="AT19" s="19">
        <v>342821.665</v>
      </c>
      <c r="AU19" s="24">
        <v>8843938.252999999</v>
      </c>
      <c r="AV19" s="20">
        <v>25.797489353538957</v>
      </c>
      <c r="AY19" s="23" t="s">
        <v>12</v>
      </c>
      <c r="AZ19" s="46"/>
      <c r="BA19" s="19">
        <v>356968.502</v>
      </c>
      <c r="BB19" s="24">
        <v>8562936.25</v>
      </c>
      <c r="BC19" s="20">
        <v>23.987932274203846</v>
      </c>
      <c r="BF19" s="23" t="s">
        <v>12</v>
      </c>
      <c r="BG19" s="46"/>
      <c r="BH19" s="19">
        <v>346390.081</v>
      </c>
      <c r="BI19" s="24">
        <v>8629945.756</v>
      </c>
      <c r="BJ19" s="20">
        <v>24.913951724847454</v>
      </c>
      <c r="BM19" s="23" t="s">
        <v>12</v>
      </c>
      <c r="BN19" s="46"/>
      <c r="BO19" s="19">
        <v>405227.25899999996</v>
      </c>
      <c r="BP19" s="19">
        <v>10267652.925</v>
      </c>
      <c r="BQ19" s="20">
        <v>25.33801144162417</v>
      </c>
      <c r="BU19" s="23" t="s">
        <v>12</v>
      </c>
      <c r="BV19" s="46"/>
      <c r="BW19" s="19">
        <v>328903.316</v>
      </c>
      <c r="BX19" s="19">
        <v>8107748.123000001</v>
      </c>
      <c r="BY19" s="20">
        <v>24.65085552071479</v>
      </c>
      <c r="CB19" s="23" t="s">
        <v>12</v>
      </c>
      <c r="CC19" s="46"/>
      <c r="CD19" s="19">
        <v>335720.81799999997</v>
      </c>
      <c r="CE19" s="19">
        <v>8805238.369</v>
      </c>
      <c r="CF19" s="20">
        <v>26.227859271449773</v>
      </c>
      <c r="CI19" s="23" t="s">
        <v>12</v>
      </c>
      <c r="CJ19" s="46"/>
      <c r="CK19" s="19">
        <v>376782.962</v>
      </c>
      <c r="CL19" s="19">
        <v>9104576.454</v>
      </c>
      <c r="CM19" s="20">
        <v>24.163981316119067</v>
      </c>
      <c r="CP19" s="23" t="s">
        <v>12</v>
      </c>
      <c r="CQ19" s="46"/>
      <c r="CR19" s="19">
        <v>304185.28</v>
      </c>
      <c r="CS19" s="19">
        <v>7103131.447</v>
      </c>
      <c r="CT19" s="20">
        <v>23.351331948081114</v>
      </c>
    </row>
    <row r="20" spans="2:98" ht="13.5">
      <c r="B20" s="3"/>
      <c r="C20" s="46"/>
      <c r="D20" s="19"/>
      <c r="E20" s="19"/>
      <c r="F20" s="20"/>
      <c r="I20" s="3"/>
      <c r="J20" s="46"/>
      <c r="K20" s="19"/>
      <c r="L20" s="19"/>
      <c r="M20" s="20"/>
      <c r="P20" s="3"/>
      <c r="Q20" s="46"/>
      <c r="R20" s="19"/>
      <c r="S20" s="19"/>
      <c r="T20" s="20"/>
      <c r="W20" s="3"/>
      <c r="X20" s="46"/>
      <c r="Y20" s="19"/>
      <c r="Z20" s="19"/>
      <c r="AA20" s="20"/>
      <c r="AD20" s="3"/>
      <c r="AE20" s="46"/>
      <c r="AF20" s="19"/>
      <c r="AG20" s="19"/>
      <c r="AH20" s="20"/>
      <c r="AK20" s="3"/>
      <c r="AL20" s="46"/>
      <c r="AM20" s="19"/>
      <c r="AN20" s="19"/>
      <c r="AO20" s="20"/>
      <c r="AQ20" s="1"/>
      <c r="AR20" s="3"/>
      <c r="AS20" s="46"/>
      <c r="AT20" s="19"/>
      <c r="AU20" s="19"/>
      <c r="AV20" s="20"/>
      <c r="AY20" s="3"/>
      <c r="AZ20" s="46"/>
      <c r="BA20" s="19"/>
      <c r="BB20" s="19"/>
      <c r="BC20" s="20"/>
      <c r="BF20" s="3"/>
      <c r="BG20" s="46"/>
      <c r="BH20" s="19"/>
      <c r="BI20" s="19"/>
      <c r="BJ20" s="20"/>
      <c r="BM20" s="3"/>
      <c r="BN20" s="46"/>
      <c r="BO20" s="19"/>
      <c r="BP20" s="19"/>
      <c r="BQ20" s="20"/>
      <c r="BU20" s="3"/>
      <c r="BV20" s="46"/>
      <c r="BW20" s="19"/>
      <c r="BX20" s="19"/>
      <c r="BY20" s="20"/>
      <c r="CB20" s="3"/>
      <c r="CC20" s="46"/>
      <c r="CD20" s="19"/>
      <c r="CE20" s="19"/>
      <c r="CF20" s="20"/>
      <c r="CI20" s="3"/>
      <c r="CJ20" s="46"/>
      <c r="CK20" s="19"/>
      <c r="CL20" s="19"/>
      <c r="CM20" s="20"/>
      <c r="CP20" s="3"/>
      <c r="CQ20" s="46"/>
      <c r="CR20" s="19"/>
      <c r="CS20" s="19"/>
      <c r="CT20" s="20"/>
    </row>
    <row r="21" spans="2:98" ht="13.5">
      <c r="B21" s="17" t="s">
        <v>17</v>
      </c>
      <c r="C21" s="46"/>
      <c r="D21" s="19">
        <v>632791.638</v>
      </c>
      <c r="E21" s="19">
        <v>12488156.273509182</v>
      </c>
      <c r="F21" s="20">
        <v>19.735021014151236</v>
      </c>
      <c r="I21" s="17" t="s">
        <v>17</v>
      </c>
      <c r="J21" s="46"/>
      <c r="K21" s="19">
        <v>793840.758</v>
      </c>
      <c r="L21" s="19">
        <v>20954757.16931788</v>
      </c>
      <c r="M21" s="20">
        <v>26.396675854879547</v>
      </c>
      <c r="O21" s="16" t="s">
        <v>16</v>
      </c>
      <c r="P21" s="17" t="s">
        <v>17</v>
      </c>
      <c r="Q21" s="46"/>
      <c r="R21" s="19">
        <v>904469.248</v>
      </c>
      <c r="S21" s="19">
        <v>25309867.821999997</v>
      </c>
      <c r="T21" s="20">
        <v>27.983115930106223</v>
      </c>
      <c r="V21" s="16" t="s">
        <v>16</v>
      </c>
      <c r="W21" s="17" t="s">
        <v>17</v>
      </c>
      <c r="X21" s="46"/>
      <c r="Y21" s="19">
        <v>764501.9809999999</v>
      </c>
      <c r="Z21" s="19">
        <v>22804337.961</v>
      </c>
      <c r="AA21" s="20">
        <v>29.829010947978173</v>
      </c>
      <c r="AD21" s="17" t="s">
        <v>17</v>
      </c>
      <c r="AE21" s="46"/>
      <c r="AF21" s="19">
        <v>877918.942</v>
      </c>
      <c r="AG21" s="19">
        <v>26583834.483000003</v>
      </c>
      <c r="AH21" s="20">
        <v>30.28051134474782</v>
      </c>
      <c r="AK21" s="17" t="s">
        <v>17</v>
      </c>
      <c r="AL21" s="46"/>
      <c r="AM21" s="19">
        <v>672562.015</v>
      </c>
      <c r="AN21" s="19">
        <v>20393814.644</v>
      </c>
      <c r="AO21" s="20">
        <v>30.32257872011996</v>
      </c>
      <c r="AQ21" s="1"/>
      <c r="AR21" s="17" t="s">
        <v>17</v>
      </c>
      <c r="AS21" s="46"/>
      <c r="AT21" s="19">
        <v>548541.865</v>
      </c>
      <c r="AU21" s="19">
        <v>14534585.447499998</v>
      </c>
      <c r="AV21" s="20">
        <v>26.496766017120677</v>
      </c>
      <c r="AY21" s="17" t="s">
        <v>17</v>
      </c>
      <c r="AZ21" s="46"/>
      <c r="BA21" s="19">
        <v>639001.502</v>
      </c>
      <c r="BB21" s="19">
        <v>17372658.4855</v>
      </c>
      <c r="BC21" s="20">
        <v>27.18719507094367</v>
      </c>
      <c r="BF21" s="17" t="s">
        <v>17</v>
      </c>
      <c r="BG21" s="46"/>
      <c r="BH21" s="19">
        <v>728698.281</v>
      </c>
      <c r="BI21" s="19">
        <v>19726696.9035</v>
      </c>
      <c r="BJ21" s="20">
        <v>27.071145106077175</v>
      </c>
      <c r="BM21" s="17" t="s">
        <v>17</v>
      </c>
      <c r="BN21" s="46"/>
      <c r="BO21" s="19">
        <v>735365.8089999999</v>
      </c>
      <c r="BP21" s="19">
        <v>19947252.11</v>
      </c>
      <c r="BQ21" s="20">
        <v>27.12561811532361</v>
      </c>
      <c r="BU21" s="17" t="s">
        <v>17</v>
      </c>
      <c r="BV21" s="46"/>
      <c r="BW21" s="19">
        <v>640154.816</v>
      </c>
      <c r="BX21" s="19">
        <v>16245948.540000001</v>
      </c>
      <c r="BY21" s="20">
        <v>25.37815561790603</v>
      </c>
      <c r="CB21" s="17" t="s">
        <v>17</v>
      </c>
      <c r="CC21" s="46"/>
      <c r="CD21" s="19">
        <v>570053.368</v>
      </c>
      <c r="CE21" s="19">
        <v>14681552.941</v>
      </c>
      <c r="CF21" s="20">
        <v>25.754699060036074</v>
      </c>
      <c r="CI21" s="17" t="s">
        <v>17</v>
      </c>
      <c r="CJ21" s="46"/>
      <c r="CK21" s="19">
        <v>652903.8119999999</v>
      </c>
      <c r="CL21" s="19">
        <v>17292567.458</v>
      </c>
      <c r="CM21" s="20">
        <v>26.485627959543912</v>
      </c>
      <c r="CP21" s="17" t="s">
        <v>17</v>
      </c>
      <c r="CQ21" s="46"/>
      <c r="CR21" s="19">
        <v>956961.28</v>
      </c>
      <c r="CS21" s="19">
        <v>27222483.2465</v>
      </c>
      <c r="CT21" s="20">
        <v>28.44679697646701</v>
      </c>
    </row>
    <row r="22" spans="1:98" ht="13.5">
      <c r="A22" s="16" t="s">
        <v>16</v>
      </c>
      <c r="B22" s="3"/>
      <c r="C22" s="46"/>
      <c r="D22" s="19"/>
      <c r="E22" s="19"/>
      <c r="F22" s="20"/>
      <c r="H22" s="16" t="s">
        <v>16</v>
      </c>
      <c r="I22" s="3"/>
      <c r="J22" s="46"/>
      <c r="K22" s="19"/>
      <c r="L22" s="19"/>
      <c r="M22" s="20"/>
      <c r="P22" s="3"/>
      <c r="Q22" s="46"/>
      <c r="R22" s="19"/>
      <c r="S22" s="19"/>
      <c r="T22" s="20"/>
      <c r="W22" s="3"/>
      <c r="X22" s="46"/>
      <c r="Y22" s="19"/>
      <c r="Z22" s="19"/>
      <c r="AA22" s="20"/>
      <c r="AD22" s="3"/>
      <c r="AE22" s="46"/>
      <c r="AF22" s="19"/>
      <c r="AG22" s="19"/>
      <c r="AH22" s="20"/>
      <c r="AJ22" s="16" t="s">
        <v>16</v>
      </c>
      <c r="AK22" s="3"/>
      <c r="AL22" s="46"/>
      <c r="AM22" s="19"/>
      <c r="AN22" s="19"/>
      <c r="AO22" s="20"/>
      <c r="AQ22" s="16" t="s">
        <v>16</v>
      </c>
      <c r="AR22" s="3"/>
      <c r="AS22" s="46"/>
      <c r="AT22" s="19"/>
      <c r="AU22" s="19"/>
      <c r="AV22" s="20"/>
      <c r="AX22" s="16" t="s">
        <v>16</v>
      </c>
      <c r="AY22" s="3"/>
      <c r="AZ22" s="46"/>
      <c r="BA22" s="19"/>
      <c r="BB22" s="19"/>
      <c r="BC22" s="20"/>
      <c r="BE22" s="16" t="s">
        <v>16</v>
      </c>
      <c r="BF22" s="3"/>
      <c r="BG22" s="46"/>
      <c r="BH22" s="19"/>
      <c r="BI22" s="19"/>
      <c r="BJ22" s="20"/>
      <c r="BL22" s="16" t="s">
        <v>16</v>
      </c>
      <c r="BM22" s="3"/>
      <c r="BN22" s="46"/>
      <c r="BO22" s="19"/>
      <c r="BP22" s="19"/>
      <c r="BQ22" s="20"/>
      <c r="BT22" s="16" t="s">
        <v>16</v>
      </c>
      <c r="BU22" s="3"/>
      <c r="BV22" s="46"/>
      <c r="BW22" s="19"/>
      <c r="BX22" s="19"/>
      <c r="BY22" s="20"/>
      <c r="CA22" s="16" t="s">
        <v>16</v>
      </c>
      <c r="CB22" s="3"/>
      <c r="CC22" s="46"/>
      <c r="CD22" s="19"/>
      <c r="CE22" s="19"/>
      <c r="CF22" s="20"/>
      <c r="CH22" s="16" t="s">
        <v>16</v>
      </c>
      <c r="CI22" s="3"/>
      <c r="CJ22" s="46"/>
      <c r="CK22" s="19"/>
      <c r="CL22" s="19"/>
      <c r="CM22" s="20"/>
      <c r="CO22" s="16" t="s">
        <v>16</v>
      </c>
      <c r="CP22" s="3"/>
      <c r="CQ22" s="46"/>
      <c r="CR22" s="19"/>
      <c r="CS22" s="19"/>
      <c r="CT22" s="20"/>
    </row>
    <row r="23" spans="2:98" ht="13.5">
      <c r="B23" s="12" t="s">
        <v>18</v>
      </c>
      <c r="C23" s="52"/>
      <c r="D23" s="19"/>
      <c r="E23" s="24">
        <v>13000117.893509181</v>
      </c>
      <c r="F23" s="20"/>
      <c r="I23" s="12" t="s">
        <v>18</v>
      </c>
      <c r="J23" s="52"/>
      <c r="K23" s="19"/>
      <c r="L23" s="24">
        <v>14604511.309317881</v>
      </c>
      <c r="M23" s="20"/>
      <c r="P23" s="12" t="s">
        <v>18</v>
      </c>
      <c r="Q23" s="52"/>
      <c r="R23" s="19"/>
      <c r="S23" s="24">
        <v>12809788.172</v>
      </c>
      <c r="T23" s="20"/>
      <c r="W23" s="12" t="s">
        <v>18</v>
      </c>
      <c r="X23" s="52"/>
      <c r="Y23" s="19"/>
      <c r="Z23" s="24">
        <v>8446571.890999999</v>
      </c>
      <c r="AA23" s="20"/>
      <c r="AC23" s="16" t="s">
        <v>16</v>
      </c>
      <c r="AD23" s="12" t="s">
        <v>18</v>
      </c>
      <c r="AE23" s="52"/>
      <c r="AF23" s="19"/>
      <c r="AG23" s="24">
        <v>7106712.733</v>
      </c>
      <c r="AH23" s="20"/>
      <c r="AK23" s="12" t="s">
        <v>18</v>
      </c>
      <c r="AL23" s="52"/>
      <c r="AM23" s="19"/>
      <c r="AN23" s="24">
        <v>5731218.294</v>
      </c>
      <c r="AO23" s="20"/>
      <c r="AQ23" s="1"/>
      <c r="AR23" s="12" t="s">
        <v>18</v>
      </c>
      <c r="AS23" s="52"/>
      <c r="AT23" s="19"/>
      <c r="AU23" s="24">
        <v>12550105.567499999</v>
      </c>
      <c r="AV23" s="20"/>
      <c r="AY23" s="12" t="s">
        <v>18</v>
      </c>
      <c r="AZ23" s="52"/>
      <c r="BA23" s="19"/>
      <c r="BB23" s="24">
        <v>12807357.0255</v>
      </c>
      <c r="BC23" s="20"/>
      <c r="BF23" s="12" t="s">
        <v>18</v>
      </c>
      <c r="BG23" s="52"/>
      <c r="BH23" s="19"/>
      <c r="BI23" s="24">
        <v>14922725.043499999</v>
      </c>
      <c r="BJ23" s="20"/>
      <c r="BM23" s="12" t="s">
        <v>18</v>
      </c>
      <c r="BN23" s="52"/>
      <c r="BO23" s="19"/>
      <c r="BP23" s="19"/>
      <c r="BQ23" s="20"/>
      <c r="BU23" s="12" t="s">
        <v>18</v>
      </c>
      <c r="BV23" s="52"/>
      <c r="BW23" s="19"/>
      <c r="BX23" s="19"/>
      <c r="BY23" s="20"/>
      <c r="CB23" s="12" t="s">
        <v>18</v>
      </c>
      <c r="CC23" s="52"/>
      <c r="CD23" s="19"/>
      <c r="CE23" s="19"/>
      <c r="CF23" s="20"/>
      <c r="CI23" s="12" t="s">
        <v>18</v>
      </c>
      <c r="CJ23" s="52"/>
      <c r="CK23" s="19"/>
      <c r="CL23" s="19"/>
      <c r="CM23" s="20"/>
      <c r="CP23" s="12" t="s">
        <v>18</v>
      </c>
      <c r="CQ23" s="52"/>
      <c r="CR23" s="19"/>
      <c r="CS23" s="19"/>
      <c r="CT23" s="20"/>
    </row>
    <row r="24" spans="2:98" ht="13.5">
      <c r="B24" s="12"/>
      <c r="C24" s="52"/>
      <c r="D24" s="19"/>
      <c r="E24" s="19"/>
      <c r="F24" s="20"/>
      <c r="I24" s="12"/>
      <c r="J24" s="52"/>
      <c r="K24" s="19"/>
      <c r="L24" s="19"/>
      <c r="M24" s="20"/>
      <c r="P24" s="12"/>
      <c r="Q24" s="52"/>
      <c r="R24" s="19"/>
      <c r="S24" s="19"/>
      <c r="T24" s="20"/>
      <c r="W24" s="12"/>
      <c r="X24" s="52"/>
      <c r="Y24" s="19"/>
      <c r="Z24" s="19"/>
      <c r="AA24" s="20"/>
      <c r="AD24" s="12"/>
      <c r="AE24" s="52"/>
      <c r="AF24" s="19"/>
      <c r="AG24" s="19"/>
      <c r="AH24" s="20"/>
      <c r="AK24" s="12"/>
      <c r="AL24" s="52"/>
      <c r="AM24" s="19"/>
      <c r="AN24" s="19"/>
      <c r="AO24" s="20"/>
      <c r="AQ24" s="1"/>
      <c r="AR24" s="12"/>
      <c r="AS24" s="52"/>
      <c r="AT24" s="19"/>
      <c r="AU24" s="19"/>
      <c r="AV24" s="20"/>
      <c r="AY24" s="12"/>
      <c r="AZ24" s="52"/>
      <c r="BA24" s="19"/>
      <c r="BB24" s="19"/>
      <c r="BC24" s="20"/>
      <c r="BF24" s="12"/>
      <c r="BG24" s="52"/>
      <c r="BH24" s="19"/>
      <c r="BI24" s="19"/>
      <c r="BJ24" s="20"/>
      <c r="BM24" s="12"/>
      <c r="BN24" s="52"/>
      <c r="BO24" s="19"/>
      <c r="BP24" s="19"/>
      <c r="BQ24" s="20"/>
      <c r="BU24" s="12"/>
      <c r="BV24" s="52"/>
      <c r="BW24" s="19"/>
      <c r="BX24" s="19"/>
      <c r="BY24" s="20"/>
      <c r="CB24" s="12"/>
      <c r="CC24" s="52"/>
      <c r="CD24" s="19"/>
      <c r="CE24" s="19"/>
      <c r="CF24" s="20"/>
      <c r="CI24" s="12"/>
      <c r="CJ24" s="52"/>
      <c r="CK24" s="19"/>
      <c r="CL24" s="19"/>
      <c r="CM24" s="20"/>
      <c r="CP24" s="12"/>
      <c r="CQ24" s="52"/>
      <c r="CR24" s="19"/>
      <c r="CS24" s="19"/>
      <c r="CT24" s="20"/>
    </row>
    <row r="25" spans="2:97" ht="13.5">
      <c r="B25" s="17" t="s">
        <v>20</v>
      </c>
      <c r="C25" s="46"/>
      <c r="E25" s="19"/>
      <c r="I25" s="17" t="s">
        <v>20</v>
      </c>
      <c r="J25" s="46"/>
      <c r="L25" s="19"/>
      <c r="O25" s="16" t="s">
        <v>19</v>
      </c>
      <c r="P25" s="17" t="s">
        <v>20</v>
      </c>
      <c r="Q25" s="46"/>
      <c r="S25" s="19"/>
      <c r="V25" s="16" t="s">
        <v>19</v>
      </c>
      <c r="W25" s="17" t="s">
        <v>20</v>
      </c>
      <c r="X25" s="46"/>
      <c r="Z25" s="19"/>
      <c r="AD25" s="17" t="s">
        <v>20</v>
      </c>
      <c r="AE25" s="46"/>
      <c r="AG25" s="19"/>
      <c r="AK25" s="17" t="s">
        <v>20</v>
      </c>
      <c r="AL25" s="46"/>
      <c r="AN25" s="19"/>
      <c r="AQ25" s="1"/>
      <c r="AR25" s="17" t="s">
        <v>20</v>
      </c>
      <c r="AS25" s="46"/>
      <c r="AT25" s="6"/>
      <c r="AU25" s="19"/>
      <c r="AV25" s="6"/>
      <c r="AY25" s="17" t="s">
        <v>20</v>
      </c>
      <c r="AZ25" s="46"/>
      <c r="BB25" s="19"/>
      <c r="BF25" s="17" t="s">
        <v>20</v>
      </c>
      <c r="BG25" s="46"/>
      <c r="BI25" s="19"/>
      <c r="BM25" s="17" t="s">
        <v>20</v>
      </c>
      <c r="BN25" s="46"/>
      <c r="BP25" s="19"/>
      <c r="BU25" s="17" t="s">
        <v>20</v>
      </c>
      <c r="BV25" s="46"/>
      <c r="BX25" s="19"/>
      <c r="CB25" s="17" t="s">
        <v>20</v>
      </c>
      <c r="CC25" s="46"/>
      <c r="CE25" s="19"/>
      <c r="CI25" s="17" t="s">
        <v>20</v>
      </c>
      <c r="CJ25" s="46"/>
      <c r="CL25" s="19"/>
      <c r="CP25" s="17" t="s">
        <v>20</v>
      </c>
      <c r="CQ25" s="46"/>
      <c r="CS25" s="19"/>
    </row>
    <row r="26" spans="1:98" ht="13.5">
      <c r="A26" s="16" t="s">
        <v>19</v>
      </c>
      <c r="B26" s="8" t="s">
        <v>59</v>
      </c>
      <c r="C26" s="55" t="s">
        <v>60</v>
      </c>
      <c r="D26" s="19">
        <v>0</v>
      </c>
      <c r="E26" s="19">
        <v>0</v>
      </c>
      <c r="F26" s="20">
        <v>0</v>
      </c>
      <c r="H26" s="16" t="s">
        <v>19</v>
      </c>
      <c r="I26" s="8" t="s">
        <v>59</v>
      </c>
      <c r="J26" s="55" t="s">
        <v>60</v>
      </c>
      <c r="K26" s="19">
        <v>0</v>
      </c>
      <c r="L26" s="19">
        <v>0</v>
      </c>
      <c r="M26" s="20">
        <v>0</v>
      </c>
      <c r="P26" s="8" t="s">
        <v>90</v>
      </c>
      <c r="Q26" s="55" t="s">
        <v>60</v>
      </c>
      <c r="R26" s="19">
        <v>4183.678</v>
      </c>
      <c r="S26" s="19">
        <v>125142.179</v>
      </c>
      <c r="T26" s="20">
        <v>29.912000636760286</v>
      </c>
      <c r="W26" s="8" t="s">
        <v>90</v>
      </c>
      <c r="X26" s="55" t="s">
        <v>60</v>
      </c>
      <c r="Y26" s="19">
        <v>6244.295</v>
      </c>
      <c r="Z26" s="19">
        <v>204313.332</v>
      </c>
      <c r="AA26" s="20">
        <v>32.71999993594152</v>
      </c>
      <c r="AD26" s="8" t="s">
        <v>90</v>
      </c>
      <c r="AE26" s="55" t="s">
        <v>60</v>
      </c>
      <c r="AF26" s="19">
        <v>2406.839</v>
      </c>
      <c r="AG26" s="19">
        <v>74419.459</v>
      </c>
      <c r="AH26" s="20">
        <v>30.919998803409786</v>
      </c>
      <c r="AJ26" s="16" t="s">
        <v>19</v>
      </c>
      <c r="AK26" s="8" t="s">
        <v>90</v>
      </c>
      <c r="AL26" s="55" t="s">
        <v>60</v>
      </c>
      <c r="AM26" s="19">
        <v>6488.284</v>
      </c>
      <c r="AN26" s="19">
        <v>198813.997</v>
      </c>
      <c r="AO26" s="20">
        <v>30.64199979532339</v>
      </c>
      <c r="AQ26" s="16" t="s">
        <v>19</v>
      </c>
      <c r="AR26" s="8" t="s">
        <v>59</v>
      </c>
      <c r="AS26" s="55" t="s">
        <v>60</v>
      </c>
      <c r="AT26" s="19">
        <v>170.282</v>
      </c>
      <c r="AU26" s="19">
        <v>4710.342</v>
      </c>
      <c r="AV26" s="20">
        <v>27.66200772835649</v>
      </c>
      <c r="AX26" s="16" t="s">
        <v>19</v>
      </c>
      <c r="AY26" s="8" t="s">
        <v>59</v>
      </c>
      <c r="AZ26" s="55" t="s">
        <v>60</v>
      </c>
      <c r="BA26" s="19">
        <v>0</v>
      </c>
      <c r="BB26" s="19">
        <v>0</v>
      </c>
      <c r="BC26" s="20">
        <v>0</v>
      </c>
      <c r="BE26" s="16" t="s">
        <v>19</v>
      </c>
      <c r="BF26" s="8" t="s">
        <v>59</v>
      </c>
      <c r="BG26" s="55" t="s">
        <v>60</v>
      </c>
      <c r="BH26" s="19">
        <v>2.359</v>
      </c>
      <c r="BI26" s="19">
        <v>68.473</v>
      </c>
      <c r="BJ26" s="20">
        <v>29.02628232301823</v>
      </c>
      <c r="BL26" s="16" t="s">
        <v>19</v>
      </c>
      <c r="BM26" s="8" t="s">
        <v>59</v>
      </c>
      <c r="BN26" s="55" t="s">
        <v>60</v>
      </c>
      <c r="BO26" s="19">
        <v>0</v>
      </c>
      <c r="BP26" s="19">
        <v>0</v>
      </c>
      <c r="BQ26" s="20">
        <v>0</v>
      </c>
      <c r="BT26" s="16" t="s">
        <v>19</v>
      </c>
      <c r="BU26" s="8" t="s">
        <v>59</v>
      </c>
      <c r="BV26" s="55" t="s">
        <v>60</v>
      </c>
      <c r="BW26" s="19">
        <v>0</v>
      </c>
      <c r="BX26" s="19">
        <v>0</v>
      </c>
      <c r="BY26" s="20">
        <v>0</v>
      </c>
      <c r="CA26" s="16" t="s">
        <v>19</v>
      </c>
      <c r="CB26" s="8" t="s">
        <v>59</v>
      </c>
      <c r="CC26" s="55" t="s">
        <v>60</v>
      </c>
      <c r="CD26" s="19">
        <v>0</v>
      </c>
      <c r="CE26" s="19">
        <v>0</v>
      </c>
      <c r="CF26" s="20">
        <v>0</v>
      </c>
      <c r="CH26" s="16" t="s">
        <v>19</v>
      </c>
      <c r="CI26" s="8" t="s">
        <v>59</v>
      </c>
      <c r="CJ26" s="55" t="s">
        <v>60</v>
      </c>
      <c r="CK26" s="19">
        <v>0</v>
      </c>
      <c r="CL26" s="19">
        <v>0</v>
      </c>
      <c r="CM26" s="20">
        <v>0</v>
      </c>
      <c r="CO26" s="16" t="s">
        <v>19</v>
      </c>
      <c r="CP26" s="8" t="s">
        <v>59</v>
      </c>
      <c r="CQ26" s="55" t="s">
        <v>60</v>
      </c>
      <c r="CR26" s="19">
        <v>53.682</v>
      </c>
      <c r="CS26" s="19">
        <v>1654.533</v>
      </c>
      <c r="CT26" s="20">
        <v>30.821001453001003</v>
      </c>
    </row>
    <row r="27" spans="2:98" ht="13.5">
      <c r="B27" s="8" t="s">
        <v>42</v>
      </c>
      <c r="C27" s="55" t="s">
        <v>76</v>
      </c>
      <c r="D27" s="19">
        <v>12105.203000000005</v>
      </c>
      <c r="E27" s="19">
        <v>230878.995</v>
      </c>
      <c r="F27" s="20">
        <v>38.05169391190574</v>
      </c>
      <c r="I27" s="8" t="s">
        <v>42</v>
      </c>
      <c r="J27" s="55" t="s">
        <v>76</v>
      </c>
      <c r="K27" s="19">
        <v>87199.46600000001</v>
      </c>
      <c r="L27" s="19">
        <v>1750481.1469999994</v>
      </c>
      <c r="M27" s="20">
        <v>40.15329271585895</v>
      </c>
      <c r="P27" s="8" t="s">
        <v>89</v>
      </c>
      <c r="Q27" s="55"/>
      <c r="R27" s="19">
        <v>58148</v>
      </c>
      <c r="S27" s="19">
        <v>1240942</v>
      </c>
      <c r="T27" s="20">
        <v>21.34109513654812</v>
      </c>
      <c r="W27" s="8" t="s">
        <v>89</v>
      </c>
      <c r="X27" s="55"/>
      <c r="Y27" s="19">
        <v>6009</v>
      </c>
      <c r="Z27" s="19">
        <v>133010</v>
      </c>
      <c r="AA27" s="20">
        <v>22.135130637377266</v>
      </c>
      <c r="AD27" s="8" t="s">
        <v>89</v>
      </c>
      <c r="AE27" s="55" t="s">
        <v>76</v>
      </c>
      <c r="AF27" s="19">
        <v>1851.944000000001</v>
      </c>
      <c r="AG27" s="19">
        <v>40611.586</v>
      </c>
      <c r="AH27" s="20">
        <v>21.929165244737412</v>
      </c>
      <c r="AK27" s="8" t="s">
        <v>89</v>
      </c>
      <c r="AL27" s="55" t="s">
        <v>76</v>
      </c>
      <c r="AM27" s="19">
        <v>5401.719</v>
      </c>
      <c r="AN27" s="19">
        <v>121754.04600000007</v>
      </c>
      <c r="AO27" s="20">
        <v>22.539870363489857</v>
      </c>
      <c r="AQ27" s="1"/>
      <c r="AR27" s="8" t="s">
        <v>94</v>
      </c>
      <c r="AS27" s="55" t="s">
        <v>76</v>
      </c>
      <c r="AT27" s="19">
        <v>6557.986</v>
      </c>
      <c r="AU27" s="19">
        <v>143980.206</v>
      </c>
      <c r="AV27" s="20">
        <v>21.954942569258307</v>
      </c>
      <c r="AY27" s="8" t="s">
        <v>94</v>
      </c>
      <c r="AZ27" s="55" t="s">
        <v>76</v>
      </c>
      <c r="BA27" s="19">
        <v>39886.384999999995</v>
      </c>
      <c r="BB27" s="19">
        <v>897993.898</v>
      </c>
      <c r="BC27" s="20">
        <v>22.53346189114765</v>
      </c>
      <c r="BF27" s="8" t="s">
        <v>94</v>
      </c>
      <c r="BG27" s="55" t="s">
        <v>76</v>
      </c>
      <c r="BH27" s="19">
        <v>77918.655</v>
      </c>
      <c r="BI27" s="19">
        <v>1769747.9329999979</v>
      </c>
      <c r="BJ27" s="20">
        <v>22.783950989998317</v>
      </c>
      <c r="BM27" s="8" t="s">
        <v>94</v>
      </c>
      <c r="BN27" s="55" t="s">
        <v>76</v>
      </c>
      <c r="BO27" s="19">
        <v>98526.2839999999</v>
      </c>
      <c r="BP27" s="19">
        <v>2244182.427</v>
      </c>
      <c r="BQ27" s="20">
        <v>22.847172725058055</v>
      </c>
      <c r="BU27" s="8" t="s">
        <v>94</v>
      </c>
      <c r="BV27" s="55" t="s">
        <v>76</v>
      </c>
      <c r="BW27" s="19">
        <v>78497.9420000001</v>
      </c>
      <c r="BX27" s="19">
        <v>1755038.937</v>
      </c>
      <c r="BY27" s="20">
        <v>22.467699278976774</v>
      </c>
      <c r="CB27" s="8" t="s">
        <v>94</v>
      </c>
      <c r="CC27" s="55" t="s">
        <v>76</v>
      </c>
      <c r="CD27" s="19">
        <v>31840.9</v>
      </c>
      <c r="CE27" s="19">
        <v>732459.047</v>
      </c>
      <c r="CF27" s="20">
        <v>23.161267213038254</v>
      </c>
      <c r="CI27" s="8" t="s">
        <v>94</v>
      </c>
      <c r="CJ27" s="55" t="s">
        <v>76</v>
      </c>
      <c r="CK27" s="19">
        <v>35753.308000000005</v>
      </c>
      <c r="CL27" s="19">
        <v>832337.0170000009</v>
      </c>
      <c r="CM27" s="20">
        <v>23.32758349717488</v>
      </c>
      <c r="CP27" s="8" t="s">
        <v>94</v>
      </c>
      <c r="CQ27" s="55" t="s">
        <v>76</v>
      </c>
      <c r="CR27" s="19">
        <v>94413.90299999999</v>
      </c>
      <c r="CS27" s="19">
        <v>2183931.999</v>
      </c>
      <c r="CT27" s="20">
        <v>23.131466125280298</v>
      </c>
    </row>
    <row r="28" spans="2:98" ht="13.5">
      <c r="B28" s="8" t="s">
        <v>62</v>
      </c>
      <c r="C28" s="55" t="s">
        <v>63</v>
      </c>
      <c r="D28" s="19">
        <v>20453.790999999997</v>
      </c>
      <c r="E28" s="19">
        <v>825850.8600000001</v>
      </c>
      <c r="F28" s="20">
        <v>40.3764201951609</v>
      </c>
      <c r="I28" s="8" t="s">
        <v>62</v>
      </c>
      <c r="J28" s="55" t="s">
        <v>63</v>
      </c>
      <c r="K28" s="19">
        <v>28862.344</v>
      </c>
      <c r="L28" s="19">
        <v>914931.33</v>
      </c>
      <c r="M28" s="20">
        <v>31.699827637006887</v>
      </c>
      <c r="P28" s="8" t="s">
        <v>62</v>
      </c>
      <c r="Q28" s="55" t="s">
        <v>63</v>
      </c>
      <c r="R28" s="19">
        <v>30438.222999999998</v>
      </c>
      <c r="S28" s="19">
        <v>1226173.28</v>
      </c>
      <c r="T28" s="20">
        <v>40.28399686801691</v>
      </c>
      <c r="W28" s="8" t="s">
        <v>62</v>
      </c>
      <c r="X28" s="55" t="s">
        <v>63</v>
      </c>
      <c r="Y28" s="19">
        <v>23837.371</v>
      </c>
      <c r="Z28" s="19">
        <v>861988.6400000001</v>
      </c>
      <c r="AA28" s="20">
        <v>36.16122935704613</v>
      </c>
      <c r="AD28" s="8" t="s">
        <v>62</v>
      </c>
      <c r="AE28" s="55" t="s">
        <v>63</v>
      </c>
      <c r="AF28" s="19">
        <v>20793.813000000002</v>
      </c>
      <c r="AG28" s="19">
        <v>841796.0500000002</v>
      </c>
      <c r="AH28" s="20">
        <v>40.483005690202184</v>
      </c>
      <c r="AK28" s="8" t="s">
        <v>62</v>
      </c>
      <c r="AL28" s="55" t="s">
        <v>63</v>
      </c>
      <c r="AM28" s="19">
        <v>20360.586000000003</v>
      </c>
      <c r="AN28" s="19">
        <v>755499.12</v>
      </c>
      <c r="AO28" s="20">
        <v>37.10596148853475</v>
      </c>
      <c r="AQ28" s="1"/>
      <c r="AR28" s="8" t="s">
        <v>62</v>
      </c>
      <c r="AS28" s="55" t="s">
        <v>63</v>
      </c>
      <c r="AT28" s="19">
        <v>18868.319</v>
      </c>
      <c r="AU28" s="19">
        <v>776098.8899999999</v>
      </c>
      <c r="AV28" s="20">
        <v>41.13238121530593</v>
      </c>
      <c r="AY28" s="8" t="s">
        <v>62</v>
      </c>
      <c r="AZ28" s="55" t="s">
        <v>63</v>
      </c>
      <c r="BA28" s="19">
        <v>13819.028999999999</v>
      </c>
      <c r="BB28" s="19">
        <v>503976.9</v>
      </c>
      <c r="BC28" s="20">
        <v>36.46977656679062</v>
      </c>
      <c r="BF28" s="8" t="s">
        <v>62</v>
      </c>
      <c r="BG28" s="55" t="s">
        <v>63</v>
      </c>
      <c r="BH28" s="19">
        <v>19689.267</v>
      </c>
      <c r="BI28" s="19">
        <v>1022279.47</v>
      </c>
      <c r="BJ28" s="20">
        <v>51.920646411062435</v>
      </c>
      <c r="BM28" s="8" t="s">
        <v>62</v>
      </c>
      <c r="BN28" s="55" t="s">
        <v>63</v>
      </c>
      <c r="BO28" s="19">
        <v>19071.659</v>
      </c>
      <c r="BP28" s="19">
        <v>660262.5199999999</v>
      </c>
      <c r="BQ28" s="20">
        <v>34.62008837301463</v>
      </c>
      <c r="BU28" s="8" t="s">
        <v>62</v>
      </c>
      <c r="BV28" s="55" t="s">
        <v>63</v>
      </c>
      <c r="BW28" s="19">
        <v>25855.76</v>
      </c>
      <c r="BX28" s="19">
        <v>1019689.9500000001</v>
      </c>
      <c r="BY28" s="20">
        <v>39.43763207888688</v>
      </c>
      <c r="CB28" s="8" t="s">
        <v>62</v>
      </c>
      <c r="CC28" s="55" t="s">
        <v>63</v>
      </c>
      <c r="CD28" s="19">
        <v>23812.602000000003</v>
      </c>
      <c r="CE28" s="19">
        <v>839322.3499999999</v>
      </c>
      <c r="CF28" s="20">
        <v>35.24698182920118</v>
      </c>
      <c r="CI28" s="8" t="s">
        <v>62</v>
      </c>
      <c r="CJ28" s="55" t="s">
        <v>63</v>
      </c>
      <c r="CK28" s="19">
        <v>15850.486</v>
      </c>
      <c r="CL28" s="19">
        <v>567107.6799999999</v>
      </c>
      <c r="CM28" s="20">
        <v>35.77856729440346</v>
      </c>
      <c r="CP28" s="8" t="s">
        <v>62</v>
      </c>
      <c r="CQ28" s="55" t="s">
        <v>63</v>
      </c>
      <c r="CR28" s="19">
        <v>30202.158999999996</v>
      </c>
      <c r="CS28" s="19">
        <v>1090814.21</v>
      </c>
      <c r="CT28" s="20">
        <v>36.117093814385925</v>
      </c>
    </row>
    <row r="29" spans="2:98" ht="13.5">
      <c r="B29" s="8" t="s">
        <v>78</v>
      </c>
      <c r="C29" s="55" t="s">
        <v>76</v>
      </c>
      <c r="D29" s="19">
        <v>0</v>
      </c>
      <c r="E29" s="19">
        <v>0</v>
      </c>
      <c r="F29" s="20">
        <v>0</v>
      </c>
      <c r="I29" s="8" t="s">
        <v>78</v>
      </c>
      <c r="J29" s="55" t="s">
        <v>76</v>
      </c>
      <c r="K29" s="19">
        <v>37206.00000000001</v>
      </c>
      <c r="L29" s="19">
        <v>975912.4439999997</v>
      </c>
      <c r="M29" s="20">
        <v>26.22997484276728</v>
      </c>
      <c r="P29" s="8" t="s">
        <v>78</v>
      </c>
      <c r="Q29" s="55" t="s">
        <v>76</v>
      </c>
      <c r="R29" s="19">
        <v>112061.47800000012</v>
      </c>
      <c r="S29" s="19">
        <v>2935644.1420000005</v>
      </c>
      <c r="T29" s="20">
        <v>26.19672874562655</v>
      </c>
      <c r="W29" s="8" t="s">
        <v>78</v>
      </c>
      <c r="X29" s="55" t="s">
        <v>76</v>
      </c>
      <c r="Y29" s="19">
        <v>118180.16499999967</v>
      </c>
      <c r="Z29" s="19">
        <v>3257961.5660000024</v>
      </c>
      <c r="AA29" s="20">
        <v>27.567752727371904</v>
      </c>
      <c r="AD29" s="8" t="s">
        <v>78</v>
      </c>
      <c r="AE29" s="55" t="s">
        <v>76</v>
      </c>
      <c r="AF29" s="19">
        <v>207254.58099999963</v>
      </c>
      <c r="AG29" s="19">
        <v>5966030.012999998</v>
      </c>
      <c r="AH29" s="20">
        <v>28.785998283917348</v>
      </c>
      <c r="AK29" s="8" t="s">
        <v>78</v>
      </c>
      <c r="AL29" s="55" t="s">
        <v>76</v>
      </c>
      <c r="AM29" s="19">
        <v>129694.77600000003</v>
      </c>
      <c r="AN29" s="19">
        <v>3543180.212</v>
      </c>
      <c r="AO29" s="20">
        <v>27.31937492995091</v>
      </c>
      <c r="AQ29" s="1"/>
      <c r="AR29" s="8" t="s">
        <v>78</v>
      </c>
      <c r="AS29" s="55" t="s">
        <v>76</v>
      </c>
      <c r="AT29" s="19">
        <v>14576.067999999997</v>
      </c>
      <c r="AU29" s="19">
        <v>375689.333</v>
      </c>
      <c r="AV29" s="20">
        <v>25.774394919123598</v>
      </c>
      <c r="AY29" s="8" t="s">
        <v>78</v>
      </c>
      <c r="AZ29" s="55" t="s">
        <v>76</v>
      </c>
      <c r="BA29" s="19">
        <v>46137.005000000005</v>
      </c>
      <c r="BB29" s="19">
        <v>1417882.6349999981</v>
      </c>
      <c r="BC29" s="20">
        <v>30.732004277260693</v>
      </c>
      <c r="BF29" s="8" t="s">
        <v>78</v>
      </c>
      <c r="BG29" s="55" t="s">
        <v>76</v>
      </c>
      <c r="BH29" s="19">
        <v>63712.15500000003</v>
      </c>
      <c r="BI29" s="19">
        <v>1993187.0730000036</v>
      </c>
      <c r="BJ29" s="20">
        <v>31.284251380290037</v>
      </c>
      <c r="BM29" s="8" t="s">
        <v>78</v>
      </c>
      <c r="BN29" s="55" t="s">
        <v>76</v>
      </c>
      <c r="BO29" s="19">
        <v>59008.527999999984</v>
      </c>
      <c r="BP29" s="19">
        <v>1873783.0940000003</v>
      </c>
      <c r="BQ29" s="20">
        <v>31.754445628604746</v>
      </c>
      <c r="BU29" s="8" t="s">
        <v>78</v>
      </c>
      <c r="BV29" s="55" t="s">
        <v>76</v>
      </c>
      <c r="BW29" s="19">
        <v>46026.47299999998</v>
      </c>
      <c r="BX29" s="19">
        <v>1397872.6499999978</v>
      </c>
      <c r="BY29" s="20">
        <v>30.371057326074023</v>
      </c>
      <c r="CB29" s="8" t="s">
        <v>78</v>
      </c>
      <c r="CC29" s="55" t="s">
        <v>76</v>
      </c>
      <c r="CD29" s="19">
        <v>8197.302</v>
      </c>
      <c r="CE29" s="19">
        <v>261875.41600000008</v>
      </c>
      <c r="CF29" s="20">
        <v>31.94653753149513</v>
      </c>
      <c r="CI29" s="8" t="s">
        <v>78</v>
      </c>
      <c r="CJ29" s="55" t="s">
        <v>76</v>
      </c>
      <c r="CK29" s="19">
        <v>5467.161999999997</v>
      </c>
      <c r="CL29" s="19">
        <v>174956.15700000024</v>
      </c>
      <c r="CM29" s="20">
        <v>32.001275433213856</v>
      </c>
      <c r="CP29" s="8" t="s">
        <v>78</v>
      </c>
      <c r="CQ29" s="55" t="s">
        <v>76</v>
      </c>
      <c r="CR29" s="19">
        <v>172470.642</v>
      </c>
      <c r="CS29" s="19">
        <v>9402209.193000011</v>
      </c>
      <c r="CT29" s="20">
        <v>54.51483849059953</v>
      </c>
    </row>
    <row r="30" spans="2:98" ht="13.5">
      <c r="B30" s="8" t="s">
        <v>65</v>
      </c>
      <c r="C30" s="55" t="s">
        <v>66</v>
      </c>
      <c r="D30" s="19">
        <v>1.232</v>
      </c>
      <c r="E30" s="19">
        <v>251.898</v>
      </c>
      <c r="F30" s="20">
        <v>204.46266233766235</v>
      </c>
      <c r="I30" s="8" t="s">
        <v>65</v>
      </c>
      <c r="J30" s="55" t="s">
        <v>66</v>
      </c>
      <c r="K30" s="19">
        <v>19.674</v>
      </c>
      <c r="L30" s="19">
        <v>451.824</v>
      </c>
      <c r="M30" s="20">
        <v>22.965538273863984</v>
      </c>
      <c r="P30" s="8" t="s">
        <v>65</v>
      </c>
      <c r="Q30" s="55" t="s">
        <v>66</v>
      </c>
      <c r="R30" s="19">
        <v>161.197</v>
      </c>
      <c r="S30" s="19">
        <v>4634.792</v>
      </c>
      <c r="T30" s="20">
        <v>28.75234650768935</v>
      </c>
      <c r="W30" s="8" t="s">
        <v>65</v>
      </c>
      <c r="X30" s="55" t="s">
        <v>66</v>
      </c>
      <c r="Y30" s="19">
        <v>24.958</v>
      </c>
      <c r="Z30" s="19">
        <v>787.501</v>
      </c>
      <c r="AA30" s="20">
        <v>31.553049122525845</v>
      </c>
      <c r="AD30" s="8" t="s">
        <v>65</v>
      </c>
      <c r="AE30" s="55" t="s">
        <v>66</v>
      </c>
      <c r="AF30" s="19">
        <v>381.854</v>
      </c>
      <c r="AG30" s="19">
        <v>12503.735</v>
      </c>
      <c r="AH30" s="20">
        <v>32.74480560633122</v>
      </c>
      <c r="AK30" s="8" t="s">
        <v>65</v>
      </c>
      <c r="AL30" s="55" t="s">
        <v>66</v>
      </c>
      <c r="AM30" s="19">
        <v>16.733</v>
      </c>
      <c r="AN30" s="19">
        <v>573.053</v>
      </c>
      <c r="AO30" s="20">
        <v>34.246877427837205</v>
      </c>
      <c r="AQ30" s="1"/>
      <c r="AR30" s="8" t="s">
        <v>65</v>
      </c>
      <c r="AS30" s="55" t="s">
        <v>66</v>
      </c>
      <c r="AT30" s="19">
        <v>91.132</v>
      </c>
      <c r="AU30" s="19">
        <v>6436.387</v>
      </c>
      <c r="AV30" s="20">
        <v>70.62707940130798</v>
      </c>
      <c r="AY30" s="8" t="s">
        <v>65</v>
      </c>
      <c r="AZ30" s="55" t="s">
        <v>66</v>
      </c>
      <c r="BA30" s="19">
        <v>78.945</v>
      </c>
      <c r="BB30" s="19">
        <v>1991.139</v>
      </c>
      <c r="BC30" s="20">
        <v>25.221850655519667</v>
      </c>
      <c r="BF30" s="8" t="s">
        <v>65</v>
      </c>
      <c r="BG30" s="55" t="s">
        <v>66</v>
      </c>
      <c r="BH30" s="19">
        <v>156.26</v>
      </c>
      <c r="BI30" s="19">
        <v>7509.833</v>
      </c>
      <c r="BJ30" s="20">
        <v>48.05985536925637</v>
      </c>
      <c r="BM30" s="8" t="s">
        <v>65</v>
      </c>
      <c r="BN30" s="55" t="s">
        <v>66</v>
      </c>
      <c r="BO30" s="19">
        <v>37.218</v>
      </c>
      <c r="BP30" s="19">
        <v>1373.43</v>
      </c>
      <c r="BQ30" s="20">
        <v>36.902305336127675</v>
      </c>
      <c r="BU30" s="8" t="s">
        <v>65</v>
      </c>
      <c r="BV30" s="55" t="s">
        <v>66</v>
      </c>
      <c r="BW30" s="19">
        <v>1.603</v>
      </c>
      <c r="BX30" s="19">
        <v>383.55</v>
      </c>
      <c r="BY30" s="20">
        <v>239.27011852776045</v>
      </c>
      <c r="CB30" s="8" t="s">
        <v>65</v>
      </c>
      <c r="CC30" s="55" t="s">
        <v>66</v>
      </c>
      <c r="CD30" s="19">
        <v>0</v>
      </c>
      <c r="CE30" s="19">
        <v>0</v>
      </c>
      <c r="CF30" s="20">
        <v>0</v>
      </c>
      <c r="CI30" s="8" t="s">
        <v>65</v>
      </c>
      <c r="CJ30" s="55" t="s">
        <v>66</v>
      </c>
      <c r="CK30" s="19">
        <v>20.63</v>
      </c>
      <c r="CL30" s="19">
        <v>670.082</v>
      </c>
      <c r="CM30" s="20">
        <v>32.480950072709646</v>
      </c>
      <c r="CP30" s="8" t="s">
        <v>65</v>
      </c>
      <c r="CQ30" s="55" t="s">
        <v>66</v>
      </c>
      <c r="CR30" s="19">
        <v>113.834</v>
      </c>
      <c r="CS30" s="19">
        <v>2927.165</v>
      </c>
      <c r="CT30" s="20">
        <v>25.714329637893773</v>
      </c>
    </row>
    <row r="31" spans="2:98" ht="13.5">
      <c r="B31" s="23" t="s">
        <v>12</v>
      </c>
      <c r="C31" s="46"/>
      <c r="D31" s="19">
        <v>32560.226000000002</v>
      </c>
      <c r="E31" s="19">
        <v>1056981.753</v>
      </c>
      <c r="F31" s="20">
        <v>32.46235922932476</v>
      </c>
      <c r="I31" s="23" t="s">
        <v>12</v>
      </c>
      <c r="J31" s="46"/>
      <c r="K31" s="19">
        <v>153287.48400000003</v>
      </c>
      <c r="L31" s="19">
        <v>3641776.744999999</v>
      </c>
      <c r="M31" s="20">
        <v>23.75782190410274</v>
      </c>
      <c r="P31" s="23" t="s">
        <v>12</v>
      </c>
      <c r="Q31" s="46"/>
      <c r="R31" s="19">
        <v>204992.57600000012</v>
      </c>
      <c r="S31" s="19">
        <v>5532536.393</v>
      </c>
      <c r="T31" s="20">
        <v>26.98895980018319</v>
      </c>
      <c r="W31" s="23" t="s">
        <v>12</v>
      </c>
      <c r="X31" s="46"/>
      <c r="Y31" s="19">
        <v>154295.78899999967</v>
      </c>
      <c r="Z31" s="19">
        <v>4458061.039000003</v>
      </c>
      <c r="AA31" s="20">
        <v>28.8929533844894</v>
      </c>
      <c r="AD31" s="23" t="s">
        <v>12</v>
      </c>
      <c r="AE31" s="46"/>
      <c r="AF31" s="19">
        <v>232689.0309999996</v>
      </c>
      <c r="AG31" s="19">
        <v>6935360.842999999</v>
      </c>
      <c r="AH31" s="20">
        <v>29.805276222926086</v>
      </c>
      <c r="AK31" s="23" t="s">
        <v>12</v>
      </c>
      <c r="AL31" s="46"/>
      <c r="AM31" s="19">
        <v>161962.09800000003</v>
      </c>
      <c r="AN31" s="19">
        <v>4619820.428</v>
      </c>
      <c r="AO31" s="20">
        <v>28.52408362850424</v>
      </c>
      <c r="AQ31" s="1"/>
      <c r="AR31" s="23" t="s">
        <v>12</v>
      </c>
      <c r="AS31" s="46"/>
      <c r="AT31" s="19">
        <v>40263.787</v>
      </c>
      <c r="AU31" s="19">
        <v>1306915.1579999998</v>
      </c>
      <c r="AV31" s="20">
        <v>32.458823557754265</v>
      </c>
      <c r="AY31" s="23" t="s">
        <v>12</v>
      </c>
      <c r="AZ31" s="46"/>
      <c r="BA31" s="19">
        <v>99921.364</v>
      </c>
      <c r="BB31" s="19">
        <v>2821844.5719999983</v>
      </c>
      <c r="BC31" s="20">
        <v>28.240653039924457</v>
      </c>
      <c r="BF31" s="23" t="s">
        <v>12</v>
      </c>
      <c r="BG31" s="46"/>
      <c r="BH31" s="19">
        <v>161478.69600000003</v>
      </c>
      <c r="BI31" s="19">
        <v>4792792.782000001</v>
      </c>
      <c r="BJ31" s="20">
        <v>29.6806507652254</v>
      </c>
      <c r="BM31" s="23" t="s">
        <v>12</v>
      </c>
      <c r="BN31" s="46"/>
      <c r="BO31" s="19">
        <v>176643.68899999987</v>
      </c>
      <c r="BP31" s="19">
        <v>4779601.471</v>
      </c>
      <c r="BQ31" s="20">
        <v>27.057867156522097</v>
      </c>
      <c r="BU31" s="23" t="s">
        <v>12</v>
      </c>
      <c r="BV31" s="46"/>
      <c r="BW31" s="19">
        <v>150381.77800000008</v>
      </c>
      <c r="BX31" s="19">
        <v>4172985.0869999975</v>
      </c>
      <c r="BY31" s="20">
        <v>27.749273499080424</v>
      </c>
      <c r="CB31" s="23" t="s">
        <v>12</v>
      </c>
      <c r="CC31" s="46"/>
      <c r="CD31" s="19">
        <v>63850.804000000004</v>
      </c>
      <c r="CE31" s="19">
        <v>1833656.813</v>
      </c>
      <c r="CF31" s="20">
        <v>28.717834359611196</v>
      </c>
      <c r="CI31" s="23" t="s">
        <v>12</v>
      </c>
      <c r="CJ31" s="46"/>
      <c r="CK31" s="19">
        <v>57091.586</v>
      </c>
      <c r="CL31" s="19">
        <v>1575070.9360000012</v>
      </c>
      <c r="CM31" s="20">
        <v>27.588495019213532</v>
      </c>
      <c r="CP31" s="23" t="s">
        <v>12</v>
      </c>
      <c r="CQ31" s="46"/>
      <c r="CR31" s="19">
        <v>297254.22</v>
      </c>
      <c r="CS31" s="19">
        <v>12681537.100000009</v>
      </c>
      <c r="CT31" s="20">
        <v>42.66226094283879</v>
      </c>
    </row>
    <row r="32" spans="2:98" ht="13.5">
      <c r="B32" s="3"/>
      <c r="C32" s="46"/>
      <c r="D32" s="19"/>
      <c r="E32" s="19"/>
      <c r="F32" s="20"/>
      <c r="I32" s="3"/>
      <c r="J32" s="46"/>
      <c r="K32" s="19"/>
      <c r="L32" s="19"/>
      <c r="M32" s="20"/>
      <c r="P32" s="3"/>
      <c r="Q32" s="46"/>
      <c r="R32" s="19"/>
      <c r="S32" s="19"/>
      <c r="T32" s="20"/>
      <c r="W32" s="3"/>
      <c r="X32" s="46"/>
      <c r="Y32" s="19"/>
      <c r="Z32" s="19"/>
      <c r="AA32" s="20"/>
      <c r="AD32" s="3"/>
      <c r="AE32" s="46"/>
      <c r="AF32" s="19"/>
      <c r="AG32" s="19"/>
      <c r="AH32" s="20"/>
      <c r="AK32" s="3"/>
      <c r="AL32" s="46"/>
      <c r="AM32" s="19"/>
      <c r="AN32" s="19"/>
      <c r="AO32" s="20"/>
      <c r="AQ32" s="1"/>
      <c r="AR32" s="3"/>
      <c r="AS32" s="46"/>
      <c r="AT32" s="19"/>
      <c r="AU32" s="19"/>
      <c r="AV32" s="20"/>
      <c r="AY32" s="3"/>
      <c r="AZ32" s="46"/>
      <c r="BA32" s="19"/>
      <c r="BB32" s="19"/>
      <c r="BC32" s="20"/>
      <c r="BF32" s="3"/>
      <c r="BG32" s="46"/>
      <c r="BH32" s="19"/>
      <c r="BI32" s="19"/>
      <c r="BJ32" s="20"/>
      <c r="BM32" s="3"/>
      <c r="BN32" s="46"/>
      <c r="BO32" s="19"/>
      <c r="BP32" s="19"/>
      <c r="BQ32" s="20"/>
      <c r="BU32" s="3"/>
      <c r="BV32" s="46"/>
      <c r="BW32" s="19"/>
      <c r="BX32" s="19"/>
      <c r="BY32" s="20"/>
      <c r="CB32" s="3"/>
      <c r="CC32" s="46"/>
      <c r="CD32" s="19"/>
      <c r="CE32" s="19"/>
      <c r="CF32" s="20"/>
      <c r="CI32" s="3"/>
      <c r="CJ32" s="46"/>
      <c r="CK32" s="19"/>
      <c r="CL32" s="19"/>
      <c r="CM32" s="20"/>
      <c r="CP32" s="3"/>
      <c r="CQ32" s="46"/>
      <c r="CR32" s="19"/>
      <c r="CS32" s="19"/>
      <c r="CT32" s="20"/>
    </row>
    <row r="33" spans="2:98" ht="13.5">
      <c r="B33" s="17" t="s">
        <v>24</v>
      </c>
      <c r="C33" s="46"/>
      <c r="D33" s="19">
        <v>600231.412</v>
      </c>
      <c r="E33" s="19">
        <v>11431174.520509182</v>
      </c>
      <c r="F33" s="20">
        <v>19.04461228115329</v>
      </c>
      <c r="I33" s="17" t="s">
        <v>24</v>
      </c>
      <c r="J33" s="46"/>
      <c r="K33" s="19">
        <v>640553.274</v>
      </c>
      <c r="L33" s="19">
        <v>17312980.42431788</v>
      </c>
      <c r="M33" s="20">
        <v>27.028166316605045</v>
      </c>
      <c r="O33" s="16" t="s">
        <v>23</v>
      </c>
      <c r="P33" s="17" t="s">
        <v>24</v>
      </c>
      <c r="Q33" s="46"/>
      <c r="R33" s="19">
        <v>699476.6719999999</v>
      </c>
      <c r="S33" s="19">
        <v>19777331.428999998</v>
      </c>
      <c r="T33" s="20">
        <v>28.274468928965227</v>
      </c>
      <c r="V33" s="16" t="s">
        <v>23</v>
      </c>
      <c r="W33" s="17" t="s">
        <v>24</v>
      </c>
      <c r="X33" s="46"/>
      <c r="Y33" s="19">
        <v>610206.1920000003</v>
      </c>
      <c r="Z33" s="19">
        <v>18346276.922</v>
      </c>
      <c r="AA33" s="20">
        <v>30.06570100816019</v>
      </c>
      <c r="AD33" s="17" t="s">
        <v>24</v>
      </c>
      <c r="AE33" s="46"/>
      <c r="AF33" s="19">
        <v>645229.9110000004</v>
      </c>
      <c r="AG33" s="19">
        <v>19648473.640000004</v>
      </c>
      <c r="AH33" s="20">
        <v>30.451895215998427</v>
      </c>
      <c r="AK33" s="17" t="s">
        <v>24</v>
      </c>
      <c r="AL33" s="46"/>
      <c r="AM33" s="19">
        <v>510599.917</v>
      </c>
      <c r="AN33" s="19">
        <v>15773994.216000002</v>
      </c>
      <c r="AO33" s="20">
        <v>30.89306067396012</v>
      </c>
      <c r="AQ33" s="1"/>
      <c r="AR33" s="17" t="s">
        <v>24</v>
      </c>
      <c r="AS33" s="46"/>
      <c r="AT33" s="19">
        <v>508278.078</v>
      </c>
      <c r="AU33" s="19">
        <v>13227670.289499998</v>
      </c>
      <c r="AV33" s="20">
        <v>26.024475306015457</v>
      </c>
      <c r="AY33" s="17" t="s">
        <v>24</v>
      </c>
      <c r="AZ33" s="46"/>
      <c r="BA33" s="19">
        <v>539080.138</v>
      </c>
      <c r="BB33" s="19">
        <v>14550813.913500002</v>
      </c>
      <c r="BC33" s="20">
        <v>26.99193104662298</v>
      </c>
      <c r="BF33" s="17" t="s">
        <v>24</v>
      </c>
      <c r="BG33" s="46"/>
      <c r="BH33" s="19">
        <v>567219.585</v>
      </c>
      <c r="BI33" s="19">
        <v>14933904.121499997</v>
      </c>
      <c r="BJ33" s="20">
        <v>26.32825896076913</v>
      </c>
      <c r="BM33" s="17" t="s">
        <v>24</v>
      </c>
      <c r="BN33" s="46"/>
      <c r="BO33" s="19">
        <v>558722.12</v>
      </c>
      <c r="BP33" s="19">
        <v>15167650.638999999</v>
      </c>
      <c r="BQ33" s="20">
        <v>27.147038028492588</v>
      </c>
      <c r="BU33" s="17" t="s">
        <v>24</v>
      </c>
      <c r="BV33" s="46"/>
      <c r="BW33" s="19">
        <v>489773.03799999994</v>
      </c>
      <c r="BX33" s="19">
        <v>12072963.453000003</v>
      </c>
      <c r="BY33" s="20">
        <v>24.650118557567485</v>
      </c>
      <c r="CB33" s="17" t="s">
        <v>24</v>
      </c>
      <c r="CC33" s="46"/>
      <c r="CD33" s="19">
        <v>506202.564</v>
      </c>
      <c r="CE33" s="19">
        <v>12847896.127999999</v>
      </c>
      <c r="CF33" s="20">
        <v>25.380938465574424</v>
      </c>
      <c r="CI33" s="17" t="s">
        <v>24</v>
      </c>
      <c r="CJ33" s="46"/>
      <c r="CK33" s="19">
        <v>595812.2259999999</v>
      </c>
      <c r="CL33" s="19">
        <v>15717496.522</v>
      </c>
      <c r="CM33" s="20">
        <v>26.379949648767365</v>
      </c>
      <c r="CP33" s="17" t="s">
        <v>24</v>
      </c>
      <c r="CQ33" s="46"/>
      <c r="CR33" s="19">
        <v>659707.06</v>
      </c>
      <c r="CS33" s="19">
        <v>14540946.146499991</v>
      </c>
      <c r="CT33" s="20">
        <v>22.041519680720093</v>
      </c>
    </row>
    <row r="34" spans="2:98" ht="13.5">
      <c r="B34" s="3"/>
      <c r="C34" s="46"/>
      <c r="D34" s="19"/>
      <c r="E34" s="19"/>
      <c r="F34" s="20"/>
      <c r="I34" s="3"/>
      <c r="J34" s="46"/>
      <c r="K34" s="19"/>
      <c r="L34" s="19"/>
      <c r="M34" s="20"/>
      <c r="P34" s="3"/>
      <c r="Q34" s="46"/>
      <c r="R34" s="19"/>
      <c r="S34" s="19"/>
      <c r="T34" s="20"/>
      <c r="W34" s="3"/>
      <c r="X34" s="46"/>
      <c r="Y34" s="19"/>
      <c r="Z34" s="19"/>
      <c r="AA34" s="20"/>
      <c r="AD34" s="3"/>
      <c r="AE34" s="46"/>
      <c r="AF34" s="19"/>
      <c r="AG34" s="19"/>
      <c r="AH34" s="20"/>
      <c r="AK34" s="3"/>
      <c r="AL34" s="46"/>
      <c r="AM34" s="19"/>
      <c r="AN34" s="19"/>
      <c r="AO34" s="20"/>
      <c r="AQ34" s="1"/>
      <c r="AR34" s="3"/>
      <c r="AS34" s="46"/>
      <c r="AT34" s="19"/>
      <c r="AU34" s="19"/>
      <c r="AV34" s="20"/>
      <c r="AY34" s="3"/>
      <c r="AZ34" s="46"/>
      <c r="BA34" s="19"/>
      <c r="BB34" s="19"/>
      <c r="BC34" s="20"/>
      <c r="BF34" s="3"/>
      <c r="BG34" s="46"/>
      <c r="BH34" s="19"/>
      <c r="BI34" s="19"/>
      <c r="BJ34" s="20"/>
      <c r="BM34" s="3"/>
      <c r="BN34" s="46"/>
      <c r="BO34" s="19"/>
      <c r="BP34" s="19"/>
      <c r="BQ34" s="20"/>
      <c r="BU34" s="3"/>
      <c r="BV34" s="46"/>
      <c r="BW34" s="19"/>
      <c r="BX34" s="19"/>
      <c r="BY34" s="20"/>
      <c r="CB34" s="3"/>
      <c r="CC34" s="46"/>
      <c r="CD34" s="19"/>
      <c r="CE34" s="19"/>
      <c r="CF34" s="20"/>
      <c r="CI34" s="3"/>
      <c r="CJ34" s="46"/>
      <c r="CK34" s="19"/>
      <c r="CL34" s="19"/>
      <c r="CM34" s="20"/>
      <c r="CP34" s="3"/>
      <c r="CQ34" s="46"/>
      <c r="CR34" s="19"/>
      <c r="CS34" s="19"/>
      <c r="CT34" s="20"/>
    </row>
    <row r="35" spans="1:98" ht="13.5">
      <c r="A35" s="16" t="s">
        <v>23</v>
      </c>
      <c r="B35" s="17" t="s">
        <v>26</v>
      </c>
      <c r="C35" s="46"/>
      <c r="D35" s="19">
        <v>632791.638</v>
      </c>
      <c r="E35" s="19">
        <v>12488156.273509182</v>
      </c>
      <c r="F35" s="20">
        <v>19.735021014151236</v>
      </c>
      <c r="H35" s="16" t="s">
        <v>23</v>
      </c>
      <c r="I35" s="17" t="s">
        <v>26</v>
      </c>
      <c r="J35" s="46"/>
      <c r="K35" s="19">
        <v>793840.758</v>
      </c>
      <c r="L35" s="19">
        <v>20954757.16931788</v>
      </c>
      <c r="M35" s="20">
        <v>26.396675854879547</v>
      </c>
      <c r="O35" s="16" t="s">
        <v>25</v>
      </c>
      <c r="P35" s="17" t="s">
        <v>26</v>
      </c>
      <c r="Q35" s="46"/>
      <c r="R35" s="19">
        <v>904469.248</v>
      </c>
      <c r="S35" s="19">
        <v>25309867.821999997</v>
      </c>
      <c r="T35" s="20">
        <v>27.983115930106223</v>
      </c>
      <c r="V35" s="16" t="s">
        <v>25</v>
      </c>
      <c r="W35" s="17" t="s">
        <v>26</v>
      </c>
      <c r="X35" s="46"/>
      <c r="Y35" s="19">
        <v>764501.9809999999</v>
      </c>
      <c r="Z35" s="19">
        <v>22804337.961000003</v>
      </c>
      <c r="AA35" s="20">
        <v>29.82901094797818</v>
      </c>
      <c r="AD35" s="17" t="s">
        <v>26</v>
      </c>
      <c r="AE35" s="46"/>
      <c r="AF35" s="19">
        <v>877918.942</v>
      </c>
      <c r="AG35" s="19">
        <v>26583834.483000003</v>
      </c>
      <c r="AH35" s="20">
        <v>30.28051134474782</v>
      </c>
      <c r="AJ35" s="16" t="s">
        <v>23</v>
      </c>
      <c r="AK35" s="17" t="s">
        <v>26</v>
      </c>
      <c r="AL35" s="46"/>
      <c r="AM35" s="19">
        <v>672562.015</v>
      </c>
      <c r="AN35" s="19">
        <v>20393814.644</v>
      </c>
      <c r="AO35" s="20">
        <v>30.32257872011996</v>
      </c>
      <c r="AQ35" s="16" t="s">
        <v>23</v>
      </c>
      <c r="AR35" s="17" t="s">
        <v>26</v>
      </c>
      <c r="AS35" s="46"/>
      <c r="AT35" s="19">
        <v>548541.865</v>
      </c>
      <c r="AU35" s="19">
        <v>14534585.447499998</v>
      </c>
      <c r="AV35" s="20">
        <v>26.496766017120677</v>
      </c>
      <c r="AX35" s="16" t="s">
        <v>23</v>
      </c>
      <c r="AY35" s="17" t="s">
        <v>26</v>
      </c>
      <c r="AZ35" s="46"/>
      <c r="BA35" s="19">
        <v>639001.5020000001</v>
      </c>
      <c r="BB35" s="19">
        <v>17372658.4855</v>
      </c>
      <c r="BC35" s="20">
        <v>27.187195070943663</v>
      </c>
      <c r="BE35" s="16" t="s">
        <v>23</v>
      </c>
      <c r="BF35" s="17" t="s">
        <v>26</v>
      </c>
      <c r="BG35" s="46"/>
      <c r="BH35" s="19">
        <v>728698.281</v>
      </c>
      <c r="BI35" s="19">
        <v>19726696.9035</v>
      </c>
      <c r="BJ35" s="20">
        <v>27.071145106077175</v>
      </c>
      <c r="BL35" s="16" t="s">
        <v>23</v>
      </c>
      <c r="BM35" s="17" t="s">
        <v>26</v>
      </c>
      <c r="BN35" s="46"/>
      <c r="BO35" s="19">
        <v>735365.8089999999</v>
      </c>
      <c r="BP35" s="19">
        <v>19947252.11</v>
      </c>
      <c r="BQ35" s="20">
        <v>27.12561811532361</v>
      </c>
      <c r="BT35" s="16" t="s">
        <v>23</v>
      </c>
      <c r="BU35" s="17" t="s">
        <v>26</v>
      </c>
      <c r="BV35" s="46"/>
      <c r="BW35" s="19">
        <v>640154.816</v>
      </c>
      <c r="BX35" s="19">
        <v>16245948.540000001</v>
      </c>
      <c r="BY35" s="20">
        <v>25.37815561790603</v>
      </c>
      <c r="CA35" s="16" t="s">
        <v>23</v>
      </c>
      <c r="CB35" s="17" t="s">
        <v>26</v>
      </c>
      <c r="CC35" s="46"/>
      <c r="CD35" s="19">
        <v>570053.368</v>
      </c>
      <c r="CE35" s="19">
        <v>14681552.941</v>
      </c>
      <c r="CF35" s="20">
        <v>25.754699060036074</v>
      </c>
      <c r="CH35" s="16" t="s">
        <v>23</v>
      </c>
      <c r="CI35" s="17" t="s">
        <v>26</v>
      </c>
      <c r="CJ35" s="46"/>
      <c r="CK35" s="19">
        <v>652903.8119999999</v>
      </c>
      <c r="CL35" s="19">
        <v>17292567.458</v>
      </c>
      <c r="CM35" s="20">
        <v>26.485627959543912</v>
      </c>
      <c r="CO35" s="16" t="s">
        <v>23</v>
      </c>
      <c r="CP35" s="17" t="s">
        <v>26</v>
      </c>
      <c r="CQ35" s="46"/>
      <c r="CR35" s="19">
        <v>956961.28</v>
      </c>
      <c r="CS35" s="19">
        <v>27222483.2465</v>
      </c>
      <c r="CT35" s="20">
        <v>28.44679697646701</v>
      </c>
    </row>
    <row r="36" spans="2:98" ht="13.5">
      <c r="B36" s="8"/>
      <c r="C36" s="46"/>
      <c r="D36" s="19"/>
      <c r="E36" s="19"/>
      <c r="F36" s="20"/>
      <c r="I36" s="8"/>
      <c r="J36" s="46"/>
      <c r="K36" s="19"/>
      <c r="L36" s="19"/>
      <c r="M36" s="20"/>
      <c r="O36" s="16"/>
      <c r="P36" s="8"/>
      <c r="Q36" s="46"/>
      <c r="R36" s="19"/>
      <c r="S36" s="19"/>
      <c r="T36" s="20"/>
      <c r="V36" s="16"/>
      <c r="W36" s="8"/>
      <c r="X36" s="46"/>
      <c r="Y36" s="19"/>
      <c r="Z36" s="19"/>
      <c r="AA36" s="20"/>
      <c r="AC36" s="16" t="s">
        <v>23</v>
      </c>
      <c r="AD36" s="8"/>
      <c r="AE36" s="46"/>
      <c r="AF36" s="19"/>
      <c r="AG36" s="19"/>
      <c r="AH36" s="20"/>
      <c r="AK36" s="8"/>
      <c r="AL36" s="46"/>
      <c r="AM36" s="19"/>
      <c r="AN36" s="19"/>
      <c r="AO36" s="20"/>
      <c r="AQ36" s="1"/>
      <c r="AR36" s="8"/>
      <c r="AS36" s="46"/>
      <c r="AT36" s="19"/>
      <c r="AU36" s="19"/>
      <c r="AV36" s="20"/>
      <c r="AY36" s="8"/>
      <c r="AZ36" s="46"/>
      <c r="BA36" s="19"/>
      <c r="BB36" s="19"/>
      <c r="BC36" s="20"/>
      <c r="BF36" s="8"/>
      <c r="BG36" s="46"/>
      <c r="BH36" s="19"/>
      <c r="BI36" s="19"/>
      <c r="BJ36" s="20"/>
      <c r="BM36" s="8"/>
      <c r="BN36" s="46"/>
      <c r="BO36" s="19"/>
      <c r="BP36" s="19"/>
      <c r="BQ36" s="20"/>
      <c r="BU36" s="8"/>
      <c r="BV36" s="46"/>
      <c r="BW36" s="19"/>
      <c r="BX36" s="19"/>
      <c r="BY36" s="20"/>
      <c r="CB36" s="8"/>
      <c r="CC36" s="46"/>
      <c r="CD36" s="19"/>
      <c r="CE36" s="19"/>
      <c r="CF36" s="20"/>
      <c r="CI36" s="8"/>
      <c r="CJ36" s="46"/>
      <c r="CK36" s="19"/>
      <c r="CL36" s="19"/>
      <c r="CM36" s="20"/>
      <c r="CP36" s="8"/>
      <c r="CQ36" s="46"/>
      <c r="CR36" s="19"/>
      <c r="CS36" s="19"/>
      <c r="CT36" s="20"/>
    </row>
    <row r="37" spans="1:98" ht="13.5">
      <c r="A37" s="16" t="s">
        <v>25</v>
      </c>
      <c r="B37" s="8"/>
      <c r="C37" s="46"/>
      <c r="D37" s="19"/>
      <c r="E37" s="19"/>
      <c r="F37" s="20"/>
      <c r="H37" s="16" t="s">
        <v>25</v>
      </c>
      <c r="I37" s="8"/>
      <c r="J37" s="46"/>
      <c r="K37" s="19"/>
      <c r="L37" s="19"/>
      <c r="M37" s="20"/>
      <c r="O37" s="16"/>
      <c r="P37" s="8"/>
      <c r="Q37" s="46"/>
      <c r="R37" s="19"/>
      <c r="S37" s="19"/>
      <c r="T37" s="20"/>
      <c r="V37" s="16"/>
      <c r="W37" s="8"/>
      <c r="X37" s="46"/>
      <c r="Y37" s="19"/>
      <c r="Z37" s="19"/>
      <c r="AA37" s="20"/>
      <c r="AD37" s="8"/>
      <c r="AE37" s="46"/>
      <c r="AF37" s="19"/>
      <c r="AG37" s="19"/>
      <c r="AH37" s="20"/>
      <c r="AJ37" s="16" t="s">
        <v>25</v>
      </c>
      <c r="AK37" s="8"/>
      <c r="AL37" s="46"/>
      <c r="AM37" s="19"/>
      <c r="AN37" s="19"/>
      <c r="AO37" s="20"/>
      <c r="AQ37" s="16" t="s">
        <v>25</v>
      </c>
      <c r="AR37" s="8"/>
      <c r="AS37" s="46"/>
      <c r="AT37" s="19"/>
      <c r="AU37" s="19"/>
      <c r="AV37" s="20"/>
      <c r="AX37" s="16" t="s">
        <v>25</v>
      </c>
      <c r="AY37" s="8"/>
      <c r="AZ37" s="46"/>
      <c r="BA37" s="19"/>
      <c r="BB37" s="19"/>
      <c r="BC37" s="20"/>
      <c r="BE37" s="16" t="s">
        <v>25</v>
      </c>
      <c r="BF37" s="8"/>
      <c r="BG37" s="46"/>
      <c r="BH37" s="19"/>
      <c r="BI37" s="19"/>
      <c r="BJ37" s="20"/>
      <c r="BL37" s="16" t="s">
        <v>25</v>
      </c>
      <c r="BM37" s="8"/>
      <c r="BN37" s="46"/>
      <c r="BO37" s="19"/>
      <c r="BP37" s="19"/>
      <c r="BQ37" s="20"/>
      <c r="BT37" s="16" t="s">
        <v>25</v>
      </c>
      <c r="BU37" s="8"/>
      <c r="BV37" s="46"/>
      <c r="BW37" s="19"/>
      <c r="BX37" s="19"/>
      <c r="BY37" s="20"/>
      <c r="CA37" s="16" t="s">
        <v>25</v>
      </c>
      <c r="CB37" s="8"/>
      <c r="CC37" s="46"/>
      <c r="CD37" s="19"/>
      <c r="CE37" s="19"/>
      <c r="CF37" s="20"/>
      <c r="CH37" s="16" t="s">
        <v>25</v>
      </c>
      <c r="CI37" s="8"/>
      <c r="CJ37" s="46"/>
      <c r="CK37" s="19"/>
      <c r="CL37" s="19"/>
      <c r="CM37" s="20"/>
      <c r="CO37" s="16" t="s">
        <v>25</v>
      </c>
      <c r="CP37" s="8"/>
      <c r="CQ37" s="46"/>
      <c r="CR37" s="19"/>
      <c r="CS37" s="19"/>
      <c r="CT37" s="20"/>
    </row>
    <row r="38" spans="1:98" ht="13.5">
      <c r="A38" s="16"/>
      <c r="D38" s="19"/>
      <c r="E38" s="19"/>
      <c r="F38" s="20"/>
      <c r="H38" s="16"/>
      <c r="K38" s="19"/>
      <c r="L38" s="19"/>
      <c r="M38" s="20"/>
      <c r="R38" s="19"/>
      <c r="S38" s="19"/>
      <c r="T38" s="20"/>
      <c r="Y38" s="19"/>
      <c r="Z38" s="19"/>
      <c r="AA38" s="20"/>
      <c r="AC38" s="16" t="s">
        <v>25</v>
      </c>
      <c r="AF38" s="19"/>
      <c r="AG38" s="19"/>
      <c r="AH38" s="20"/>
      <c r="AJ38" s="16"/>
      <c r="AM38" s="19"/>
      <c r="AN38" s="19"/>
      <c r="AO38" s="20"/>
      <c r="AQ38" s="16"/>
      <c r="AR38" s="6"/>
      <c r="AS38" s="48"/>
      <c r="AT38" s="19"/>
      <c r="AU38" s="19"/>
      <c r="AV38" s="20"/>
      <c r="AX38" s="16"/>
      <c r="BA38" s="19"/>
      <c r="BB38" s="19"/>
      <c r="BC38" s="20"/>
      <c r="BE38" s="16"/>
      <c r="BH38" s="19"/>
      <c r="BI38" s="19"/>
      <c r="BJ38" s="20"/>
      <c r="BL38" s="16"/>
      <c r="BO38" s="19"/>
      <c r="BP38" s="19"/>
      <c r="BQ38" s="20"/>
      <c r="BT38" s="16"/>
      <c r="BW38" s="19"/>
      <c r="BX38" s="19"/>
      <c r="BY38" s="20"/>
      <c r="CA38" s="16"/>
      <c r="CD38" s="19"/>
      <c r="CE38" s="19"/>
      <c r="CF38" s="20"/>
      <c r="CH38" s="16"/>
      <c r="CK38" s="19"/>
      <c r="CL38" s="19"/>
      <c r="CM38" s="20"/>
      <c r="CO38" s="16"/>
      <c r="CR38" s="19"/>
      <c r="CS38" s="19"/>
      <c r="CT38" s="20"/>
    </row>
    <row r="39" spans="1:98" ht="15">
      <c r="A39" s="16"/>
      <c r="B39" s="8" t="s">
        <v>28</v>
      </c>
      <c r="C39" s="46"/>
      <c r="D39" s="63">
        <v>600231.412</v>
      </c>
      <c r="E39" s="63">
        <v>11431174.520509182</v>
      </c>
      <c r="F39" s="64">
        <v>19.04461228115329</v>
      </c>
      <c r="H39" s="16"/>
      <c r="I39" s="8" t="s">
        <v>28</v>
      </c>
      <c r="J39" s="46"/>
      <c r="K39" s="63">
        <v>640553.274</v>
      </c>
      <c r="L39" s="63">
        <v>17312980.42431788</v>
      </c>
      <c r="M39" s="64">
        <v>27.028166316605045</v>
      </c>
      <c r="O39" s="16" t="s">
        <v>27</v>
      </c>
      <c r="P39" s="8" t="s">
        <v>28</v>
      </c>
      <c r="Q39" s="46"/>
      <c r="R39" s="63">
        <v>699476.6719999999</v>
      </c>
      <c r="S39" s="63">
        <v>19777331.428999998</v>
      </c>
      <c r="T39" s="64">
        <v>28.274468928965227</v>
      </c>
      <c r="V39" s="16" t="s">
        <v>27</v>
      </c>
      <c r="W39" s="8" t="s">
        <v>28</v>
      </c>
      <c r="X39" s="46"/>
      <c r="Y39" s="63">
        <v>610206.1920000003</v>
      </c>
      <c r="Z39" s="63">
        <v>18346276.922</v>
      </c>
      <c r="AA39" s="64">
        <v>30.06570100816019</v>
      </c>
      <c r="AC39" s="16"/>
      <c r="AD39" s="8" t="s">
        <v>28</v>
      </c>
      <c r="AE39" s="46"/>
      <c r="AF39" s="63">
        <v>645229.9110000004</v>
      </c>
      <c r="AG39" s="63">
        <v>19648473.640000004</v>
      </c>
      <c r="AH39" s="64">
        <v>30.451895215998427</v>
      </c>
      <c r="AJ39" s="16"/>
      <c r="AK39" s="8" t="s">
        <v>28</v>
      </c>
      <c r="AL39" s="46"/>
      <c r="AM39" s="63">
        <v>510599.917</v>
      </c>
      <c r="AN39" s="63">
        <v>15773994.216000002</v>
      </c>
      <c r="AO39" s="64">
        <v>30.89306067396012</v>
      </c>
      <c r="AQ39" s="16"/>
      <c r="AR39" s="8" t="s">
        <v>28</v>
      </c>
      <c r="AS39" s="46"/>
      <c r="AT39" s="63">
        <v>508278.078</v>
      </c>
      <c r="AU39" s="63">
        <v>13227670.289499998</v>
      </c>
      <c r="AV39" s="64">
        <v>26.024475306015457</v>
      </c>
      <c r="AX39" s="16"/>
      <c r="AY39" s="8" t="s">
        <v>28</v>
      </c>
      <c r="AZ39" s="46"/>
      <c r="BA39" s="63">
        <v>539080.138</v>
      </c>
      <c r="BB39" s="63">
        <v>14550813.913500002</v>
      </c>
      <c r="BC39" s="64">
        <v>26.99193104662298</v>
      </c>
      <c r="BE39" s="16"/>
      <c r="BF39" s="8" t="s">
        <v>28</v>
      </c>
      <c r="BG39" s="46"/>
      <c r="BH39" s="63">
        <v>567219.585</v>
      </c>
      <c r="BI39" s="63">
        <v>14933904.121499997</v>
      </c>
      <c r="BJ39" s="64">
        <v>26.32825896076913</v>
      </c>
      <c r="BL39" s="16"/>
      <c r="BM39" s="8" t="s">
        <v>28</v>
      </c>
      <c r="BN39" s="46"/>
      <c r="BO39" s="63">
        <v>558722.12</v>
      </c>
      <c r="BP39" s="63">
        <v>15167650.638999999</v>
      </c>
      <c r="BQ39" s="64">
        <v>27.147038028492588</v>
      </c>
      <c r="BT39" s="16"/>
      <c r="BU39" s="8" t="s">
        <v>28</v>
      </c>
      <c r="BV39" s="46"/>
      <c r="BW39" s="63">
        <v>489773.03799999994</v>
      </c>
      <c r="BX39" s="63">
        <v>12072963.453000003</v>
      </c>
      <c r="BY39" s="64">
        <v>24.650118557567485</v>
      </c>
      <c r="CA39" s="16"/>
      <c r="CB39" s="8" t="s">
        <v>28</v>
      </c>
      <c r="CC39" s="46"/>
      <c r="CD39" s="63">
        <v>506202.564</v>
      </c>
      <c r="CE39" s="63">
        <v>12847896.127999999</v>
      </c>
      <c r="CF39" s="64">
        <v>25.380938465574424</v>
      </c>
      <c r="CH39" s="16"/>
      <c r="CI39" s="8" t="s">
        <v>28</v>
      </c>
      <c r="CJ39" s="46"/>
      <c r="CK39" s="63">
        <v>595812.2259999999</v>
      </c>
      <c r="CL39" s="63">
        <v>15717496.522</v>
      </c>
      <c r="CM39" s="64">
        <v>26.379949648767365</v>
      </c>
      <c r="CO39" s="16"/>
      <c r="CP39" s="8" t="s">
        <v>28</v>
      </c>
      <c r="CQ39" s="46"/>
      <c r="CR39" s="63">
        <v>659707.06</v>
      </c>
      <c r="CS39" s="63">
        <v>14540946.146499991</v>
      </c>
      <c r="CT39" s="64">
        <v>22.041519680720093</v>
      </c>
    </row>
    <row r="40" spans="2:98" ht="13.5">
      <c r="B40" s="8" t="s">
        <v>86</v>
      </c>
      <c r="C40" s="46"/>
      <c r="D40" s="19">
        <v>3.2800000000279397</v>
      </c>
      <c r="E40" s="19">
        <v>0</v>
      </c>
      <c r="F40" s="20">
        <v>0</v>
      </c>
      <c r="I40" s="8" t="s">
        <v>86</v>
      </c>
      <c r="J40" s="46"/>
      <c r="K40" s="19">
        <v>0.37899999995715916</v>
      </c>
      <c r="L40" s="19">
        <v>0</v>
      </c>
      <c r="M40" s="20">
        <v>0</v>
      </c>
      <c r="O40" s="16" t="s">
        <v>29</v>
      </c>
      <c r="P40" s="8" t="s">
        <v>86</v>
      </c>
      <c r="Q40" s="46"/>
      <c r="R40" s="19">
        <v>1.2980000000679865</v>
      </c>
      <c r="S40" s="19">
        <v>0</v>
      </c>
      <c r="T40" s="20">
        <v>0</v>
      </c>
      <c r="V40" s="16" t="s">
        <v>29</v>
      </c>
      <c r="W40" s="8" t="s">
        <v>86</v>
      </c>
      <c r="X40" s="46"/>
      <c r="Y40" s="19">
        <v>0.8079999997280538</v>
      </c>
      <c r="Z40" s="19">
        <v>0</v>
      </c>
      <c r="AA40" s="20">
        <v>0</v>
      </c>
      <c r="AC40" s="16"/>
      <c r="AD40" s="8" t="s">
        <v>86</v>
      </c>
      <c r="AE40" s="46"/>
      <c r="AF40" s="19">
        <v>0.3539999994682148</v>
      </c>
      <c r="AG40" s="19">
        <v>0</v>
      </c>
      <c r="AH40" s="20">
        <v>0</v>
      </c>
      <c r="AK40" s="8" t="s">
        <v>86</v>
      </c>
      <c r="AL40" s="46"/>
      <c r="AM40" s="19">
        <v>-2836.6410000000033</v>
      </c>
      <c r="AN40" s="19">
        <v>0</v>
      </c>
      <c r="AO40" s="20">
        <v>0</v>
      </c>
      <c r="AQ40" s="1"/>
      <c r="AR40" s="8" t="s">
        <v>86</v>
      </c>
      <c r="AS40" s="46"/>
      <c r="AT40" s="19">
        <v>-0.2839999999268912</v>
      </c>
      <c r="AU40" s="19">
        <v>0</v>
      </c>
      <c r="AV40" s="20">
        <v>0</v>
      </c>
      <c r="AY40" s="8" t="s">
        <v>86</v>
      </c>
      <c r="AZ40" s="46"/>
      <c r="BA40" s="19">
        <v>0.790999999968335</v>
      </c>
      <c r="BB40" s="19">
        <v>0</v>
      </c>
      <c r="BC40" s="20">
        <v>0</v>
      </c>
      <c r="BF40" s="8" t="s">
        <v>86</v>
      </c>
      <c r="BG40" s="46"/>
      <c r="BH40" s="19">
        <v>-0.044999999925494194</v>
      </c>
      <c r="BI40" s="19">
        <v>0</v>
      </c>
      <c r="BJ40" s="20">
        <v>0</v>
      </c>
      <c r="BM40" s="8" t="s">
        <v>86</v>
      </c>
      <c r="BN40" s="46"/>
      <c r="BO40" s="19">
        <v>-0.6259999999310821</v>
      </c>
      <c r="BP40" s="19">
        <v>0</v>
      </c>
      <c r="BQ40" s="20">
        <v>0</v>
      </c>
      <c r="BU40" s="8" t="s">
        <v>86</v>
      </c>
      <c r="BV40" s="46"/>
      <c r="BW40" s="19">
        <v>-0.7069999999366701</v>
      </c>
      <c r="BX40" s="19">
        <v>0</v>
      </c>
      <c r="BY40" s="20">
        <v>0</v>
      </c>
      <c r="CB40" s="8" t="s">
        <v>86</v>
      </c>
      <c r="CC40" s="46"/>
      <c r="CD40" s="19">
        <v>-0.24000000004889444</v>
      </c>
      <c r="CE40" s="19">
        <v>0</v>
      </c>
      <c r="CF40" s="20">
        <v>0</v>
      </c>
      <c r="CI40" s="8" t="s">
        <v>86</v>
      </c>
      <c r="CJ40" s="46"/>
      <c r="CK40" s="19">
        <v>0.6240000001853332</v>
      </c>
      <c r="CL40" s="19">
        <v>0</v>
      </c>
      <c r="CM40" s="20">
        <v>0</v>
      </c>
      <c r="CP40" s="8" t="s">
        <v>86</v>
      </c>
      <c r="CQ40" s="46"/>
      <c r="CR40" s="19">
        <v>-0.043000000063329935</v>
      </c>
      <c r="CS40" s="19">
        <v>0</v>
      </c>
      <c r="CT40" s="20">
        <v>0</v>
      </c>
    </row>
    <row r="41" spans="1:98" ht="13.5">
      <c r="A41" s="16" t="s">
        <v>27</v>
      </c>
      <c r="B41" s="8" t="s">
        <v>32</v>
      </c>
      <c r="C41" s="46"/>
      <c r="D41" s="19">
        <v>600234.692</v>
      </c>
      <c r="E41" s="19">
        <v>11431174.520509182</v>
      </c>
      <c r="F41" s="20">
        <v>19.044508211313417</v>
      </c>
      <c r="H41" s="16" t="s">
        <v>27</v>
      </c>
      <c r="I41" s="8" t="s">
        <v>32</v>
      </c>
      <c r="J41" s="46"/>
      <c r="K41" s="19">
        <v>640553.6529999999</v>
      </c>
      <c r="L41" s="19">
        <v>17312980.42431788</v>
      </c>
      <c r="M41" s="20">
        <v>27.02815032469713</v>
      </c>
      <c r="O41" s="16" t="s">
        <v>31</v>
      </c>
      <c r="P41" s="8" t="s">
        <v>32</v>
      </c>
      <c r="Q41" s="46"/>
      <c r="R41" s="19">
        <v>699477.97</v>
      </c>
      <c r="S41" s="19">
        <v>19777331.428999998</v>
      </c>
      <c r="T41" s="20">
        <v>28.27441646089297</v>
      </c>
      <c r="V41" s="16" t="s">
        <v>31</v>
      </c>
      <c r="W41" s="8" t="s">
        <v>32</v>
      </c>
      <c r="X41" s="46"/>
      <c r="Y41" s="19">
        <v>610207</v>
      </c>
      <c r="Z41" s="19">
        <v>18346276.922</v>
      </c>
      <c r="AA41" s="20">
        <v>30.065661196938084</v>
      </c>
      <c r="AD41" s="8" t="s">
        <v>32</v>
      </c>
      <c r="AE41" s="46"/>
      <c r="AF41" s="19">
        <v>645230.2649999999</v>
      </c>
      <c r="AG41" s="19">
        <v>19648473.640000004</v>
      </c>
      <c r="AH41" s="20">
        <v>30.451878508829722</v>
      </c>
      <c r="AJ41" s="16" t="s">
        <v>27</v>
      </c>
      <c r="AK41" s="8" t="s">
        <v>32</v>
      </c>
      <c r="AL41" s="46"/>
      <c r="AM41" s="19">
        <v>507763.276</v>
      </c>
      <c r="AN41" s="19">
        <v>15773994.216000002</v>
      </c>
      <c r="AO41" s="20">
        <v>31.0656460629894</v>
      </c>
      <c r="AQ41" s="16" t="s">
        <v>27</v>
      </c>
      <c r="AR41" s="8" t="s">
        <v>32</v>
      </c>
      <c r="AS41" s="46"/>
      <c r="AT41" s="19">
        <v>508277.79400000005</v>
      </c>
      <c r="AU41" s="19">
        <v>13227670.289499998</v>
      </c>
      <c r="AV41" s="20">
        <v>26.0244898471799</v>
      </c>
      <c r="AX41" s="16" t="s">
        <v>27</v>
      </c>
      <c r="AY41" s="8" t="s">
        <v>32</v>
      </c>
      <c r="AZ41" s="46"/>
      <c r="BA41" s="19">
        <v>539080.929</v>
      </c>
      <c r="BB41" s="19">
        <v>14550813.913500002</v>
      </c>
      <c r="BC41" s="20">
        <v>26.991891441034454</v>
      </c>
      <c r="BE41" s="16" t="s">
        <v>27</v>
      </c>
      <c r="BF41" s="8" t="s">
        <v>32</v>
      </c>
      <c r="BG41" s="46"/>
      <c r="BH41" s="19">
        <v>567219.54</v>
      </c>
      <c r="BI41" s="19">
        <v>14933904.121499997</v>
      </c>
      <c r="BJ41" s="20">
        <v>26.32826104950474</v>
      </c>
      <c r="BL41" s="16" t="s">
        <v>27</v>
      </c>
      <c r="BM41" s="8" t="s">
        <v>32</v>
      </c>
      <c r="BN41" s="46"/>
      <c r="BO41" s="19">
        <v>558721.4940000001</v>
      </c>
      <c r="BP41" s="19">
        <v>15167650.638999999</v>
      </c>
      <c r="BQ41" s="20">
        <v>27.14706844444398</v>
      </c>
      <c r="BT41" s="16" t="s">
        <v>27</v>
      </c>
      <c r="BU41" s="8" t="s">
        <v>32</v>
      </c>
      <c r="BV41" s="46"/>
      <c r="BW41" s="19">
        <v>489772.331</v>
      </c>
      <c r="BX41" s="19">
        <v>12072963.453000003</v>
      </c>
      <c r="BY41" s="20">
        <v>24.650154140700128</v>
      </c>
      <c r="CA41" s="16" t="s">
        <v>27</v>
      </c>
      <c r="CB41" s="8" t="s">
        <v>32</v>
      </c>
      <c r="CC41" s="46"/>
      <c r="CD41" s="19">
        <v>506202.32399999996</v>
      </c>
      <c r="CE41" s="19">
        <v>12847896.127999999</v>
      </c>
      <c r="CF41" s="20">
        <v>25.380950499152586</v>
      </c>
      <c r="CH41" s="16" t="s">
        <v>27</v>
      </c>
      <c r="CI41" s="8" t="s">
        <v>32</v>
      </c>
      <c r="CJ41" s="46"/>
      <c r="CK41" s="19">
        <v>595812.8500000001</v>
      </c>
      <c r="CL41" s="19">
        <v>15717496.522</v>
      </c>
      <c r="CM41" s="20">
        <v>26.37992202081576</v>
      </c>
      <c r="CO41" s="16" t="s">
        <v>27</v>
      </c>
      <c r="CP41" s="8" t="s">
        <v>32</v>
      </c>
      <c r="CQ41" s="46"/>
      <c r="CR41" s="19">
        <v>659707.017</v>
      </c>
      <c r="CS41" s="19">
        <v>14540946.146499991</v>
      </c>
      <c r="CT41" s="20">
        <v>22.041521117396258</v>
      </c>
    </row>
    <row r="42" spans="1:98" ht="15">
      <c r="A42" s="16" t="s">
        <v>29</v>
      </c>
      <c r="B42" s="72" t="s">
        <v>34</v>
      </c>
      <c r="C42" s="73"/>
      <c r="D42" s="74">
        <v>-442</v>
      </c>
      <c r="E42" s="74">
        <v>-11003</v>
      </c>
      <c r="F42" s="20">
        <v>24.89366515837104</v>
      </c>
      <c r="H42" s="16" t="s">
        <v>29</v>
      </c>
      <c r="I42" s="72" t="s">
        <v>34</v>
      </c>
      <c r="J42" s="73"/>
      <c r="K42" s="74">
        <v>-2110.1786297</v>
      </c>
      <c r="L42" s="74">
        <v>-55601.0967139653</v>
      </c>
      <c r="M42" s="20">
        <v>26.349</v>
      </c>
      <c r="O42" s="71" t="s">
        <v>33</v>
      </c>
      <c r="P42" s="72" t="s">
        <v>34</v>
      </c>
      <c r="Q42" s="73"/>
      <c r="R42" s="74">
        <v>-3843.1049285999998</v>
      </c>
      <c r="S42" s="74">
        <v>-98744.73803544839</v>
      </c>
      <c r="T42" s="20">
        <v>25.694</v>
      </c>
      <c r="V42" s="71" t="s">
        <v>33</v>
      </c>
      <c r="W42" s="72" t="s">
        <v>34</v>
      </c>
      <c r="X42" s="73"/>
      <c r="Y42" s="74">
        <v>-3843.1049285999998</v>
      </c>
      <c r="Z42" s="74">
        <v>-98744.73803544839</v>
      </c>
      <c r="AA42" s="20">
        <v>25.694</v>
      </c>
      <c r="AC42" s="71" t="s">
        <v>27</v>
      </c>
      <c r="AD42" s="72" t="s">
        <v>34</v>
      </c>
      <c r="AE42" s="73"/>
      <c r="AF42" s="74">
        <v>-4712.0578659</v>
      </c>
      <c r="AG42" s="74">
        <v>-128629.7556233382</v>
      </c>
      <c r="AH42" s="20">
        <v>27.298</v>
      </c>
      <c r="AJ42" s="71" t="s">
        <v>29</v>
      </c>
      <c r="AK42" s="72" t="s">
        <v>34</v>
      </c>
      <c r="AL42" s="73"/>
      <c r="AM42" s="74">
        <v>-2298.0777127</v>
      </c>
      <c r="AN42" s="74">
        <v>-57592.1255579747</v>
      </c>
      <c r="AO42" s="20">
        <v>25.061</v>
      </c>
      <c r="AQ42" s="71" t="s">
        <v>29</v>
      </c>
      <c r="AR42" s="72" t="s">
        <v>34</v>
      </c>
      <c r="AS42" s="73"/>
      <c r="AT42" s="74">
        <v>2093.7955426</v>
      </c>
      <c r="AU42" s="74">
        <v>56931.35135898659</v>
      </c>
      <c r="AV42" s="20">
        <v>27.190501747028886</v>
      </c>
      <c r="AX42" s="71" t="s">
        <v>29</v>
      </c>
      <c r="AY42" s="72" t="s">
        <v>34</v>
      </c>
      <c r="AZ42" s="73"/>
      <c r="BA42" s="74">
        <v>-736</v>
      </c>
      <c r="BB42" s="74">
        <v>-19020</v>
      </c>
      <c r="BC42" s="20">
        <v>25.842391304347824</v>
      </c>
      <c r="BE42" s="71" t="s">
        <v>29</v>
      </c>
      <c r="BF42" s="72" t="s">
        <v>34</v>
      </c>
      <c r="BG42" s="73"/>
      <c r="BH42" s="74">
        <v>-1554.9335424000003</v>
      </c>
      <c r="BI42" s="74">
        <v>-40642.85196668621</v>
      </c>
      <c r="BJ42" s="20">
        <v>26.137999379674454</v>
      </c>
      <c r="BL42" s="71" t="s">
        <v>29</v>
      </c>
      <c r="BM42" s="72" t="s">
        <v>34</v>
      </c>
      <c r="BN42" s="73"/>
      <c r="BO42" s="74">
        <v>-637.7803348</v>
      </c>
      <c r="BP42" s="74">
        <v>-16741.096008165197</v>
      </c>
      <c r="BQ42" s="20">
        <v>26.248999999999995</v>
      </c>
      <c r="BT42" s="71" t="s">
        <v>29</v>
      </c>
      <c r="BU42" s="72" t="s">
        <v>34</v>
      </c>
      <c r="BV42" s="73"/>
      <c r="BW42" s="74">
        <v>1995.7355577</v>
      </c>
      <c r="BX42" s="74">
        <v>51174.6477709185</v>
      </c>
      <c r="BY42" s="20">
        <v>25.64199829655543</v>
      </c>
      <c r="CA42" s="71" t="s">
        <v>29</v>
      </c>
      <c r="CB42" s="72" t="s">
        <v>34</v>
      </c>
      <c r="CC42" s="73"/>
      <c r="CD42" s="74">
        <v>-786.712887</v>
      </c>
      <c r="CE42" s="74">
        <v>-20691.335640987</v>
      </c>
      <c r="CF42" s="20">
        <v>26.301</v>
      </c>
      <c r="CH42" s="71" t="s">
        <v>29</v>
      </c>
      <c r="CI42" s="72" t="s">
        <v>34</v>
      </c>
      <c r="CJ42" s="73"/>
      <c r="CK42" s="74">
        <v>518.1808418</v>
      </c>
      <c r="CL42" s="74">
        <v>13307.402198265801</v>
      </c>
      <c r="CM42" s="20">
        <v>25.681</v>
      </c>
      <c r="CO42" s="71" t="s">
        <v>29</v>
      </c>
      <c r="CP42" s="72" t="s">
        <v>34</v>
      </c>
      <c r="CQ42" s="73"/>
      <c r="CR42" s="74">
        <v>1888.465403</v>
      </c>
      <c r="CS42" s="74">
        <v>48445.089008583</v>
      </c>
      <c r="CT42" s="20">
        <v>25.65315145918138</v>
      </c>
    </row>
    <row r="43" spans="1:98" ht="15">
      <c r="A43" s="16" t="s">
        <v>31</v>
      </c>
      <c r="B43" s="72" t="s">
        <v>36</v>
      </c>
      <c r="C43" s="73"/>
      <c r="D43" s="74">
        <v>442</v>
      </c>
      <c r="E43" s="74">
        <v>11003</v>
      </c>
      <c r="F43" s="20">
        <v>24.89366515837104</v>
      </c>
      <c r="H43" s="16" t="s">
        <v>31</v>
      </c>
      <c r="I43" s="72" t="s">
        <v>36</v>
      </c>
      <c r="J43" s="73"/>
      <c r="K43" s="74">
        <v>2110.1786297</v>
      </c>
      <c r="L43" s="74">
        <v>55601.0967139653</v>
      </c>
      <c r="M43" s="20">
        <v>26.349</v>
      </c>
      <c r="O43" s="71" t="s">
        <v>35</v>
      </c>
      <c r="P43" s="72" t="s">
        <v>36</v>
      </c>
      <c r="Q43" s="73"/>
      <c r="R43" s="74">
        <v>3843.1049285999998</v>
      </c>
      <c r="S43" s="74">
        <v>98744.73803544839</v>
      </c>
      <c r="T43" s="20">
        <v>25.694</v>
      </c>
      <c r="V43" s="71" t="s">
        <v>35</v>
      </c>
      <c r="W43" s="72" t="s">
        <v>36</v>
      </c>
      <c r="X43" s="73"/>
      <c r="Y43" s="74">
        <v>3843.1049285999998</v>
      </c>
      <c r="Z43" s="74">
        <v>98744.73803544839</v>
      </c>
      <c r="AA43" s="20">
        <v>25.694</v>
      </c>
      <c r="AC43" s="71" t="s">
        <v>29</v>
      </c>
      <c r="AD43" s="72" t="s">
        <v>36</v>
      </c>
      <c r="AE43" s="73"/>
      <c r="AF43" s="74">
        <v>4712.0578659</v>
      </c>
      <c r="AG43" s="74">
        <v>128629.7556233382</v>
      </c>
      <c r="AH43" s="20">
        <v>27.298</v>
      </c>
      <c r="AJ43" s="71" t="s">
        <v>31</v>
      </c>
      <c r="AK43" s="72" t="s">
        <v>36</v>
      </c>
      <c r="AL43" s="73"/>
      <c r="AM43" s="74">
        <v>2298.0777127</v>
      </c>
      <c r="AN43" s="74">
        <v>57592.1255579747</v>
      </c>
      <c r="AO43" s="20">
        <v>25.061</v>
      </c>
      <c r="AQ43" s="71" t="s">
        <v>31</v>
      </c>
      <c r="AR43" s="72" t="s">
        <v>36</v>
      </c>
      <c r="AS43" s="73"/>
      <c r="AT43" s="74">
        <v>-2093.7955426</v>
      </c>
      <c r="AU43" s="74">
        <v>-56931.35135898659</v>
      </c>
      <c r="AV43" s="20">
        <v>27.190501747028886</v>
      </c>
      <c r="AX43" s="71" t="s">
        <v>31</v>
      </c>
      <c r="AY43" s="72" t="s">
        <v>36</v>
      </c>
      <c r="AZ43" s="73"/>
      <c r="BA43" s="74">
        <v>736</v>
      </c>
      <c r="BB43" s="74">
        <v>19020</v>
      </c>
      <c r="BC43" s="20">
        <v>25.842391304347824</v>
      </c>
      <c r="BE43" s="71" t="s">
        <v>31</v>
      </c>
      <c r="BF43" s="72" t="s">
        <v>36</v>
      </c>
      <c r="BG43" s="73"/>
      <c r="BH43" s="74">
        <v>1554.9335424000003</v>
      </c>
      <c r="BI43" s="74">
        <v>40642.85196668621</v>
      </c>
      <c r="BJ43" s="20">
        <v>26.137999379674454</v>
      </c>
      <c r="BL43" s="71" t="s">
        <v>31</v>
      </c>
      <c r="BM43" s="72" t="s">
        <v>36</v>
      </c>
      <c r="BN43" s="73"/>
      <c r="BO43" s="74">
        <v>637.7803348</v>
      </c>
      <c r="BP43" s="74">
        <v>16741.096008165197</v>
      </c>
      <c r="BQ43" s="20">
        <v>26.248999999999995</v>
      </c>
      <c r="BT43" s="71" t="s">
        <v>31</v>
      </c>
      <c r="BU43" s="72" t="s">
        <v>36</v>
      </c>
      <c r="BV43" s="73"/>
      <c r="BW43" s="74">
        <v>-1995.7355577</v>
      </c>
      <c r="BX43" s="74">
        <v>-51174.6477709185</v>
      </c>
      <c r="BY43" s="20">
        <v>25.64199829655543</v>
      </c>
      <c r="CA43" s="71" t="s">
        <v>31</v>
      </c>
      <c r="CB43" s="72" t="s">
        <v>36</v>
      </c>
      <c r="CC43" s="73"/>
      <c r="CD43" s="74">
        <v>786.712887</v>
      </c>
      <c r="CE43" s="74">
        <v>20691.335640987</v>
      </c>
      <c r="CF43" s="20">
        <v>26.301</v>
      </c>
      <c r="CH43" s="71" t="s">
        <v>31</v>
      </c>
      <c r="CI43" s="72" t="s">
        <v>36</v>
      </c>
      <c r="CJ43" s="73"/>
      <c r="CK43" s="74">
        <v>-518.1808418</v>
      </c>
      <c r="CL43" s="74">
        <v>-13307.402198265801</v>
      </c>
      <c r="CM43" s="20">
        <v>25.681</v>
      </c>
      <c r="CO43" s="71" t="s">
        <v>31</v>
      </c>
      <c r="CP43" s="72" t="s">
        <v>36</v>
      </c>
      <c r="CQ43" s="73"/>
      <c r="CR43" s="74">
        <v>-1888.465403</v>
      </c>
      <c r="CS43" s="74">
        <v>-48445.089008583</v>
      </c>
      <c r="CT43" s="20">
        <v>25.65315145918138</v>
      </c>
    </row>
    <row r="44" spans="1:98" ht="15">
      <c r="A44" s="71" t="s">
        <v>33</v>
      </c>
      <c r="B44" s="8" t="s">
        <v>38</v>
      </c>
      <c r="C44" s="46"/>
      <c r="D44" s="19">
        <v>0</v>
      </c>
      <c r="E44" s="19">
        <v>0</v>
      </c>
      <c r="F44" s="20">
        <v>0</v>
      </c>
      <c r="H44" s="71" t="s">
        <v>33</v>
      </c>
      <c r="I44" s="8" t="s">
        <v>38</v>
      </c>
      <c r="J44" s="46"/>
      <c r="K44" s="19">
        <v>0</v>
      </c>
      <c r="L44" s="19">
        <v>0</v>
      </c>
      <c r="M44" s="20">
        <v>0</v>
      </c>
      <c r="O44" s="16" t="s">
        <v>37</v>
      </c>
      <c r="P44" s="8" t="s">
        <v>38</v>
      </c>
      <c r="Q44" s="46"/>
      <c r="R44" s="19">
        <v>0</v>
      </c>
      <c r="S44" s="19">
        <v>0</v>
      </c>
      <c r="T44" s="20">
        <v>0</v>
      </c>
      <c r="V44" s="16" t="s">
        <v>37</v>
      </c>
      <c r="W44" s="8" t="s">
        <v>38</v>
      </c>
      <c r="X44" s="46"/>
      <c r="Y44" s="19">
        <v>0</v>
      </c>
      <c r="Z44" s="19">
        <v>0</v>
      </c>
      <c r="AA44" s="20">
        <v>0</v>
      </c>
      <c r="AC44" s="71" t="s">
        <v>31</v>
      </c>
      <c r="AD44" s="75" t="s">
        <v>38</v>
      </c>
      <c r="AE44" s="73"/>
      <c r="AF44" s="74">
        <v>0</v>
      </c>
      <c r="AG44" s="74">
        <v>0</v>
      </c>
      <c r="AH44" s="20">
        <v>0</v>
      </c>
      <c r="AJ44" s="71" t="s">
        <v>33</v>
      </c>
      <c r="AK44" s="72" t="s">
        <v>92</v>
      </c>
      <c r="AL44" s="73"/>
      <c r="AM44" s="74">
        <v>-2836.64</v>
      </c>
      <c r="AN44" s="74">
        <v>-43139.93</v>
      </c>
      <c r="AO44" s="20">
        <v>15.208108889390266</v>
      </c>
      <c r="AQ44" s="71" t="s">
        <v>33</v>
      </c>
      <c r="AR44" s="75" t="s">
        <v>38</v>
      </c>
      <c r="AS44" s="73"/>
      <c r="AT44" s="74">
        <v>0</v>
      </c>
      <c r="AU44" s="74">
        <v>0</v>
      </c>
      <c r="AV44" s="20">
        <v>0</v>
      </c>
      <c r="AX44" s="71" t="s">
        <v>33</v>
      </c>
      <c r="AY44" s="75" t="s">
        <v>38</v>
      </c>
      <c r="AZ44" s="73"/>
      <c r="BA44" s="74">
        <v>0</v>
      </c>
      <c r="BB44" s="74">
        <v>0</v>
      </c>
      <c r="BC44" s="20">
        <v>0</v>
      </c>
      <c r="BE44" s="71" t="s">
        <v>33</v>
      </c>
      <c r="BF44" s="75" t="s">
        <v>38</v>
      </c>
      <c r="BG44" s="73"/>
      <c r="BH44" s="74">
        <v>0</v>
      </c>
      <c r="BI44" s="74">
        <v>0</v>
      </c>
      <c r="BJ44" s="20">
        <v>0</v>
      </c>
      <c r="BL44" s="71" t="s">
        <v>33</v>
      </c>
      <c r="BM44" s="75" t="s">
        <v>38</v>
      </c>
      <c r="BN44" s="73"/>
      <c r="BO44" s="74">
        <v>0</v>
      </c>
      <c r="BP44" s="74">
        <v>0</v>
      </c>
      <c r="BQ44" s="20">
        <v>0</v>
      </c>
      <c r="BT44" s="71" t="s">
        <v>33</v>
      </c>
      <c r="BU44" s="75" t="s">
        <v>38</v>
      </c>
      <c r="BV44" s="73"/>
      <c r="BW44" s="74">
        <v>0</v>
      </c>
      <c r="BX44" s="74">
        <v>0</v>
      </c>
      <c r="BY44" s="20">
        <v>0</v>
      </c>
      <c r="CA44" s="71" t="s">
        <v>33</v>
      </c>
      <c r="CB44" s="75" t="s">
        <v>38</v>
      </c>
      <c r="CC44" s="73"/>
      <c r="CD44" s="74">
        <v>0</v>
      </c>
      <c r="CE44" s="74">
        <v>0</v>
      </c>
      <c r="CF44" s="20">
        <v>0</v>
      </c>
      <c r="CH44" s="71" t="s">
        <v>33</v>
      </c>
      <c r="CI44" s="75" t="s">
        <v>38</v>
      </c>
      <c r="CJ44" s="73"/>
      <c r="CK44" s="74">
        <v>0</v>
      </c>
      <c r="CL44" s="74">
        <v>0</v>
      </c>
      <c r="CM44" s="20">
        <v>0</v>
      </c>
      <c r="CO44" s="71" t="s">
        <v>33</v>
      </c>
      <c r="CP44" s="75" t="s">
        <v>38</v>
      </c>
      <c r="CQ44" s="73"/>
      <c r="CR44" s="74">
        <v>0</v>
      </c>
      <c r="CS44" s="74">
        <v>0</v>
      </c>
      <c r="CT44" s="20">
        <v>0</v>
      </c>
    </row>
    <row r="45" spans="1:98" ht="15">
      <c r="A45" s="71" t="s">
        <v>35</v>
      </c>
      <c r="B45" s="8" t="s">
        <v>40</v>
      </c>
      <c r="C45" s="55" t="s">
        <v>87</v>
      </c>
      <c r="D45" s="19">
        <v>600234.692</v>
      </c>
      <c r="E45" s="26">
        <v>11431174.520509182</v>
      </c>
      <c r="F45" s="65">
        <v>19.044508211313417</v>
      </c>
      <c r="H45" s="71" t="s">
        <v>35</v>
      </c>
      <c r="I45" s="8" t="s">
        <v>40</v>
      </c>
      <c r="J45" s="55" t="s">
        <v>87</v>
      </c>
      <c r="K45" s="19">
        <v>640553.6529999999</v>
      </c>
      <c r="L45" s="26">
        <v>17312980.42431788</v>
      </c>
      <c r="M45" s="65">
        <v>27.02815032469713</v>
      </c>
      <c r="O45" s="16" t="s">
        <v>39</v>
      </c>
      <c r="P45" s="8" t="s">
        <v>40</v>
      </c>
      <c r="Q45" s="55" t="s">
        <v>87</v>
      </c>
      <c r="R45" s="19">
        <v>699477.97</v>
      </c>
      <c r="S45" s="26">
        <v>19777331.428999998</v>
      </c>
      <c r="T45" s="65">
        <v>28.27441646089297</v>
      </c>
      <c r="V45" s="16" t="s">
        <v>39</v>
      </c>
      <c r="W45" s="8" t="s">
        <v>40</v>
      </c>
      <c r="X45" s="55" t="s">
        <v>87</v>
      </c>
      <c r="Y45" s="19">
        <v>610207</v>
      </c>
      <c r="Z45" s="26">
        <v>18346276.922</v>
      </c>
      <c r="AA45" s="65">
        <v>30.065661196938084</v>
      </c>
      <c r="AC45" s="71" t="s">
        <v>33</v>
      </c>
      <c r="AD45" s="75" t="s">
        <v>40</v>
      </c>
      <c r="AE45" s="76" t="s">
        <v>87</v>
      </c>
      <c r="AF45" s="74">
        <v>645230.2649999999</v>
      </c>
      <c r="AG45" s="77">
        <v>19648473.640000004</v>
      </c>
      <c r="AH45" s="65">
        <v>30.451878508829722</v>
      </c>
      <c r="AJ45" s="71" t="s">
        <v>35</v>
      </c>
      <c r="AK45" s="75" t="s">
        <v>38</v>
      </c>
      <c r="AL45" s="73"/>
      <c r="AM45" s="74">
        <v>0</v>
      </c>
      <c r="AN45" s="74">
        <v>0</v>
      </c>
      <c r="AO45" s="20">
        <v>0</v>
      </c>
      <c r="AQ45" s="71" t="s">
        <v>35</v>
      </c>
      <c r="AR45" s="75" t="s">
        <v>40</v>
      </c>
      <c r="AS45" s="76" t="s">
        <v>87</v>
      </c>
      <c r="AT45" s="74">
        <v>508277.79400000005</v>
      </c>
      <c r="AU45" s="77">
        <v>13227670.289499998</v>
      </c>
      <c r="AV45" s="65">
        <v>26.0244898471799</v>
      </c>
      <c r="AX45" s="71" t="s">
        <v>35</v>
      </c>
      <c r="AY45" s="75" t="s">
        <v>40</v>
      </c>
      <c r="AZ45" s="76" t="s">
        <v>87</v>
      </c>
      <c r="BA45" s="74">
        <v>539080.929</v>
      </c>
      <c r="BB45" s="77">
        <v>14550813.913500002</v>
      </c>
      <c r="BC45" s="65">
        <v>26.991891441034454</v>
      </c>
      <c r="BE45" s="71" t="s">
        <v>35</v>
      </c>
      <c r="BF45" s="75" t="s">
        <v>40</v>
      </c>
      <c r="BG45" s="76" t="s">
        <v>87</v>
      </c>
      <c r="BH45" s="74">
        <v>567219.54</v>
      </c>
      <c r="BI45" s="77">
        <v>14933904.121499997</v>
      </c>
      <c r="BJ45" s="65">
        <v>26.32826104950474</v>
      </c>
      <c r="BL45" s="71" t="s">
        <v>35</v>
      </c>
      <c r="BM45" s="75" t="s">
        <v>40</v>
      </c>
      <c r="BN45" s="76" t="s">
        <v>87</v>
      </c>
      <c r="BO45" s="74">
        <v>558721.4940000001</v>
      </c>
      <c r="BP45" s="77">
        <v>15167650.638999999</v>
      </c>
      <c r="BQ45" s="65">
        <v>27.14706844444398</v>
      </c>
      <c r="BT45" s="71" t="s">
        <v>35</v>
      </c>
      <c r="BU45" s="75" t="s">
        <v>40</v>
      </c>
      <c r="BV45" s="76" t="s">
        <v>87</v>
      </c>
      <c r="BW45" s="74">
        <v>489772.331</v>
      </c>
      <c r="BX45" s="77">
        <v>12072963.453000003</v>
      </c>
      <c r="BY45" s="65">
        <v>24.650154140700128</v>
      </c>
      <c r="CA45" s="71" t="s">
        <v>35</v>
      </c>
      <c r="CB45" s="75" t="s">
        <v>40</v>
      </c>
      <c r="CC45" s="76" t="s">
        <v>87</v>
      </c>
      <c r="CD45" s="74">
        <v>506202.32399999996</v>
      </c>
      <c r="CE45" s="77">
        <v>12847896.127999999</v>
      </c>
      <c r="CF45" s="65">
        <v>25.380950499152586</v>
      </c>
      <c r="CH45" s="71" t="s">
        <v>35</v>
      </c>
      <c r="CI45" s="75" t="s">
        <v>40</v>
      </c>
      <c r="CJ45" s="76" t="s">
        <v>87</v>
      </c>
      <c r="CK45" s="74">
        <v>595812.8500000001</v>
      </c>
      <c r="CL45" s="77">
        <v>15717496.522</v>
      </c>
      <c r="CM45" s="65">
        <v>26.37992202081576</v>
      </c>
      <c r="CO45" s="71" t="s">
        <v>35</v>
      </c>
      <c r="CP45" s="75" t="s">
        <v>40</v>
      </c>
      <c r="CQ45" s="76" t="s">
        <v>87</v>
      </c>
      <c r="CR45" s="74">
        <v>659707.017</v>
      </c>
      <c r="CS45" s="77">
        <v>14540946.146499991</v>
      </c>
      <c r="CT45" s="65">
        <v>22.041521117396258</v>
      </c>
    </row>
    <row r="46" spans="1:98" ht="15">
      <c r="A46" s="16" t="s">
        <v>37</v>
      </c>
      <c r="B46" s="37" t="s">
        <v>4</v>
      </c>
      <c r="C46" s="37"/>
      <c r="D46" s="37"/>
      <c r="E46" s="37"/>
      <c r="F46" s="37"/>
      <c r="H46" s="16" t="s">
        <v>37</v>
      </c>
      <c r="I46" s="37" t="s">
        <v>4</v>
      </c>
      <c r="J46" s="37"/>
      <c r="K46" s="37"/>
      <c r="L46" s="37"/>
      <c r="M46" s="37"/>
      <c r="O46" s="36" t="s">
        <v>4</v>
      </c>
      <c r="P46" s="37" t="s">
        <v>4</v>
      </c>
      <c r="Q46" s="37"/>
      <c r="R46" s="37"/>
      <c r="S46" s="37"/>
      <c r="T46" s="37"/>
      <c r="V46" s="36" t="s">
        <v>4</v>
      </c>
      <c r="W46" s="37" t="s">
        <v>4</v>
      </c>
      <c r="X46" s="37"/>
      <c r="Y46" s="37"/>
      <c r="Z46" s="37"/>
      <c r="AA46" s="37"/>
      <c r="AC46" s="71" t="s">
        <v>35</v>
      </c>
      <c r="AD46" s="78" t="s">
        <v>4</v>
      </c>
      <c r="AE46" s="78"/>
      <c r="AF46" s="78"/>
      <c r="AG46" s="78"/>
      <c r="AH46" s="37"/>
      <c r="AJ46" s="71" t="s">
        <v>37</v>
      </c>
      <c r="AK46" s="75" t="s">
        <v>40</v>
      </c>
      <c r="AL46" s="76" t="s">
        <v>87</v>
      </c>
      <c r="AM46" s="74">
        <v>507763.276</v>
      </c>
      <c r="AN46" s="77">
        <v>15730854.286000002</v>
      </c>
      <c r="AO46" s="65">
        <v>30.98068534991885</v>
      </c>
      <c r="AQ46" s="16" t="s">
        <v>37</v>
      </c>
      <c r="AR46" s="37" t="s">
        <v>4</v>
      </c>
      <c r="AS46" s="37"/>
      <c r="AT46" s="37"/>
      <c r="AU46" s="37"/>
      <c r="AV46" s="37"/>
      <c r="AX46" s="71" t="s">
        <v>37</v>
      </c>
      <c r="AY46" s="78" t="s">
        <v>4</v>
      </c>
      <c r="AZ46" s="78"/>
      <c r="BA46" s="78"/>
      <c r="BB46" s="78"/>
      <c r="BC46" s="37"/>
      <c r="BE46" s="71" t="s">
        <v>37</v>
      </c>
      <c r="BF46" s="78" t="s">
        <v>4</v>
      </c>
      <c r="BG46" s="78"/>
      <c r="BH46" s="78"/>
      <c r="BI46" s="78"/>
      <c r="BJ46" s="37"/>
      <c r="BL46" s="71" t="s">
        <v>37</v>
      </c>
      <c r="BM46" s="78" t="s">
        <v>4</v>
      </c>
      <c r="BN46" s="78"/>
      <c r="BO46" s="78"/>
      <c r="BP46" s="78"/>
      <c r="BQ46" s="37"/>
      <c r="BT46" s="16" t="s">
        <v>37</v>
      </c>
      <c r="BU46" s="37" t="s">
        <v>4</v>
      </c>
      <c r="BV46" s="37"/>
      <c r="BW46" s="37"/>
      <c r="BX46" s="37"/>
      <c r="BY46" s="37"/>
      <c r="CA46" s="71" t="s">
        <v>37</v>
      </c>
      <c r="CB46" s="78" t="s">
        <v>4</v>
      </c>
      <c r="CC46" s="78"/>
      <c r="CD46" s="78"/>
      <c r="CE46" s="78"/>
      <c r="CF46" s="37"/>
      <c r="CH46" s="71" t="s">
        <v>37</v>
      </c>
      <c r="CI46" s="78" t="s">
        <v>4</v>
      </c>
      <c r="CJ46" s="78"/>
      <c r="CK46" s="78"/>
      <c r="CL46" s="78"/>
      <c r="CM46" s="37"/>
      <c r="CO46" s="71" t="s">
        <v>37</v>
      </c>
      <c r="CP46" s="78" t="s">
        <v>4</v>
      </c>
      <c r="CQ46" s="78"/>
      <c r="CR46" s="78"/>
      <c r="CS46" s="78"/>
      <c r="CT46" s="37"/>
    </row>
    <row r="47" spans="1:98" ht="15">
      <c r="A47" s="16" t="s">
        <v>39</v>
      </c>
      <c r="B47" s="38" t="s">
        <v>4</v>
      </c>
      <c r="C47"/>
      <c r="D47"/>
      <c r="E47"/>
      <c r="F47"/>
      <c r="H47" s="16" t="s">
        <v>39</v>
      </c>
      <c r="I47" s="38" t="s">
        <v>4</v>
      </c>
      <c r="J47"/>
      <c r="K47"/>
      <c r="L47"/>
      <c r="M47"/>
      <c r="O47"/>
      <c r="P47" s="38" t="s">
        <v>4</v>
      </c>
      <c r="Q47"/>
      <c r="R47"/>
      <c r="S47"/>
      <c r="T47"/>
      <c r="V47"/>
      <c r="W47" s="38" t="s">
        <v>4</v>
      </c>
      <c r="X47"/>
      <c r="Y47"/>
      <c r="Z47"/>
      <c r="AA47"/>
      <c r="AC47" s="71" t="s">
        <v>37</v>
      </c>
      <c r="AD47" s="79" t="s">
        <v>4</v>
      </c>
      <c r="AE47" s="80"/>
      <c r="AF47" s="80"/>
      <c r="AG47" s="80"/>
      <c r="AH47"/>
      <c r="AJ47" s="71" t="s">
        <v>39</v>
      </c>
      <c r="AK47" s="78" t="s">
        <v>4</v>
      </c>
      <c r="AL47" s="78"/>
      <c r="AM47" s="78"/>
      <c r="AN47" s="78"/>
      <c r="AO47" s="37"/>
      <c r="AQ47" s="16" t="s">
        <v>39</v>
      </c>
      <c r="AR47" s="38" t="s">
        <v>4</v>
      </c>
      <c r="AX47" s="16" t="s">
        <v>39</v>
      </c>
      <c r="AY47" s="38" t="s">
        <v>4</v>
      </c>
      <c r="AZ47"/>
      <c r="BA47"/>
      <c r="BB47"/>
      <c r="BC47"/>
      <c r="BE47" s="16" t="s">
        <v>39</v>
      </c>
      <c r="BF47" s="38" t="s">
        <v>4</v>
      </c>
      <c r="BG47"/>
      <c r="BH47"/>
      <c r="BI47"/>
      <c r="BJ47"/>
      <c r="BL47" s="16" t="s">
        <v>39</v>
      </c>
      <c r="BM47" s="38" t="s">
        <v>4</v>
      </c>
      <c r="BN47"/>
      <c r="BO47"/>
      <c r="BP47"/>
      <c r="BQ47"/>
      <c r="BT47" s="16" t="s">
        <v>39</v>
      </c>
      <c r="BU47" s="38" t="s">
        <v>4</v>
      </c>
      <c r="BV47"/>
      <c r="BW47"/>
      <c r="BX47"/>
      <c r="BY47"/>
      <c r="CA47" s="16" t="s">
        <v>39</v>
      </c>
      <c r="CB47" s="38" t="s">
        <v>4</v>
      </c>
      <c r="CC47"/>
      <c r="CD47"/>
      <c r="CE47"/>
      <c r="CF47"/>
      <c r="CH47" s="16" t="s">
        <v>39</v>
      </c>
      <c r="CI47" s="38" t="s">
        <v>4</v>
      </c>
      <c r="CJ47"/>
      <c r="CK47"/>
      <c r="CL47"/>
      <c r="CM47"/>
      <c r="CO47" s="16" t="s">
        <v>39</v>
      </c>
      <c r="CP47" s="38" t="s">
        <v>4</v>
      </c>
      <c r="CQ47"/>
      <c r="CR47"/>
      <c r="CS47"/>
      <c r="CT47"/>
    </row>
    <row r="48" spans="1:98" ht="15.75">
      <c r="A48" s="36" t="s">
        <v>4</v>
      </c>
      <c r="B48" s="3"/>
      <c r="C48" s="46"/>
      <c r="D48" s="19"/>
      <c r="E48" s="19"/>
      <c r="F48" s="39"/>
      <c r="H48" s="36" t="s">
        <v>4</v>
      </c>
      <c r="I48" s="3"/>
      <c r="J48" s="46"/>
      <c r="K48" s="19"/>
      <c r="L48" s="19"/>
      <c r="M48" s="39"/>
      <c r="P48" s="3"/>
      <c r="Q48" s="46"/>
      <c r="R48" s="19"/>
      <c r="S48" s="19"/>
      <c r="T48" s="39"/>
      <c r="W48" s="3"/>
      <c r="X48" s="46"/>
      <c r="Y48" s="19"/>
      <c r="Z48" s="19"/>
      <c r="AA48" s="39"/>
      <c r="AC48" s="16" t="s">
        <v>39</v>
      </c>
      <c r="AD48" s="3"/>
      <c r="AE48" s="46"/>
      <c r="AF48" s="19"/>
      <c r="AG48" s="19"/>
      <c r="AH48" s="39"/>
      <c r="AJ48" s="16" t="s">
        <v>93</v>
      </c>
      <c r="AK48" s="38" t="s">
        <v>4</v>
      </c>
      <c r="AL48"/>
      <c r="AM48"/>
      <c r="AN48"/>
      <c r="AO48"/>
      <c r="AX48" s="36" t="s">
        <v>4</v>
      </c>
      <c r="AY48" s="3"/>
      <c r="AZ48" s="46"/>
      <c r="BA48" s="19"/>
      <c r="BB48" s="19"/>
      <c r="BC48" s="39"/>
      <c r="BE48" s="36" t="s">
        <v>4</v>
      </c>
      <c r="BF48" s="3"/>
      <c r="BG48" s="46"/>
      <c r="BH48" s="19"/>
      <c r="BI48" s="19"/>
      <c r="BJ48" s="39"/>
      <c r="BL48" s="36" t="s">
        <v>4</v>
      </c>
      <c r="BM48" s="3"/>
      <c r="BN48" s="46"/>
      <c r="BO48" s="19"/>
      <c r="BP48" s="19"/>
      <c r="BQ48" s="39"/>
      <c r="BT48" s="36" t="s">
        <v>4</v>
      </c>
      <c r="BU48" s="3"/>
      <c r="BV48" s="46"/>
      <c r="BW48" s="19"/>
      <c r="BX48" s="19"/>
      <c r="BY48" s="39"/>
      <c r="CA48" s="36" t="s">
        <v>4</v>
      </c>
      <c r="CB48" s="3"/>
      <c r="CC48" s="46"/>
      <c r="CD48" s="19"/>
      <c r="CE48" s="19"/>
      <c r="CF48" s="39"/>
      <c r="CH48" s="36" t="s">
        <v>4</v>
      </c>
      <c r="CI48" s="3"/>
      <c r="CJ48" s="46"/>
      <c r="CK48" s="19"/>
      <c r="CL48" s="19"/>
      <c r="CM48" s="39"/>
      <c r="CO48" s="36" t="s">
        <v>4</v>
      </c>
      <c r="CP48" s="3"/>
      <c r="CQ48" s="46"/>
      <c r="CR48" s="19"/>
      <c r="CS48" s="19"/>
      <c r="CT48" s="39"/>
    </row>
    <row r="49" spans="1:93" ht="15.75">
      <c r="A49"/>
      <c r="H49"/>
      <c r="AC49" s="36" t="s">
        <v>4</v>
      </c>
      <c r="AJ49" s="36" t="s">
        <v>4</v>
      </c>
      <c r="AK49" s="3"/>
      <c r="AL49" s="46"/>
      <c r="AM49" s="19"/>
      <c r="AN49" s="19"/>
      <c r="AO49" s="39"/>
      <c r="AX49"/>
      <c r="BE49"/>
      <c r="BL49"/>
      <c r="BT49"/>
      <c r="CA49"/>
      <c r="CH49"/>
      <c r="CO49"/>
    </row>
    <row r="50" spans="29:84" ht="15.75">
      <c r="AC50"/>
      <c r="AJ50"/>
      <c r="CA50"/>
      <c r="CB50"/>
      <c r="CC50"/>
      <c r="CD50"/>
      <c r="CE50"/>
      <c r="CF50"/>
    </row>
    <row r="51" spans="16:84" ht="15.75">
      <c r="P51"/>
      <c r="Q51"/>
      <c r="R51"/>
      <c r="S51"/>
      <c r="T51"/>
      <c r="CA51"/>
      <c r="CB51"/>
      <c r="CC51"/>
      <c r="CD51"/>
      <c r="CE51"/>
      <c r="CF51"/>
    </row>
    <row r="52" spans="16:84" ht="15.75">
      <c r="P52"/>
      <c r="Q52"/>
      <c r="R52"/>
      <c r="S52"/>
      <c r="T52"/>
      <c r="AD52"/>
      <c r="AE52"/>
      <c r="AF52"/>
      <c r="AG52"/>
      <c r="AH52"/>
      <c r="BF52"/>
      <c r="BG52"/>
      <c r="BH52"/>
      <c r="BI52"/>
      <c r="BJ52"/>
      <c r="BM52"/>
      <c r="BN52"/>
      <c r="BO52"/>
      <c r="BP52"/>
      <c r="BQ52"/>
      <c r="BU52"/>
      <c r="BV52"/>
      <c r="BW52"/>
      <c r="BX52"/>
      <c r="BY52"/>
      <c r="CA52"/>
      <c r="CB52"/>
      <c r="CC52"/>
      <c r="CD52"/>
      <c r="CE52"/>
      <c r="CF52"/>
    </row>
    <row r="53" spans="16:84" ht="15.75">
      <c r="P53"/>
      <c r="Q53"/>
      <c r="R53"/>
      <c r="S53"/>
      <c r="T53"/>
      <c r="AD53"/>
      <c r="AE53"/>
      <c r="AF53"/>
      <c r="AG53"/>
      <c r="AH53"/>
      <c r="AJ53"/>
      <c r="AK53"/>
      <c r="AL53"/>
      <c r="AM53"/>
      <c r="AN53"/>
      <c r="AO53"/>
      <c r="BF53"/>
      <c r="BG53"/>
      <c r="BH53"/>
      <c r="BI53"/>
      <c r="BJ53"/>
      <c r="BM53"/>
      <c r="BN53"/>
      <c r="BO53"/>
      <c r="BP53"/>
      <c r="BQ53"/>
      <c r="BU53"/>
      <c r="BV53"/>
      <c r="BW53"/>
      <c r="BX53"/>
      <c r="BY53"/>
      <c r="CA53"/>
      <c r="CB53"/>
      <c r="CC53"/>
      <c r="CD53"/>
      <c r="CE53"/>
      <c r="CF53"/>
    </row>
    <row r="54" spans="2:98" ht="15.75">
      <c r="B54" s="8" t="s">
        <v>95</v>
      </c>
      <c r="C54" s="46"/>
      <c r="D54" s="19"/>
      <c r="E54" s="19"/>
      <c r="F54" s="39"/>
      <c r="I54" s="8" t="s">
        <v>95</v>
      </c>
      <c r="J54" s="46"/>
      <c r="K54" s="19"/>
      <c r="L54" s="19"/>
      <c r="M54" s="39"/>
      <c r="P54"/>
      <c r="Q54"/>
      <c r="R54"/>
      <c r="S54"/>
      <c r="T54"/>
      <c r="W54"/>
      <c r="X54"/>
      <c r="Y54"/>
      <c r="Z54"/>
      <c r="AA54"/>
      <c r="AD54"/>
      <c r="AE54"/>
      <c r="AF54"/>
      <c r="AG54"/>
      <c r="AH54"/>
      <c r="AJ54"/>
      <c r="AK54"/>
      <c r="AL54"/>
      <c r="AM54"/>
      <c r="AN54"/>
      <c r="AO54"/>
      <c r="AY54"/>
      <c r="AZ54"/>
      <c r="BA54"/>
      <c r="BB54"/>
      <c r="BC54"/>
      <c r="BF54"/>
      <c r="BG54"/>
      <c r="BH54"/>
      <c r="BI54"/>
      <c r="BJ54"/>
      <c r="BM54"/>
      <c r="BN54"/>
      <c r="BO54"/>
      <c r="BP54"/>
      <c r="BQ54"/>
      <c r="BU54"/>
      <c r="BV54"/>
      <c r="BW54"/>
      <c r="BX54"/>
      <c r="BY54"/>
      <c r="CA54"/>
      <c r="CB54"/>
      <c r="CC54"/>
      <c r="CD54"/>
      <c r="CE54"/>
      <c r="CF54"/>
      <c r="CI54" s="8"/>
      <c r="CJ54" s="46"/>
      <c r="CK54" s="19"/>
      <c r="CL54" s="19"/>
      <c r="CM54" s="39"/>
      <c r="CP54" s="8"/>
      <c r="CQ54" s="46"/>
      <c r="CR54" s="19"/>
      <c r="CS54" s="19"/>
      <c r="CT54" s="39"/>
    </row>
    <row r="55" spans="2:98" ht="15.75">
      <c r="B55" s="8"/>
      <c r="C55" s="46"/>
      <c r="F55" s="69"/>
      <c r="I55" s="8"/>
      <c r="J55" s="46"/>
      <c r="M55" s="69"/>
      <c r="P55"/>
      <c r="Q55"/>
      <c r="R55"/>
      <c r="S55"/>
      <c r="T55"/>
      <c r="W55"/>
      <c r="X55"/>
      <c r="Y55"/>
      <c r="Z55"/>
      <c r="AA55"/>
      <c r="AD55"/>
      <c r="AE55"/>
      <c r="AF55"/>
      <c r="AG55"/>
      <c r="AH55"/>
      <c r="AJ55"/>
      <c r="AK55"/>
      <c r="AL55"/>
      <c r="AM55"/>
      <c r="AN55"/>
      <c r="AO55"/>
      <c r="AY55"/>
      <c r="AZ55"/>
      <c r="BA55"/>
      <c r="BB55"/>
      <c r="BC55"/>
      <c r="BF55"/>
      <c r="BG55"/>
      <c r="BH55"/>
      <c r="BI55"/>
      <c r="BJ55"/>
      <c r="BM55"/>
      <c r="BN55"/>
      <c r="BO55"/>
      <c r="BP55"/>
      <c r="BQ55"/>
      <c r="BU55"/>
      <c r="BV55"/>
      <c r="BW55"/>
      <c r="BX55"/>
      <c r="BY55"/>
      <c r="CA55"/>
      <c r="CB55"/>
      <c r="CC55"/>
      <c r="CD55"/>
      <c r="CE55"/>
      <c r="CF55"/>
      <c r="CI55" s="8"/>
      <c r="CJ55" s="46"/>
      <c r="CL55"/>
      <c r="CM55"/>
      <c r="CP55" s="8"/>
      <c r="CQ55" s="46"/>
      <c r="CS55"/>
      <c r="CT55"/>
    </row>
    <row r="56" spans="2:98" ht="15.75">
      <c r="B56" s="8" t="s">
        <v>96</v>
      </c>
      <c r="C56" s="46"/>
      <c r="I56" s="8" t="s">
        <v>96</v>
      </c>
      <c r="J56" s="46"/>
      <c r="P56"/>
      <c r="Q56"/>
      <c r="R56"/>
      <c r="S56"/>
      <c r="T56"/>
      <c r="W56"/>
      <c r="X56"/>
      <c r="Y56"/>
      <c r="Z56"/>
      <c r="AA56"/>
      <c r="AD56"/>
      <c r="AE56"/>
      <c r="AF56"/>
      <c r="AG56"/>
      <c r="AH56"/>
      <c r="AJ56"/>
      <c r="AK56"/>
      <c r="AL56"/>
      <c r="AM56"/>
      <c r="AN56"/>
      <c r="AO56"/>
      <c r="AY56"/>
      <c r="AZ56"/>
      <c r="BA56"/>
      <c r="BB56"/>
      <c r="BC56"/>
      <c r="BF56"/>
      <c r="BG56"/>
      <c r="BH56"/>
      <c r="BI56"/>
      <c r="BJ56"/>
      <c r="BM56"/>
      <c r="BN56"/>
      <c r="BO56"/>
      <c r="BP56"/>
      <c r="BQ56"/>
      <c r="BU56"/>
      <c r="BV56"/>
      <c r="BW56"/>
      <c r="BX56"/>
      <c r="BY56"/>
      <c r="CA56"/>
      <c r="CB56"/>
      <c r="CC56"/>
      <c r="CD56"/>
      <c r="CE56"/>
      <c r="CF56"/>
      <c r="CI56" s="8"/>
      <c r="CJ56" s="46"/>
      <c r="CL56"/>
      <c r="CM56"/>
      <c r="CP56" s="8"/>
      <c r="CQ56" s="46"/>
      <c r="CS56"/>
      <c r="CT56"/>
    </row>
    <row r="57" spans="3:98" ht="15.75">
      <c r="C57" s="68" t="s">
        <v>97</v>
      </c>
      <c r="D57" s="19">
        <v>252727</v>
      </c>
      <c r="E57" s="70">
        <v>4256776.948509182</v>
      </c>
      <c r="F57" s="20">
        <v>16.84338020278475</v>
      </c>
      <c r="J57" s="68" t="s">
        <v>97</v>
      </c>
      <c r="K57" s="19">
        <v>418720</v>
      </c>
      <c r="L57" s="70">
        <v>12221414.514317883</v>
      </c>
      <c r="M57" s="20">
        <v>29.187558545848976</v>
      </c>
      <c r="P57"/>
      <c r="Q57"/>
      <c r="R57"/>
      <c r="S57"/>
      <c r="T57"/>
      <c r="W57"/>
      <c r="X57"/>
      <c r="Y57"/>
      <c r="Z57"/>
      <c r="AA57"/>
      <c r="AD57"/>
      <c r="AE57"/>
      <c r="AF57"/>
      <c r="AG57"/>
      <c r="AH57"/>
      <c r="AJ57"/>
      <c r="AK57"/>
      <c r="AL57"/>
      <c r="AM57"/>
      <c r="AN57"/>
      <c r="AO57"/>
      <c r="AY57"/>
      <c r="AZ57"/>
      <c r="BA57"/>
      <c r="BB57"/>
      <c r="BC57"/>
      <c r="BF57"/>
      <c r="BG57"/>
      <c r="BH57"/>
      <c r="BI57"/>
      <c r="BJ57"/>
      <c r="BM57"/>
      <c r="BN57"/>
      <c r="BO57"/>
      <c r="BP57"/>
      <c r="BQ57"/>
      <c r="BU57"/>
      <c r="BV57"/>
      <c r="BW57"/>
      <c r="BX57"/>
      <c r="BY57"/>
      <c r="CA57"/>
      <c r="CB57"/>
      <c r="CC57"/>
      <c r="CD57"/>
      <c r="CE57"/>
      <c r="CF57"/>
      <c r="CJ57" s="68"/>
      <c r="CK57" s="19"/>
      <c r="CL57"/>
      <c r="CM57"/>
      <c r="CQ57" s="68"/>
      <c r="CR57" s="19"/>
      <c r="CS57"/>
      <c r="CT57"/>
    </row>
    <row r="58" spans="2:98" ht="15.75">
      <c r="B58" s="6" t="s">
        <v>4</v>
      </c>
      <c r="I58" s="6" t="s">
        <v>4</v>
      </c>
      <c r="P58"/>
      <c r="Q58"/>
      <c r="R58"/>
      <c r="S58"/>
      <c r="T58"/>
      <c r="W58"/>
      <c r="X58"/>
      <c r="Y58"/>
      <c r="Z58"/>
      <c r="AA58"/>
      <c r="AD58"/>
      <c r="AE58"/>
      <c r="AF58"/>
      <c r="AG58"/>
      <c r="AH58"/>
      <c r="AJ58"/>
      <c r="AK58"/>
      <c r="AL58"/>
      <c r="AM58"/>
      <c r="AN58"/>
      <c r="AO58"/>
      <c r="AY58"/>
      <c r="AZ58"/>
      <c r="BA58"/>
      <c r="BB58"/>
      <c r="BC58"/>
      <c r="BF58"/>
      <c r="BG58"/>
      <c r="BH58"/>
      <c r="BI58"/>
      <c r="BJ58"/>
      <c r="BM58"/>
      <c r="BN58"/>
      <c r="BO58"/>
      <c r="BP58"/>
      <c r="BQ58"/>
      <c r="BU58"/>
      <c r="BV58"/>
      <c r="BW58"/>
      <c r="BX58"/>
      <c r="BY58"/>
      <c r="CA58"/>
      <c r="CB58"/>
      <c r="CC58"/>
      <c r="CD58"/>
      <c r="CE58"/>
      <c r="CF58"/>
      <c r="CL58"/>
      <c r="CM58"/>
      <c r="CS58"/>
      <c r="CT58"/>
    </row>
    <row r="59" spans="2:98" ht="15.75">
      <c r="B59" s="6" t="s">
        <v>4</v>
      </c>
      <c r="I59" s="6" t="s">
        <v>4</v>
      </c>
      <c r="P59" s="6" t="s">
        <v>4</v>
      </c>
      <c r="W59"/>
      <c r="X59"/>
      <c r="Y59"/>
      <c r="Z59"/>
      <c r="AA59"/>
      <c r="AD59" s="6" t="s">
        <v>4</v>
      </c>
      <c r="AJ59"/>
      <c r="AK59"/>
      <c r="AL59"/>
      <c r="AM59"/>
      <c r="AN59"/>
      <c r="AO59"/>
      <c r="AY59" s="6" t="s">
        <v>4</v>
      </c>
      <c r="BF59"/>
      <c r="BG59"/>
      <c r="BH59"/>
      <c r="BI59"/>
      <c r="BJ59"/>
      <c r="BM59" s="6" t="s">
        <v>4</v>
      </c>
      <c r="BU59"/>
      <c r="BV59"/>
      <c r="BW59"/>
      <c r="BX59"/>
      <c r="BY59"/>
      <c r="CB59" s="6" t="s">
        <v>4</v>
      </c>
      <c r="CI59" s="6" t="s">
        <v>4</v>
      </c>
      <c r="CL59"/>
      <c r="CM59"/>
      <c r="CS59"/>
      <c r="CT59"/>
    </row>
    <row r="60" spans="2:98" ht="15.75">
      <c r="B60" s="6" t="s">
        <v>4</v>
      </c>
      <c r="I60" s="6" t="s">
        <v>4</v>
      </c>
      <c r="P60" s="6" t="s">
        <v>4</v>
      </c>
      <c r="W60"/>
      <c r="X60"/>
      <c r="Y60"/>
      <c r="Z60"/>
      <c r="AA60"/>
      <c r="AD60" s="6" t="s">
        <v>4</v>
      </c>
      <c r="AJ60"/>
      <c r="AK60"/>
      <c r="AL60"/>
      <c r="AM60"/>
      <c r="AN60"/>
      <c r="AO60"/>
      <c r="AY60" s="6" t="s">
        <v>4</v>
      </c>
      <c r="BF60"/>
      <c r="BG60"/>
      <c r="BH60"/>
      <c r="BI60"/>
      <c r="BJ60"/>
      <c r="BM60" s="6" t="s">
        <v>4</v>
      </c>
      <c r="BU60"/>
      <c r="BV60"/>
      <c r="BW60"/>
      <c r="BX60"/>
      <c r="BY60"/>
      <c r="CB60" s="6" t="s">
        <v>4</v>
      </c>
      <c r="CI60" s="6" t="s">
        <v>4</v>
      </c>
      <c r="CS60"/>
      <c r="CT60"/>
    </row>
    <row r="61" spans="37:77" ht="15.75">
      <c r="AK61" s="6" t="s">
        <v>4</v>
      </c>
      <c r="BF61"/>
      <c r="BG61"/>
      <c r="BH61"/>
      <c r="BI61"/>
      <c r="BJ61"/>
      <c r="BU61"/>
      <c r="BV61"/>
      <c r="BW61"/>
      <c r="BX61"/>
      <c r="BY61"/>
    </row>
    <row r="62" spans="58:77" ht="15.75">
      <c r="BF62"/>
      <c r="BG62"/>
      <c r="BH62"/>
      <c r="BI62"/>
      <c r="BJ62"/>
      <c r="BU62"/>
      <c r="BV62"/>
      <c r="BW62"/>
      <c r="BX62"/>
      <c r="BY62"/>
    </row>
    <row r="63" spans="73:77" ht="15.75">
      <c r="BU63"/>
      <c r="BV63"/>
      <c r="BW63"/>
      <c r="BX63"/>
      <c r="BY63"/>
    </row>
  </sheetData>
  <sheetProtection/>
  <mergeCells count="4">
    <mergeCell ref="BW6:BY6"/>
    <mergeCell ref="CD6:CF6"/>
    <mergeCell ref="CK6:CM6"/>
    <mergeCell ref="CR6:CT6"/>
  </mergeCell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>
        <f ca="1">NOW()</f>
        <v>42101.74606493056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E6</f>
        <v>February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3.5">
      <c r="B6" s="8" t="s">
        <v>3</v>
      </c>
      <c r="C6" s="46"/>
      <c r="E6" s="51" t="s">
        <v>91</v>
      </c>
      <c r="F6" s="11" t="s">
        <v>4</v>
      </c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88</v>
      </c>
      <c r="C11" s="55" t="s">
        <v>53</v>
      </c>
      <c r="D11" s="24">
        <v>408907</v>
      </c>
      <c r="E11" s="19">
        <v>14357766.07</v>
      </c>
      <c r="F11" s="20">
        <v>35.11254654481337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89</v>
      </c>
      <c r="C12" s="55"/>
      <c r="D12" s="24">
        <f>114786+4958</f>
        <v>119744</v>
      </c>
      <c r="E12" s="19">
        <f>2785894+153727</f>
        <v>2939621</v>
      </c>
      <c r="F12" s="20">
        <f>E12/D12</f>
        <v>24.549213321753072</v>
      </c>
      <c r="G12" s="47"/>
      <c r="H12" s="47"/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528651</v>
      </c>
      <c r="E13" s="19">
        <f>SUM(E11:E12)</f>
        <v>17297387.07</v>
      </c>
      <c r="F13" s="20">
        <f>IF((E13=0),0,(IF((D13=0),0,(E13/D13))))</f>
        <v>32.719860683134996</v>
      </c>
      <c r="G13" s="47"/>
      <c r="H13" s="47"/>
      <c r="I13" s="47"/>
      <c r="J13" s="47"/>
      <c r="K13" s="47"/>
      <c r="L13" s="47"/>
      <c r="M13" s="47"/>
      <c r="N13" s="47"/>
      <c r="O13" s="58">
        <v>408907</v>
      </c>
    </row>
    <row r="14" spans="2:15" ht="13.5">
      <c r="B14" s="3"/>
      <c r="C14" s="46"/>
      <c r="D14" s="19"/>
      <c r="E14" s="19"/>
      <c r="F14" s="20"/>
      <c r="G14" s="57" t="s">
        <v>13</v>
      </c>
      <c r="H14" s="47" t="s">
        <v>56</v>
      </c>
      <c r="I14" s="47"/>
      <c r="J14" s="47"/>
      <c r="K14" s="47"/>
      <c r="L14" s="47"/>
      <c r="M14" s="47"/>
      <c r="N14" s="47"/>
      <c r="O14" s="58"/>
    </row>
    <row r="15" spans="1:15" ht="13.5">
      <c r="A15" s="16" t="s">
        <v>13</v>
      </c>
      <c r="B15" s="17" t="s">
        <v>14</v>
      </c>
      <c r="C15" s="46"/>
      <c r="D15" s="19"/>
      <c r="E15" s="19"/>
      <c r="F15" s="20"/>
      <c r="G15" s="47"/>
      <c r="H15" s="47" t="s">
        <v>57</v>
      </c>
      <c r="I15" s="47" t="s">
        <v>58</v>
      </c>
      <c r="J15" s="47"/>
      <c r="K15" s="47"/>
      <c r="L15" s="47"/>
      <c r="M15" s="47"/>
      <c r="N15" s="47"/>
      <c r="O15" s="58" t="s">
        <v>4</v>
      </c>
    </row>
    <row r="16" spans="1:15" ht="13.5">
      <c r="A16" s="6"/>
      <c r="B16" s="8" t="s">
        <v>59</v>
      </c>
      <c r="C16" s="55" t="s">
        <v>60</v>
      </c>
      <c r="D16" s="19">
        <v>210119.107</v>
      </c>
      <c r="E16" s="19">
        <v>4598873.431</v>
      </c>
      <c r="F16" s="20">
        <v>21.886983514545395</v>
      </c>
      <c r="G16" s="47"/>
      <c r="H16" s="47"/>
      <c r="I16" s="57" t="s">
        <v>10</v>
      </c>
      <c r="J16" s="47" t="s">
        <v>61</v>
      </c>
      <c r="K16" s="47"/>
      <c r="L16" s="47"/>
      <c r="M16" s="47"/>
      <c r="N16" s="47"/>
      <c r="O16" s="19">
        <v>119745</v>
      </c>
    </row>
    <row r="17" spans="2:15" ht="13.5">
      <c r="B17" s="8" t="s">
        <v>62</v>
      </c>
      <c r="C17" s="55" t="s">
        <v>63</v>
      </c>
      <c r="D17" s="19">
        <v>25731.873999999996</v>
      </c>
      <c r="E17" s="19">
        <v>908077.46</v>
      </c>
      <c r="F17" s="20">
        <v>35.28998548648264</v>
      </c>
      <c r="G17" s="47"/>
      <c r="H17" s="47"/>
      <c r="I17" s="57" t="s">
        <v>13</v>
      </c>
      <c r="J17" s="47" t="s">
        <v>64</v>
      </c>
      <c r="K17" s="47"/>
      <c r="L17" s="47"/>
      <c r="M17" s="47"/>
      <c r="N17" s="47"/>
      <c r="O17" s="19">
        <v>25732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 t="s">
        <v>67</v>
      </c>
      <c r="I18" s="47" t="s">
        <v>68</v>
      </c>
      <c r="J18" s="47"/>
      <c r="K18" s="47"/>
      <c r="L18" s="47"/>
      <c r="M18" s="47"/>
      <c r="N18" s="47"/>
      <c r="O18" s="58">
        <v>0</v>
      </c>
    </row>
    <row r="19" spans="2:15" ht="13.5">
      <c r="B19" s="23" t="s">
        <v>12</v>
      </c>
      <c r="C19" s="46"/>
      <c r="D19" s="19">
        <f>SUM(D16:D18)</f>
        <v>235850.98099999997</v>
      </c>
      <c r="E19" s="24">
        <f>SUM(E16:E18)</f>
        <v>5506950.891</v>
      </c>
      <c r="F19" s="20">
        <f>IF((E19=0),0,(IF((D19=0),0,(E19/D19))))</f>
        <v>23.34928126078051</v>
      </c>
      <c r="G19" s="47"/>
      <c r="H19" s="47" t="s">
        <v>69</v>
      </c>
      <c r="I19" s="47" t="s">
        <v>70</v>
      </c>
      <c r="J19" s="47"/>
      <c r="K19" s="47"/>
      <c r="L19" s="47"/>
      <c r="M19" s="47"/>
      <c r="N19" s="47"/>
      <c r="O19" s="19">
        <v>317733</v>
      </c>
    </row>
    <row r="20" spans="2:15" ht="13.5">
      <c r="B20" s="3"/>
      <c r="C20" s="46"/>
      <c r="D20" s="19"/>
      <c r="E20" s="19"/>
      <c r="F20" s="20"/>
      <c r="G20" s="47"/>
      <c r="H20" s="47" t="s">
        <v>71</v>
      </c>
      <c r="I20" s="47" t="s">
        <v>72</v>
      </c>
      <c r="J20" s="47"/>
      <c r="K20" s="47"/>
      <c r="L20" s="47"/>
      <c r="M20" s="47"/>
      <c r="N20" s="47"/>
      <c r="O20" s="19">
        <v>0</v>
      </c>
    </row>
    <row r="21" spans="1:15" ht="13.5">
      <c r="A21" s="16" t="s">
        <v>16</v>
      </c>
      <c r="B21" s="17" t="s">
        <v>17</v>
      </c>
      <c r="C21" s="46"/>
      <c r="D21" s="19">
        <f>D13+D19</f>
        <v>764501.9809999999</v>
      </c>
      <c r="E21" s="19">
        <f>E13+E19</f>
        <v>22804337.961</v>
      </c>
      <c r="F21" s="20">
        <f>IF((E21=0),0,(IF((D21=0),0,(E21/D21))))</f>
        <v>29.829010947978173</v>
      </c>
      <c r="G21" s="47"/>
      <c r="H21" s="47"/>
      <c r="I21" s="47"/>
      <c r="J21" s="49" t="s">
        <v>73</v>
      </c>
      <c r="K21" s="47"/>
      <c r="L21" s="47"/>
      <c r="M21" s="47"/>
      <c r="N21" s="47"/>
      <c r="O21" s="58">
        <v>463210</v>
      </c>
    </row>
    <row r="22" spans="2:15" ht="13.5">
      <c r="B22" s="3"/>
      <c r="C22" s="46"/>
      <c r="D22" s="19"/>
      <c r="E22" s="19"/>
      <c r="F22" s="20"/>
      <c r="G22" s="47"/>
      <c r="H22" s="47"/>
      <c r="I22" s="47"/>
      <c r="J22" s="47"/>
      <c r="K22" s="47"/>
      <c r="L22" s="47"/>
      <c r="M22" s="47"/>
      <c r="N22" s="47"/>
      <c r="O22" s="58"/>
    </row>
    <row r="23" spans="2:15" ht="13.5">
      <c r="B23" s="12" t="s">
        <v>18</v>
      </c>
      <c r="C23" s="52"/>
      <c r="D23" s="19"/>
      <c r="E23" s="24">
        <f>E12+E19</f>
        <v>8446571.890999999</v>
      </c>
      <c r="F23" s="20"/>
      <c r="G23" s="57" t="s">
        <v>16</v>
      </c>
      <c r="H23" s="47" t="s">
        <v>74</v>
      </c>
      <c r="I23" s="47"/>
      <c r="J23" s="47"/>
      <c r="K23" s="47"/>
      <c r="L23" s="47"/>
      <c r="M23" s="47"/>
      <c r="N23" s="47"/>
      <c r="O23" s="58">
        <v>872117</v>
      </c>
    </row>
    <row r="24" spans="2:15" ht="13.5">
      <c r="B24" s="12"/>
      <c r="C24" s="52"/>
      <c r="D24" s="19"/>
      <c r="E24" s="19"/>
      <c r="F24" s="20"/>
      <c r="G24" s="47"/>
      <c r="H24" s="47"/>
      <c r="I24" s="47"/>
      <c r="J24" s="47"/>
      <c r="K24" s="47"/>
      <c r="L24" s="47"/>
      <c r="M24" s="47"/>
      <c r="N24" s="47"/>
      <c r="O24" s="58"/>
    </row>
    <row r="25" spans="1:15" ht="13.5">
      <c r="A25" s="16" t="s">
        <v>19</v>
      </c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2:15" ht="13.5">
      <c r="B26" s="8" t="s">
        <v>90</v>
      </c>
      <c r="C26" s="55" t="s">
        <v>60</v>
      </c>
      <c r="D26" s="19">
        <v>6244.295</v>
      </c>
      <c r="E26" s="19">
        <v>204313.332</v>
      </c>
      <c r="F26" s="20">
        <v>32.71999993594152</v>
      </c>
      <c r="G26" s="54" t="s">
        <v>75</v>
      </c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89</v>
      </c>
      <c r="C27" s="55"/>
      <c r="D27" s="19">
        <f>5644+365</f>
        <v>6009</v>
      </c>
      <c r="E27" s="19">
        <f>124826+8184</f>
        <v>133010</v>
      </c>
      <c r="F27" s="20">
        <f>E27/D27</f>
        <v>22.135130637377266</v>
      </c>
      <c r="G27" s="54"/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23837.371</v>
      </c>
      <c r="E28" s="19">
        <v>861988.6400000001</v>
      </c>
      <c r="F28" s="20">
        <v>36.16122935704613</v>
      </c>
      <c r="G28" s="47"/>
      <c r="H28" s="47" t="s">
        <v>57</v>
      </c>
      <c r="I28" s="47" t="s">
        <v>68</v>
      </c>
      <c r="J28" s="47"/>
      <c r="K28" s="47"/>
      <c r="L28" s="47"/>
      <c r="M28" s="47"/>
      <c r="N28" s="47"/>
      <c r="O28" s="58">
        <v>0</v>
      </c>
    </row>
    <row r="29" spans="2:15" ht="13.5">
      <c r="B29" s="8" t="s">
        <v>78</v>
      </c>
      <c r="C29" s="55" t="s">
        <v>76</v>
      </c>
      <c r="D29" s="19">
        <v>118180.16499999967</v>
      </c>
      <c r="E29" s="19">
        <v>3257961.5660000024</v>
      </c>
      <c r="F29" s="20">
        <v>27.567752727371904</v>
      </c>
      <c r="G29" s="47"/>
      <c r="H29" s="47" t="s">
        <v>67</v>
      </c>
      <c r="I29" s="47" t="s">
        <v>70</v>
      </c>
      <c r="J29" s="47"/>
      <c r="K29" s="47"/>
      <c r="L29" s="47"/>
      <c r="M29" s="47"/>
      <c r="N29" s="47"/>
      <c r="O29" s="19">
        <v>122717</v>
      </c>
    </row>
    <row r="30" spans="2:15" ht="13.5">
      <c r="B30" s="8" t="s">
        <v>65</v>
      </c>
      <c r="C30" s="55" t="s">
        <v>66</v>
      </c>
      <c r="D30" s="19">
        <v>24.958</v>
      </c>
      <c r="E30" s="19">
        <v>787.501</v>
      </c>
      <c r="F30" s="20">
        <v>31.553049122525845</v>
      </c>
      <c r="G30" s="47"/>
      <c r="H30" s="47" t="s">
        <v>69</v>
      </c>
      <c r="I30" s="47" t="s">
        <v>79</v>
      </c>
      <c r="J30" s="47"/>
      <c r="K30" s="47"/>
      <c r="L30" s="47"/>
      <c r="M30" s="47"/>
      <c r="N30" s="47"/>
      <c r="O30" s="59">
        <v>139168</v>
      </c>
    </row>
    <row r="31" spans="2:15" ht="13.5">
      <c r="B31" s="23" t="s">
        <v>12</v>
      </c>
      <c r="C31" s="46"/>
      <c r="D31" s="19">
        <f>SUM(D26:D30)</f>
        <v>154295.78899999967</v>
      </c>
      <c r="E31" s="19">
        <f>SUM(E26:E30)</f>
        <v>4458061.039000003</v>
      </c>
      <c r="F31" s="20">
        <f>IF((E31=0),0,(IF((D31=0),0,(E31/D31))))</f>
        <v>28.8929533844894</v>
      </c>
      <c r="G31" s="47"/>
      <c r="H31" s="47" t="s">
        <v>71</v>
      </c>
      <c r="I31" s="47" t="s">
        <v>72</v>
      </c>
      <c r="J31" s="47"/>
      <c r="K31" s="47"/>
      <c r="L31" s="47"/>
      <c r="M31" s="47"/>
      <c r="N31" s="47"/>
      <c r="O31" s="19">
        <v>25</v>
      </c>
    </row>
    <row r="32" spans="2:15" ht="13.5">
      <c r="B32" s="3"/>
      <c r="C32" s="46"/>
      <c r="D32" s="19"/>
      <c r="E32" s="19"/>
      <c r="F32" s="20"/>
      <c r="G32" s="47"/>
      <c r="H32" s="47"/>
      <c r="I32" s="47"/>
      <c r="J32" s="49" t="s">
        <v>80</v>
      </c>
      <c r="K32" s="47"/>
      <c r="L32" s="47"/>
      <c r="M32" s="47"/>
      <c r="N32" s="47"/>
      <c r="O32" s="58">
        <v>261910</v>
      </c>
    </row>
    <row r="33" spans="1:15" ht="13.5">
      <c r="A33" s="16" t="s">
        <v>23</v>
      </c>
      <c r="B33" s="17" t="s">
        <v>24</v>
      </c>
      <c r="C33" s="46"/>
      <c r="D33" s="19">
        <f>D21-D31</f>
        <v>610206.1920000003</v>
      </c>
      <c r="E33" s="19">
        <f>E21-E31</f>
        <v>18346276.922</v>
      </c>
      <c r="F33" s="20">
        <f>IF((E33=0),0,(IF((D33=0),0,(E33/D33))))</f>
        <v>30.06570100816019</v>
      </c>
      <c r="G33" s="47"/>
      <c r="H33" s="47"/>
      <c r="I33" s="47"/>
      <c r="J33" s="47"/>
      <c r="K33" s="47"/>
      <c r="L33" s="47"/>
      <c r="M33" s="47"/>
      <c r="N33" s="47"/>
      <c r="O33" s="58"/>
    </row>
    <row r="34" spans="2:15" ht="13.5">
      <c r="B34" s="3"/>
      <c r="C34" s="46"/>
      <c r="D34" s="19"/>
      <c r="E34" s="19"/>
      <c r="F34" s="20"/>
      <c r="G34" s="57" t="s">
        <v>23</v>
      </c>
      <c r="H34" s="47" t="s">
        <v>81</v>
      </c>
      <c r="I34" s="47"/>
      <c r="J34" s="47"/>
      <c r="K34" s="47"/>
      <c r="L34" s="47"/>
      <c r="M34" s="47"/>
      <c r="N34" s="47"/>
      <c r="O34" s="58">
        <f>+O23-O32</f>
        <v>610207</v>
      </c>
    </row>
    <row r="35" spans="1:15" ht="13.5">
      <c r="A35" s="16" t="s">
        <v>25</v>
      </c>
      <c r="B35" s="17" t="s">
        <v>26</v>
      </c>
      <c r="C35" s="46"/>
      <c r="D35" s="19">
        <f>+D31+D33</f>
        <v>764501.9809999999</v>
      </c>
      <c r="E35" s="19">
        <f>+E31+E33</f>
        <v>22804337.961000003</v>
      </c>
      <c r="F35" s="20">
        <f>IF((E35=0),0,(IF((D35=0),0,(E35/D35))))</f>
        <v>29.82901094797818</v>
      </c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3.5">
      <c r="A36" s="16"/>
      <c r="B36" s="8"/>
      <c r="C36" s="46"/>
      <c r="D36" s="19"/>
      <c r="E36" s="19"/>
      <c r="F36" s="20"/>
      <c r="G36" s="57" t="s">
        <v>82</v>
      </c>
      <c r="H36" s="47" t="s">
        <v>83</v>
      </c>
      <c r="I36" s="47"/>
      <c r="J36" s="47"/>
      <c r="K36" s="47"/>
      <c r="L36" s="47"/>
      <c r="M36" s="47"/>
      <c r="N36" s="47" t="s">
        <v>4</v>
      </c>
      <c r="O36" s="58">
        <f>O32+O34</f>
        <v>872117</v>
      </c>
    </row>
    <row r="37" spans="1:15" ht="13.5">
      <c r="A37" s="16"/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60" t="s">
        <v>4</v>
      </c>
      <c r="O37" s="61" t="s">
        <v>4</v>
      </c>
    </row>
    <row r="38" spans="4:15" ht="13.5">
      <c r="D38" s="19"/>
      <c r="E38" s="19"/>
      <c r="F38" s="20"/>
      <c r="G38" s="47" t="s">
        <v>84</v>
      </c>
      <c r="H38" s="62" t="s">
        <v>85</v>
      </c>
      <c r="I38" s="47"/>
      <c r="J38" s="47"/>
      <c r="K38" s="47"/>
      <c r="L38" s="47"/>
      <c r="M38" s="47"/>
      <c r="N38" s="61" t="s">
        <v>4</v>
      </c>
      <c r="O38" s="58" t="s">
        <v>4</v>
      </c>
    </row>
    <row r="39" spans="1:6" ht="13.5">
      <c r="A39" s="16" t="s">
        <v>27</v>
      </c>
      <c r="B39" s="8" t="s">
        <v>28</v>
      </c>
      <c r="C39" s="46"/>
      <c r="D39" s="63">
        <f>D21-D31</f>
        <v>610206.1920000003</v>
      </c>
      <c r="E39" s="63">
        <f>E21-E31</f>
        <v>18346276.922</v>
      </c>
      <c r="F39" s="64">
        <f aca="true" t="shared" si="0" ref="F39:F45">IF((E39=0),0,(IF((D39=0),0,(E39/D39))))</f>
        <v>30.06570100816019</v>
      </c>
    </row>
    <row r="40" spans="1:6" ht="13.5">
      <c r="A40" s="16" t="s">
        <v>29</v>
      </c>
      <c r="B40" s="8" t="s">
        <v>86</v>
      </c>
      <c r="C40" s="46"/>
      <c r="D40" s="19">
        <f>D41-D39</f>
        <v>0.8079999997280538</v>
      </c>
      <c r="E40" s="19">
        <v>0</v>
      </c>
      <c r="F40" s="20">
        <f t="shared" si="0"/>
        <v>0</v>
      </c>
    </row>
    <row r="41" spans="1:6" ht="13.5">
      <c r="A41" s="16" t="s">
        <v>31</v>
      </c>
      <c r="B41" s="8" t="s">
        <v>32</v>
      </c>
      <c r="C41" s="46"/>
      <c r="D41" s="19">
        <f>D45-D44</f>
        <v>610207</v>
      </c>
      <c r="E41" s="19">
        <f>(SUM(E39))+E40</f>
        <v>18346276.922</v>
      </c>
      <c r="F41" s="20">
        <f t="shared" si="0"/>
        <v>30.065661196938084</v>
      </c>
    </row>
    <row r="42" spans="1:6" ht="13.5">
      <c r="A42" s="71" t="s">
        <v>33</v>
      </c>
      <c r="B42" s="72" t="s">
        <v>34</v>
      </c>
      <c r="C42" s="73"/>
      <c r="D42" s="74">
        <v>-3843.1049285999998</v>
      </c>
      <c r="E42" s="74">
        <v>-98744.73803544839</v>
      </c>
      <c r="F42" s="20">
        <f t="shared" si="0"/>
        <v>25.694</v>
      </c>
    </row>
    <row r="43" spans="1:6" ht="13.5">
      <c r="A43" s="71" t="s">
        <v>35</v>
      </c>
      <c r="B43" s="72" t="s">
        <v>36</v>
      </c>
      <c r="C43" s="73"/>
      <c r="D43" s="74">
        <v>3843.1049285999998</v>
      </c>
      <c r="E43" s="74">
        <v>98744.73803544839</v>
      </c>
      <c r="F43" s="20">
        <f t="shared" si="0"/>
        <v>25.694</v>
      </c>
    </row>
    <row r="44" spans="1:6" ht="13.5">
      <c r="A44" s="16" t="s">
        <v>37</v>
      </c>
      <c r="B44" s="8" t="s">
        <v>38</v>
      </c>
      <c r="C44" s="46"/>
      <c r="D44" s="19">
        <v>0</v>
      </c>
      <c r="E44" s="19">
        <v>0</v>
      </c>
      <c r="F44" s="20">
        <f t="shared" si="0"/>
        <v>0</v>
      </c>
    </row>
    <row r="45" spans="1:11" ht="13.5">
      <c r="A45" s="16" t="s">
        <v>39</v>
      </c>
      <c r="B45" s="8" t="s">
        <v>40</v>
      </c>
      <c r="C45" s="55" t="s">
        <v>87</v>
      </c>
      <c r="D45" s="19">
        <v>610207</v>
      </c>
      <c r="E45" s="26">
        <f>SUM(E41:E44)</f>
        <v>18346276.922</v>
      </c>
      <c r="F45" s="65">
        <f t="shared" si="0"/>
        <v>30.065661196938084</v>
      </c>
      <c r="G45" s="37"/>
      <c r="H45" s="37"/>
      <c r="I45" s="37"/>
      <c r="J45" s="37"/>
      <c r="K45" s="37"/>
    </row>
    <row r="46" spans="1:11" ht="15">
      <c r="A46" s="36" t="s">
        <v>4</v>
      </c>
      <c r="B46" s="37" t="s">
        <v>4</v>
      </c>
      <c r="C46" s="37"/>
      <c r="D46" s="37"/>
      <c r="E46" s="37"/>
      <c r="F46" s="37"/>
      <c r="G46" s="66" t="s">
        <v>4</v>
      </c>
      <c r="H46" s="67"/>
      <c r="I46" s="67" t="s">
        <v>4</v>
      </c>
      <c r="J46" s="67"/>
      <c r="K46"/>
    </row>
    <row r="47" spans="1:6" ht="15.75">
      <c r="A47"/>
      <c r="B47" s="38" t="s">
        <v>4</v>
      </c>
      <c r="C47"/>
      <c r="D47"/>
      <c r="E47"/>
      <c r="F47"/>
    </row>
    <row r="48" spans="2:6" ht="13.5">
      <c r="B48" s="3"/>
      <c r="C48" s="46"/>
      <c r="D48" s="19"/>
      <c r="E48" s="19"/>
      <c r="F48" s="39"/>
    </row>
    <row r="54" spans="2:7" ht="15.75">
      <c r="B54"/>
      <c r="C54"/>
      <c r="D54"/>
      <c r="E54"/>
      <c r="F54"/>
      <c r="G54"/>
    </row>
    <row r="55" spans="2:7" ht="15.75">
      <c r="B55"/>
      <c r="C55"/>
      <c r="D55"/>
      <c r="E55"/>
      <c r="F55"/>
      <c r="G55"/>
    </row>
    <row r="56" spans="2:7" ht="15.75">
      <c r="B56"/>
      <c r="C56"/>
      <c r="D56"/>
      <c r="E56"/>
      <c r="F56"/>
      <c r="G56"/>
    </row>
    <row r="57" spans="2:7" ht="15.75">
      <c r="B57"/>
      <c r="C57"/>
      <c r="D57"/>
      <c r="E57"/>
      <c r="F57"/>
      <c r="G57"/>
    </row>
    <row r="58" spans="2:7" ht="15.75">
      <c r="B58"/>
      <c r="C58"/>
      <c r="D58"/>
      <c r="E58"/>
      <c r="F58"/>
      <c r="G58"/>
    </row>
    <row r="59" spans="2:7" ht="15.75">
      <c r="B59"/>
      <c r="C59"/>
      <c r="D59"/>
      <c r="E59"/>
      <c r="F59"/>
      <c r="G59"/>
    </row>
    <row r="60" spans="2:7" ht="15.75">
      <c r="B60"/>
      <c r="C60"/>
      <c r="D60"/>
      <c r="E60"/>
      <c r="F60"/>
      <c r="G60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>
        <f ca="1">NOW()</f>
        <v>42101.74606493056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E6</f>
        <v>March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3.5">
      <c r="B6" s="8" t="s">
        <v>3</v>
      </c>
      <c r="C6" s="46"/>
      <c r="E6" s="10" t="str">
        <f>+'[4]INPUT SHEET'!B1</f>
        <v>March 2013 ACTUAL</v>
      </c>
      <c r="F6" s="11" t="s">
        <v>4</v>
      </c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88</v>
      </c>
      <c r="C11" s="55" t="s">
        <v>53</v>
      </c>
      <c r="D11" s="24">
        <v>598568</v>
      </c>
      <c r="E11" s="19">
        <v>19477121.750000004</v>
      </c>
      <c r="F11" s="20">
        <v>32.53953059635664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89</v>
      </c>
      <c r="C12" s="55"/>
      <c r="D12" s="24">
        <f>136489</f>
        <v>136489</v>
      </c>
      <c r="E12" s="19">
        <f>3251142</f>
        <v>3251142</v>
      </c>
      <c r="F12" s="20">
        <f>E12/D12</f>
        <v>23.81980965499051</v>
      </c>
      <c r="G12" s="47"/>
      <c r="H12" s="47"/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735057</v>
      </c>
      <c r="E13" s="19">
        <f>SUM(E11:E12)</f>
        <v>22728263.750000004</v>
      </c>
      <c r="F13" s="20">
        <f>IF((E13=0),0,(IF((D13=0),0,(E13/D13))))</f>
        <v>30.920409913789005</v>
      </c>
      <c r="G13" s="57" t="s">
        <v>10</v>
      </c>
      <c r="H13" s="47" t="s">
        <v>11</v>
      </c>
      <c r="I13" s="47"/>
      <c r="J13" s="47"/>
      <c r="K13" s="47"/>
      <c r="L13" s="47"/>
      <c r="M13" s="47"/>
      <c r="N13" s="47"/>
      <c r="O13" s="47"/>
    </row>
    <row r="14" spans="2:15" ht="13.5">
      <c r="B14" s="3"/>
      <c r="C14" s="46"/>
      <c r="D14" s="19"/>
      <c r="E14" s="19"/>
      <c r="F14" s="20"/>
      <c r="G14" s="47"/>
      <c r="H14" s="47"/>
      <c r="I14" s="47" t="s">
        <v>55</v>
      </c>
      <c r="J14" s="47"/>
      <c r="K14" s="47"/>
      <c r="L14" s="47"/>
      <c r="M14" s="47"/>
      <c r="N14" s="47"/>
      <c r="O14" s="19">
        <v>598568</v>
      </c>
    </row>
    <row r="15" spans="2:15" ht="13.5">
      <c r="B15" s="17" t="s">
        <v>14</v>
      </c>
      <c r="C15" s="46"/>
      <c r="D15" s="19"/>
      <c r="E15" s="19"/>
      <c r="F15" s="20"/>
      <c r="G15" s="47"/>
      <c r="H15" s="47"/>
      <c r="I15" s="47"/>
      <c r="J15" s="47"/>
      <c r="K15" s="47"/>
      <c r="L15" s="47"/>
      <c r="M15" s="47"/>
      <c r="N15" s="47"/>
      <c r="O15" s="58"/>
    </row>
    <row r="16" spans="2:15" ht="13.5">
      <c r="B16" s="8" t="s">
        <v>59</v>
      </c>
      <c r="C16" s="55" t="s">
        <v>60</v>
      </c>
      <c r="D16" s="19">
        <v>119838.717</v>
      </c>
      <c r="E16" s="19">
        <v>2952868.613</v>
      </c>
      <c r="F16" s="20">
        <v>24.64035569573062</v>
      </c>
      <c r="G16" s="57" t="s">
        <v>13</v>
      </c>
      <c r="H16" s="47" t="s">
        <v>56</v>
      </c>
      <c r="I16" s="47"/>
      <c r="J16" s="47"/>
      <c r="K16" s="47"/>
      <c r="L16" s="47"/>
      <c r="M16" s="47"/>
      <c r="N16" s="47"/>
      <c r="O16" s="58"/>
    </row>
    <row r="17" spans="1:15" ht="13.5">
      <c r="A17" s="16" t="s">
        <v>13</v>
      </c>
      <c r="B17" s="8" t="s">
        <v>62</v>
      </c>
      <c r="C17" s="55" t="s">
        <v>63</v>
      </c>
      <c r="D17" s="19">
        <v>23023.225</v>
      </c>
      <c r="E17" s="19">
        <v>902702.1200000001</v>
      </c>
      <c r="F17" s="20">
        <v>39.208326374780256</v>
      </c>
      <c r="G17" s="47"/>
      <c r="H17" s="47" t="s">
        <v>57</v>
      </c>
      <c r="I17" s="47" t="s">
        <v>58</v>
      </c>
      <c r="J17" s="47"/>
      <c r="K17" s="47"/>
      <c r="L17" s="47"/>
      <c r="M17" s="47"/>
      <c r="N17" s="47"/>
      <c r="O17" s="58" t="s">
        <v>4</v>
      </c>
    </row>
    <row r="18" spans="1:15" ht="13.5">
      <c r="A18" s="6"/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/>
      <c r="I18" s="57" t="s">
        <v>10</v>
      </c>
      <c r="J18" s="47" t="s">
        <v>61</v>
      </c>
      <c r="K18" s="47"/>
      <c r="L18" s="47"/>
      <c r="M18" s="47"/>
      <c r="N18" s="47"/>
      <c r="O18" s="19">
        <v>136489.35</v>
      </c>
    </row>
    <row r="19" spans="2:15" ht="13.5">
      <c r="B19" s="23" t="s">
        <v>12</v>
      </c>
      <c r="C19" s="46"/>
      <c r="D19" s="19">
        <f>SUM(D16:D18)</f>
        <v>142861.942</v>
      </c>
      <c r="E19" s="24">
        <f>SUM(E16:E18)</f>
        <v>3855570.733</v>
      </c>
      <c r="F19" s="20">
        <f>IF((E19=0),0,(IF((D19=0),0,(E19/D19))))</f>
        <v>26.98808849315516</v>
      </c>
      <c r="G19" s="47"/>
      <c r="H19" s="47"/>
      <c r="I19" s="57" t="s">
        <v>13</v>
      </c>
      <c r="J19" s="47" t="s">
        <v>64</v>
      </c>
      <c r="K19" s="47"/>
      <c r="L19" s="47"/>
      <c r="M19" s="47"/>
      <c r="N19" s="47"/>
      <c r="O19" s="19">
        <v>23023.225</v>
      </c>
    </row>
    <row r="20" spans="2:15" ht="13.5">
      <c r="B20" s="3"/>
      <c r="C20" s="46"/>
      <c r="D20" s="19"/>
      <c r="E20" s="19"/>
      <c r="F20" s="20"/>
      <c r="G20" s="47"/>
      <c r="H20" s="47" t="s">
        <v>67</v>
      </c>
      <c r="I20" s="47" t="s">
        <v>68</v>
      </c>
      <c r="J20" s="47"/>
      <c r="K20" s="47"/>
      <c r="L20" s="47"/>
      <c r="M20" s="47"/>
      <c r="N20" s="47"/>
      <c r="O20" s="58">
        <v>0</v>
      </c>
    </row>
    <row r="21" spans="2:15" ht="13.5">
      <c r="B21" s="17" t="s">
        <v>17</v>
      </c>
      <c r="C21" s="46"/>
      <c r="D21" s="19">
        <f>D13+D19</f>
        <v>877918.942</v>
      </c>
      <c r="E21" s="19">
        <f>E13+E19</f>
        <v>26583834.483000003</v>
      </c>
      <c r="F21" s="20">
        <f>IF((E21=0),0,(IF((D21=0),0,(E21/D21))))</f>
        <v>30.28051134474782</v>
      </c>
      <c r="G21" s="47"/>
      <c r="H21" s="47" t="s">
        <v>69</v>
      </c>
      <c r="I21" s="47" t="s">
        <v>70</v>
      </c>
      <c r="J21" s="47"/>
      <c r="K21" s="47"/>
      <c r="L21" s="47"/>
      <c r="M21" s="47"/>
      <c r="N21" s="47"/>
      <c r="O21" s="19">
        <v>213998.40899999999</v>
      </c>
    </row>
    <row r="22" spans="2:15" ht="13.5">
      <c r="B22" s="3"/>
      <c r="C22" s="46"/>
      <c r="D22" s="19"/>
      <c r="E22" s="19"/>
      <c r="F22" s="20"/>
      <c r="G22" s="47"/>
      <c r="H22" s="47" t="s">
        <v>71</v>
      </c>
      <c r="I22" s="47" t="s">
        <v>72</v>
      </c>
      <c r="J22" s="47"/>
      <c r="K22" s="47"/>
      <c r="L22" s="47"/>
      <c r="M22" s="47"/>
      <c r="N22" s="47"/>
      <c r="O22" s="19">
        <v>0</v>
      </c>
    </row>
    <row r="23" spans="1:15" ht="13.5">
      <c r="A23" s="16" t="s">
        <v>16</v>
      </c>
      <c r="B23" s="12" t="s">
        <v>18</v>
      </c>
      <c r="C23" s="52"/>
      <c r="D23" s="19"/>
      <c r="E23" s="24">
        <f>E12+E19</f>
        <v>7106712.733</v>
      </c>
      <c r="F23" s="20"/>
      <c r="G23" s="47"/>
      <c r="H23" s="47"/>
      <c r="I23" s="47"/>
      <c r="J23" s="49" t="s">
        <v>73</v>
      </c>
      <c r="K23" s="47"/>
      <c r="L23" s="47"/>
      <c r="M23" s="47"/>
      <c r="N23" s="47"/>
      <c r="O23" s="58">
        <f>SUM(O18:O22)</f>
        <v>373510.984</v>
      </c>
    </row>
    <row r="24" spans="2:15" ht="13.5">
      <c r="B24" s="12"/>
      <c r="C24" s="52"/>
      <c r="D24" s="19"/>
      <c r="E24" s="19"/>
      <c r="F24" s="20"/>
      <c r="G24" s="47"/>
      <c r="H24" s="47"/>
      <c r="I24" s="47"/>
      <c r="J24" s="47"/>
      <c r="K24" s="47"/>
      <c r="L24" s="47"/>
      <c r="M24" s="47"/>
      <c r="N24" s="47"/>
      <c r="O24" s="58"/>
    </row>
    <row r="25" spans="2:15" ht="13.5">
      <c r="B25" s="17" t="s">
        <v>20</v>
      </c>
      <c r="C25" s="46"/>
      <c r="E25" s="19"/>
      <c r="G25" s="57" t="s">
        <v>16</v>
      </c>
      <c r="H25" s="47" t="s">
        <v>74</v>
      </c>
      <c r="I25" s="47"/>
      <c r="J25" s="47"/>
      <c r="K25" s="47"/>
      <c r="L25" s="47"/>
      <c r="M25" s="47"/>
      <c r="N25" s="47"/>
      <c r="O25" s="58">
        <f>+O14+O23</f>
        <v>972078.9839999999</v>
      </c>
    </row>
    <row r="26" spans="2:15" ht="13.5">
      <c r="B26" s="8" t="s">
        <v>90</v>
      </c>
      <c r="C26" s="55" t="s">
        <v>60</v>
      </c>
      <c r="D26" s="19">
        <v>2406.839</v>
      </c>
      <c r="E26" s="19">
        <v>74419.459</v>
      </c>
      <c r="F26" s="20">
        <v>30.919998803409786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89</v>
      </c>
      <c r="C27" s="55" t="s">
        <v>76</v>
      </c>
      <c r="D27" s="19">
        <f>+'[4]INPUT SHEET'!C114</f>
        <v>1851.944000000001</v>
      </c>
      <c r="E27" s="19">
        <f>+'[4]INPUT SHEET'!C116</f>
        <v>40611.586</v>
      </c>
      <c r="F27" s="20">
        <f>E27/D27</f>
        <v>21.929165244737412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20793.813000000002</v>
      </c>
      <c r="E28" s="19">
        <v>841796.0500000002</v>
      </c>
      <c r="F28" s="20">
        <v>40.483005690202184</v>
      </c>
      <c r="G28" s="54"/>
      <c r="H28" s="47"/>
      <c r="I28" s="47"/>
      <c r="J28" s="47"/>
      <c r="K28" s="47"/>
      <c r="L28" s="47"/>
      <c r="M28" s="47"/>
      <c r="N28" s="47"/>
      <c r="O28" s="58"/>
    </row>
    <row r="29" spans="2:15" ht="13.5">
      <c r="B29" s="8" t="s">
        <v>78</v>
      </c>
      <c r="C29" s="55" t="s">
        <v>76</v>
      </c>
      <c r="D29" s="19">
        <v>207254.58099999963</v>
      </c>
      <c r="E29" s="19">
        <v>5966030.012999998</v>
      </c>
      <c r="F29" s="20">
        <v>28.785998283917348</v>
      </c>
      <c r="G29" s="47"/>
      <c r="H29" s="47"/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381.854</v>
      </c>
      <c r="E30" s="19">
        <v>12503.735</v>
      </c>
      <c r="F30" s="20">
        <v>32.74480560633122</v>
      </c>
      <c r="G30" s="57" t="s">
        <v>19</v>
      </c>
      <c r="H30" s="47" t="s">
        <v>77</v>
      </c>
      <c r="I30" s="47"/>
      <c r="J30" s="47"/>
      <c r="K30" s="47"/>
      <c r="L30" s="47"/>
      <c r="M30" s="47"/>
      <c r="N30" s="47"/>
      <c r="O30" s="58"/>
    </row>
    <row r="31" spans="2:15" ht="13.5">
      <c r="B31" s="23" t="s">
        <v>12</v>
      </c>
      <c r="C31" s="46"/>
      <c r="D31" s="19">
        <v>232689.0309999996</v>
      </c>
      <c r="E31" s="19">
        <v>6935360.842999999</v>
      </c>
      <c r="F31" s="20">
        <v>29.805276222926086</v>
      </c>
      <c r="G31" s="47"/>
      <c r="H31" s="47" t="s">
        <v>57</v>
      </c>
      <c r="I31" s="47" t="s">
        <v>68</v>
      </c>
      <c r="J31" s="47"/>
      <c r="K31" s="47"/>
      <c r="L31" s="47"/>
      <c r="M31" s="47"/>
      <c r="N31" s="47"/>
      <c r="O31" s="58">
        <v>0</v>
      </c>
    </row>
    <row r="32" spans="2:15" ht="13.5">
      <c r="B32" s="3"/>
      <c r="C32" s="46"/>
      <c r="D32" s="19"/>
      <c r="E32" s="19"/>
      <c r="F32" s="20"/>
      <c r="G32" s="47"/>
      <c r="H32" s="47" t="s">
        <v>67</v>
      </c>
      <c r="I32" s="47" t="s">
        <v>70</v>
      </c>
      <c r="J32" s="47"/>
      <c r="K32" s="47"/>
      <c r="L32" s="47"/>
      <c r="M32" s="47"/>
      <c r="N32" s="47"/>
      <c r="O32" s="19">
        <v>198500.177</v>
      </c>
    </row>
    <row r="33" spans="2:15" ht="13.5">
      <c r="B33" s="17" t="s">
        <v>24</v>
      </c>
      <c r="C33" s="46"/>
      <c r="D33" s="19">
        <f>D21-D31</f>
        <v>645229.9110000004</v>
      </c>
      <c r="E33" s="19">
        <f>E21-E31</f>
        <v>19648473.640000004</v>
      </c>
      <c r="F33" s="20">
        <f>IF((E33=0),0,(IF((D33=0),0,(E33/D33))))</f>
        <v>30.451895215998427</v>
      </c>
      <c r="G33" s="47"/>
      <c r="H33" s="47" t="s">
        <v>69</v>
      </c>
      <c r="I33" s="47" t="s">
        <v>79</v>
      </c>
      <c r="J33" s="47"/>
      <c r="K33" s="47"/>
      <c r="L33" s="47"/>
      <c r="M33" s="47"/>
      <c r="N33" s="47"/>
      <c r="O33" s="59">
        <v>127966.688</v>
      </c>
    </row>
    <row r="34" spans="2:15" ht="13.5">
      <c r="B34" s="3"/>
      <c r="C34" s="46"/>
      <c r="D34" s="19"/>
      <c r="E34" s="19"/>
      <c r="F34" s="20"/>
      <c r="G34" s="47"/>
      <c r="H34" s="47" t="s">
        <v>71</v>
      </c>
      <c r="I34" s="47" t="s">
        <v>72</v>
      </c>
      <c r="J34" s="47"/>
      <c r="K34" s="47"/>
      <c r="L34" s="47"/>
      <c r="M34" s="47"/>
      <c r="N34" s="47"/>
      <c r="O34" s="19">
        <v>381.854</v>
      </c>
    </row>
    <row r="35" spans="2:15" ht="13.5">
      <c r="B35" s="17" t="s">
        <v>26</v>
      </c>
      <c r="C35" s="46"/>
      <c r="D35" s="19">
        <f>+D31+D33</f>
        <v>877918.942</v>
      </c>
      <c r="E35" s="19">
        <f>+E31+E33</f>
        <v>26583834.483000003</v>
      </c>
      <c r="F35" s="20">
        <f>IF((E35=0),0,(IF((D35=0),0,(E35/D35))))</f>
        <v>30.28051134474782</v>
      </c>
      <c r="G35" s="47"/>
      <c r="H35" s="47"/>
      <c r="I35" s="47"/>
      <c r="J35" s="49" t="s">
        <v>80</v>
      </c>
      <c r="K35" s="47"/>
      <c r="L35" s="47"/>
      <c r="M35" s="47"/>
      <c r="N35" s="47"/>
      <c r="O35" s="58">
        <f>SUM(O31:O34)</f>
        <v>326848.719</v>
      </c>
    </row>
    <row r="36" spans="1:15" ht="13.5">
      <c r="A36" s="16" t="s">
        <v>23</v>
      </c>
      <c r="B36" s="8"/>
      <c r="C36" s="46"/>
      <c r="D36" s="19"/>
      <c r="E36" s="19"/>
      <c r="F36" s="20"/>
      <c r="G36" s="47"/>
      <c r="H36" s="47"/>
      <c r="I36" s="47"/>
      <c r="J36" s="47"/>
      <c r="K36" s="47"/>
      <c r="L36" s="47"/>
      <c r="M36" s="47"/>
      <c r="N36" s="47"/>
      <c r="O36" s="58"/>
    </row>
    <row r="37" spans="2:15" ht="13.5">
      <c r="B37" s="8"/>
      <c r="C37" s="46"/>
      <c r="D37" s="19"/>
      <c r="E37" s="19"/>
      <c r="F37" s="20"/>
      <c r="G37" s="57" t="s">
        <v>23</v>
      </c>
      <c r="H37" s="47" t="s">
        <v>81</v>
      </c>
      <c r="I37" s="47"/>
      <c r="J37" s="47"/>
      <c r="K37" s="47"/>
      <c r="L37" s="47"/>
      <c r="M37" s="47"/>
      <c r="N37" s="47"/>
      <c r="O37" s="58">
        <f>+O25-O35</f>
        <v>645230.2649999999</v>
      </c>
    </row>
    <row r="38" spans="1:15" ht="13.5">
      <c r="A38" s="16" t="s">
        <v>25</v>
      </c>
      <c r="D38" s="19"/>
      <c r="E38" s="19"/>
      <c r="F38" s="20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3.5">
      <c r="A39" s="16"/>
      <c r="B39" s="8" t="s">
        <v>28</v>
      </c>
      <c r="C39" s="46"/>
      <c r="D39" s="63">
        <f>D21-D31</f>
        <v>645229.9110000004</v>
      </c>
      <c r="E39" s="63">
        <f>E21-E31</f>
        <v>19648473.640000004</v>
      </c>
      <c r="F39" s="64">
        <f aca="true" t="shared" si="0" ref="F39:F45">IF((E39=0),0,(IF((D39=0),0,(E39/D39))))</f>
        <v>30.451895215998427</v>
      </c>
      <c r="G39" s="57" t="s">
        <v>82</v>
      </c>
      <c r="H39" s="47" t="s">
        <v>83</v>
      </c>
      <c r="I39" s="47"/>
      <c r="J39" s="47"/>
      <c r="K39" s="47"/>
      <c r="L39" s="47"/>
      <c r="M39" s="47"/>
      <c r="N39" s="47" t="s">
        <v>4</v>
      </c>
      <c r="O39" s="58">
        <f>O35+O37</f>
        <v>972078.9839999999</v>
      </c>
    </row>
    <row r="40" spans="1:15" ht="13.5">
      <c r="A40" s="16"/>
      <c r="B40" s="8" t="s">
        <v>86</v>
      </c>
      <c r="C40" s="46"/>
      <c r="D40" s="19">
        <f>D41-D39</f>
        <v>0.3539999994682148</v>
      </c>
      <c r="E40" s="19">
        <v>0</v>
      </c>
      <c r="F40" s="20">
        <f t="shared" si="0"/>
        <v>0</v>
      </c>
      <c r="G40" s="47"/>
      <c r="H40" s="47"/>
      <c r="I40" s="47"/>
      <c r="J40" s="47"/>
      <c r="K40" s="47"/>
      <c r="L40" s="47"/>
      <c r="M40" s="47"/>
      <c r="N40" s="60" t="s">
        <v>4</v>
      </c>
      <c r="O40" s="61" t="s">
        <v>4</v>
      </c>
    </row>
    <row r="41" spans="2:15" ht="13.5">
      <c r="B41" s="8" t="s">
        <v>32</v>
      </c>
      <c r="C41" s="46"/>
      <c r="D41" s="19">
        <f>D45-D44</f>
        <v>645230.2649999999</v>
      </c>
      <c r="E41" s="19">
        <f>(SUM(E39))+E40</f>
        <v>19648473.640000004</v>
      </c>
      <c r="F41" s="20">
        <f t="shared" si="0"/>
        <v>30.451878508829722</v>
      </c>
      <c r="G41" s="47" t="s">
        <v>84</v>
      </c>
      <c r="H41" s="62" t="s">
        <v>85</v>
      </c>
      <c r="I41" s="47"/>
      <c r="J41" s="47"/>
      <c r="K41" s="47"/>
      <c r="L41" s="47"/>
      <c r="M41" s="47"/>
      <c r="N41" s="61" t="s">
        <v>4</v>
      </c>
      <c r="O41" s="58" t="s">
        <v>4</v>
      </c>
    </row>
    <row r="42" spans="1:6" ht="13.5">
      <c r="A42" s="71" t="s">
        <v>27</v>
      </c>
      <c r="B42" s="72" t="s">
        <v>34</v>
      </c>
      <c r="C42" s="73"/>
      <c r="D42" s="74">
        <v>-4712.0578659</v>
      </c>
      <c r="E42" s="74">
        <v>-128629.7556233382</v>
      </c>
      <c r="F42" s="20">
        <f t="shared" si="0"/>
        <v>27.298</v>
      </c>
    </row>
    <row r="43" spans="1:6" ht="13.5">
      <c r="A43" s="71" t="s">
        <v>29</v>
      </c>
      <c r="B43" s="72" t="s">
        <v>36</v>
      </c>
      <c r="C43" s="73"/>
      <c r="D43" s="74">
        <v>4712.0578659</v>
      </c>
      <c r="E43" s="74">
        <v>128629.7556233382</v>
      </c>
      <c r="F43" s="20">
        <f t="shared" si="0"/>
        <v>27.298</v>
      </c>
    </row>
    <row r="44" spans="1:6" ht="13.5">
      <c r="A44" s="71" t="s">
        <v>31</v>
      </c>
      <c r="B44" s="75" t="s">
        <v>38</v>
      </c>
      <c r="C44" s="73"/>
      <c r="D44" s="74">
        <v>0</v>
      </c>
      <c r="E44" s="74">
        <v>0</v>
      </c>
      <c r="F44" s="20">
        <f t="shared" si="0"/>
        <v>0</v>
      </c>
    </row>
    <row r="45" spans="1:6" ht="13.5">
      <c r="A45" s="71" t="s">
        <v>33</v>
      </c>
      <c r="B45" s="75" t="s">
        <v>40</v>
      </c>
      <c r="C45" s="76" t="s">
        <v>87</v>
      </c>
      <c r="D45" s="74">
        <v>645230.2649999999</v>
      </c>
      <c r="E45" s="77">
        <f>SUM(E41:E44)</f>
        <v>19648473.640000004</v>
      </c>
      <c r="F45" s="65">
        <f t="shared" si="0"/>
        <v>30.451878508829722</v>
      </c>
    </row>
    <row r="46" spans="1:6" ht="13.5">
      <c r="A46" s="71" t="s">
        <v>35</v>
      </c>
      <c r="B46" s="78" t="s">
        <v>4</v>
      </c>
      <c r="C46" s="78"/>
      <c r="D46" s="78"/>
      <c r="E46" s="78"/>
      <c r="F46" s="37"/>
    </row>
    <row r="47" spans="1:6" ht="15.75">
      <c r="A47" s="71" t="s">
        <v>37</v>
      </c>
      <c r="B47" s="79" t="s">
        <v>4</v>
      </c>
      <c r="C47" s="80"/>
      <c r="D47" s="80"/>
      <c r="E47" s="80"/>
      <c r="F47"/>
    </row>
    <row r="48" spans="1:11" ht="14.25">
      <c r="A48" s="16" t="s">
        <v>39</v>
      </c>
      <c r="B48" s="3"/>
      <c r="C48" s="46"/>
      <c r="D48" s="19"/>
      <c r="E48" s="19"/>
      <c r="F48" s="39"/>
      <c r="G48" s="37"/>
      <c r="H48" s="37"/>
      <c r="I48" s="37"/>
      <c r="J48" s="37"/>
      <c r="K48" s="37"/>
    </row>
    <row r="49" spans="1:11" ht="15.75">
      <c r="A49" s="36" t="s">
        <v>4</v>
      </c>
      <c r="G49" s="66" t="s">
        <v>4</v>
      </c>
      <c r="H49" s="67"/>
      <c r="I49" s="67" t="s">
        <v>4</v>
      </c>
      <c r="J49" s="67"/>
      <c r="K49"/>
    </row>
    <row r="50" ht="15.75">
      <c r="A50"/>
    </row>
    <row r="52" spans="2:8" ht="15.75">
      <c r="B52"/>
      <c r="C52"/>
      <c r="D52"/>
      <c r="E52"/>
      <c r="F52"/>
      <c r="G52"/>
      <c r="H52"/>
    </row>
    <row r="53" spans="2:8" ht="15.75">
      <c r="B53"/>
      <c r="C53"/>
      <c r="D53"/>
      <c r="E53"/>
      <c r="F53"/>
      <c r="G53"/>
      <c r="H53"/>
    </row>
    <row r="54" spans="2:8" ht="15.75">
      <c r="B54"/>
      <c r="C54"/>
      <c r="D54"/>
      <c r="E54"/>
      <c r="F54"/>
      <c r="G54"/>
      <c r="H54"/>
    </row>
    <row r="55" spans="2:8" ht="15.75">
      <c r="B55"/>
      <c r="C55"/>
      <c r="D55"/>
      <c r="E55"/>
      <c r="F55"/>
      <c r="G55"/>
      <c r="H55"/>
    </row>
    <row r="56" spans="2:8" ht="15.75">
      <c r="B56"/>
      <c r="C56"/>
      <c r="D56"/>
      <c r="E56"/>
      <c r="F56"/>
      <c r="G56"/>
      <c r="H56"/>
    </row>
    <row r="57" spans="2:8" ht="15.75">
      <c r="B57"/>
      <c r="C57"/>
      <c r="D57"/>
      <c r="E57"/>
      <c r="F57"/>
      <c r="G57"/>
      <c r="H57"/>
    </row>
    <row r="58" spans="2:8" ht="15.75">
      <c r="B58"/>
      <c r="C58"/>
      <c r="D58"/>
      <c r="E58"/>
      <c r="F58"/>
      <c r="G58"/>
      <c r="H58"/>
    </row>
    <row r="59" ht="13.5">
      <c r="B59" s="6" t="s">
        <v>4</v>
      </c>
    </row>
    <row r="60" ht="13.5">
      <c r="B60" s="6" t="s">
        <v>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2.8515625" style="1" bestFit="1" customWidth="1"/>
    <col min="2" max="2" width="63.5742187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>
        <f ca="1">NOW()</f>
        <v>42101.74606493056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E6</f>
        <v>April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3.5">
      <c r="B6" s="8" t="s">
        <v>3</v>
      </c>
      <c r="C6" s="46"/>
      <c r="E6" s="10" t="str">
        <f>+'[5]INPUT SHEET'!B1</f>
        <v>April 2013 ACTUAL</v>
      </c>
      <c r="F6" s="11" t="s">
        <v>4</v>
      </c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88</v>
      </c>
      <c r="C11" s="55" t="s">
        <v>53</v>
      </c>
      <c r="D11" s="24">
        <v>455195</v>
      </c>
      <c r="E11" s="19">
        <v>14662596.35</v>
      </c>
      <c r="F11" s="20">
        <v>32.21168147716912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89</v>
      </c>
      <c r="C12" s="55" t="s">
        <v>54</v>
      </c>
      <c r="D12" s="19">
        <v>123570.3</v>
      </c>
      <c r="E12" s="56">
        <f>3071971.803+11534</f>
        <v>3083505.803</v>
      </c>
      <c r="F12" s="20">
        <f>E12/D12</f>
        <v>24.95345405004277</v>
      </c>
      <c r="G12" s="57" t="s">
        <v>10</v>
      </c>
      <c r="H12" s="47" t="s">
        <v>11</v>
      </c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578765.3</v>
      </c>
      <c r="E13" s="19">
        <f>SUM(E11:E12)</f>
        <v>17746102.153</v>
      </c>
      <c r="F13" s="20">
        <f>IF((E13=0),0,(IF((D13=0),0,(E13/D13))))</f>
        <v>30.66200090606676</v>
      </c>
      <c r="G13" s="47"/>
      <c r="H13" s="47"/>
      <c r="I13" s="47" t="s">
        <v>55</v>
      </c>
      <c r="J13" s="47"/>
      <c r="K13" s="47"/>
      <c r="L13" s="47"/>
      <c r="M13" s="47"/>
      <c r="N13" s="47"/>
      <c r="O13" s="19">
        <v>455195</v>
      </c>
    </row>
    <row r="14" spans="2:15" ht="13.5">
      <c r="B14" s="3"/>
      <c r="C14" s="46"/>
      <c r="D14" s="19"/>
      <c r="E14" s="19"/>
      <c r="F14" s="20"/>
      <c r="G14" s="47"/>
      <c r="H14" s="47"/>
      <c r="I14" s="47"/>
      <c r="J14" s="47"/>
      <c r="K14" s="47"/>
      <c r="L14" s="47"/>
      <c r="M14" s="47"/>
      <c r="N14" s="47"/>
      <c r="O14" s="58"/>
    </row>
    <row r="15" spans="2:15" ht="13.5">
      <c r="B15" s="17" t="s">
        <v>14</v>
      </c>
      <c r="C15" s="46"/>
      <c r="D15" s="19"/>
      <c r="E15" s="19"/>
      <c r="F15" s="20"/>
      <c r="G15" s="57" t="s">
        <v>13</v>
      </c>
      <c r="H15" s="47" t="s">
        <v>56</v>
      </c>
      <c r="I15" s="47"/>
      <c r="J15" s="47"/>
      <c r="K15" s="47"/>
      <c r="L15" s="47"/>
      <c r="M15" s="47"/>
      <c r="N15" s="47"/>
      <c r="O15" s="58"/>
    </row>
    <row r="16" spans="1:15" ht="13.5">
      <c r="A16" s="16" t="s">
        <v>13</v>
      </c>
      <c r="B16" s="8" t="s">
        <v>59</v>
      </c>
      <c r="C16" s="55" t="s">
        <v>60</v>
      </c>
      <c r="D16" s="19">
        <v>70533.949</v>
      </c>
      <c r="E16" s="19">
        <v>1820592.641</v>
      </c>
      <c r="F16" s="20">
        <v>25.81157962671281</v>
      </c>
      <c r="G16" s="47"/>
      <c r="H16" s="47" t="s">
        <v>57</v>
      </c>
      <c r="I16" s="47" t="s">
        <v>58</v>
      </c>
      <c r="J16" s="47"/>
      <c r="K16" s="47"/>
      <c r="L16" s="47"/>
      <c r="M16" s="47"/>
      <c r="N16" s="47"/>
      <c r="O16" s="58" t="s">
        <v>4</v>
      </c>
    </row>
    <row r="17" spans="1:15" ht="13.5">
      <c r="A17" s="6"/>
      <c r="B17" s="8" t="s">
        <v>62</v>
      </c>
      <c r="C17" s="55" t="s">
        <v>63</v>
      </c>
      <c r="D17" s="19">
        <v>23262.766000000003</v>
      </c>
      <c r="E17" s="19">
        <v>827119.8500000001</v>
      </c>
      <c r="F17" s="20">
        <v>35.55552465257141</v>
      </c>
      <c r="G17" s="47"/>
      <c r="H17" s="47"/>
      <c r="I17" s="57" t="s">
        <v>10</v>
      </c>
      <c r="J17" s="47" t="s">
        <v>61</v>
      </c>
      <c r="K17" s="47"/>
      <c r="L17" s="47"/>
      <c r="M17" s="47"/>
      <c r="N17" s="47"/>
      <c r="O17" s="19">
        <v>123570.3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/>
      <c r="I18" s="57" t="s">
        <v>13</v>
      </c>
      <c r="J18" s="47" t="s">
        <v>64</v>
      </c>
      <c r="K18" s="47"/>
      <c r="L18" s="47"/>
      <c r="M18" s="47"/>
      <c r="N18" s="47"/>
      <c r="O18" s="19">
        <v>23262.766000000003</v>
      </c>
    </row>
    <row r="19" spans="2:15" ht="13.5">
      <c r="B19" s="23" t="s">
        <v>12</v>
      </c>
      <c r="C19" s="46"/>
      <c r="D19" s="19">
        <f>SUM(D16:D18)</f>
        <v>93796.715</v>
      </c>
      <c r="E19" s="24">
        <f>SUM(E16:E18)</f>
        <v>2647712.4910000004</v>
      </c>
      <c r="F19" s="20">
        <f>IF((E19=0),0,(IF((D19=0),0,(E19/D19))))</f>
        <v>28.22820064647254</v>
      </c>
      <c r="G19" s="47"/>
      <c r="H19" s="47" t="s">
        <v>67</v>
      </c>
      <c r="I19" s="47" t="s">
        <v>68</v>
      </c>
      <c r="J19" s="47"/>
      <c r="K19" s="47"/>
      <c r="L19" s="47"/>
      <c r="M19" s="47"/>
      <c r="N19" s="47"/>
      <c r="O19" s="58">
        <v>0</v>
      </c>
    </row>
    <row r="20" spans="2:15" ht="13.5">
      <c r="B20" s="3"/>
      <c r="C20" s="46"/>
      <c r="D20" s="19"/>
      <c r="E20" s="19"/>
      <c r="F20" s="20"/>
      <c r="G20" s="47"/>
      <c r="H20" s="47" t="s">
        <v>69</v>
      </c>
      <c r="I20" s="47" t="s">
        <v>70</v>
      </c>
      <c r="J20" s="47"/>
      <c r="K20" s="47"/>
      <c r="L20" s="47"/>
      <c r="M20" s="47"/>
      <c r="N20" s="47"/>
      <c r="O20" s="19">
        <v>158730.748</v>
      </c>
    </row>
    <row r="21" spans="2:15" ht="13.5">
      <c r="B21" s="17" t="s">
        <v>17</v>
      </c>
      <c r="C21" s="46"/>
      <c r="D21" s="19">
        <f>D13+D19</f>
        <v>672562.015</v>
      </c>
      <c r="E21" s="19">
        <f>E13+E19</f>
        <v>20393814.644</v>
      </c>
      <c r="F21" s="20">
        <f>IF((E21=0),0,(IF((D21=0),0,(E21/D21))))</f>
        <v>30.32257872011996</v>
      </c>
      <c r="G21" s="47"/>
      <c r="H21" s="47" t="s">
        <v>71</v>
      </c>
      <c r="I21" s="47" t="s">
        <v>72</v>
      </c>
      <c r="J21" s="47"/>
      <c r="K21" s="47"/>
      <c r="L21" s="47"/>
      <c r="M21" s="47"/>
      <c r="N21" s="47"/>
      <c r="O21" s="19">
        <v>0</v>
      </c>
    </row>
    <row r="22" spans="1:15" ht="13.5">
      <c r="A22" s="16" t="s">
        <v>16</v>
      </c>
      <c r="B22" s="3"/>
      <c r="C22" s="46"/>
      <c r="D22" s="19"/>
      <c r="E22" s="19"/>
      <c r="F22" s="20"/>
      <c r="G22" s="47"/>
      <c r="H22" s="47"/>
      <c r="I22" s="47"/>
      <c r="J22" s="49" t="s">
        <v>73</v>
      </c>
      <c r="K22" s="47"/>
      <c r="L22" s="47"/>
      <c r="M22" s="47"/>
      <c r="N22" s="47"/>
      <c r="O22" s="58">
        <f>SUM(O17:O21)</f>
        <v>305563.814</v>
      </c>
    </row>
    <row r="23" spans="2:15" ht="13.5">
      <c r="B23" s="12" t="s">
        <v>18</v>
      </c>
      <c r="C23" s="52"/>
      <c r="D23" s="19"/>
      <c r="E23" s="24">
        <f>E12+E19</f>
        <v>5731218.294</v>
      </c>
      <c r="F23" s="20"/>
      <c r="G23" s="47"/>
      <c r="H23" s="47"/>
      <c r="I23" s="47"/>
      <c r="J23" s="47"/>
      <c r="K23" s="47"/>
      <c r="L23" s="47"/>
      <c r="M23" s="47"/>
      <c r="N23" s="47"/>
      <c r="O23" s="58"/>
    </row>
    <row r="24" spans="2:15" ht="13.5">
      <c r="B24" s="12"/>
      <c r="C24" s="52"/>
      <c r="D24" s="19"/>
      <c r="E24" s="19"/>
      <c r="F24" s="20"/>
      <c r="G24" s="57" t="s">
        <v>16</v>
      </c>
      <c r="H24" s="47" t="s">
        <v>74</v>
      </c>
      <c r="I24" s="47"/>
      <c r="J24" s="47"/>
      <c r="K24" s="47"/>
      <c r="L24" s="47"/>
      <c r="M24" s="47"/>
      <c r="N24" s="47"/>
      <c r="O24" s="58">
        <f>+O13+O22</f>
        <v>760758.814</v>
      </c>
    </row>
    <row r="25" spans="2:15" ht="13.5"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1:15" ht="13.5">
      <c r="A26" s="16" t="s">
        <v>19</v>
      </c>
      <c r="B26" s="8" t="s">
        <v>90</v>
      </c>
      <c r="C26" s="55" t="s">
        <v>60</v>
      </c>
      <c r="D26" s="19">
        <v>6488.284</v>
      </c>
      <c r="E26" s="19">
        <v>198813.997</v>
      </c>
      <c r="F26" s="20">
        <v>30.64199979532339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89</v>
      </c>
      <c r="C27" s="55" t="s">
        <v>76</v>
      </c>
      <c r="D27" s="19">
        <v>5401.719</v>
      </c>
      <c r="E27" s="19">
        <v>121754.04600000007</v>
      </c>
      <c r="F27" s="20">
        <f>E27/D27</f>
        <v>22.539870363489857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20360.586000000003</v>
      </c>
      <c r="E28" s="19">
        <v>755499.12</v>
      </c>
      <c r="F28" s="20">
        <v>37.10596148853475</v>
      </c>
      <c r="G28" s="47"/>
      <c r="H28" s="47"/>
      <c r="I28" s="47"/>
      <c r="J28" s="47"/>
      <c r="K28" s="47"/>
      <c r="L28" s="47"/>
      <c r="M28" s="47"/>
      <c r="N28" s="47"/>
      <c r="O28" s="58"/>
    </row>
    <row r="29" spans="2:15" ht="13.5">
      <c r="B29" s="8" t="s">
        <v>78</v>
      </c>
      <c r="C29" s="55" t="s">
        <v>76</v>
      </c>
      <c r="D29" s="19">
        <v>129694.77600000003</v>
      </c>
      <c r="E29" s="19">
        <v>3543180.212</v>
      </c>
      <c r="F29" s="20">
        <v>27.31937492995091</v>
      </c>
      <c r="G29" s="57" t="s">
        <v>19</v>
      </c>
      <c r="H29" s="47" t="s">
        <v>77</v>
      </c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16.733</v>
      </c>
      <c r="E30" s="19">
        <v>573.053</v>
      </c>
      <c r="F30" s="20">
        <v>34.246877427837205</v>
      </c>
      <c r="G30" s="47"/>
      <c r="H30" s="47" t="s">
        <v>57</v>
      </c>
      <c r="I30" s="47" t="s">
        <v>68</v>
      </c>
      <c r="J30" s="47"/>
      <c r="K30" s="47"/>
      <c r="L30" s="47"/>
      <c r="M30" s="47"/>
      <c r="N30" s="47"/>
      <c r="O30" s="58">
        <v>0</v>
      </c>
    </row>
    <row r="31" spans="2:15" ht="13.5">
      <c r="B31" s="23" t="s">
        <v>12</v>
      </c>
      <c r="C31" s="46"/>
      <c r="D31" s="19">
        <f>SUM(D26:D30)</f>
        <v>161962.09800000003</v>
      </c>
      <c r="E31" s="19">
        <f>SUM(E26:E30)</f>
        <v>4619820.428</v>
      </c>
      <c r="F31" s="20">
        <f>IF((E31=0),0,(IF((D31=0),0,(E31/D31))))</f>
        <v>28.52408362850424</v>
      </c>
      <c r="G31" s="47"/>
      <c r="H31" s="47" t="s">
        <v>67</v>
      </c>
      <c r="I31" s="47" t="s">
        <v>70</v>
      </c>
      <c r="J31" s="47"/>
      <c r="K31" s="47"/>
      <c r="L31" s="47"/>
      <c r="M31" s="47"/>
      <c r="N31" s="47"/>
      <c r="O31" s="19">
        <v>133177.365</v>
      </c>
    </row>
    <row r="32" spans="2:15" ht="13.5">
      <c r="B32" s="3"/>
      <c r="C32" s="46"/>
      <c r="D32" s="19"/>
      <c r="E32" s="19"/>
      <c r="F32" s="20"/>
      <c r="G32" s="47"/>
      <c r="H32" s="47" t="s">
        <v>69</v>
      </c>
      <c r="I32" s="47" t="s">
        <v>79</v>
      </c>
      <c r="J32" s="47"/>
      <c r="K32" s="47"/>
      <c r="L32" s="47"/>
      <c r="M32" s="47"/>
      <c r="N32" s="47"/>
      <c r="O32" s="59">
        <v>116964.8</v>
      </c>
    </row>
    <row r="33" spans="2:15" ht="13.5">
      <c r="B33" s="17" t="s">
        <v>24</v>
      </c>
      <c r="C33" s="46"/>
      <c r="D33" s="19">
        <f>D21-D31</f>
        <v>510599.917</v>
      </c>
      <c r="E33" s="19">
        <f>E21-E31</f>
        <v>15773994.216000002</v>
      </c>
      <c r="F33" s="20">
        <f>IF((E33=0),0,(IF((D33=0),0,(E33/D33))))</f>
        <v>30.89306067396012</v>
      </c>
      <c r="G33" s="47"/>
      <c r="H33" s="47" t="s">
        <v>71</v>
      </c>
      <c r="I33" s="47" t="s">
        <v>72</v>
      </c>
      <c r="J33" s="47"/>
      <c r="K33" s="47"/>
      <c r="L33" s="47"/>
      <c r="M33" s="47"/>
      <c r="N33" s="47"/>
      <c r="O33" s="19">
        <v>16.733</v>
      </c>
    </row>
    <row r="34" spans="2:15" ht="13.5">
      <c r="B34" s="3"/>
      <c r="C34" s="46"/>
      <c r="D34" s="19"/>
      <c r="E34" s="19"/>
      <c r="F34" s="20"/>
      <c r="G34" s="47"/>
      <c r="H34" s="47"/>
      <c r="I34" s="47"/>
      <c r="J34" s="49" t="s">
        <v>80</v>
      </c>
      <c r="K34" s="47"/>
      <c r="L34" s="47"/>
      <c r="M34" s="47"/>
      <c r="N34" s="47"/>
      <c r="O34" s="58">
        <f>SUM(O30:O33)</f>
        <v>250158.898</v>
      </c>
    </row>
    <row r="35" spans="1:15" ht="13.5">
      <c r="A35" s="16" t="s">
        <v>23</v>
      </c>
      <c r="B35" s="17" t="s">
        <v>26</v>
      </c>
      <c r="C35" s="46"/>
      <c r="D35" s="19">
        <f>+D31+D33</f>
        <v>672562.015</v>
      </c>
      <c r="E35" s="19">
        <f>+E31+E33</f>
        <v>20393814.644</v>
      </c>
      <c r="F35" s="20">
        <f>IF((E35=0),0,(IF((D35=0),0,(E35/D35))))</f>
        <v>30.32257872011996</v>
      </c>
      <c r="G35" s="47"/>
      <c r="H35" s="47"/>
      <c r="I35" s="47"/>
      <c r="J35" s="47"/>
      <c r="K35" s="47"/>
      <c r="L35" s="47"/>
      <c r="M35" s="47"/>
      <c r="N35" s="47"/>
      <c r="O35" s="58"/>
    </row>
    <row r="36" spans="2:15" ht="13.5">
      <c r="B36" s="8"/>
      <c r="C36" s="46"/>
      <c r="D36" s="19"/>
      <c r="E36" s="19"/>
      <c r="F36" s="20"/>
      <c r="G36" s="57" t="s">
        <v>23</v>
      </c>
      <c r="H36" s="47" t="s">
        <v>81</v>
      </c>
      <c r="I36" s="47"/>
      <c r="J36" s="47"/>
      <c r="K36" s="47"/>
      <c r="L36" s="47"/>
      <c r="M36" s="47"/>
      <c r="N36" s="47"/>
      <c r="O36" s="58">
        <f>+O24-O34</f>
        <v>510599.916</v>
      </c>
    </row>
    <row r="37" spans="1:15" ht="13.5">
      <c r="A37" s="16" t="s">
        <v>25</v>
      </c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5">
      <c r="A38" s="16"/>
      <c r="D38" s="19"/>
      <c r="E38" s="19"/>
      <c r="F38" s="20"/>
      <c r="G38" s="57" t="s">
        <v>82</v>
      </c>
      <c r="H38" s="47" t="s">
        <v>83</v>
      </c>
      <c r="I38" s="47"/>
      <c r="J38" s="47"/>
      <c r="K38" s="47"/>
      <c r="L38" s="47"/>
      <c r="M38" s="47"/>
      <c r="N38" s="47" t="s">
        <v>4</v>
      </c>
      <c r="O38" s="58">
        <f>O34+O36</f>
        <v>760758.814</v>
      </c>
    </row>
    <row r="39" spans="1:15" ht="13.5">
      <c r="A39" s="16"/>
      <c r="B39" s="8" t="s">
        <v>28</v>
      </c>
      <c r="C39" s="46"/>
      <c r="D39" s="63">
        <f>D21-D31</f>
        <v>510599.917</v>
      </c>
      <c r="E39" s="63">
        <f>E21-E31</f>
        <v>15773994.216000002</v>
      </c>
      <c r="F39" s="64">
        <f aca="true" t="shared" si="0" ref="F39:F46">IF((E39=0),0,(IF((D39=0),0,(E39/D39))))</f>
        <v>30.89306067396012</v>
      </c>
      <c r="G39" s="47"/>
      <c r="H39" s="47"/>
      <c r="I39" s="47"/>
      <c r="J39" s="47"/>
      <c r="K39" s="47"/>
      <c r="L39" s="47"/>
      <c r="M39" s="47"/>
      <c r="N39" s="60" t="s">
        <v>4</v>
      </c>
      <c r="O39" s="61" t="s">
        <v>4</v>
      </c>
    </row>
    <row r="40" spans="2:15" ht="13.5">
      <c r="B40" s="8" t="s">
        <v>86</v>
      </c>
      <c r="C40" s="46"/>
      <c r="D40" s="19">
        <f>D41-D39</f>
        <v>-2836.6410000000033</v>
      </c>
      <c r="E40" s="19">
        <v>0</v>
      </c>
      <c r="F40" s="20">
        <f t="shared" si="0"/>
        <v>0</v>
      </c>
      <c r="G40" s="47" t="s">
        <v>84</v>
      </c>
      <c r="H40" s="62" t="s">
        <v>85</v>
      </c>
      <c r="I40" s="47"/>
      <c r="J40" s="47"/>
      <c r="K40" s="47"/>
      <c r="L40" s="47"/>
      <c r="M40" s="47"/>
      <c r="N40" s="61" t="s">
        <v>4</v>
      </c>
      <c r="O40" s="58" t="s">
        <v>4</v>
      </c>
    </row>
    <row r="41" spans="1:6" ht="13.5">
      <c r="A41" s="16" t="s">
        <v>27</v>
      </c>
      <c r="B41" s="8" t="s">
        <v>32</v>
      </c>
      <c r="C41" s="46"/>
      <c r="D41" s="19">
        <f>D46-D45</f>
        <v>507763.276</v>
      </c>
      <c r="E41" s="19">
        <f>(SUM(E39))+E40</f>
        <v>15773994.216000002</v>
      </c>
      <c r="F41" s="20">
        <f t="shared" si="0"/>
        <v>31.0656460629894</v>
      </c>
    </row>
    <row r="42" spans="1:6" ht="13.5">
      <c r="A42" s="71" t="s">
        <v>29</v>
      </c>
      <c r="B42" s="72" t="s">
        <v>34</v>
      </c>
      <c r="C42" s="73"/>
      <c r="D42" s="74">
        <v>-2298.0777127</v>
      </c>
      <c r="E42" s="74">
        <v>-57592.1255579747</v>
      </c>
      <c r="F42" s="20">
        <f t="shared" si="0"/>
        <v>25.061</v>
      </c>
    </row>
    <row r="43" spans="1:6" ht="13.5">
      <c r="A43" s="71" t="s">
        <v>31</v>
      </c>
      <c r="B43" s="72" t="s">
        <v>36</v>
      </c>
      <c r="C43" s="73"/>
      <c r="D43" s="74">
        <v>2298.0777127</v>
      </c>
      <c r="E43" s="74">
        <v>57592.1255579747</v>
      </c>
      <c r="F43" s="20">
        <f t="shared" si="0"/>
        <v>25.061</v>
      </c>
    </row>
    <row r="44" spans="1:6" ht="13.5">
      <c r="A44" s="71" t="s">
        <v>33</v>
      </c>
      <c r="B44" s="72" t="s">
        <v>92</v>
      </c>
      <c r="C44" s="73"/>
      <c r="D44" s="74">
        <v>-2836.64</v>
      </c>
      <c r="E44" s="74">
        <v>-43139.93</v>
      </c>
      <c r="F44" s="20">
        <f t="shared" si="0"/>
        <v>15.208108889390266</v>
      </c>
    </row>
    <row r="45" spans="1:6" ht="13.5">
      <c r="A45" s="71" t="s">
        <v>35</v>
      </c>
      <c r="B45" s="75" t="s">
        <v>38</v>
      </c>
      <c r="C45" s="73"/>
      <c r="D45" s="74">
        <v>0</v>
      </c>
      <c r="E45" s="74">
        <v>0</v>
      </c>
      <c r="F45" s="20">
        <f t="shared" si="0"/>
        <v>0</v>
      </c>
    </row>
    <row r="46" spans="1:6" ht="13.5">
      <c r="A46" s="71" t="s">
        <v>37</v>
      </c>
      <c r="B46" s="75" t="s">
        <v>40</v>
      </c>
      <c r="C46" s="76" t="s">
        <v>87</v>
      </c>
      <c r="D46" s="74">
        <v>507763.276</v>
      </c>
      <c r="E46" s="77">
        <f>SUM(E41:E45)</f>
        <v>15730854.286000002</v>
      </c>
      <c r="F46" s="65">
        <f t="shared" si="0"/>
        <v>30.98068534991885</v>
      </c>
    </row>
    <row r="47" spans="1:11" ht="13.5">
      <c r="A47" s="71" t="s">
        <v>39</v>
      </c>
      <c r="B47" s="78" t="s">
        <v>4</v>
      </c>
      <c r="C47" s="78"/>
      <c r="D47" s="78"/>
      <c r="E47" s="78"/>
      <c r="F47" s="37"/>
      <c r="G47" s="37"/>
      <c r="H47" s="37"/>
      <c r="I47" s="37"/>
      <c r="J47" s="37"/>
      <c r="K47" s="37"/>
    </row>
    <row r="48" spans="1:11" ht="15.75">
      <c r="A48" s="16" t="s">
        <v>93</v>
      </c>
      <c r="B48" s="38" t="s">
        <v>4</v>
      </c>
      <c r="C48"/>
      <c r="D48"/>
      <c r="E48"/>
      <c r="F48"/>
      <c r="G48" s="66" t="s">
        <v>4</v>
      </c>
      <c r="H48" s="67"/>
      <c r="I48" s="67" t="s">
        <v>4</v>
      </c>
      <c r="J48" s="67"/>
      <c r="K48"/>
    </row>
    <row r="49" spans="1:6" ht="14.25">
      <c r="A49" s="36" t="s">
        <v>4</v>
      </c>
      <c r="B49" s="3"/>
      <c r="C49" s="46"/>
      <c r="D49" s="19"/>
      <c r="E49" s="19"/>
      <c r="F49" s="39"/>
    </row>
    <row r="50" ht="15.75">
      <c r="A50"/>
    </row>
    <row r="53" spans="1:7" ht="15.75">
      <c r="A53"/>
      <c r="B53"/>
      <c r="C53"/>
      <c r="D53"/>
      <c r="E53"/>
      <c r="F53"/>
      <c r="G53"/>
    </row>
    <row r="54" spans="1:7" ht="15.75">
      <c r="A54"/>
      <c r="B54"/>
      <c r="C54"/>
      <c r="D54"/>
      <c r="E54"/>
      <c r="F54"/>
      <c r="G54"/>
    </row>
    <row r="55" spans="1:7" ht="15.75">
      <c r="A55"/>
      <c r="B55"/>
      <c r="C55"/>
      <c r="D55"/>
      <c r="E55"/>
      <c r="F55"/>
      <c r="G55"/>
    </row>
    <row r="56" spans="1:7" ht="15.75">
      <c r="A56"/>
      <c r="B56"/>
      <c r="C56"/>
      <c r="D56"/>
      <c r="E56"/>
      <c r="F56"/>
      <c r="G56"/>
    </row>
    <row r="57" spans="1:7" ht="15.75">
      <c r="A57"/>
      <c r="B57"/>
      <c r="C57"/>
      <c r="D57"/>
      <c r="E57"/>
      <c r="F57"/>
      <c r="G57"/>
    </row>
    <row r="58" spans="1:7" ht="15.75">
      <c r="A58"/>
      <c r="B58"/>
      <c r="C58"/>
      <c r="D58"/>
      <c r="E58"/>
      <c r="F58"/>
      <c r="G58"/>
    </row>
    <row r="59" spans="1:7" ht="15.75">
      <c r="A59"/>
      <c r="B59"/>
      <c r="C59"/>
      <c r="D59"/>
      <c r="E59"/>
      <c r="F59"/>
      <c r="G59"/>
    </row>
    <row r="60" spans="1:7" ht="15.75">
      <c r="A60"/>
      <c r="B60"/>
      <c r="C60"/>
      <c r="D60"/>
      <c r="E60"/>
      <c r="F60"/>
      <c r="G60"/>
    </row>
    <row r="61" ht="13.5">
      <c r="B61" s="6" t="s">
        <v>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>
        <f ca="1">NOW()</f>
        <v>42101.74606493056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E6</f>
        <v>May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3.5">
      <c r="B6" s="8" t="s">
        <v>3</v>
      </c>
      <c r="C6" s="46"/>
      <c r="E6" s="10" t="str">
        <f>+'[6]INPUT SHEET'!B1</f>
        <v>May 2013 ACTUAL</v>
      </c>
      <c r="F6" s="11" t="s">
        <v>4</v>
      </c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52</v>
      </c>
      <c r="C11" s="55" t="s">
        <v>53</v>
      </c>
      <c r="D11" s="24">
        <v>56804</v>
      </c>
      <c r="E11" s="19">
        <v>1984479.8800000001</v>
      </c>
      <c r="F11" s="20">
        <v>34.93556580522499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94</v>
      </c>
      <c r="C12" s="55" t="s">
        <v>54</v>
      </c>
      <c r="D12" s="19">
        <f>114136.2+34780</f>
        <v>148916.2</v>
      </c>
      <c r="E12" s="56">
        <f>2752115.3145+954052</f>
        <v>3706167.3145</v>
      </c>
      <c r="F12" s="20">
        <f>E12/D12</f>
        <v>24.8876033265689</v>
      </c>
      <c r="G12" s="57" t="s">
        <v>10</v>
      </c>
      <c r="H12" s="47" t="s">
        <v>11</v>
      </c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205720.2</v>
      </c>
      <c r="E13" s="19">
        <f>SUM(E11:E12)</f>
        <v>5690647.1945</v>
      </c>
      <c r="F13" s="20">
        <f>IF((E13=0),0,(IF((D13=0),0,(E13/D13))))</f>
        <v>27.662073021997838</v>
      </c>
      <c r="G13" s="47"/>
      <c r="H13" s="47"/>
      <c r="I13" s="47" t="s">
        <v>55</v>
      </c>
      <c r="J13" s="47"/>
      <c r="K13" s="47"/>
      <c r="L13" s="47"/>
      <c r="M13" s="47"/>
      <c r="N13" s="47"/>
      <c r="O13" s="19">
        <v>56804</v>
      </c>
    </row>
    <row r="14" spans="2:15" ht="13.5">
      <c r="B14" s="3"/>
      <c r="C14" s="46"/>
      <c r="D14" s="19"/>
      <c r="E14" s="19"/>
      <c r="F14" s="20"/>
      <c r="G14" s="47"/>
      <c r="H14" s="47"/>
      <c r="I14" s="47"/>
      <c r="J14" s="47"/>
      <c r="K14" s="47"/>
      <c r="L14" s="47"/>
      <c r="M14" s="47"/>
      <c r="N14" s="47"/>
      <c r="O14" s="58"/>
    </row>
    <row r="15" spans="2:15" ht="13.5">
      <c r="B15" s="17" t="s">
        <v>14</v>
      </c>
      <c r="C15" s="46"/>
      <c r="D15" s="19"/>
      <c r="E15" s="19"/>
      <c r="F15" s="20"/>
      <c r="G15" s="57" t="s">
        <v>13</v>
      </c>
      <c r="H15" s="47" t="s">
        <v>56</v>
      </c>
      <c r="I15" s="47"/>
      <c r="J15" s="47"/>
      <c r="K15" s="47"/>
      <c r="L15" s="47"/>
      <c r="M15" s="47"/>
      <c r="N15" s="47"/>
      <c r="O15" s="58"/>
    </row>
    <row r="16" spans="1:15" ht="13.5">
      <c r="A16" s="16" t="s">
        <v>13</v>
      </c>
      <c r="B16" s="8" t="s">
        <v>59</v>
      </c>
      <c r="C16" s="55" t="s">
        <v>60</v>
      </c>
      <c r="D16" s="19">
        <v>312404.038</v>
      </c>
      <c r="E16" s="19">
        <v>7760783.083</v>
      </c>
      <c r="F16" s="20">
        <v>24.84213434846831</v>
      </c>
      <c r="G16" s="47"/>
      <c r="H16" s="47" t="s">
        <v>57</v>
      </c>
      <c r="I16" s="47" t="s">
        <v>58</v>
      </c>
      <c r="J16" s="47"/>
      <c r="K16" s="47"/>
      <c r="L16" s="47"/>
      <c r="M16" s="47"/>
      <c r="N16" s="47"/>
      <c r="O16" s="58" t="s">
        <v>4</v>
      </c>
    </row>
    <row r="17" spans="1:15" ht="13.5">
      <c r="A17" s="6"/>
      <c r="B17" s="8" t="s">
        <v>62</v>
      </c>
      <c r="C17" s="55" t="s">
        <v>63</v>
      </c>
      <c r="D17" s="19">
        <v>30417.627</v>
      </c>
      <c r="E17" s="19">
        <v>1083155.17</v>
      </c>
      <c r="F17" s="20">
        <v>35.60945664827831</v>
      </c>
      <c r="G17" s="47"/>
      <c r="H17" s="47"/>
      <c r="I17" s="57" t="s">
        <v>10</v>
      </c>
      <c r="J17" s="47" t="s">
        <v>61</v>
      </c>
      <c r="K17" s="47"/>
      <c r="L17" s="47"/>
      <c r="M17" s="47"/>
      <c r="N17" s="47"/>
      <c r="O17" s="19">
        <v>148915.8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/>
      <c r="I18" s="57" t="s">
        <v>13</v>
      </c>
      <c r="J18" s="47" t="s">
        <v>64</v>
      </c>
      <c r="K18" s="47"/>
      <c r="L18" s="47"/>
      <c r="M18" s="47"/>
      <c r="N18" s="47"/>
      <c r="O18" s="19">
        <v>30417.627</v>
      </c>
    </row>
    <row r="19" spans="2:15" ht="13.5">
      <c r="B19" s="23" t="s">
        <v>12</v>
      </c>
      <c r="C19" s="46"/>
      <c r="D19" s="19">
        <f>SUM(D16:D18)</f>
        <v>342821.665</v>
      </c>
      <c r="E19" s="24">
        <f>SUM(E16:E18)</f>
        <v>8843938.252999999</v>
      </c>
      <c r="F19" s="20">
        <f>IF((E19=0),0,(IF((D19=0),0,(E19/D19))))</f>
        <v>25.797489353538957</v>
      </c>
      <c r="G19" s="47"/>
      <c r="H19" s="47" t="s">
        <v>67</v>
      </c>
      <c r="I19" s="47" t="s">
        <v>68</v>
      </c>
      <c r="J19" s="47"/>
      <c r="K19" s="47"/>
      <c r="L19" s="47"/>
      <c r="M19" s="47"/>
      <c r="N19" s="47"/>
      <c r="O19" s="58">
        <v>0</v>
      </c>
    </row>
    <row r="20" spans="2:15" ht="13.5">
      <c r="B20" s="3"/>
      <c r="C20" s="46"/>
      <c r="D20" s="19"/>
      <c r="E20" s="19"/>
      <c r="F20" s="20"/>
      <c r="G20" s="47"/>
      <c r="H20" s="47" t="s">
        <v>69</v>
      </c>
      <c r="I20" s="47" t="s">
        <v>70</v>
      </c>
      <c r="J20" s="47"/>
      <c r="K20" s="47"/>
      <c r="L20" s="47"/>
      <c r="M20" s="47"/>
      <c r="N20" s="47"/>
      <c r="O20" s="19">
        <v>382139.537</v>
      </c>
    </row>
    <row r="21" spans="2:15" ht="13.5">
      <c r="B21" s="17" t="s">
        <v>17</v>
      </c>
      <c r="C21" s="46"/>
      <c r="D21" s="19">
        <f>D13+D19</f>
        <v>548541.865</v>
      </c>
      <c r="E21" s="19">
        <f>E13+E19</f>
        <v>14534585.447499998</v>
      </c>
      <c r="F21" s="20">
        <f>IF((E21=0),0,(IF((D21=0),0,(E21/D21))))</f>
        <v>26.496766017120677</v>
      </c>
      <c r="G21" s="47"/>
      <c r="H21" s="47" t="s">
        <v>71</v>
      </c>
      <c r="I21" s="47" t="s">
        <v>72</v>
      </c>
      <c r="J21" s="47"/>
      <c r="K21" s="47"/>
      <c r="L21" s="47"/>
      <c r="M21" s="47"/>
      <c r="N21" s="47"/>
      <c r="O21" s="19">
        <v>0</v>
      </c>
    </row>
    <row r="22" spans="1:15" ht="13.5">
      <c r="A22" s="16" t="s">
        <v>16</v>
      </c>
      <c r="B22" s="3"/>
      <c r="C22" s="46"/>
      <c r="D22" s="19"/>
      <c r="E22" s="19"/>
      <c r="F22" s="20"/>
      <c r="G22" s="47"/>
      <c r="H22" s="47"/>
      <c r="I22" s="47"/>
      <c r="J22" s="49" t="s">
        <v>73</v>
      </c>
      <c r="K22" s="47"/>
      <c r="L22" s="47"/>
      <c r="M22" s="47"/>
      <c r="N22" s="47"/>
      <c r="O22" s="58">
        <f>SUM(O17:O21)</f>
        <v>561472.964</v>
      </c>
    </row>
    <row r="23" spans="2:15" ht="13.5">
      <c r="B23" s="12" t="s">
        <v>18</v>
      </c>
      <c r="C23" s="52"/>
      <c r="D23" s="19"/>
      <c r="E23" s="24">
        <f>E19+E12</f>
        <v>12550105.567499999</v>
      </c>
      <c r="F23" s="20"/>
      <c r="G23" s="47"/>
      <c r="H23" s="47"/>
      <c r="I23" s="47"/>
      <c r="J23" s="47"/>
      <c r="K23" s="47"/>
      <c r="L23" s="47"/>
      <c r="M23" s="47"/>
      <c r="N23" s="47"/>
      <c r="O23" s="58"/>
    </row>
    <row r="24" spans="2:15" ht="13.5">
      <c r="B24" s="12"/>
      <c r="C24" s="52"/>
      <c r="D24" s="19"/>
      <c r="E24" s="19"/>
      <c r="F24" s="20"/>
      <c r="G24" s="57" t="s">
        <v>16</v>
      </c>
      <c r="H24" s="47" t="s">
        <v>74</v>
      </c>
      <c r="I24" s="47"/>
      <c r="J24" s="47"/>
      <c r="K24" s="47"/>
      <c r="L24" s="47"/>
      <c r="M24" s="47"/>
      <c r="N24" s="47"/>
      <c r="O24" s="58">
        <f>+O13+O22</f>
        <v>618276.964</v>
      </c>
    </row>
    <row r="25" spans="2:15" ht="13.5"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1:15" ht="13.5">
      <c r="A26" s="16" t="s">
        <v>19</v>
      </c>
      <c r="B26" s="8" t="s">
        <v>59</v>
      </c>
      <c r="C26" s="55" t="s">
        <v>60</v>
      </c>
      <c r="D26" s="19">
        <v>170.282</v>
      </c>
      <c r="E26" s="19">
        <v>4710.342</v>
      </c>
      <c r="F26" s="20">
        <v>27.66200772835649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94</v>
      </c>
      <c r="C27" s="55" t="s">
        <v>76</v>
      </c>
      <c r="D27" s="19">
        <f>3925.986+2632</f>
        <v>6557.986</v>
      </c>
      <c r="E27" s="19">
        <f>85827.206+58153</f>
        <v>143980.206</v>
      </c>
      <c r="F27" s="20">
        <f>E27/D27</f>
        <v>21.954942569258307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18868.319</v>
      </c>
      <c r="E28" s="19">
        <v>776098.8899999999</v>
      </c>
      <c r="F28" s="20">
        <v>41.13238121530593</v>
      </c>
      <c r="G28" s="47"/>
      <c r="H28" s="47"/>
      <c r="I28" s="47"/>
      <c r="J28" s="47"/>
      <c r="K28" s="47"/>
      <c r="L28" s="47"/>
      <c r="M28" s="47"/>
      <c r="N28" s="47"/>
      <c r="O28" s="58"/>
    </row>
    <row r="29" spans="2:15" ht="13.5">
      <c r="B29" s="8" t="s">
        <v>78</v>
      </c>
      <c r="C29" s="55" t="s">
        <v>76</v>
      </c>
      <c r="D29" s="19">
        <v>14576.067999999997</v>
      </c>
      <c r="E29" s="19">
        <v>375689.333</v>
      </c>
      <c r="F29" s="20">
        <v>25.774394919123598</v>
      </c>
      <c r="G29" s="57" t="s">
        <v>19</v>
      </c>
      <c r="H29" s="47" t="s">
        <v>77</v>
      </c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91.132</v>
      </c>
      <c r="E30" s="19">
        <v>6436.387</v>
      </c>
      <c r="F30" s="20">
        <v>70.62707940130798</v>
      </c>
      <c r="G30" s="47"/>
      <c r="H30" s="47" t="s">
        <v>57</v>
      </c>
      <c r="I30" s="47" t="s">
        <v>68</v>
      </c>
      <c r="J30" s="47"/>
      <c r="K30" s="47"/>
      <c r="L30" s="47"/>
      <c r="M30" s="47"/>
      <c r="N30" s="47"/>
      <c r="O30" s="58">
        <v>0</v>
      </c>
    </row>
    <row r="31" spans="2:15" ht="13.5">
      <c r="B31" s="23" t="s">
        <v>12</v>
      </c>
      <c r="C31" s="46"/>
      <c r="D31" s="19">
        <f>SUM(D26:D30)</f>
        <v>40263.787</v>
      </c>
      <c r="E31" s="19">
        <f>SUM(E26:E30)</f>
        <v>1306915.1579999998</v>
      </c>
      <c r="F31" s="20">
        <f>IF((E31=0),0,(IF((D31=0),0,(E31/D31))))</f>
        <v>32.458823557754265</v>
      </c>
      <c r="G31" s="47"/>
      <c r="H31" s="47" t="s">
        <v>67</v>
      </c>
      <c r="I31" s="47" t="s">
        <v>70</v>
      </c>
      <c r="J31" s="47"/>
      <c r="K31" s="47"/>
      <c r="L31" s="47"/>
      <c r="M31" s="47"/>
      <c r="N31" s="47"/>
      <c r="O31" s="19">
        <v>19989.545</v>
      </c>
    </row>
    <row r="32" spans="2:15" ht="13.5">
      <c r="B32" s="3"/>
      <c r="C32" s="46"/>
      <c r="D32" s="19"/>
      <c r="E32" s="19"/>
      <c r="F32" s="20"/>
      <c r="G32" s="47"/>
      <c r="H32" s="47" t="s">
        <v>69</v>
      </c>
      <c r="I32" s="47" t="s">
        <v>79</v>
      </c>
      <c r="J32" s="47"/>
      <c r="K32" s="47"/>
      <c r="L32" s="47"/>
      <c r="M32" s="47"/>
      <c r="N32" s="47"/>
      <c r="O32" s="59">
        <v>89918.493</v>
      </c>
    </row>
    <row r="33" spans="2:15" ht="13.5">
      <c r="B33" s="17" t="s">
        <v>24</v>
      </c>
      <c r="C33" s="46"/>
      <c r="D33" s="19">
        <f>D21-D31</f>
        <v>508278.078</v>
      </c>
      <c r="E33" s="19">
        <f>E21-E31</f>
        <v>13227670.289499998</v>
      </c>
      <c r="F33" s="20">
        <f>IF((E33=0),0,(IF((D33=0),0,(E33/D33))))</f>
        <v>26.024475306015457</v>
      </c>
      <c r="G33" s="47"/>
      <c r="H33" s="47" t="s">
        <v>71</v>
      </c>
      <c r="I33" s="47" t="s">
        <v>72</v>
      </c>
      <c r="J33" s="47"/>
      <c r="K33" s="47"/>
      <c r="L33" s="47"/>
      <c r="M33" s="47"/>
      <c r="N33" s="47"/>
      <c r="O33" s="19">
        <v>91.132</v>
      </c>
    </row>
    <row r="34" spans="2:15" ht="13.5">
      <c r="B34" s="3"/>
      <c r="C34" s="46"/>
      <c r="D34" s="19"/>
      <c r="E34" s="19"/>
      <c r="F34" s="20"/>
      <c r="G34" s="47"/>
      <c r="H34" s="47"/>
      <c r="I34" s="47"/>
      <c r="J34" s="49" t="s">
        <v>80</v>
      </c>
      <c r="K34" s="47"/>
      <c r="L34" s="47"/>
      <c r="M34" s="47"/>
      <c r="N34" s="47"/>
      <c r="O34" s="58">
        <f>SUM(O30:O33)</f>
        <v>109999.17</v>
      </c>
    </row>
    <row r="35" spans="1:15" ht="13.5">
      <c r="A35" s="16" t="s">
        <v>23</v>
      </c>
      <c r="B35" s="17" t="s">
        <v>26</v>
      </c>
      <c r="C35" s="46"/>
      <c r="D35" s="19">
        <f>+D31+D33</f>
        <v>548541.865</v>
      </c>
      <c r="E35" s="19">
        <f>+E31+E33</f>
        <v>14534585.447499998</v>
      </c>
      <c r="F35" s="20">
        <f>IF((E35=0),0,(IF((D35=0),0,(E35/D35))))</f>
        <v>26.496766017120677</v>
      </c>
      <c r="G35" s="47"/>
      <c r="H35" s="47"/>
      <c r="I35" s="47"/>
      <c r="J35" s="47"/>
      <c r="K35" s="47"/>
      <c r="L35" s="47"/>
      <c r="M35" s="47"/>
      <c r="N35" s="47"/>
      <c r="O35" s="58"/>
    </row>
    <row r="36" spans="2:15" ht="13.5">
      <c r="B36" s="8"/>
      <c r="C36" s="46"/>
      <c r="D36" s="19"/>
      <c r="E36" s="19"/>
      <c r="F36" s="20"/>
      <c r="G36" s="57" t="s">
        <v>23</v>
      </c>
      <c r="H36" s="47" t="s">
        <v>81</v>
      </c>
      <c r="I36" s="47"/>
      <c r="J36" s="47"/>
      <c r="K36" s="47"/>
      <c r="L36" s="47"/>
      <c r="M36" s="47"/>
      <c r="N36" s="47"/>
      <c r="O36" s="58">
        <f>+O24-O34</f>
        <v>508277.79400000005</v>
      </c>
    </row>
    <row r="37" spans="1:15" ht="13.5">
      <c r="A37" s="16" t="s">
        <v>25</v>
      </c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5">
      <c r="A38" s="16"/>
      <c r="D38" s="19"/>
      <c r="E38" s="19"/>
      <c r="F38" s="20"/>
      <c r="G38" s="57" t="s">
        <v>82</v>
      </c>
      <c r="H38" s="47" t="s">
        <v>83</v>
      </c>
      <c r="I38" s="47"/>
      <c r="J38" s="47"/>
      <c r="K38" s="47"/>
      <c r="L38" s="47"/>
      <c r="M38" s="47"/>
      <c r="N38" s="47" t="s">
        <v>4</v>
      </c>
      <c r="O38" s="58">
        <f>O34+O36</f>
        <v>618276.964</v>
      </c>
    </row>
    <row r="39" spans="1:15" ht="13.5">
      <c r="A39" s="16"/>
      <c r="B39" s="8" t="s">
        <v>28</v>
      </c>
      <c r="C39" s="46"/>
      <c r="D39" s="63">
        <f>D21-D31</f>
        <v>508278.078</v>
      </c>
      <c r="E39" s="63">
        <f>E21-E31</f>
        <v>13227670.289499998</v>
      </c>
      <c r="F39" s="64">
        <f aca="true" t="shared" si="0" ref="F39:F45">IF((E39=0),0,(IF((D39=0),0,(E39/D39))))</f>
        <v>26.024475306015457</v>
      </c>
      <c r="G39" s="47"/>
      <c r="H39" s="47"/>
      <c r="I39" s="47"/>
      <c r="J39" s="47"/>
      <c r="K39" s="47"/>
      <c r="L39" s="47"/>
      <c r="M39" s="47"/>
      <c r="N39" s="60" t="s">
        <v>4</v>
      </c>
      <c r="O39" s="61" t="s">
        <v>4</v>
      </c>
    </row>
    <row r="40" spans="2:15" ht="13.5">
      <c r="B40" s="8" t="s">
        <v>86</v>
      </c>
      <c r="C40" s="46"/>
      <c r="D40" s="19">
        <f>D41-D39</f>
        <v>-0.2839999999268912</v>
      </c>
      <c r="E40" s="19">
        <v>0</v>
      </c>
      <c r="F40" s="20">
        <f t="shared" si="0"/>
        <v>0</v>
      </c>
      <c r="G40" s="47" t="s">
        <v>84</v>
      </c>
      <c r="H40" s="62" t="s">
        <v>85</v>
      </c>
      <c r="I40" s="47"/>
      <c r="J40" s="47"/>
      <c r="K40" s="47"/>
      <c r="L40" s="47"/>
      <c r="M40" s="47"/>
      <c r="N40" s="61" t="s">
        <v>4</v>
      </c>
      <c r="O40" s="58" t="s">
        <v>4</v>
      </c>
    </row>
    <row r="41" spans="1:6" ht="13.5">
      <c r="A41" s="16" t="s">
        <v>27</v>
      </c>
      <c r="B41" s="8" t="s">
        <v>32</v>
      </c>
      <c r="C41" s="46"/>
      <c r="D41" s="19">
        <f>D45-D44</f>
        <v>508277.79400000005</v>
      </c>
      <c r="E41" s="19">
        <f>(SUM(E39))+E40</f>
        <v>13227670.289499998</v>
      </c>
      <c r="F41" s="20">
        <f t="shared" si="0"/>
        <v>26.0244898471799</v>
      </c>
    </row>
    <row r="42" spans="1:6" ht="13.5">
      <c r="A42" s="71" t="s">
        <v>29</v>
      </c>
      <c r="B42" s="72" t="s">
        <v>34</v>
      </c>
      <c r="C42" s="73"/>
      <c r="D42" s="74">
        <v>2093.7955426</v>
      </c>
      <c r="E42" s="74">
        <v>56931.35135898659</v>
      </c>
      <c r="F42" s="20">
        <f t="shared" si="0"/>
        <v>27.190501747028886</v>
      </c>
    </row>
    <row r="43" spans="1:6" ht="13.5">
      <c r="A43" s="71" t="s">
        <v>31</v>
      </c>
      <c r="B43" s="72" t="s">
        <v>36</v>
      </c>
      <c r="C43" s="73"/>
      <c r="D43" s="74">
        <v>-2093.7955426</v>
      </c>
      <c r="E43" s="74">
        <v>-56931.35135898659</v>
      </c>
      <c r="F43" s="20">
        <f t="shared" si="0"/>
        <v>27.190501747028886</v>
      </c>
    </row>
    <row r="44" spans="1:6" ht="13.5">
      <c r="A44" s="71" t="s">
        <v>33</v>
      </c>
      <c r="B44" s="75" t="s">
        <v>38</v>
      </c>
      <c r="C44" s="73"/>
      <c r="D44" s="74">
        <v>0</v>
      </c>
      <c r="E44" s="74">
        <v>0</v>
      </c>
      <c r="F44" s="20">
        <f t="shared" si="0"/>
        <v>0</v>
      </c>
    </row>
    <row r="45" spans="1:6" ht="13.5">
      <c r="A45" s="71" t="s">
        <v>35</v>
      </c>
      <c r="B45" s="75" t="s">
        <v>40</v>
      </c>
      <c r="C45" s="76" t="s">
        <v>87</v>
      </c>
      <c r="D45" s="74">
        <v>508277.79400000005</v>
      </c>
      <c r="E45" s="77">
        <f>SUM(E41:E44)</f>
        <v>13227670.289499998</v>
      </c>
      <c r="F45" s="65">
        <f t="shared" si="0"/>
        <v>26.0244898471799</v>
      </c>
    </row>
    <row r="46" spans="1:6" ht="13.5">
      <c r="A46" s="16" t="s">
        <v>37</v>
      </c>
      <c r="B46" s="37" t="s">
        <v>4</v>
      </c>
      <c r="C46" s="37"/>
      <c r="D46" s="37"/>
      <c r="E46" s="37"/>
      <c r="F46" s="37"/>
    </row>
    <row r="47" spans="1:11" ht="15.75">
      <c r="A47" s="16" t="s">
        <v>39</v>
      </c>
      <c r="B47" s="38" t="s">
        <v>4</v>
      </c>
      <c r="C47"/>
      <c r="D47"/>
      <c r="E47"/>
      <c r="F47"/>
      <c r="G47" s="37"/>
      <c r="H47" s="37"/>
      <c r="I47" s="37"/>
      <c r="J47" s="37"/>
      <c r="K47" s="37"/>
    </row>
    <row r="48" spans="1:11" ht="15.75">
      <c r="A48" s="36" t="s">
        <v>4</v>
      </c>
      <c r="B48" s="3"/>
      <c r="C48" s="46"/>
      <c r="D48" s="19"/>
      <c r="E48" s="19"/>
      <c r="F48" s="39"/>
      <c r="G48" s="66" t="s">
        <v>4</v>
      </c>
      <c r="H48" s="67"/>
      <c r="I48" s="67" t="s">
        <v>4</v>
      </c>
      <c r="J48" s="67"/>
      <c r="K48"/>
    </row>
    <row r="49" ht="15.75">
      <c r="A49"/>
    </row>
    <row r="52" spans="1:8" ht="15.75">
      <c r="A52"/>
      <c r="B52"/>
      <c r="C52"/>
      <c r="D52"/>
      <c r="E52"/>
      <c r="F52"/>
      <c r="G52"/>
      <c r="H52"/>
    </row>
    <row r="53" spans="1:8" ht="15.75">
      <c r="A53"/>
      <c r="B53"/>
      <c r="C53"/>
      <c r="D53"/>
      <c r="E53"/>
      <c r="F53"/>
      <c r="G53"/>
      <c r="H53"/>
    </row>
    <row r="54" spans="1:8" ht="15.75">
      <c r="A54"/>
      <c r="B54"/>
      <c r="C54"/>
      <c r="D54"/>
      <c r="E54"/>
      <c r="F54"/>
      <c r="G54"/>
      <c r="H54"/>
    </row>
    <row r="55" spans="1:8" ht="15.75">
      <c r="A55"/>
      <c r="B55"/>
      <c r="C55"/>
      <c r="D55"/>
      <c r="E55"/>
      <c r="F55"/>
      <c r="G55"/>
      <c r="H55"/>
    </row>
    <row r="56" spans="1:8" ht="15.75">
      <c r="A56"/>
      <c r="B56"/>
      <c r="C56"/>
      <c r="D56"/>
      <c r="E56"/>
      <c r="F56"/>
      <c r="G56"/>
      <c r="H56"/>
    </row>
    <row r="57" spans="1:8" ht="15.75">
      <c r="A57"/>
      <c r="B57"/>
      <c r="C57"/>
      <c r="D57"/>
      <c r="E57"/>
      <c r="F57"/>
      <c r="G57"/>
      <c r="H57"/>
    </row>
    <row r="58" spans="1:8" ht="15.75">
      <c r="A58"/>
      <c r="B58"/>
      <c r="C58"/>
      <c r="D58"/>
      <c r="E58"/>
      <c r="F58"/>
      <c r="G58"/>
      <c r="H58"/>
    </row>
    <row r="59" spans="1:8" ht="15.75">
      <c r="A59"/>
      <c r="B59"/>
      <c r="C59"/>
      <c r="D59"/>
      <c r="E59"/>
      <c r="F59"/>
      <c r="G59"/>
      <c r="H59"/>
    </row>
    <row r="60" ht="13.5">
      <c r="B60" s="6" t="s">
        <v>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>
        <f ca="1">NOW()</f>
        <v>42101.74606493056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E6</f>
        <v>June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3.5">
      <c r="B6" s="8" t="s">
        <v>3</v>
      </c>
      <c r="C6" s="46"/>
      <c r="E6" s="51" t="str">
        <f>+'[7]INPUT SHEET'!B1</f>
        <v>June 2013 ACTUAL</v>
      </c>
      <c r="F6" s="11" t="s">
        <v>4</v>
      </c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52</v>
      </c>
      <c r="C11" s="55" t="s">
        <v>53</v>
      </c>
      <c r="D11" s="24">
        <v>117583</v>
      </c>
      <c r="E11" s="19">
        <v>4565301.46</v>
      </c>
      <c r="F11" s="20">
        <v>38.8262032776847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94</v>
      </c>
      <c r="C12" s="55" t="s">
        <v>54</v>
      </c>
      <c r="D12" s="19">
        <f>64342+100108</f>
        <v>164450</v>
      </c>
      <c r="E12" s="56">
        <f>1657032.7755+2587388</f>
        <v>4244420.7754999995</v>
      </c>
      <c r="F12" s="20">
        <f>E12/D12</f>
        <v>25.80979492550927</v>
      </c>
      <c r="G12" s="57" t="s">
        <v>10</v>
      </c>
      <c r="H12" s="47" t="s">
        <v>11</v>
      </c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282033</v>
      </c>
      <c r="E13" s="19">
        <f>SUM(E11:E12)</f>
        <v>8809722.2355</v>
      </c>
      <c r="F13" s="20">
        <f>IF((E13=0),0,(IF((D13=0),0,(E13/D13))))</f>
        <v>31.236494436821225</v>
      </c>
      <c r="G13" s="47"/>
      <c r="H13" s="47"/>
      <c r="I13" s="47" t="s">
        <v>55</v>
      </c>
      <c r="J13" s="47"/>
      <c r="K13" s="47"/>
      <c r="L13" s="47"/>
      <c r="M13" s="47"/>
      <c r="N13" s="47"/>
      <c r="O13" s="19">
        <v>117583</v>
      </c>
    </row>
    <row r="14" spans="2:15" ht="13.5">
      <c r="B14" s="3"/>
      <c r="C14" s="46"/>
      <c r="D14" s="19"/>
      <c r="E14" s="19"/>
      <c r="F14" s="20"/>
      <c r="G14" s="47"/>
      <c r="H14" s="47"/>
      <c r="I14" s="47"/>
      <c r="J14" s="47"/>
      <c r="K14" s="47"/>
      <c r="L14" s="47"/>
      <c r="M14" s="47"/>
      <c r="N14" s="47"/>
      <c r="O14" s="58"/>
    </row>
    <row r="15" spans="2:15" ht="13.5">
      <c r="B15" s="17" t="s">
        <v>14</v>
      </c>
      <c r="C15" s="46"/>
      <c r="D15" s="19"/>
      <c r="E15" s="19"/>
      <c r="F15" s="20"/>
      <c r="G15" s="57" t="s">
        <v>13</v>
      </c>
      <c r="H15" s="47" t="s">
        <v>56</v>
      </c>
      <c r="I15" s="47"/>
      <c r="J15" s="47"/>
      <c r="K15" s="47"/>
      <c r="L15" s="47"/>
      <c r="M15" s="47"/>
      <c r="N15" s="47"/>
      <c r="O15" s="58"/>
    </row>
    <row r="16" spans="1:15" ht="13.5">
      <c r="A16" s="16" t="s">
        <v>13</v>
      </c>
      <c r="B16" s="8" t="s">
        <v>59</v>
      </c>
      <c r="C16" s="55" t="s">
        <v>60</v>
      </c>
      <c r="D16" s="19">
        <v>339467.989</v>
      </c>
      <c r="E16" s="19">
        <v>7961858.63</v>
      </c>
      <c r="F16" s="20">
        <v>23.453930526568737</v>
      </c>
      <c r="G16" s="47"/>
      <c r="H16" s="47" t="s">
        <v>57</v>
      </c>
      <c r="I16" s="47" t="s">
        <v>58</v>
      </c>
      <c r="J16" s="47"/>
      <c r="K16" s="47"/>
      <c r="L16" s="47"/>
      <c r="M16" s="47"/>
      <c r="N16" s="47"/>
      <c r="O16" s="58" t="s">
        <v>4</v>
      </c>
    </row>
    <row r="17" spans="1:15" ht="13.5">
      <c r="A17" s="6"/>
      <c r="B17" s="8" t="s">
        <v>62</v>
      </c>
      <c r="C17" s="55" t="s">
        <v>63</v>
      </c>
      <c r="D17" s="19">
        <v>17500.513</v>
      </c>
      <c r="E17" s="19">
        <v>601077.62</v>
      </c>
      <c r="F17" s="20">
        <v>34.34628573459533</v>
      </c>
      <c r="G17" s="47"/>
      <c r="H17" s="47"/>
      <c r="I17" s="57" t="s">
        <v>10</v>
      </c>
      <c r="J17" s="47" t="s">
        <v>61</v>
      </c>
      <c r="K17" s="47"/>
      <c r="L17" s="47"/>
      <c r="M17" s="47"/>
      <c r="N17" s="47"/>
      <c r="O17" s="19">
        <v>164450.55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/>
      <c r="I18" s="57" t="s">
        <v>13</v>
      </c>
      <c r="J18" s="47" t="s">
        <v>64</v>
      </c>
      <c r="K18" s="47"/>
      <c r="L18" s="47"/>
      <c r="M18" s="47"/>
      <c r="N18" s="47"/>
      <c r="O18" s="19">
        <v>17500.513</v>
      </c>
    </row>
    <row r="19" spans="2:15" ht="13.5">
      <c r="B19" s="23" t="s">
        <v>12</v>
      </c>
      <c r="C19" s="46"/>
      <c r="D19" s="19">
        <f>SUM(D16:D18)</f>
        <v>356968.502</v>
      </c>
      <c r="E19" s="24">
        <f>SUM(E16:E18)</f>
        <v>8562936.25</v>
      </c>
      <c r="F19" s="20">
        <f>IF((E19=0),0,(IF((D19=0),0,(E19/D19))))</f>
        <v>23.987932274203846</v>
      </c>
      <c r="G19" s="47"/>
      <c r="H19" s="47" t="s">
        <v>67</v>
      </c>
      <c r="I19" s="47" t="s">
        <v>68</v>
      </c>
      <c r="J19" s="47"/>
      <c r="K19" s="47"/>
      <c r="L19" s="47"/>
      <c r="M19" s="47"/>
      <c r="N19" s="47"/>
      <c r="O19" s="58">
        <v>0</v>
      </c>
    </row>
    <row r="20" spans="2:15" ht="13.5">
      <c r="B20" s="3"/>
      <c r="C20" s="46"/>
      <c r="D20" s="19"/>
      <c r="E20" s="19"/>
      <c r="F20" s="20"/>
      <c r="G20" s="47"/>
      <c r="H20" s="47" t="s">
        <v>69</v>
      </c>
      <c r="I20" s="47" t="s">
        <v>70</v>
      </c>
      <c r="J20" s="47"/>
      <c r="K20" s="47"/>
      <c r="L20" s="47"/>
      <c r="M20" s="47"/>
      <c r="N20" s="47"/>
      <c r="O20" s="19">
        <v>471998.151</v>
      </c>
    </row>
    <row r="21" spans="2:15" ht="13.5">
      <c r="B21" s="17" t="s">
        <v>17</v>
      </c>
      <c r="C21" s="46"/>
      <c r="D21" s="19">
        <f>D13+D19</f>
        <v>639001.502</v>
      </c>
      <c r="E21" s="19">
        <f>E13+E19</f>
        <v>17372658.4855</v>
      </c>
      <c r="F21" s="20">
        <f>IF((E21=0),0,(IF((D21=0),0,(E21/D21))))</f>
        <v>27.18719507094367</v>
      </c>
      <c r="G21" s="47"/>
      <c r="H21" s="47" t="s">
        <v>71</v>
      </c>
      <c r="I21" s="47" t="s">
        <v>72</v>
      </c>
      <c r="J21" s="47"/>
      <c r="K21" s="47"/>
      <c r="L21" s="47"/>
      <c r="M21" s="47"/>
      <c r="N21" s="47"/>
      <c r="O21" s="19">
        <v>0</v>
      </c>
    </row>
    <row r="22" spans="1:15" ht="13.5">
      <c r="A22" s="16" t="s">
        <v>16</v>
      </c>
      <c r="B22" s="3"/>
      <c r="C22" s="46"/>
      <c r="D22" s="19"/>
      <c r="E22" s="19"/>
      <c r="F22" s="20"/>
      <c r="G22" s="47"/>
      <c r="H22" s="47"/>
      <c r="I22" s="47"/>
      <c r="J22" s="49" t="s">
        <v>73</v>
      </c>
      <c r="K22" s="47"/>
      <c r="L22" s="47"/>
      <c r="M22" s="47"/>
      <c r="N22" s="47"/>
      <c r="O22" s="58">
        <v>653949.214</v>
      </c>
    </row>
    <row r="23" spans="2:15" ht="13.5">
      <c r="B23" s="12" t="s">
        <v>18</v>
      </c>
      <c r="C23" s="52"/>
      <c r="D23" s="19"/>
      <c r="E23" s="24">
        <f>E12+E19</f>
        <v>12807357.0255</v>
      </c>
      <c r="F23" s="20"/>
      <c r="G23" s="47"/>
      <c r="H23" s="47"/>
      <c r="I23" s="47"/>
      <c r="J23" s="47"/>
      <c r="K23" s="47"/>
      <c r="L23" s="47"/>
      <c r="M23" s="47"/>
      <c r="N23" s="47"/>
      <c r="O23" s="58"/>
    </row>
    <row r="24" spans="2:15" ht="13.5">
      <c r="B24" s="12"/>
      <c r="C24" s="52"/>
      <c r="D24" s="19"/>
      <c r="E24" s="19"/>
      <c r="F24" s="20"/>
      <c r="G24" s="57" t="s">
        <v>16</v>
      </c>
      <c r="H24" s="47" t="s">
        <v>74</v>
      </c>
      <c r="I24" s="47"/>
      <c r="J24" s="47"/>
      <c r="K24" s="47"/>
      <c r="L24" s="47"/>
      <c r="M24" s="47"/>
      <c r="N24" s="47"/>
      <c r="O24" s="58">
        <v>771532.214</v>
      </c>
    </row>
    <row r="25" spans="2:15" ht="13.5"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1:15" ht="13.5">
      <c r="A26" s="16" t="s">
        <v>19</v>
      </c>
      <c r="B26" s="8" t="s">
        <v>59</v>
      </c>
      <c r="C26" s="55" t="s">
        <v>60</v>
      </c>
      <c r="D26" s="19">
        <v>0</v>
      </c>
      <c r="E26" s="19">
        <v>0</v>
      </c>
      <c r="F26" s="20">
        <v>0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94</v>
      </c>
      <c r="C27" s="55" t="s">
        <v>76</v>
      </c>
      <c r="D27" s="19">
        <f>18326.385+21560</f>
        <v>39886.384999999995</v>
      </c>
      <c r="E27" s="19">
        <f>412956.898+485037</f>
        <v>897993.898</v>
      </c>
      <c r="F27" s="20">
        <v>22.53346189114765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13819.028999999999</v>
      </c>
      <c r="E28" s="19">
        <v>503976.9</v>
      </c>
      <c r="F28" s="20">
        <f>E28/D28</f>
        <v>36.46977656679062</v>
      </c>
      <c r="G28" s="47"/>
      <c r="H28" s="47"/>
      <c r="I28" s="47"/>
      <c r="J28" s="47"/>
      <c r="K28" s="47"/>
      <c r="L28" s="47"/>
      <c r="M28" s="47"/>
      <c r="N28" s="47"/>
      <c r="O28" s="58"/>
    </row>
    <row r="29" spans="2:15" ht="13.5">
      <c r="B29" s="8" t="s">
        <v>78</v>
      </c>
      <c r="C29" s="55" t="s">
        <v>76</v>
      </c>
      <c r="D29" s="19">
        <v>46137.005000000005</v>
      </c>
      <c r="E29" s="19">
        <v>1417882.6349999981</v>
      </c>
      <c r="F29" s="20">
        <v>30.732004277260693</v>
      </c>
      <c r="G29" s="57" t="s">
        <v>19</v>
      </c>
      <c r="H29" s="47" t="s">
        <v>77</v>
      </c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78.945</v>
      </c>
      <c r="E30" s="19">
        <v>1991.139</v>
      </c>
      <c r="F30" s="20">
        <v>25.221850655519667</v>
      </c>
      <c r="G30" s="47"/>
      <c r="H30" s="47" t="s">
        <v>57</v>
      </c>
      <c r="I30" s="47" t="s">
        <v>68</v>
      </c>
      <c r="J30" s="47"/>
      <c r="K30" s="47"/>
      <c r="L30" s="47"/>
      <c r="M30" s="47"/>
      <c r="N30" s="47"/>
      <c r="O30" s="58">
        <v>0</v>
      </c>
    </row>
    <row r="31" spans="2:15" ht="13.5">
      <c r="B31" s="23" t="s">
        <v>12</v>
      </c>
      <c r="C31" s="46"/>
      <c r="D31" s="19">
        <f>SUM(D26:D30)</f>
        <v>99921.364</v>
      </c>
      <c r="E31" s="19">
        <f>SUM(E26:E30)</f>
        <v>2821844.5719999983</v>
      </c>
      <c r="F31" s="20">
        <f>IF((E31=0),0,(IF((D31=0),0,(E31/D31))))</f>
        <v>28.240653039924457</v>
      </c>
      <c r="G31" s="47"/>
      <c r="H31" s="47" t="s">
        <v>67</v>
      </c>
      <c r="I31" s="47" t="s">
        <v>70</v>
      </c>
      <c r="J31" s="47"/>
      <c r="K31" s="47"/>
      <c r="L31" s="47"/>
      <c r="M31" s="47"/>
      <c r="N31" s="47"/>
      <c r="O31" s="19">
        <v>80670.185</v>
      </c>
    </row>
    <row r="32" spans="2:15" ht="13.5">
      <c r="B32" s="3"/>
      <c r="C32" s="46"/>
      <c r="D32" s="19"/>
      <c r="E32" s="19"/>
      <c r="F32" s="20"/>
      <c r="G32" s="47"/>
      <c r="H32" s="47" t="s">
        <v>69</v>
      </c>
      <c r="I32" s="47" t="s">
        <v>79</v>
      </c>
      <c r="J32" s="47"/>
      <c r="K32" s="47"/>
      <c r="L32" s="47"/>
      <c r="M32" s="47"/>
      <c r="N32" s="47"/>
      <c r="O32" s="59">
        <v>151702.15500000003</v>
      </c>
    </row>
    <row r="33" spans="2:15" ht="13.5">
      <c r="B33" s="17" t="s">
        <v>24</v>
      </c>
      <c r="C33" s="46"/>
      <c r="D33" s="19">
        <f>D21-D31</f>
        <v>539080.138</v>
      </c>
      <c r="E33" s="19">
        <f>E21-E31</f>
        <v>14550813.913500002</v>
      </c>
      <c r="F33" s="20">
        <f>IF((E33=0),0,(IF((D33=0),0,(E33/D33))))</f>
        <v>26.99193104662298</v>
      </c>
      <c r="G33" s="47"/>
      <c r="H33" s="47" t="s">
        <v>71</v>
      </c>
      <c r="I33" s="47" t="s">
        <v>72</v>
      </c>
      <c r="J33" s="47"/>
      <c r="K33" s="47"/>
      <c r="L33" s="47"/>
      <c r="M33" s="47"/>
      <c r="N33" s="47"/>
      <c r="O33" s="19">
        <v>78.945</v>
      </c>
    </row>
    <row r="34" spans="2:15" ht="13.5">
      <c r="B34" s="3"/>
      <c r="C34" s="46"/>
      <c r="D34" s="19"/>
      <c r="E34" s="19"/>
      <c r="F34" s="20"/>
      <c r="G34" s="47"/>
      <c r="H34" s="47"/>
      <c r="I34" s="47"/>
      <c r="J34" s="49" t="s">
        <v>80</v>
      </c>
      <c r="K34" s="47"/>
      <c r="L34" s="47"/>
      <c r="M34" s="47"/>
      <c r="N34" s="47"/>
      <c r="O34" s="58">
        <f>SUM(O30:O33)</f>
        <v>232451.28500000003</v>
      </c>
    </row>
    <row r="35" spans="1:15" ht="13.5">
      <c r="A35" s="16" t="s">
        <v>23</v>
      </c>
      <c r="B35" s="17" t="s">
        <v>26</v>
      </c>
      <c r="C35" s="46"/>
      <c r="D35" s="19">
        <f>+D31+D33</f>
        <v>639001.5020000001</v>
      </c>
      <c r="E35" s="19">
        <f>+E31+E33</f>
        <v>17372658.4855</v>
      </c>
      <c r="F35" s="20">
        <f>IF((E35=0),0,(IF((D35=0),0,(E35/D35))))</f>
        <v>27.187195070943663</v>
      </c>
      <c r="G35" s="47"/>
      <c r="H35" s="47"/>
      <c r="I35" s="47"/>
      <c r="J35" s="47"/>
      <c r="K35" s="47"/>
      <c r="L35" s="47"/>
      <c r="M35" s="47"/>
      <c r="N35" s="47"/>
      <c r="O35" s="58"/>
    </row>
    <row r="36" spans="2:15" ht="13.5">
      <c r="B36" s="8"/>
      <c r="C36" s="46"/>
      <c r="D36" s="19"/>
      <c r="E36" s="19"/>
      <c r="F36" s="20"/>
      <c r="G36" s="57" t="s">
        <v>23</v>
      </c>
      <c r="H36" s="47" t="s">
        <v>81</v>
      </c>
      <c r="I36" s="47"/>
      <c r="J36" s="47"/>
      <c r="K36" s="47"/>
      <c r="L36" s="47"/>
      <c r="M36" s="47"/>
      <c r="N36" s="47"/>
      <c r="O36" s="58">
        <f>+O24-O34</f>
        <v>539080.929</v>
      </c>
    </row>
    <row r="37" spans="1:15" ht="13.5">
      <c r="A37" s="16" t="s">
        <v>25</v>
      </c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5">
      <c r="A38" s="16"/>
      <c r="D38" s="19"/>
      <c r="E38" s="19"/>
      <c r="F38" s="20"/>
      <c r="G38" s="57" t="s">
        <v>82</v>
      </c>
      <c r="H38" s="47" t="s">
        <v>83</v>
      </c>
      <c r="I38" s="47"/>
      <c r="J38" s="47"/>
      <c r="K38" s="47"/>
      <c r="L38" s="47"/>
      <c r="M38" s="47"/>
      <c r="N38" s="47" t="s">
        <v>4</v>
      </c>
      <c r="O38" s="58">
        <f>O34+O36</f>
        <v>771532.214</v>
      </c>
    </row>
    <row r="39" spans="1:15" ht="13.5">
      <c r="A39" s="16"/>
      <c r="B39" s="8" t="s">
        <v>28</v>
      </c>
      <c r="C39" s="46"/>
      <c r="D39" s="63">
        <f>D21-D31</f>
        <v>539080.138</v>
      </c>
      <c r="E39" s="63">
        <f>E21-E31</f>
        <v>14550813.913500002</v>
      </c>
      <c r="F39" s="64">
        <f aca="true" t="shared" si="0" ref="F39:F45">IF((E39=0),0,(IF((D39=0),0,(E39/D39))))</f>
        <v>26.99193104662298</v>
      </c>
      <c r="G39" s="47"/>
      <c r="H39" s="47"/>
      <c r="I39" s="47"/>
      <c r="J39" s="47"/>
      <c r="K39" s="47"/>
      <c r="L39" s="47"/>
      <c r="M39" s="47"/>
      <c r="N39" s="60" t="s">
        <v>4</v>
      </c>
      <c r="O39" s="61" t="s">
        <v>4</v>
      </c>
    </row>
    <row r="40" spans="2:15" ht="13.5">
      <c r="B40" s="8" t="s">
        <v>86</v>
      </c>
      <c r="C40" s="46"/>
      <c r="D40" s="19">
        <f>D41-D39</f>
        <v>0.790999999968335</v>
      </c>
      <c r="E40" s="19">
        <v>0</v>
      </c>
      <c r="F40" s="20">
        <f t="shared" si="0"/>
        <v>0</v>
      </c>
      <c r="G40" s="47" t="s">
        <v>84</v>
      </c>
      <c r="H40" s="62" t="s">
        <v>85</v>
      </c>
      <c r="I40" s="47"/>
      <c r="J40" s="47"/>
      <c r="K40" s="47"/>
      <c r="L40" s="47"/>
      <c r="M40" s="47"/>
      <c r="N40" s="61" t="s">
        <v>4</v>
      </c>
      <c r="O40" s="58" t="s">
        <v>4</v>
      </c>
    </row>
    <row r="41" spans="1:6" ht="13.5">
      <c r="A41" s="16" t="s">
        <v>27</v>
      </c>
      <c r="B41" s="8" t="s">
        <v>32</v>
      </c>
      <c r="C41" s="46"/>
      <c r="D41" s="19">
        <f>D45-D44</f>
        <v>539080.929</v>
      </c>
      <c r="E41" s="19">
        <f>(SUM(E39))+E40</f>
        <v>14550813.913500002</v>
      </c>
      <c r="F41" s="20">
        <f t="shared" si="0"/>
        <v>26.991891441034454</v>
      </c>
    </row>
    <row r="42" spans="1:6" ht="13.5">
      <c r="A42" s="71" t="s">
        <v>29</v>
      </c>
      <c r="B42" s="72" t="s">
        <v>34</v>
      </c>
      <c r="C42" s="73"/>
      <c r="D42" s="74">
        <v>-736</v>
      </c>
      <c r="E42" s="74">
        <v>-19020</v>
      </c>
      <c r="F42" s="20">
        <f t="shared" si="0"/>
        <v>25.842391304347824</v>
      </c>
    </row>
    <row r="43" spans="1:6" ht="13.5">
      <c r="A43" s="71" t="s">
        <v>31</v>
      </c>
      <c r="B43" s="72" t="s">
        <v>36</v>
      </c>
      <c r="C43" s="73"/>
      <c r="D43" s="74">
        <v>736</v>
      </c>
      <c r="E43" s="74">
        <v>19020</v>
      </c>
      <c r="F43" s="20">
        <f t="shared" si="0"/>
        <v>25.842391304347824</v>
      </c>
    </row>
    <row r="44" spans="1:6" ht="13.5">
      <c r="A44" s="71" t="s">
        <v>33</v>
      </c>
      <c r="B44" s="75" t="s">
        <v>38</v>
      </c>
      <c r="C44" s="73"/>
      <c r="D44" s="74">
        <v>0</v>
      </c>
      <c r="E44" s="74">
        <v>0</v>
      </c>
      <c r="F44" s="20">
        <f t="shared" si="0"/>
        <v>0</v>
      </c>
    </row>
    <row r="45" spans="1:6" ht="13.5">
      <c r="A45" s="71" t="s">
        <v>35</v>
      </c>
      <c r="B45" s="75" t="s">
        <v>40</v>
      </c>
      <c r="C45" s="76" t="s">
        <v>87</v>
      </c>
      <c r="D45" s="74">
        <v>539080.929</v>
      </c>
      <c r="E45" s="77">
        <f>SUM(E41:E44)</f>
        <v>14550813.913500002</v>
      </c>
      <c r="F45" s="65">
        <f t="shared" si="0"/>
        <v>26.991891441034454</v>
      </c>
    </row>
    <row r="46" spans="1:6" ht="13.5">
      <c r="A46" s="71" t="s">
        <v>37</v>
      </c>
      <c r="B46" s="78" t="s">
        <v>4</v>
      </c>
      <c r="C46" s="78"/>
      <c r="D46" s="78"/>
      <c r="E46" s="78"/>
      <c r="F46" s="37"/>
    </row>
    <row r="47" spans="1:11" ht="15.75">
      <c r="A47" s="16" t="s">
        <v>39</v>
      </c>
      <c r="B47" s="38" t="s">
        <v>4</v>
      </c>
      <c r="C47"/>
      <c r="D47"/>
      <c r="E47"/>
      <c r="F47"/>
      <c r="G47" s="37"/>
      <c r="H47" s="37"/>
      <c r="I47" s="37"/>
      <c r="J47" s="37"/>
      <c r="K47" s="37"/>
    </row>
    <row r="48" spans="1:11" ht="15.75">
      <c r="A48" s="36" t="s">
        <v>4</v>
      </c>
      <c r="B48" s="3"/>
      <c r="C48" s="46"/>
      <c r="D48" s="19"/>
      <c r="E48" s="19"/>
      <c r="F48" s="39"/>
      <c r="G48" s="66" t="s">
        <v>4</v>
      </c>
      <c r="H48" s="67"/>
      <c r="I48" s="67" t="s">
        <v>4</v>
      </c>
      <c r="J48" s="67"/>
      <c r="K48"/>
    </row>
    <row r="49" ht="15.75">
      <c r="A49"/>
    </row>
    <row r="54" spans="2:7" ht="15.75">
      <c r="B54"/>
      <c r="C54"/>
      <c r="D54"/>
      <c r="E54"/>
      <c r="F54"/>
      <c r="G54"/>
    </row>
    <row r="55" spans="2:7" ht="15.75">
      <c r="B55"/>
      <c r="C55"/>
      <c r="D55"/>
      <c r="E55"/>
      <c r="F55"/>
      <c r="G55"/>
    </row>
    <row r="56" spans="2:7" ht="15.75">
      <c r="B56"/>
      <c r="C56"/>
      <c r="D56"/>
      <c r="E56"/>
      <c r="F56"/>
      <c r="G56"/>
    </row>
    <row r="57" spans="2:7" ht="15.75">
      <c r="B57"/>
      <c r="C57"/>
      <c r="D57"/>
      <c r="E57"/>
      <c r="F57"/>
      <c r="G57"/>
    </row>
    <row r="58" spans="2:7" ht="15.75">
      <c r="B58"/>
      <c r="C58"/>
      <c r="D58"/>
      <c r="E58"/>
      <c r="F58"/>
      <c r="G58"/>
    </row>
    <row r="59" ht="13.5">
      <c r="B59" s="6" t="s">
        <v>4</v>
      </c>
    </row>
    <row r="60" ht="13.5">
      <c r="B60" s="6" t="s">
        <v>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>
        <f ca="1">NOW()</f>
        <v>42101.74606493056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E6</f>
        <v>July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3.5">
      <c r="B6" s="8" t="s">
        <v>3</v>
      </c>
      <c r="C6" s="46"/>
      <c r="E6" s="51" t="str">
        <f>+'[8]INPUT SHEET'!B1</f>
        <v>July 2013 ACTUAL</v>
      </c>
      <c r="F6" s="11" t="s">
        <v>4</v>
      </c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52</v>
      </c>
      <c r="C11" s="55" t="s">
        <v>53</v>
      </c>
      <c r="D11" s="24">
        <v>129852</v>
      </c>
      <c r="E11" s="19">
        <v>4803971.859999999</v>
      </c>
      <c r="F11" s="20">
        <v>36.9957479284108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94</v>
      </c>
      <c r="C12" s="55" t="s">
        <v>54</v>
      </c>
      <c r="D12" s="19">
        <v>252456.2</v>
      </c>
      <c r="E12" s="56">
        <v>6292779.2875</v>
      </c>
      <c r="F12" s="20">
        <f>E12/D12</f>
        <v>24.926222004054562</v>
      </c>
      <c r="G12" s="57" t="s">
        <v>10</v>
      </c>
      <c r="H12" s="47" t="s">
        <v>11</v>
      </c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382308.2</v>
      </c>
      <c r="E13" s="19">
        <f>SUM(E11:E12)</f>
        <v>11096751.147499999</v>
      </c>
      <c r="F13" s="20">
        <f>IF((E13=0),0,(IF((D13=0),0,(E13/D13))))</f>
        <v>29.025668681707582</v>
      </c>
      <c r="G13" s="47"/>
      <c r="H13" s="47"/>
      <c r="I13" s="47" t="s">
        <v>55</v>
      </c>
      <c r="J13" s="47"/>
      <c r="K13" s="47"/>
      <c r="L13" s="47"/>
      <c r="M13" s="47"/>
      <c r="N13" s="47"/>
      <c r="O13" s="19">
        <v>129852</v>
      </c>
    </row>
    <row r="14" spans="2:15" ht="13.5">
      <c r="B14" s="3"/>
      <c r="C14" s="46"/>
      <c r="D14" s="19"/>
      <c r="E14" s="19"/>
      <c r="F14" s="20"/>
      <c r="G14" s="47"/>
      <c r="H14" s="47"/>
      <c r="I14" s="47"/>
      <c r="J14" s="47"/>
      <c r="K14" s="47"/>
      <c r="L14" s="47"/>
      <c r="M14" s="47"/>
      <c r="N14" s="47"/>
      <c r="O14" s="58"/>
    </row>
    <row r="15" spans="2:15" ht="13.5">
      <c r="B15" s="17" t="s">
        <v>14</v>
      </c>
      <c r="C15" s="46"/>
      <c r="D15" s="19"/>
      <c r="E15" s="19"/>
      <c r="F15" s="20"/>
      <c r="G15" s="57" t="s">
        <v>13</v>
      </c>
      <c r="H15" s="47" t="s">
        <v>56</v>
      </c>
      <c r="I15" s="47"/>
      <c r="J15" s="47"/>
      <c r="K15" s="47"/>
      <c r="L15" s="47"/>
      <c r="M15" s="47"/>
      <c r="N15" s="47"/>
      <c r="O15" s="58"/>
    </row>
    <row r="16" spans="1:15" ht="13.5">
      <c r="A16" s="16" t="s">
        <v>13</v>
      </c>
      <c r="B16" s="8" t="s">
        <v>59</v>
      </c>
      <c r="C16" s="55" t="s">
        <v>60</v>
      </c>
      <c r="D16" s="19">
        <v>323767.317</v>
      </c>
      <c r="E16" s="19">
        <v>7553271.726</v>
      </c>
      <c r="F16" s="20">
        <v>23.329321180371025</v>
      </c>
      <c r="G16" s="47"/>
      <c r="H16" s="47" t="s">
        <v>57</v>
      </c>
      <c r="I16" s="47" t="s">
        <v>58</v>
      </c>
      <c r="J16" s="47"/>
      <c r="K16" s="47"/>
      <c r="L16" s="47"/>
      <c r="M16" s="47"/>
      <c r="N16" s="47"/>
      <c r="O16" s="58" t="s">
        <v>4</v>
      </c>
    </row>
    <row r="17" spans="1:15" ht="13.5">
      <c r="A17" s="6"/>
      <c r="B17" s="8" t="s">
        <v>62</v>
      </c>
      <c r="C17" s="55" t="s">
        <v>63</v>
      </c>
      <c r="D17" s="19">
        <v>22622.764000000003</v>
      </c>
      <c r="E17" s="19">
        <v>1076674.0299999998</v>
      </c>
      <c r="F17" s="20">
        <v>47.592505937824384</v>
      </c>
      <c r="G17" s="47"/>
      <c r="H17" s="47"/>
      <c r="I17" s="57" t="s">
        <v>10</v>
      </c>
      <c r="J17" s="47" t="s">
        <v>61</v>
      </c>
      <c r="K17" s="47"/>
      <c r="L17" s="47"/>
      <c r="M17" s="47"/>
      <c r="N17" s="47"/>
      <c r="O17" s="19">
        <v>252456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/>
      <c r="I18" s="57" t="s">
        <v>13</v>
      </c>
      <c r="J18" s="47" t="s">
        <v>64</v>
      </c>
      <c r="K18" s="47"/>
      <c r="L18" s="47"/>
      <c r="M18" s="47"/>
      <c r="N18" s="47"/>
      <c r="O18" s="19">
        <v>22622.764000000003</v>
      </c>
    </row>
    <row r="19" spans="2:15" ht="13.5">
      <c r="B19" s="23" t="s">
        <v>12</v>
      </c>
      <c r="C19" s="46"/>
      <c r="D19" s="19">
        <f>SUM(D16:D18)</f>
        <v>346390.081</v>
      </c>
      <c r="E19" s="24">
        <f>SUM(E16:E18)</f>
        <v>8629945.756</v>
      </c>
      <c r="F19" s="20">
        <f>IF((E19=0),0,(IF((D19=0),0,(E19/D19))))</f>
        <v>24.913951724847454</v>
      </c>
      <c r="G19" s="47"/>
      <c r="H19" s="47" t="s">
        <v>67</v>
      </c>
      <c r="I19" s="47" t="s">
        <v>68</v>
      </c>
      <c r="J19" s="47"/>
      <c r="K19" s="47"/>
      <c r="L19" s="47"/>
      <c r="M19" s="47"/>
      <c r="N19" s="47"/>
      <c r="O19" s="58">
        <v>0</v>
      </c>
    </row>
    <row r="20" spans="2:15" ht="13.5">
      <c r="B20" s="3"/>
      <c r="C20" s="46"/>
      <c r="D20" s="19"/>
      <c r="E20" s="19"/>
      <c r="F20" s="20"/>
      <c r="G20" s="47"/>
      <c r="H20" s="47" t="s">
        <v>69</v>
      </c>
      <c r="I20" s="47" t="s">
        <v>70</v>
      </c>
      <c r="J20" s="47"/>
      <c r="K20" s="47"/>
      <c r="L20" s="47"/>
      <c r="M20" s="47"/>
      <c r="N20" s="47"/>
      <c r="O20" s="19">
        <v>514324.121</v>
      </c>
    </row>
    <row r="21" spans="2:15" ht="13.5">
      <c r="B21" s="17" t="s">
        <v>17</v>
      </c>
      <c r="C21" s="46"/>
      <c r="D21" s="19">
        <f>D13+D19</f>
        <v>728698.281</v>
      </c>
      <c r="E21" s="19">
        <f>E13+E19</f>
        <v>19726696.9035</v>
      </c>
      <c r="F21" s="20">
        <f>IF((E21=0),0,(IF((D21=0),0,(E21/D21))))</f>
        <v>27.071145106077175</v>
      </c>
      <c r="G21" s="47"/>
      <c r="H21" s="47" t="s">
        <v>71</v>
      </c>
      <c r="I21" s="47" t="s">
        <v>72</v>
      </c>
      <c r="J21" s="47"/>
      <c r="K21" s="47"/>
      <c r="L21" s="47"/>
      <c r="M21" s="47"/>
      <c r="N21" s="47"/>
      <c r="O21" s="19">
        <v>0</v>
      </c>
    </row>
    <row r="22" spans="1:15" ht="13.5">
      <c r="A22" s="16" t="s">
        <v>16</v>
      </c>
      <c r="B22" s="3"/>
      <c r="C22" s="46"/>
      <c r="D22" s="19"/>
      <c r="E22" s="19"/>
      <c r="F22" s="20"/>
      <c r="G22" s="47"/>
      <c r="H22" s="47"/>
      <c r="I22" s="47"/>
      <c r="J22" s="49" t="s">
        <v>73</v>
      </c>
      <c r="K22" s="47"/>
      <c r="L22" s="47"/>
      <c r="M22" s="47"/>
      <c r="N22" s="47"/>
      <c r="O22" s="58">
        <v>789402.885</v>
      </c>
    </row>
    <row r="23" spans="2:15" ht="13.5">
      <c r="B23" s="12" t="s">
        <v>18</v>
      </c>
      <c r="C23" s="52"/>
      <c r="D23" s="19"/>
      <c r="E23" s="24">
        <f>E12+E19</f>
        <v>14922725.043499999</v>
      </c>
      <c r="F23" s="20"/>
      <c r="G23" s="47"/>
      <c r="H23" s="47"/>
      <c r="I23" s="47"/>
      <c r="J23" s="47"/>
      <c r="K23" s="47"/>
      <c r="L23" s="47"/>
      <c r="M23" s="47"/>
      <c r="N23" s="47"/>
      <c r="O23" s="58"/>
    </row>
    <row r="24" spans="2:15" ht="13.5">
      <c r="B24" s="12"/>
      <c r="C24" s="52"/>
      <c r="D24" s="19"/>
      <c r="E24" s="19"/>
      <c r="F24" s="20"/>
      <c r="G24" s="57" t="s">
        <v>16</v>
      </c>
      <c r="H24" s="47" t="s">
        <v>74</v>
      </c>
      <c r="I24" s="47"/>
      <c r="J24" s="47"/>
      <c r="K24" s="47"/>
      <c r="L24" s="47"/>
      <c r="M24" s="47"/>
      <c r="N24" s="47"/>
      <c r="O24" s="58">
        <f>+O13+O22</f>
        <v>919254.885</v>
      </c>
    </row>
    <row r="25" spans="2:15" ht="13.5"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1:15" ht="13.5">
      <c r="A26" s="16" t="s">
        <v>19</v>
      </c>
      <c r="B26" s="8" t="s">
        <v>59</v>
      </c>
      <c r="C26" s="55" t="s">
        <v>60</v>
      </c>
      <c r="D26" s="19">
        <v>2.359</v>
      </c>
      <c r="E26" s="19">
        <v>68.473</v>
      </c>
      <c r="F26" s="20">
        <v>29.02628232301823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94</v>
      </c>
      <c r="C27" s="55" t="s">
        <v>76</v>
      </c>
      <c r="D27" s="19">
        <f>42083.655+35835</f>
        <v>77918.655</v>
      </c>
      <c r="E27" s="19">
        <f>958831.932999998+810916</f>
        <v>1769747.9329999979</v>
      </c>
      <c r="F27" s="20">
        <v>22.783950989998317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19689.267</v>
      </c>
      <c r="E28" s="19">
        <v>1022279.47</v>
      </c>
      <c r="F28" s="20">
        <f>E28/D28</f>
        <v>51.920646411062435</v>
      </c>
      <c r="G28" s="47"/>
      <c r="H28" s="47"/>
      <c r="I28" s="47"/>
      <c r="J28" s="47"/>
      <c r="K28" s="47"/>
      <c r="L28" s="47"/>
      <c r="M28" s="47"/>
      <c r="N28" s="47"/>
      <c r="O28" s="58"/>
    </row>
    <row r="29" spans="2:15" ht="13.5">
      <c r="B29" s="8" t="s">
        <v>78</v>
      </c>
      <c r="C29" s="55" t="s">
        <v>76</v>
      </c>
      <c r="D29" s="19">
        <v>63712.15500000003</v>
      </c>
      <c r="E29" s="19">
        <v>1993187.0730000036</v>
      </c>
      <c r="F29" s="20">
        <v>31.284251380290037</v>
      </c>
      <c r="G29" s="57" t="s">
        <v>19</v>
      </c>
      <c r="H29" s="47" t="s">
        <v>77</v>
      </c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156.26</v>
      </c>
      <c r="E30" s="19">
        <v>7509.833</v>
      </c>
      <c r="F30" s="20">
        <v>48.05985536925637</v>
      </c>
      <c r="G30" s="47"/>
      <c r="H30" s="47" t="s">
        <v>57</v>
      </c>
      <c r="I30" s="47" t="s">
        <v>68</v>
      </c>
      <c r="J30" s="47"/>
      <c r="K30" s="47"/>
      <c r="L30" s="47"/>
      <c r="M30" s="47"/>
      <c r="N30" s="47"/>
      <c r="O30" s="58">
        <v>0</v>
      </c>
    </row>
    <row r="31" spans="2:15" ht="13.5">
      <c r="B31" s="23" t="s">
        <v>12</v>
      </c>
      <c r="C31" s="46"/>
      <c r="D31" s="19">
        <f>SUM(D26:D30)</f>
        <v>161478.69600000003</v>
      </c>
      <c r="E31" s="19">
        <f>SUM(E26:E30)</f>
        <v>4792792.782000001</v>
      </c>
      <c r="F31" s="20">
        <f>IF((E31=0),0,(IF((D31=0),0,(E31/D31))))</f>
        <v>29.6806507652254</v>
      </c>
      <c r="G31" s="47"/>
      <c r="H31" s="47" t="s">
        <v>67</v>
      </c>
      <c r="I31" s="47" t="s">
        <v>70</v>
      </c>
      <c r="J31" s="47"/>
      <c r="K31" s="47"/>
      <c r="L31" s="47"/>
      <c r="M31" s="47"/>
      <c r="N31" s="47"/>
      <c r="O31" s="19">
        <v>132784.308</v>
      </c>
    </row>
    <row r="32" spans="2:15" ht="13.5">
      <c r="B32" s="3"/>
      <c r="C32" s="46"/>
      <c r="D32" s="19"/>
      <c r="E32" s="19"/>
      <c r="F32" s="20"/>
      <c r="G32" s="47"/>
      <c r="H32" s="47" t="s">
        <v>69</v>
      </c>
      <c r="I32" s="47" t="s">
        <v>79</v>
      </c>
      <c r="J32" s="47"/>
      <c r="K32" s="47"/>
      <c r="L32" s="47"/>
      <c r="M32" s="47"/>
      <c r="N32" s="47"/>
      <c r="O32" s="59">
        <v>219094.777</v>
      </c>
    </row>
    <row r="33" spans="2:15" ht="13.5">
      <c r="B33" s="17" t="s">
        <v>24</v>
      </c>
      <c r="C33" s="46"/>
      <c r="D33" s="19">
        <f>D21-D31</f>
        <v>567219.585</v>
      </c>
      <c r="E33" s="19">
        <f>E21-E31</f>
        <v>14933904.121499997</v>
      </c>
      <c r="F33" s="20">
        <f>IF((E33=0),0,(IF((D33=0),0,(E33/D33))))</f>
        <v>26.32825896076913</v>
      </c>
      <c r="G33" s="47"/>
      <c r="H33" s="47" t="s">
        <v>71</v>
      </c>
      <c r="I33" s="47" t="s">
        <v>72</v>
      </c>
      <c r="J33" s="47"/>
      <c r="K33" s="47"/>
      <c r="L33" s="47"/>
      <c r="M33" s="47"/>
      <c r="N33" s="47"/>
      <c r="O33" s="19">
        <v>156.26</v>
      </c>
    </row>
    <row r="34" spans="2:15" ht="13.5">
      <c r="B34" s="3"/>
      <c r="C34" s="46"/>
      <c r="D34" s="19"/>
      <c r="E34" s="19"/>
      <c r="F34" s="20"/>
      <c r="G34" s="47"/>
      <c r="H34" s="47"/>
      <c r="I34" s="47"/>
      <c r="J34" s="49" t="s">
        <v>80</v>
      </c>
      <c r="K34" s="47"/>
      <c r="L34" s="47"/>
      <c r="M34" s="47"/>
      <c r="N34" s="47"/>
      <c r="O34" s="58">
        <f>SUM(O30:O33)</f>
        <v>352035.345</v>
      </c>
    </row>
    <row r="35" spans="1:15" ht="13.5">
      <c r="A35" s="16" t="s">
        <v>23</v>
      </c>
      <c r="B35" s="17" t="s">
        <v>26</v>
      </c>
      <c r="C35" s="46"/>
      <c r="D35" s="19">
        <f>+D31+D33</f>
        <v>728698.281</v>
      </c>
      <c r="E35" s="19">
        <f>+E31+E33</f>
        <v>19726696.9035</v>
      </c>
      <c r="F35" s="20">
        <f>IF((E35=0),0,(IF((D35=0),0,(E35/D35))))</f>
        <v>27.071145106077175</v>
      </c>
      <c r="G35" s="47"/>
      <c r="H35" s="47"/>
      <c r="I35" s="47"/>
      <c r="J35" s="47"/>
      <c r="K35" s="47"/>
      <c r="L35" s="47"/>
      <c r="M35" s="47"/>
      <c r="N35" s="47"/>
      <c r="O35" s="58"/>
    </row>
    <row r="36" spans="2:15" ht="13.5">
      <c r="B36" s="8"/>
      <c r="C36" s="46"/>
      <c r="D36" s="19"/>
      <c r="E36" s="19"/>
      <c r="F36" s="20"/>
      <c r="G36" s="57" t="s">
        <v>23</v>
      </c>
      <c r="H36" s="47" t="s">
        <v>81</v>
      </c>
      <c r="I36" s="47"/>
      <c r="J36" s="47"/>
      <c r="K36" s="47"/>
      <c r="L36" s="47"/>
      <c r="M36" s="47"/>
      <c r="N36" s="47"/>
      <c r="O36" s="58">
        <f>+O24-O34</f>
        <v>567219.54</v>
      </c>
    </row>
    <row r="37" spans="1:15" ht="13.5">
      <c r="A37" s="16" t="s">
        <v>25</v>
      </c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5">
      <c r="A38" s="16"/>
      <c r="D38" s="19"/>
      <c r="E38" s="19"/>
      <c r="F38" s="20"/>
      <c r="G38" s="57" t="s">
        <v>82</v>
      </c>
      <c r="H38" s="47" t="s">
        <v>83</v>
      </c>
      <c r="I38" s="47"/>
      <c r="J38" s="47"/>
      <c r="K38" s="47"/>
      <c r="L38" s="47"/>
      <c r="M38" s="47"/>
      <c r="N38" s="47" t="s">
        <v>4</v>
      </c>
      <c r="O38" s="58">
        <f>O34+O36</f>
        <v>919254.885</v>
      </c>
    </row>
    <row r="39" spans="1:15" ht="13.5">
      <c r="A39" s="16"/>
      <c r="B39" s="8" t="s">
        <v>28</v>
      </c>
      <c r="C39" s="46"/>
      <c r="D39" s="63">
        <f>D21-D31</f>
        <v>567219.585</v>
      </c>
      <c r="E39" s="63">
        <f>E21-E31</f>
        <v>14933904.121499997</v>
      </c>
      <c r="F39" s="64">
        <f aca="true" t="shared" si="0" ref="F39:F45">IF((E39=0),0,(IF((D39=0),0,(E39/D39))))</f>
        <v>26.32825896076913</v>
      </c>
      <c r="G39" s="47"/>
      <c r="H39" s="47"/>
      <c r="I39" s="47"/>
      <c r="J39" s="47"/>
      <c r="K39" s="47"/>
      <c r="L39" s="47"/>
      <c r="M39" s="47"/>
      <c r="N39" s="60" t="s">
        <v>4</v>
      </c>
      <c r="O39" s="61" t="s">
        <v>4</v>
      </c>
    </row>
    <row r="40" spans="2:15" ht="13.5">
      <c r="B40" s="8" t="s">
        <v>86</v>
      </c>
      <c r="C40" s="46"/>
      <c r="D40" s="19">
        <f>D41-D39</f>
        <v>-0.044999999925494194</v>
      </c>
      <c r="E40" s="19">
        <v>0</v>
      </c>
      <c r="F40" s="20">
        <f t="shared" si="0"/>
        <v>0</v>
      </c>
      <c r="G40" s="47" t="s">
        <v>84</v>
      </c>
      <c r="H40" s="62" t="s">
        <v>85</v>
      </c>
      <c r="I40" s="47"/>
      <c r="J40" s="47"/>
      <c r="K40" s="47"/>
      <c r="L40" s="47"/>
      <c r="M40" s="47"/>
      <c r="N40" s="61" t="s">
        <v>4</v>
      </c>
      <c r="O40" s="58" t="s">
        <v>4</v>
      </c>
    </row>
    <row r="41" spans="1:6" ht="13.5">
      <c r="A41" s="16" t="s">
        <v>27</v>
      </c>
      <c r="B41" s="8" t="s">
        <v>32</v>
      </c>
      <c r="C41" s="46"/>
      <c r="D41" s="19">
        <f>D45-D44</f>
        <v>567219.54</v>
      </c>
      <c r="E41" s="19">
        <f>(SUM(E39))+E40</f>
        <v>14933904.121499997</v>
      </c>
      <c r="F41" s="20">
        <f t="shared" si="0"/>
        <v>26.32826104950474</v>
      </c>
    </row>
    <row r="42" spans="1:6" ht="13.5">
      <c r="A42" s="71" t="s">
        <v>29</v>
      </c>
      <c r="B42" s="72" t="s">
        <v>34</v>
      </c>
      <c r="C42" s="73"/>
      <c r="D42" s="74">
        <v>-1554.9335424000003</v>
      </c>
      <c r="E42" s="74">
        <v>-40642.85196668621</v>
      </c>
      <c r="F42" s="20">
        <f t="shared" si="0"/>
        <v>26.137999379674454</v>
      </c>
    </row>
    <row r="43" spans="1:6" ht="13.5">
      <c r="A43" s="71" t="s">
        <v>31</v>
      </c>
      <c r="B43" s="72" t="s">
        <v>36</v>
      </c>
      <c r="C43" s="73"/>
      <c r="D43" s="74">
        <v>1554.9335424000003</v>
      </c>
      <c r="E43" s="74">
        <v>40642.85196668621</v>
      </c>
      <c r="F43" s="20">
        <f t="shared" si="0"/>
        <v>26.137999379674454</v>
      </c>
    </row>
    <row r="44" spans="1:6" ht="13.5">
      <c r="A44" s="71" t="s">
        <v>33</v>
      </c>
      <c r="B44" s="75" t="s">
        <v>38</v>
      </c>
      <c r="C44" s="73"/>
      <c r="D44" s="74">
        <v>0</v>
      </c>
      <c r="E44" s="74">
        <v>0</v>
      </c>
      <c r="F44" s="20">
        <f t="shared" si="0"/>
        <v>0</v>
      </c>
    </row>
    <row r="45" spans="1:6" ht="13.5">
      <c r="A45" s="71" t="s">
        <v>35</v>
      </c>
      <c r="B45" s="75" t="s">
        <v>40</v>
      </c>
      <c r="C45" s="76" t="s">
        <v>87</v>
      </c>
      <c r="D45" s="74">
        <v>567219.54</v>
      </c>
      <c r="E45" s="77">
        <f>SUM(E41:E44)</f>
        <v>14933904.121499997</v>
      </c>
      <c r="F45" s="65">
        <f t="shared" si="0"/>
        <v>26.32826104950474</v>
      </c>
    </row>
    <row r="46" spans="1:6" ht="13.5">
      <c r="A46" s="71" t="s">
        <v>37</v>
      </c>
      <c r="B46" s="78" t="s">
        <v>4</v>
      </c>
      <c r="C46" s="78"/>
      <c r="D46" s="78"/>
      <c r="E46" s="78"/>
      <c r="F46" s="37"/>
    </row>
    <row r="47" spans="1:11" ht="15.75">
      <c r="A47" s="16" t="s">
        <v>39</v>
      </c>
      <c r="B47" s="38" t="s">
        <v>4</v>
      </c>
      <c r="C47"/>
      <c r="D47"/>
      <c r="E47"/>
      <c r="F47"/>
      <c r="G47" s="37"/>
      <c r="H47" s="37"/>
      <c r="I47" s="37"/>
      <c r="J47" s="37"/>
      <c r="K47" s="37"/>
    </row>
    <row r="48" spans="1:11" ht="15.75">
      <c r="A48" s="36" t="s">
        <v>4</v>
      </c>
      <c r="B48" s="3"/>
      <c r="C48" s="46"/>
      <c r="D48" s="19"/>
      <c r="E48" s="19"/>
      <c r="F48" s="39"/>
      <c r="G48" s="66" t="s">
        <v>4</v>
      </c>
      <c r="H48" s="67"/>
      <c r="I48" s="67" t="s">
        <v>4</v>
      </c>
      <c r="J48" s="67"/>
      <c r="K48"/>
    </row>
    <row r="49" ht="15.75">
      <c r="A49"/>
    </row>
    <row r="52" spans="2:8" ht="15.75">
      <c r="B52"/>
      <c r="C52"/>
      <c r="D52"/>
      <c r="E52"/>
      <c r="F52"/>
      <c r="G52"/>
      <c r="H52"/>
    </row>
    <row r="53" spans="2:8" ht="15.75">
      <c r="B53"/>
      <c r="C53"/>
      <c r="D53"/>
      <c r="E53"/>
      <c r="F53"/>
      <c r="G53"/>
      <c r="H53"/>
    </row>
    <row r="54" spans="2:8" ht="15.75">
      <c r="B54"/>
      <c r="C54"/>
      <c r="D54"/>
      <c r="E54"/>
      <c r="F54"/>
      <c r="G54"/>
      <c r="H54"/>
    </row>
    <row r="55" spans="2:8" ht="15.75">
      <c r="B55"/>
      <c r="C55"/>
      <c r="D55"/>
      <c r="E55"/>
      <c r="F55"/>
      <c r="G55"/>
      <c r="H55"/>
    </row>
    <row r="56" spans="2:8" ht="15.75">
      <c r="B56"/>
      <c r="C56"/>
      <c r="D56"/>
      <c r="E56"/>
      <c r="F56"/>
      <c r="G56"/>
      <c r="H56"/>
    </row>
    <row r="57" spans="2:8" ht="15.75">
      <c r="B57"/>
      <c r="C57"/>
      <c r="D57"/>
      <c r="E57"/>
      <c r="F57"/>
      <c r="G57"/>
      <c r="H57"/>
    </row>
    <row r="58" spans="2:8" ht="15.75">
      <c r="B58"/>
      <c r="C58"/>
      <c r="D58"/>
      <c r="E58"/>
      <c r="F58"/>
      <c r="G58"/>
      <c r="H58"/>
    </row>
    <row r="59" spans="2:8" ht="15.75">
      <c r="B59"/>
      <c r="C59"/>
      <c r="D59"/>
      <c r="E59"/>
      <c r="F59"/>
      <c r="G59"/>
      <c r="H59"/>
    </row>
    <row r="60" spans="2:8" ht="15.75">
      <c r="B60"/>
      <c r="C60"/>
      <c r="D60"/>
      <c r="E60"/>
      <c r="F60"/>
      <c r="G60"/>
      <c r="H60"/>
    </row>
    <row r="61" spans="2:8" ht="15.75">
      <c r="B61"/>
      <c r="C61"/>
      <c r="D61"/>
      <c r="E61"/>
      <c r="F61"/>
      <c r="G61"/>
      <c r="H61"/>
    </row>
    <row r="62" spans="2:8" ht="15.75">
      <c r="B62"/>
      <c r="C62"/>
      <c r="D62"/>
      <c r="E62"/>
      <c r="F62"/>
      <c r="G62"/>
      <c r="H62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22.0039062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 t="s">
        <v>4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E6</f>
        <v>August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3.5">
      <c r="B6" s="8" t="s">
        <v>3</v>
      </c>
      <c r="C6" s="46"/>
      <c r="E6" s="10" t="str">
        <f>+'[9]INPUT SHEET'!B1</f>
        <v>August 2013 ACTUAL</v>
      </c>
      <c r="F6" s="11" t="s">
        <v>4</v>
      </c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52</v>
      </c>
      <c r="C11" s="55" t="s">
        <v>53</v>
      </c>
      <c r="D11" s="19">
        <v>108582</v>
      </c>
      <c r="E11" s="19">
        <v>4070432.3899999997</v>
      </c>
      <c r="F11" s="20">
        <v>37.48717457773848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94</v>
      </c>
      <c r="C12" s="55" t="s">
        <v>54</v>
      </c>
      <c r="D12" s="19">
        <f>123479.55+98077</f>
        <v>221556.55</v>
      </c>
      <c r="E12" s="59">
        <f>3108438.795+2500728</f>
        <v>5609166.795</v>
      </c>
      <c r="F12" s="20">
        <f>E12/D12</f>
        <v>25.317088549176272</v>
      </c>
      <c r="G12" s="57" t="s">
        <v>10</v>
      </c>
      <c r="H12" s="47" t="s">
        <v>11</v>
      </c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330138.55</v>
      </c>
      <c r="E13" s="19">
        <f>SUM(E11:E12)</f>
        <v>9679599.184999999</v>
      </c>
      <c r="F13" s="20">
        <f>IF((E13=0),0,(IF((D13=0),0,(E13/D13))))</f>
        <v>29.31980886509618</v>
      </c>
      <c r="G13" s="47"/>
      <c r="H13" s="47"/>
      <c r="I13" s="47" t="s">
        <v>55</v>
      </c>
      <c r="J13" s="47"/>
      <c r="K13" s="47"/>
      <c r="L13" s="47"/>
      <c r="M13" s="47"/>
      <c r="N13" s="47"/>
      <c r="O13" s="19">
        <v>108582</v>
      </c>
    </row>
    <row r="14" spans="2:15" ht="13.5">
      <c r="B14" s="3"/>
      <c r="C14" s="46"/>
      <c r="D14" s="19"/>
      <c r="E14" s="19"/>
      <c r="F14" s="20"/>
      <c r="G14" s="47"/>
      <c r="H14" s="47"/>
      <c r="I14" s="47"/>
      <c r="J14" s="47"/>
      <c r="K14" s="47"/>
      <c r="L14" s="47"/>
      <c r="M14" s="47"/>
      <c r="N14" s="47"/>
      <c r="O14" s="58"/>
    </row>
    <row r="15" spans="2:15" ht="13.5">
      <c r="B15" s="17" t="s">
        <v>14</v>
      </c>
      <c r="C15" s="46"/>
      <c r="D15" s="19"/>
      <c r="E15" s="19"/>
      <c r="F15" s="20"/>
      <c r="G15" s="57" t="s">
        <v>13</v>
      </c>
      <c r="H15" s="47" t="s">
        <v>56</v>
      </c>
      <c r="I15" s="47"/>
      <c r="J15" s="47"/>
      <c r="K15" s="47"/>
      <c r="L15" s="47"/>
      <c r="M15" s="47"/>
      <c r="N15" s="47"/>
      <c r="O15" s="58"/>
    </row>
    <row r="16" spans="1:15" ht="13.5">
      <c r="A16" s="16" t="s">
        <v>13</v>
      </c>
      <c r="B16" s="8" t="s">
        <v>59</v>
      </c>
      <c r="C16" s="55" t="s">
        <v>60</v>
      </c>
      <c r="D16" s="19">
        <v>384074.148</v>
      </c>
      <c r="E16" s="19">
        <v>9569166.085</v>
      </c>
      <c r="F16" s="20">
        <v>24.91489243634279</v>
      </c>
      <c r="G16" s="47"/>
      <c r="H16" s="47" t="s">
        <v>57</v>
      </c>
      <c r="I16" s="47" t="s">
        <v>58</v>
      </c>
      <c r="J16" s="47"/>
      <c r="K16" s="47"/>
      <c r="L16" s="47"/>
      <c r="M16" s="47"/>
      <c r="N16" s="47"/>
      <c r="O16" s="58" t="s">
        <v>4</v>
      </c>
    </row>
    <row r="17" spans="1:15" ht="13.5">
      <c r="A17" s="6"/>
      <c r="B17" s="8" t="s">
        <v>62</v>
      </c>
      <c r="C17" s="55" t="s">
        <v>63</v>
      </c>
      <c r="D17" s="19">
        <v>21153.111</v>
      </c>
      <c r="E17" s="19">
        <v>698486.84</v>
      </c>
      <c r="F17" s="20">
        <v>33.020525444224255</v>
      </c>
      <c r="G17" s="47"/>
      <c r="H17" s="47"/>
      <c r="I17" s="57" t="s">
        <v>10</v>
      </c>
      <c r="J17" s="47" t="s">
        <v>61</v>
      </c>
      <c r="K17" s="47"/>
      <c r="L17" s="47"/>
      <c r="M17" s="47"/>
      <c r="N17" s="47"/>
      <c r="O17" s="19">
        <v>221556.45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/>
      <c r="I18" s="57" t="s">
        <v>13</v>
      </c>
      <c r="J18" s="47" t="s">
        <v>64</v>
      </c>
      <c r="K18" s="47"/>
      <c r="L18" s="47"/>
      <c r="M18" s="47"/>
      <c r="N18" s="47"/>
      <c r="O18" s="19">
        <v>21153.111</v>
      </c>
    </row>
    <row r="19" spans="2:15" ht="13.5">
      <c r="B19" s="23" t="s">
        <v>12</v>
      </c>
      <c r="C19" s="46"/>
      <c r="D19" s="19">
        <f>SUM(D16:D18)</f>
        <v>405227.25899999996</v>
      </c>
      <c r="E19" s="19">
        <f>SUM(E16:E18)</f>
        <v>10267652.925</v>
      </c>
      <c r="F19" s="20">
        <f>IF((E19=0),0,(IF((D19=0),0,(E19/D19))))</f>
        <v>25.33801144162417</v>
      </c>
      <c r="G19" s="47"/>
      <c r="H19" s="47" t="s">
        <v>67</v>
      </c>
      <c r="I19" s="47" t="s">
        <v>68</v>
      </c>
      <c r="J19" s="47"/>
      <c r="K19" s="47"/>
      <c r="L19" s="47"/>
      <c r="M19" s="47"/>
      <c r="N19" s="47"/>
      <c r="O19" s="58">
        <v>0</v>
      </c>
    </row>
    <row r="20" spans="2:15" ht="13.5">
      <c r="B20" s="3"/>
      <c r="C20" s="46"/>
      <c r="D20" s="19"/>
      <c r="E20" s="19"/>
      <c r="F20" s="20"/>
      <c r="G20" s="47"/>
      <c r="H20" s="47" t="s">
        <v>69</v>
      </c>
      <c r="I20" s="47" t="s">
        <v>70</v>
      </c>
      <c r="J20" s="47"/>
      <c r="K20" s="47"/>
      <c r="L20" s="47"/>
      <c r="M20" s="47"/>
      <c r="N20" s="47"/>
      <c r="O20" s="19">
        <v>582877.148</v>
      </c>
    </row>
    <row r="21" spans="2:15" ht="13.5">
      <c r="B21" s="17" t="s">
        <v>17</v>
      </c>
      <c r="C21" s="46"/>
      <c r="D21" s="19">
        <f>D13+D19</f>
        <v>735365.8089999999</v>
      </c>
      <c r="E21" s="19">
        <f>E13+E19</f>
        <v>19947252.11</v>
      </c>
      <c r="F21" s="20">
        <f>IF((E21=0),0,(IF((D21=0),0,(E21/D21))))</f>
        <v>27.12561811532361</v>
      </c>
      <c r="G21" s="47"/>
      <c r="H21" s="47" t="s">
        <v>71</v>
      </c>
      <c r="I21" s="47" t="s">
        <v>72</v>
      </c>
      <c r="J21" s="47"/>
      <c r="K21" s="47"/>
      <c r="L21" s="47"/>
      <c r="M21" s="47"/>
      <c r="N21" s="47"/>
      <c r="O21" s="19">
        <v>0</v>
      </c>
    </row>
    <row r="22" spans="1:15" ht="13.5">
      <c r="A22" s="16" t="s">
        <v>16</v>
      </c>
      <c r="B22" s="3"/>
      <c r="C22" s="46"/>
      <c r="D22" s="19"/>
      <c r="E22" s="19"/>
      <c r="F22" s="20"/>
      <c r="G22" s="47"/>
      <c r="H22" s="47"/>
      <c r="I22" s="47"/>
      <c r="J22" s="49" t="s">
        <v>73</v>
      </c>
      <c r="K22" s="47"/>
      <c r="L22" s="47"/>
      <c r="M22" s="47"/>
      <c r="N22" s="47"/>
      <c r="O22" s="58">
        <v>825586.709</v>
      </c>
    </row>
    <row r="23" spans="2:15" ht="13.5">
      <c r="B23" s="12" t="s">
        <v>18</v>
      </c>
      <c r="C23" s="52"/>
      <c r="D23" s="19"/>
      <c r="E23" s="19"/>
      <c r="F23" s="20"/>
      <c r="G23" s="47"/>
      <c r="H23" s="47"/>
      <c r="I23" s="47"/>
      <c r="J23" s="47"/>
      <c r="K23" s="47"/>
      <c r="L23" s="47"/>
      <c r="M23" s="47"/>
      <c r="N23" s="47"/>
      <c r="O23" s="58"/>
    </row>
    <row r="24" spans="2:15" ht="13.5">
      <c r="B24" s="12"/>
      <c r="C24" s="52"/>
      <c r="D24" s="19"/>
      <c r="E24" s="19"/>
      <c r="F24" s="20"/>
      <c r="G24" s="57" t="s">
        <v>16</v>
      </c>
      <c r="H24" s="47" t="s">
        <v>74</v>
      </c>
      <c r="I24" s="47"/>
      <c r="J24" s="47"/>
      <c r="K24" s="47"/>
      <c r="L24" s="47"/>
      <c r="M24" s="47"/>
      <c r="N24" s="47"/>
      <c r="O24" s="58">
        <v>934168.709</v>
      </c>
    </row>
    <row r="25" spans="2:15" ht="13.5"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1:15" ht="13.5">
      <c r="A26" s="16" t="s">
        <v>19</v>
      </c>
      <c r="B26" s="8" t="s">
        <v>59</v>
      </c>
      <c r="C26" s="55" t="s">
        <v>60</v>
      </c>
      <c r="D26" s="19">
        <v>0</v>
      </c>
      <c r="E26" s="19">
        <v>0</v>
      </c>
      <c r="F26" s="20">
        <v>0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94</v>
      </c>
      <c r="C27" s="55" t="s">
        <v>76</v>
      </c>
      <c r="D27" s="19">
        <f>52033.2839999999+46493</f>
        <v>98526.2839999999</v>
      </c>
      <c r="E27" s="19">
        <f>1188813.427+1055369</f>
        <v>2244182.427</v>
      </c>
      <c r="F27" s="20">
        <v>22.847172725058055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19071.659</v>
      </c>
      <c r="E28" s="19">
        <v>660262.5199999999</v>
      </c>
      <c r="F28" s="20">
        <f>E28/D28</f>
        <v>34.62008837301463</v>
      </c>
      <c r="G28" s="47"/>
      <c r="H28" s="47"/>
      <c r="I28" s="47"/>
      <c r="J28" s="47"/>
      <c r="K28" s="47"/>
      <c r="L28" s="47"/>
      <c r="M28" s="47"/>
      <c r="N28" s="47"/>
      <c r="O28" s="58"/>
    </row>
    <row r="29" spans="2:15" ht="13.5">
      <c r="B29" s="8" t="s">
        <v>78</v>
      </c>
      <c r="C29" s="55" t="s">
        <v>76</v>
      </c>
      <c r="D29" s="19">
        <v>59008.527999999984</v>
      </c>
      <c r="E29" s="19">
        <v>1873783.0940000003</v>
      </c>
      <c r="F29" s="20">
        <v>31.754445628604746</v>
      </c>
      <c r="G29" s="57" t="s">
        <v>19</v>
      </c>
      <c r="H29" s="47" t="s">
        <v>77</v>
      </c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37.218</v>
      </c>
      <c r="E30" s="19">
        <v>1373.43</v>
      </c>
      <c r="F30" s="20">
        <v>36.902305336127675</v>
      </c>
      <c r="G30" s="47"/>
      <c r="H30" s="47" t="s">
        <v>57</v>
      </c>
      <c r="I30" s="47" t="s">
        <v>68</v>
      </c>
      <c r="J30" s="47"/>
      <c r="K30" s="47"/>
      <c r="L30" s="47"/>
      <c r="M30" s="47"/>
      <c r="N30" s="47"/>
      <c r="O30" s="58">
        <v>0</v>
      </c>
    </row>
    <row r="31" spans="2:15" ht="13.5">
      <c r="B31" s="23" t="s">
        <v>12</v>
      </c>
      <c r="C31" s="46"/>
      <c r="D31" s="19">
        <f>SUM(D26:D30)</f>
        <v>176643.68899999987</v>
      </c>
      <c r="E31" s="19">
        <f>SUM(E26:E30)</f>
        <v>4779601.471</v>
      </c>
      <c r="F31" s="20">
        <f>IF((E31=0),0,(IF((D31=0),0,(E31/D31))))</f>
        <v>27.057867156522097</v>
      </c>
      <c r="G31" s="47"/>
      <c r="H31" s="47" t="s">
        <v>67</v>
      </c>
      <c r="I31" s="47" t="s">
        <v>70</v>
      </c>
      <c r="J31" s="47"/>
      <c r="K31" s="47"/>
      <c r="L31" s="47"/>
      <c r="M31" s="47"/>
      <c r="N31" s="47"/>
      <c r="O31" s="19">
        <v>147505</v>
      </c>
    </row>
    <row r="32" spans="2:15" ht="13.5">
      <c r="B32" s="3"/>
      <c r="C32" s="46"/>
      <c r="D32" s="19"/>
      <c r="E32" s="19"/>
      <c r="F32" s="20"/>
      <c r="G32" s="47"/>
      <c r="H32" s="47" t="s">
        <v>69</v>
      </c>
      <c r="I32" s="47" t="s">
        <v>79</v>
      </c>
      <c r="J32" s="47"/>
      <c r="K32" s="47"/>
      <c r="L32" s="47"/>
      <c r="M32" s="47"/>
      <c r="N32" s="47"/>
      <c r="O32" s="59">
        <v>227904.997</v>
      </c>
    </row>
    <row r="33" spans="2:15" ht="13.5">
      <c r="B33" s="17" t="s">
        <v>24</v>
      </c>
      <c r="C33" s="46"/>
      <c r="D33" s="19">
        <f>D21-D31</f>
        <v>558722.12</v>
      </c>
      <c r="E33" s="19">
        <f>E21-E31</f>
        <v>15167650.638999999</v>
      </c>
      <c r="F33" s="20">
        <f>IF((E33=0),0,(IF((D33=0),0,(E33/D33))))</f>
        <v>27.147038028492588</v>
      </c>
      <c r="G33" s="47"/>
      <c r="H33" s="47" t="s">
        <v>71</v>
      </c>
      <c r="I33" s="47" t="s">
        <v>72</v>
      </c>
      <c r="J33" s="47"/>
      <c r="K33" s="47"/>
      <c r="L33" s="47"/>
      <c r="M33" s="47"/>
      <c r="N33" s="47"/>
      <c r="O33" s="19">
        <v>37.218</v>
      </c>
    </row>
    <row r="34" spans="2:15" ht="13.5">
      <c r="B34" s="3"/>
      <c r="C34" s="46"/>
      <c r="D34" s="19"/>
      <c r="E34" s="19"/>
      <c r="F34" s="20"/>
      <c r="G34" s="47"/>
      <c r="H34" s="47"/>
      <c r="I34" s="47"/>
      <c r="J34" s="49" t="s">
        <v>80</v>
      </c>
      <c r="K34" s="47"/>
      <c r="L34" s="47"/>
      <c r="M34" s="47"/>
      <c r="N34" s="47"/>
      <c r="O34" s="58">
        <v>375447.21499999997</v>
      </c>
    </row>
    <row r="35" spans="1:15" ht="13.5">
      <c r="A35" s="16" t="s">
        <v>23</v>
      </c>
      <c r="B35" s="17" t="s">
        <v>26</v>
      </c>
      <c r="C35" s="46"/>
      <c r="D35" s="19">
        <f>+D31+D33</f>
        <v>735365.8089999999</v>
      </c>
      <c r="E35" s="19">
        <f>+E31+E33</f>
        <v>19947252.11</v>
      </c>
      <c r="F35" s="20">
        <f>IF((E35=0),0,(IF((D35=0),0,(E35/D35))))</f>
        <v>27.12561811532361</v>
      </c>
      <c r="G35" s="47"/>
      <c r="H35" s="47"/>
      <c r="I35" s="47"/>
      <c r="J35" s="47"/>
      <c r="K35" s="47"/>
      <c r="L35" s="47"/>
      <c r="M35" s="47"/>
      <c r="N35" s="47"/>
      <c r="O35" s="58"/>
    </row>
    <row r="36" spans="2:15" ht="13.5">
      <c r="B36" s="8"/>
      <c r="C36" s="46"/>
      <c r="D36" s="19"/>
      <c r="E36" s="19"/>
      <c r="F36" s="20"/>
      <c r="G36" s="57" t="s">
        <v>23</v>
      </c>
      <c r="H36" s="47" t="s">
        <v>81</v>
      </c>
      <c r="I36" s="47"/>
      <c r="J36" s="47"/>
      <c r="K36" s="47"/>
      <c r="L36" s="47"/>
      <c r="M36" s="47"/>
      <c r="N36" s="47"/>
      <c r="O36" s="58">
        <f>+O24-O34</f>
        <v>558721.4940000001</v>
      </c>
    </row>
    <row r="37" spans="1:15" ht="13.5">
      <c r="A37" s="16" t="s">
        <v>25</v>
      </c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5">
      <c r="A38" s="16"/>
      <c r="D38" s="19"/>
      <c r="E38" s="19"/>
      <c r="F38" s="20"/>
      <c r="G38" s="57" t="s">
        <v>82</v>
      </c>
      <c r="H38" s="47" t="s">
        <v>83</v>
      </c>
      <c r="I38" s="47"/>
      <c r="J38" s="47"/>
      <c r="K38" s="47"/>
      <c r="L38" s="47"/>
      <c r="M38" s="47"/>
      <c r="N38" s="47" t="s">
        <v>4</v>
      </c>
      <c r="O38" s="58">
        <f>O34+O36</f>
        <v>934168.709</v>
      </c>
    </row>
    <row r="39" spans="1:15" ht="13.5">
      <c r="A39" s="16"/>
      <c r="B39" s="8" t="s">
        <v>28</v>
      </c>
      <c r="C39" s="46"/>
      <c r="D39" s="63">
        <f>D21-D31</f>
        <v>558722.12</v>
      </c>
      <c r="E39" s="63">
        <f>E21-E31</f>
        <v>15167650.638999999</v>
      </c>
      <c r="F39" s="64">
        <f aca="true" t="shared" si="0" ref="F39:F45">IF((E39=0),0,(IF((D39=0),0,(E39/D39))))</f>
        <v>27.147038028492588</v>
      </c>
      <c r="G39" s="47"/>
      <c r="H39" s="47"/>
      <c r="I39" s="47"/>
      <c r="J39" s="47"/>
      <c r="K39" s="47"/>
      <c r="L39" s="47"/>
      <c r="M39" s="47"/>
      <c r="N39" s="60" t="s">
        <v>4</v>
      </c>
      <c r="O39" s="61" t="s">
        <v>4</v>
      </c>
    </row>
    <row r="40" spans="2:15" ht="13.5">
      <c r="B40" s="8" t="s">
        <v>86</v>
      </c>
      <c r="C40" s="46"/>
      <c r="D40" s="19">
        <f>D41-D39</f>
        <v>-0.6259999999310821</v>
      </c>
      <c r="E40" s="19">
        <v>0</v>
      </c>
      <c r="F40" s="20">
        <f t="shared" si="0"/>
        <v>0</v>
      </c>
      <c r="G40" s="47" t="s">
        <v>84</v>
      </c>
      <c r="H40" s="62" t="s">
        <v>85</v>
      </c>
      <c r="I40" s="47"/>
      <c r="J40" s="47"/>
      <c r="K40" s="47"/>
      <c r="L40" s="47"/>
      <c r="M40" s="47"/>
      <c r="N40" s="61" t="s">
        <v>4</v>
      </c>
      <c r="O40" s="58" t="s">
        <v>4</v>
      </c>
    </row>
    <row r="41" spans="1:6" ht="13.5">
      <c r="A41" s="16" t="s">
        <v>27</v>
      </c>
      <c r="B41" s="8" t="s">
        <v>32</v>
      </c>
      <c r="C41" s="46"/>
      <c r="D41" s="19">
        <f>D45-D44</f>
        <v>558721.4940000001</v>
      </c>
      <c r="E41" s="19">
        <f>(SUM(E39))+E40</f>
        <v>15167650.638999999</v>
      </c>
      <c r="F41" s="20">
        <f t="shared" si="0"/>
        <v>27.14706844444398</v>
      </c>
    </row>
    <row r="42" spans="1:6" ht="13.5">
      <c r="A42" s="71" t="s">
        <v>29</v>
      </c>
      <c r="B42" s="72" t="s">
        <v>34</v>
      </c>
      <c r="C42" s="73"/>
      <c r="D42" s="74">
        <v>-637.7803348</v>
      </c>
      <c r="E42" s="74">
        <v>-16741.096008165197</v>
      </c>
      <c r="F42" s="20">
        <f t="shared" si="0"/>
        <v>26.248999999999995</v>
      </c>
    </row>
    <row r="43" spans="1:6" ht="13.5">
      <c r="A43" s="71" t="s">
        <v>31</v>
      </c>
      <c r="B43" s="72" t="s">
        <v>36</v>
      </c>
      <c r="C43" s="73"/>
      <c r="D43" s="74">
        <v>637.7803348</v>
      </c>
      <c r="E43" s="74">
        <v>16741.096008165197</v>
      </c>
      <c r="F43" s="20">
        <f t="shared" si="0"/>
        <v>26.248999999999995</v>
      </c>
    </row>
    <row r="44" spans="1:6" ht="13.5">
      <c r="A44" s="71" t="s">
        <v>33</v>
      </c>
      <c r="B44" s="75" t="s">
        <v>38</v>
      </c>
      <c r="C44" s="73"/>
      <c r="D44" s="74">
        <v>0</v>
      </c>
      <c r="E44" s="74">
        <v>0</v>
      </c>
      <c r="F44" s="20">
        <f t="shared" si="0"/>
        <v>0</v>
      </c>
    </row>
    <row r="45" spans="1:6" ht="13.5">
      <c r="A45" s="71" t="s">
        <v>35</v>
      </c>
      <c r="B45" s="75" t="s">
        <v>40</v>
      </c>
      <c r="C45" s="76" t="s">
        <v>87</v>
      </c>
      <c r="D45" s="74">
        <v>558721.4940000001</v>
      </c>
      <c r="E45" s="77">
        <f>SUM(E41:E44)</f>
        <v>15167650.638999999</v>
      </c>
      <c r="F45" s="65">
        <f t="shared" si="0"/>
        <v>27.14706844444398</v>
      </c>
    </row>
    <row r="46" spans="1:6" ht="13.5">
      <c r="A46" s="71" t="s">
        <v>37</v>
      </c>
      <c r="B46" s="78" t="s">
        <v>4</v>
      </c>
      <c r="C46" s="78"/>
      <c r="D46" s="78"/>
      <c r="E46" s="78"/>
      <c r="F46" s="37"/>
    </row>
    <row r="47" spans="1:11" ht="15.75">
      <c r="A47" s="16" t="s">
        <v>39</v>
      </c>
      <c r="B47" s="38" t="s">
        <v>4</v>
      </c>
      <c r="C47"/>
      <c r="D47"/>
      <c r="E47"/>
      <c r="F47"/>
      <c r="G47" s="37"/>
      <c r="H47" s="37"/>
      <c r="I47" s="37"/>
      <c r="J47" s="37"/>
      <c r="K47" s="37"/>
    </row>
    <row r="48" spans="1:11" ht="15.75">
      <c r="A48" s="36" t="s">
        <v>4</v>
      </c>
      <c r="B48" s="3"/>
      <c r="C48" s="46"/>
      <c r="D48" s="19"/>
      <c r="E48" s="19"/>
      <c r="F48" s="39"/>
      <c r="G48" s="66" t="s">
        <v>4</v>
      </c>
      <c r="H48" s="67"/>
      <c r="I48" s="67" t="s">
        <v>4</v>
      </c>
      <c r="J48" s="67"/>
      <c r="K48"/>
    </row>
    <row r="49" ht="15.75">
      <c r="A49"/>
    </row>
    <row r="52" spans="2:8" ht="15.75">
      <c r="B52"/>
      <c r="C52"/>
      <c r="D52"/>
      <c r="E52"/>
      <c r="F52"/>
      <c r="G52"/>
      <c r="H52"/>
    </row>
    <row r="53" spans="2:8" ht="15.75">
      <c r="B53"/>
      <c r="C53"/>
      <c r="D53"/>
      <c r="E53"/>
      <c r="F53"/>
      <c r="G53"/>
      <c r="H53"/>
    </row>
    <row r="54" spans="2:8" ht="15.75">
      <c r="B54"/>
      <c r="C54"/>
      <c r="D54"/>
      <c r="E54"/>
      <c r="F54"/>
      <c r="G54"/>
      <c r="H54"/>
    </row>
    <row r="55" spans="2:8" ht="15.75">
      <c r="B55"/>
      <c r="C55"/>
      <c r="D55"/>
      <c r="E55"/>
      <c r="F55"/>
      <c r="G55"/>
      <c r="H55"/>
    </row>
    <row r="56" spans="2:8" ht="15.75">
      <c r="B56"/>
      <c r="C56"/>
      <c r="D56"/>
      <c r="E56"/>
      <c r="F56"/>
      <c r="G56"/>
      <c r="H56"/>
    </row>
    <row r="57" spans="2:8" ht="15.75">
      <c r="B57"/>
      <c r="C57"/>
      <c r="D57"/>
      <c r="E57"/>
      <c r="F57"/>
      <c r="G57"/>
      <c r="H57"/>
    </row>
    <row r="58" spans="2:8" ht="15.75">
      <c r="B58"/>
      <c r="C58"/>
      <c r="D58"/>
      <c r="E58"/>
      <c r="F58"/>
      <c r="G58"/>
      <c r="H58"/>
    </row>
    <row r="59" ht="13.5">
      <c r="B59" s="6" t="s">
        <v>4</v>
      </c>
    </row>
    <row r="60" ht="13.5">
      <c r="B60" s="6" t="s">
        <v>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16.71093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 t="s">
        <v>4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D6</f>
        <v>September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2.75" customHeight="1">
      <c r="B6" s="8" t="s">
        <v>3</v>
      </c>
      <c r="C6" s="46"/>
      <c r="D6" s="158" t="str">
        <f>+'[10]INPUT SHEET'!B1</f>
        <v>September 2013 ACTUAL</v>
      </c>
      <c r="E6" s="158"/>
      <c r="F6" s="158"/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52</v>
      </c>
      <c r="C11" s="55" t="s">
        <v>53</v>
      </c>
      <c r="D11" s="19">
        <v>95190</v>
      </c>
      <c r="E11" s="19">
        <v>3372429.37</v>
      </c>
      <c r="F11" s="20">
        <v>35.42839972686207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94</v>
      </c>
      <c r="C12" s="55" t="s">
        <v>54</v>
      </c>
      <c r="D12" s="19">
        <f>120094.5+95967</f>
        <v>216061.5</v>
      </c>
      <c r="E12" s="59">
        <f>2535340.047+2230431</f>
        <v>4765771.047</v>
      </c>
      <c r="F12" s="20">
        <f>E12/D12</f>
        <v>22.0574745940392</v>
      </c>
      <c r="G12" s="57" t="s">
        <v>10</v>
      </c>
      <c r="H12" s="47" t="s">
        <v>11</v>
      </c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311251.5</v>
      </c>
      <c r="E13" s="19">
        <f>SUM(E11:E12)</f>
        <v>8138200.417</v>
      </c>
      <c r="F13" s="20">
        <f>IF((E13=0),0,(IF((D13=0),0,(E13/D13))))</f>
        <v>26.146702640790487</v>
      </c>
      <c r="G13" s="47"/>
      <c r="H13" s="47"/>
      <c r="I13" s="47" t="s">
        <v>55</v>
      </c>
      <c r="J13" s="47"/>
      <c r="K13" s="47"/>
      <c r="L13" s="47"/>
      <c r="M13" s="47"/>
      <c r="N13" s="47"/>
      <c r="O13" s="19">
        <v>95190</v>
      </c>
    </row>
    <row r="14" spans="2:15" ht="13.5">
      <c r="B14" s="3"/>
      <c r="C14" s="46"/>
      <c r="D14" s="19"/>
      <c r="E14" s="19"/>
      <c r="F14" s="20"/>
      <c r="G14" s="47"/>
      <c r="H14" s="47"/>
      <c r="I14" s="47"/>
      <c r="J14" s="47"/>
      <c r="K14" s="47"/>
      <c r="L14" s="47"/>
      <c r="M14" s="47"/>
      <c r="N14" s="47"/>
      <c r="O14" s="58"/>
    </row>
    <row r="15" spans="2:15" ht="13.5">
      <c r="B15" s="17" t="s">
        <v>14</v>
      </c>
      <c r="C15" s="46"/>
      <c r="D15" s="19"/>
      <c r="E15" s="19"/>
      <c r="F15" s="20"/>
      <c r="G15" s="57" t="s">
        <v>13</v>
      </c>
      <c r="H15" s="47" t="s">
        <v>56</v>
      </c>
      <c r="I15" s="47"/>
      <c r="J15" s="47"/>
      <c r="K15" s="47"/>
      <c r="L15" s="47"/>
      <c r="M15" s="47"/>
      <c r="N15" s="47"/>
      <c r="O15" s="58"/>
    </row>
    <row r="16" spans="1:15" ht="13.5">
      <c r="A16" s="16" t="s">
        <v>13</v>
      </c>
      <c r="B16" s="8" t="s">
        <v>59</v>
      </c>
      <c r="C16" s="55" t="s">
        <v>60</v>
      </c>
      <c r="D16" s="19">
        <v>300808.441</v>
      </c>
      <c r="E16" s="19">
        <v>7043403.513</v>
      </c>
      <c r="F16" s="20">
        <v>23.414913124063563</v>
      </c>
      <c r="G16" s="47"/>
      <c r="H16" s="47" t="s">
        <v>57</v>
      </c>
      <c r="I16" s="47" t="s">
        <v>58</v>
      </c>
      <c r="J16" s="47"/>
      <c r="K16" s="47"/>
      <c r="L16" s="47"/>
      <c r="M16" s="47"/>
      <c r="N16" s="47"/>
      <c r="O16" s="58" t="s">
        <v>4</v>
      </c>
    </row>
    <row r="17" spans="1:15" ht="13.5">
      <c r="A17" s="6"/>
      <c r="B17" s="8" t="s">
        <v>62</v>
      </c>
      <c r="C17" s="55" t="s">
        <v>63</v>
      </c>
      <c r="D17" s="19">
        <v>28094.875</v>
      </c>
      <c r="E17" s="19">
        <v>1064344.61</v>
      </c>
      <c r="F17" s="20">
        <v>37.883941822129486</v>
      </c>
      <c r="G17" s="47"/>
      <c r="H17" s="47"/>
      <c r="I17" s="57" t="s">
        <v>10</v>
      </c>
      <c r="J17" s="47" t="s">
        <v>61</v>
      </c>
      <c r="K17" s="47"/>
      <c r="L17" s="47"/>
      <c r="M17" s="47"/>
      <c r="N17" s="47"/>
      <c r="O17" s="19">
        <v>216061.05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/>
      <c r="I18" s="57" t="s">
        <v>13</v>
      </c>
      <c r="J18" s="47" t="s">
        <v>64</v>
      </c>
      <c r="K18" s="47"/>
      <c r="L18" s="47"/>
      <c r="M18" s="47"/>
      <c r="N18" s="47"/>
      <c r="O18" s="19">
        <v>28094.875</v>
      </c>
    </row>
    <row r="19" spans="2:15" ht="13.5">
      <c r="B19" s="23" t="s">
        <v>12</v>
      </c>
      <c r="C19" s="46"/>
      <c r="D19" s="19">
        <f>SUM(D16:D18)</f>
        <v>328903.316</v>
      </c>
      <c r="E19" s="19">
        <f>SUM(E16:E18)</f>
        <v>8107748.123000001</v>
      </c>
      <c r="F19" s="20">
        <f>IF((E19=0),0,(IF((D19=0),0,(E19/D19))))</f>
        <v>24.65085552071479</v>
      </c>
      <c r="G19" s="47"/>
      <c r="H19" s="47" t="s">
        <v>67</v>
      </c>
      <c r="I19" s="47" t="s">
        <v>68</v>
      </c>
      <c r="J19" s="47"/>
      <c r="K19" s="47"/>
      <c r="L19" s="47"/>
      <c r="M19" s="47"/>
      <c r="N19" s="47"/>
      <c r="O19" s="58">
        <v>0</v>
      </c>
    </row>
    <row r="20" spans="2:15" ht="13.5">
      <c r="B20" s="3"/>
      <c r="C20" s="46"/>
      <c r="D20" s="19"/>
      <c r="E20" s="19"/>
      <c r="F20" s="20"/>
      <c r="G20" s="47"/>
      <c r="H20" s="47" t="s">
        <v>69</v>
      </c>
      <c r="I20" s="47" t="s">
        <v>70</v>
      </c>
      <c r="J20" s="47"/>
      <c r="K20" s="47"/>
      <c r="L20" s="47"/>
      <c r="M20" s="47"/>
      <c r="N20" s="47"/>
      <c r="O20" s="19">
        <v>459376.804</v>
      </c>
    </row>
    <row r="21" spans="2:15" ht="13.5">
      <c r="B21" s="17" t="s">
        <v>17</v>
      </c>
      <c r="C21" s="46"/>
      <c r="D21" s="19">
        <f>D13+D19</f>
        <v>640154.816</v>
      </c>
      <c r="E21" s="19">
        <f>E13+E19</f>
        <v>16245948.540000001</v>
      </c>
      <c r="F21" s="20">
        <f>IF((E21=0),0,(IF((D21=0),0,(E21/D21))))</f>
        <v>25.37815561790603</v>
      </c>
      <c r="G21" s="47"/>
      <c r="H21" s="47" t="s">
        <v>71</v>
      </c>
      <c r="I21" s="47" t="s">
        <v>72</v>
      </c>
      <c r="J21" s="47"/>
      <c r="K21" s="47"/>
      <c r="L21" s="47"/>
      <c r="M21" s="47"/>
      <c r="N21" s="47"/>
      <c r="O21" s="19">
        <v>0</v>
      </c>
    </row>
    <row r="22" spans="1:15" ht="13.5">
      <c r="A22" s="16" t="s">
        <v>16</v>
      </c>
      <c r="B22" s="3"/>
      <c r="C22" s="46"/>
      <c r="D22" s="19"/>
      <c r="E22" s="19"/>
      <c r="F22" s="20"/>
      <c r="G22" s="47"/>
      <c r="H22" s="47"/>
      <c r="I22" s="47"/>
      <c r="J22" s="49" t="s">
        <v>73</v>
      </c>
      <c r="K22" s="47"/>
      <c r="L22" s="47"/>
      <c r="M22" s="47"/>
      <c r="N22" s="47"/>
      <c r="O22" s="58">
        <f>SUM(O17:O21)</f>
        <v>703532.729</v>
      </c>
    </row>
    <row r="23" spans="2:15" ht="13.5">
      <c r="B23" s="12" t="s">
        <v>18</v>
      </c>
      <c r="C23" s="52"/>
      <c r="D23" s="19"/>
      <c r="E23" s="19"/>
      <c r="F23" s="20"/>
      <c r="G23" s="47"/>
      <c r="H23" s="47"/>
      <c r="I23" s="47"/>
      <c r="J23" s="47"/>
      <c r="K23" s="47"/>
      <c r="L23" s="47"/>
      <c r="M23" s="47"/>
      <c r="N23" s="47"/>
      <c r="O23" s="58"/>
    </row>
    <row r="24" spans="2:15" ht="13.5">
      <c r="B24" s="12"/>
      <c r="C24" s="52"/>
      <c r="D24" s="19"/>
      <c r="E24" s="19"/>
      <c r="F24" s="20"/>
      <c r="G24" s="57" t="s">
        <v>16</v>
      </c>
      <c r="H24" s="47" t="s">
        <v>74</v>
      </c>
      <c r="I24" s="47"/>
      <c r="J24" s="47"/>
      <c r="K24" s="47"/>
      <c r="L24" s="47"/>
      <c r="M24" s="47"/>
      <c r="N24" s="47"/>
      <c r="O24" s="58">
        <f>+O13+O22</f>
        <v>798722.729</v>
      </c>
    </row>
    <row r="25" spans="2:15" ht="13.5"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1:15" ht="13.5">
      <c r="A26" s="16" t="s">
        <v>19</v>
      </c>
      <c r="B26" s="8" t="s">
        <v>59</v>
      </c>
      <c r="C26" s="55" t="s">
        <v>60</v>
      </c>
      <c r="D26" s="19">
        <v>0</v>
      </c>
      <c r="E26" s="19">
        <v>0</v>
      </c>
      <c r="F26" s="20">
        <v>0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94</v>
      </c>
      <c r="C27" s="55" t="s">
        <v>76</v>
      </c>
      <c r="D27" s="19">
        <f>45037.9420000001+33460</f>
        <v>78497.9420000001</v>
      </c>
      <c r="E27" s="19">
        <f>1011898.937+743140</f>
        <v>1755038.937</v>
      </c>
      <c r="F27" s="20">
        <v>22.467699278976774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25855.76</v>
      </c>
      <c r="E28" s="19">
        <v>1019689.9500000001</v>
      </c>
      <c r="F28" s="20">
        <f>E28/D28</f>
        <v>39.43763207888688</v>
      </c>
      <c r="G28" s="47"/>
      <c r="H28" s="47"/>
      <c r="I28" s="47"/>
      <c r="J28" s="47"/>
      <c r="K28" s="47"/>
      <c r="L28" s="47"/>
      <c r="M28" s="47"/>
      <c r="N28" s="47"/>
      <c r="O28" s="58"/>
    </row>
    <row r="29" spans="2:15" ht="13.5">
      <c r="B29" s="8" t="s">
        <v>78</v>
      </c>
      <c r="C29" s="55" t="s">
        <v>76</v>
      </c>
      <c r="D29" s="19">
        <v>46026.47299999998</v>
      </c>
      <c r="E29" s="19">
        <v>1397872.6499999978</v>
      </c>
      <c r="F29" s="20">
        <v>30.371057326074023</v>
      </c>
      <c r="G29" s="57" t="s">
        <v>19</v>
      </c>
      <c r="H29" s="47" t="s">
        <v>77</v>
      </c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1.603</v>
      </c>
      <c r="E30" s="19">
        <v>383.55</v>
      </c>
      <c r="F30" s="20">
        <v>239.27011852776045</v>
      </c>
      <c r="G30" s="47"/>
      <c r="H30" s="47" t="s">
        <v>57</v>
      </c>
      <c r="I30" s="47" t="s">
        <v>68</v>
      </c>
      <c r="J30" s="47"/>
      <c r="K30" s="47"/>
      <c r="L30" s="47"/>
      <c r="M30" s="47"/>
      <c r="N30" s="47"/>
      <c r="O30" s="58">
        <v>0</v>
      </c>
    </row>
    <row r="31" spans="2:15" ht="13.5">
      <c r="B31" s="23" t="s">
        <v>12</v>
      </c>
      <c r="C31" s="46"/>
      <c r="D31" s="19">
        <f>SUM(D26:D30)</f>
        <v>150381.77800000008</v>
      </c>
      <c r="E31" s="19">
        <f>SUM(E26:E30)</f>
        <v>4172985.0869999975</v>
      </c>
      <c r="F31" s="20">
        <f>IF((E31=0),0,(IF((D31=0),0,(E31/D31))))</f>
        <v>27.749273499080424</v>
      </c>
      <c r="G31" s="47"/>
      <c r="H31" s="47" t="s">
        <v>67</v>
      </c>
      <c r="I31" s="47" t="s">
        <v>70</v>
      </c>
      <c r="J31" s="47"/>
      <c r="K31" s="47"/>
      <c r="L31" s="47"/>
      <c r="M31" s="47"/>
      <c r="N31" s="47"/>
      <c r="O31" s="19">
        <v>116595.44399999999</v>
      </c>
    </row>
    <row r="32" spans="2:15" ht="13.5">
      <c r="B32" s="3"/>
      <c r="C32" s="46"/>
      <c r="D32" s="19"/>
      <c r="E32" s="19"/>
      <c r="F32" s="20"/>
      <c r="G32" s="47"/>
      <c r="H32" s="47" t="s">
        <v>69</v>
      </c>
      <c r="I32" s="47" t="s">
        <v>79</v>
      </c>
      <c r="J32" s="47"/>
      <c r="K32" s="47"/>
      <c r="L32" s="47"/>
      <c r="M32" s="47"/>
      <c r="N32" s="47"/>
      <c r="O32" s="59">
        <v>192353.35100000002</v>
      </c>
    </row>
    <row r="33" spans="2:15" ht="13.5">
      <c r="B33" s="17" t="s">
        <v>24</v>
      </c>
      <c r="C33" s="46"/>
      <c r="D33" s="19">
        <f>D21-D31</f>
        <v>489773.03799999994</v>
      </c>
      <c r="E33" s="19">
        <f>E21-E31</f>
        <v>12072963.453000003</v>
      </c>
      <c r="F33" s="20">
        <f>IF((E33=0),0,(IF((D33=0),0,(E33/D33))))</f>
        <v>24.650118557567485</v>
      </c>
      <c r="G33" s="47"/>
      <c r="H33" s="47" t="s">
        <v>71</v>
      </c>
      <c r="I33" s="47" t="s">
        <v>72</v>
      </c>
      <c r="J33" s="47"/>
      <c r="K33" s="47"/>
      <c r="L33" s="47"/>
      <c r="M33" s="47"/>
      <c r="N33" s="47"/>
      <c r="O33" s="19">
        <v>1.603</v>
      </c>
    </row>
    <row r="34" spans="2:15" ht="13.5">
      <c r="B34" s="3"/>
      <c r="C34" s="46"/>
      <c r="D34" s="19"/>
      <c r="E34" s="19"/>
      <c r="F34" s="20"/>
      <c r="G34" s="47"/>
      <c r="H34" s="47"/>
      <c r="I34" s="47"/>
      <c r="J34" s="49" t="s">
        <v>80</v>
      </c>
      <c r="K34" s="47"/>
      <c r="L34" s="47"/>
      <c r="M34" s="47"/>
      <c r="N34" s="47"/>
      <c r="O34" s="58">
        <f>SUM(O30:O33)</f>
        <v>308950.39800000004</v>
      </c>
    </row>
    <row r="35" spans="1:15" ht="13.5">
      <c r="A35" s="16" t="s">
        <v>23</v>
      </c>
      <c r="B35" s="17" t="s">
        <v>26</v>
      </c>
      <c r="C35" s="46"/>
      <c r="D35" s="19">
        <f>+D31+D33</f>
        <v>640154.816</v>
      </c>
      <c r="E35" s="19">
        <f>+E31+E33</f>
        <v>16245948.540000001</v>
      </c>
      <c r="F35" s="20">
        <f>IF((E35=0),0,(IF((D35=0),0,(E35/D35))))</f>
        <v>25.37815561790603</v>
      </c>
      <c r="G35" s="47"/>
      <c r="H35" s="47"/>
      <c r="I35" s="47"/>
      <c r="J35" s="47"/>
      <c r="K35" s="47"/>
      <c r="L35" s="47"/>
      <c r="M35" s="47"/>
      <c r="N35" s="47"/>
      <c r="O35" s="58"/>
    </row>
    <row r="36" spans="2:15" ht="13.5">
      <c r="B36" s="8"/>
      <c r="C36" s="46"/>
      <c r="D36" s="19"/>
      <c r="E36" s="19"/>
      <c r="F36" s="20"/>
      <c r="G36" s="57" t="s">
        <v>23</v>
      </c>
      <c r="H36" s="47" t="s">
        <v>81</v>
      </c>
      <c r="I36" s="47"/>
      <c r="J36" s="47"/>
      <c r="K36" s="47"/>
      <c r="L36" s="47"/>
      <c r="M36" s="47"/>
      <c r="N36" s="47"/>
      <c r="O36" s="58">
        <f>+O24-O34</f>
        <v>489772.331</v>
      </c>
    </row>
    <row r="37" spans="1:15" ht="13.5">
      <c r="A37" s="16" t="s">
        <v>25</v>
      </c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5">
      <c r="A38" s="16"/>
      <c r="D38" s="19"/>
      <c r="E38" s="19"/>
      <c r="F38" s="20"/>
      <c r="G38" s="57" t="s">
        <v>82</v>
      </c>
      <c r="H38" s="47" t="s">
        <v>83</v>
      </c>
      <c r="I38" s="47"/>
      <c r="J38" s="47"/>
      <c r="K38" s="47"/>
      <c r="L38" s="47"/>
      <c r="M38" s="47"/>
      <c r="N38" s="47" t="s">
        <v>4</v>
      </c>
      <c r="O38" s="58">
        <f>O34+O36</f>
        <v>798722.729</v>
      </c>
    </row>
    <row r="39" spans="1:15" ht="13.5">
      <c r="A39" s="16"/>
      <c r="B39" s="8" t="s">
        <v>28</v>
      </c>
      <c r="C39" s="46"/>
      <c r="D39" s="63">
        <f>D21-D31</f>
        <v>489773.03799999994</v>
      </c>
      <c r="E39" s="63">
        <f>E21-E31</f>
        <v>12072963.453000003</v>
      </c>
      <c r="F39" s="64">
        <f aca="true" t="shared" si="0" ref="F39:F45">IF((E39=0),0,(IF((D39=0),0,(E39/D39))))</f>
        <v>24.650118557567485</v>
      </c>
      <c r="G39" s="47"/>
      <c r="H39" s="47"/>
      <c r="I39" s="47"/>
      <c r="J39" s="47"/>
      <c r="K39" s="47"/>
      <c r="L39" s="47"/>
      <c r="M39" s="47"/>
      <c r="N39" s="60" t="s">
        <v>4</v>
      </c>
      <c r="O39" s="61" t="s">
        <v>4</v>
      </c>
    </row>
    <row r="40" spans="2:15" ht="13.5">
      <c r="B40" s="8" t="s">
        <v>86</v>
      </c>
      <c r="C40" s="46"/>
      <c r="D40" s="19">
        <f>D41-D39</f>
        <v>-0.7069999999366701</v>
      </c>
      <c r="E40" s="19">
        <v>0</v>
      </c>
      <c r="F40" s="20">
        <f t="shared" si="0"/>
        <v>0</v>
      </c>
      <c r="G40" s="47" t="s">
        <v>84</v>
      </c>
      <c r="H40" s="62" t="s">
        <v>85</v>
      </c>
      <c r="I40" s="47"/>
      <c r="J40" s="47"/>
      <c r="K40" s="47"/>
      <c r="L40" s="47"/>
      <c r="M40" s="47"/>
      <c r="N40" s="61" t="s">
        <v>4</v>
      </c>
      <c r="O40" s="58" t="s">
        <v>4</v>
      </c>
    </row>
    <row r="41" spans="1:6" ht="13.5">
      <c r="A41" s="16" t="s">
        <v>27</v>
      </c>
      <c r="B41" s="8" t="s">
        <v>32</v>
      </c>
      <c r="C41" s="46"/>
      <c r="D41" s="19">
        <f>D45-D44</f>
        <v>489772.331</v>
      </c>
      <c r="E41" s="19">
        <f>(SUM(E39))+E40</f>
        <v>12072963.453000003</v>
      </c>
      <c r="F41" s="20">
        <f t="shared" si="0"/>
        <v>24.650154140700128</v>
      </c>
    </row>
    <row r="42" spans="1:6" ht="13.5">
      <c r="A42" s="71" t="s">
        <v>29</v>
      </c>
      <c r="B42" s="72" t="s">
        <v>34</v>
      </c>
      <c r="C42" s="73"/>
      <c r="D42" s="74">
        <v>1995.7355577</v>
      </c>
      <c r="E42" s="74">
        <v>51174.6477709185</v>
      </c>
      <c r="F42" s="20">
        <f t="shared" si="0"/>
        <v>25.64199829655543</v>
      </c>
    </row>
    <row r="43" spans="1:6" ht="13.5">
      <c r="A43" s="71" t="s">
        <v>31</v>
      </c>
      <c r="B43" s="72" t="s">
        <v>36</v>
      </c>
      <c r="C43" s="73"/>
      <c r="D43" s="74">
        <v>-1995.7355577</v>
      </c>
      <c r="E43" s="74">
        <v>-51174.6477709185</v>
      </c>
      <c r="F43" s="20">
        <f t="shared" si="0"/>
        <v>25.64199829655543</v>
      </c>
    </row>
    <row r="44" spans="1:6" ht="13.5">
      <c r="A44" s="71" t="s">
        <v>33</v>
      </c>
      <c r="B44" s="75" t="s">
        <v>38</v>
      </c>
      <c r="C44" s="73"/>
      <c r="D44" s="74">
        <v>0</v>
      </c>
      <c r="E44" s="74">
        <v>0</v>
      </c>
      <c r="F44" s="20">
        <f t="shared" si="0"/>
        <v>0</v>
      </c>
    </row>
    <row r="45" spans="1:6" ht="13.5">
      <c r="A45" s="71" t="s">
        <v>35</v>
      </c>
      <c r="B45" s="75" t="s">
        <v>40</v>
      </c>
      <c r="C45" s="76" t="s">
        <v>87</v>
      </c>
      <c r="D45" s="74">
        <v>489772.331</v>
      </c>
      <c r="E45" s="77">
        <f>SUM(E41:E44)</f>
        <v>12072963.453000003</v>
      </c>
      <c r="F45" s="65">
        <f t="shared" si="0"/>
        <v>24.650154140700128</v>
      </c>
    </row>
    <row r="46" spans="1:6" ht="13.5">
      <c r="A46" s="16" t="s">
        <v>37</v>
      </c>
      <c r="B46" s="37" t="s">
        <v>4</v>
      </c>
      <c r="C46" s="37"/>
      <c r="D46" s="37"/>
      <c r="E46" s="37"/>
      <c r="F46" s="37"/>
    </row>
    <row r="47" spans="1:11" ht="15.75">
      <c r="A47" s="16" t="s">
        <v>39</v>
      </c>
      <c r="B47" s="38" t="s">
        <v>4</v>
      </c>
      <c r="C47"/>
      <c r="D47"/>
      <c r="E47"/>
      <c r="F47"/>
      <c r="G47" s="37"/>
      <c r="H47" s="37"/>
      <c r="I47" s="37"/>
      <c r="J47" s="37"/>
      <c r="K47" s="37"/>
    </row>
    <row r="48" spans="1:11" ht="15.75">
      <c r="A48" s="36" t="s">
        <v>4</v>
      </c>
      <c r="B48" s="3"/>
      <c r="C48" s="46"/>
      <c r="D48" s="19"/>
      <c r="E48" s="19"/>
      <c r="F48" s="39"/>
      <c r="G48" s="66" t="s">
        <v>4</v>
      </c>
      <c r="H48" s="67"/>
      <c r="I48" s="67" t="s">
        <v>4</v>
      </c>
      <c r="J48" s="67"/>
      <c r="K48"/>
    </row>
    <row r="49" ht="15.75">
      <c r="A49"/>
    </row>
    <row r="52" spans="2:11" ht="15.75">
      <c r="B52"/>
      <c r="C52"/>
      <c r="D52"/>
      <c r="E52"/>
      <c r="F52"/>
      <c r="G52"/>
      <c r="H52"/>
      <c r="I52"/>
      <c r="J52"/>
      <c r="K52"/>
    </row>
    <row r="53" spans="2:11" ht="15.75">
      <c r="B53"/>
      <c r="C53"/>
      <c r="D53"/>
      <c r="E53"/>
      <c r="F53"/>
      <c r="G53"/>
      <c r="H53"/>
      <c r="I53"/>
      <c r="J53"/>
      <c r="K53"/>
    </row>
    <row r="54" spans="2:11" ht="15.75">
      <c r="B54"/>
      <c r="C54"/>
      <c r="D54"/>
      <c r="E54"/>
      <c r="F54"/>
      <c r="G54"/>
      <c r="H54"/>
      <c r="I54"/>
      <c r="J54"/>
      <c r="K54"/>
    </row>
    <row r="55" spans="2:11" ht="15.75">
      <c r="B55"/>
      <c r="C55"/>
      <c r="D55"/>
      <c r="E55"/>
      <c r="F55"/>
      <c r="G55"/>
      <c r="H55"/>
      <c r="I55"/>
      <c r="J55"/>
      <c r="K55"/>
    </row>
    <row r="56" spans="2:11" ht="15.75">
      <c r="B56"/>
      <c r="C56"/>
      <c r="D56"/>
      <c r="E56"/>
      <c r="F56"/>
      <c r="G56"/>
      <c r="H56"/>
      <c r="I56"/>
      <c r="J56"/>
      <c r="K56"/>
    </row>
    <row r="57" spans="2:11" ht="15.75">
      <c r="B57"/>
      <c r="C57"/>
      <c r="D57"/>
      <c r="E57"/>
      <c r="F57"/>
      <c r="G57"/>
      <c r="H57"/>
      <c r="I57"/>
      <c r="J57"/>
      <c r="K57"/>
    </row>
    <row r="58" spans="2:11" ht="15.75">
      <c r="B58"/>
      <c r="C58"/>
      <c r="D58"/>
      <c r="E58"/>
      <c r="F58"/>
      <c r="G58"/>
      <c r="H58"/>
      <c r="I58"/>
      <c r="J58"/>
      <c r="K58"/>
    </row>
    <row r="59" spans="2:11" ht="15.75">
      <c r="B59"/>
      <c r="C59"/>
      <c r="D59"/>
      <c r="E59"/>
      <c r="F59"/>
      <c r="G59"/>
      <c r="H59"/>
      <c r="I59"/>
      <c r="J59"/>
      <c r="K59"/>
    </row>
    <row r="60" spans="2:11" ht="15.75">
      <c r="B60"/>
      <c r="C60"/>
      <c r="D60"/>
      <c r="E60"/>
      <c r="F60"/>
      <c r="G60"/>
      <c r="H60"/>
      <c r="I60"/>
      <c r="J60"/>
      <c r="K60"/>
    </row>
    <row r="61" spans="2:11" ht="15.75">
      <c r="B61"/>
      <c r="C61"/>
      <c r="D61"/>
      <c r="E61"/>
      <c r="F61"/>
      <c r="G61"/>
      <c r="H61"/>
      <c r="I61"/>
      <c r="J61"/>
      <c r="K61"/>
    </row>
    <row r="62" spans="2:11" ht="15.75">
      <c r="B62"/>
      <c r="C62"/>
      <c r="D62"/>
      <c r="E62"/>
      <c r="F62"/>
      <c r="G62"/>
      <c r="H62"/>
      <c r="I62"/>
      <c r="J62"/>
      <c r="K62"/>
    </row>
    <row r="63" spans="2:11" ht="15.75">
      <c r="B63"/>
      <c r="C63"/>
      <c r="D63"/>
      <c r="E63"/>
      <c r="F63"/>
      <c r="G63"/>
      <c r="H63"/>
      <c r="I63"/>
      <c r="J63"/>
      <c r="K63"/>
    </row>
  </sheetData>
  <sheetProtection/>
  <mergeCells count="1">
    <mergeCell ref="D6:F6"/>
  </mergeCells>
  <printOptions/>
  <pageMargins left="0.7" right="0.7" top="0.75" bottom="0.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 t="s">
        <v>4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D6</f>
        <v>October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2.75" customHeight="1">
      <c r="B6" s="8" t="s">
        <v>3</v>
      </c>
      <c r="C6" s="46"/>
      <c r="D6" s="158" t="str">
        <f>+'[11]INPUT SHEET'!B1</f>
        <v>October 2013 ACTUAL</v>
      </c>
      <c r="E6" s="158"/>
      <c r="F6" s="158"/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52</v>
      </c>
      <c r="C11" s="55" t="s">
        <v>53</v>
      </c>
      <c r="D11" s="19">
        <v>16734</v>
      </c>
      <c r="E11" s="19">
        <v>324640.7199999999</v>
      </c>
      <c r="F11" s="20">
        <v>19.400066929604392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94</v>
      </c>
      <c r="C12" s="55" t="s">
        <v>54</v>
      </c>
      <c r="D12" s="19">
        <f>87971.55+129627</f>
        <v>217598.55</v>
      </c>
      <c r="E12" s="59">
        <f>2281665.852+3270008</f>
        <v>5551673.852</v>
      </c>
      <c r="F12" s="20">
        <f>E12/D12</f>
        <v>25.51337705145554</v>
      </c>
      <c r="G12" s="57" t="s">
        <v>10</v>
      </c>
      <c r="H12" s="47" t="s">
        <v>11</v>
      </c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234332.55</v>
      </c>
      <c r="E13" s="19">
        <f>SUM(E11:E12)</f>
        <v>5876314.572</v>
      </c>
      <c r="F13" s="20">
        <f>IF((E13=0),0,(IF((D13=0),0,(E13/D13))))</f>
        <v>25.076817420371178</v>
      </c>
      <c r="G13" s="47"/>
      <c r="H13" s="47"/>
      <c r="I13" s="47" t="s">
        <v>55</v>
      </c>
      <c r="J13" s="47"/>
      <c r="K13" s="47"/>
      <c r="L13" s="47"/>
      <c r="M13" s="47"/>
      <c r="N13" s="47"/>
      <c r="O13" s="19">
        <v>16734</v>
      </c>
    </row>
    <row r="14" spans="2:15" ht="13.5">
      <c r="B14" s="3"/>
      <c r="C14" s="46"/>
      <c r="D14" s="19"/>
      <c r="E14" s="19"/>
      <c r="F14" s="20"/>
      <c r="G14" s="47"/>
      <c r="H14" s="47"/>
      <c r="I14" s="47"/>
      <c r="J14" s="47"/>
      <c r="K14" s="47"/>
      <c r="L14" s="47"/>
      <c r="M14" s="47"/>
      <c r="N14" s="47"/>
      <c r="O14" s="58"/>
    </row>
    <row r="15" spans="2:15" ht="13.5">
      <c r="B15" s="17" t="s">
        <v>14</v>
      </c>
      <c r="C15" s="46"/>
      <c r="D15" s="19"/>
      <c r="E15" s="19"/>
      <c r="F15" s="20"/>
      <c r="G15" s="57" t="s">
        <v>13</v>
      </c>
      <c r="H15" s="47" t="s">
        <v>56</v>
      </c>
      <c r="I15" s="47"/>
      <c r="J15" s="47"/>
      <c r="K15" s="47"/>
      <c r="L15" s="47"/>
      <c r="M15" s="47"/>
      <c r="N15" s="47"/>
      <c r="O15" s="58"/>
    </row>
    <row r="16" spans="1:15" ht="13.5">
      <c r="A16" s="16" t="s">
        <v>13</v>
      </c>
      <c r="B16" s="8" t="s">
        <v>59</v>
      </c>
      <c r="C16" s="55" t="s">
        <v>60</v>
      </c>
      <c r="D16" s="19">
        <v>306431.826</v>
      </c>
      <c r="E16" s="19">
        <v>7832526.479</v>
      </c>
      <c r="F16" s="20">
        <v>25.560420995565913</v>
      </c>
      <c r="G16" s="47"/>
      <c r="H16" s="47" t="s">
        <v>57</v>
      </c>
      <c r="I16" s="47" t="s">
        <v>58</v>
      </c>
      <c r="J16" s="47"/>
      <c r="K16" s="47"/>
      <c r="L16" s="47"/>
      <c r="M16" s="47"/>
      <c r="N16" s="47"/>
      <c r="O16" s="58" t="s">
        <v>4</v>
      </c>
    </row>
    <row r="17" spans="1:15" ht="13.5">
      <c r="A17" s="6"/>
      <c r="B17" s="8" t="s">
        <v>62</v>
      </c>
      <c r="C17" s="55" t="s">
        <v>63</v>
      </c>
      <c r="D17" s="19">
        <v>29288.992</v>
      </c>
      <c r="E17" s="19">
        <v>972711.89</v>
      </c>
      <c r="F17" s="20">
        <v>33.21083531997277</v>
      </c>
      <c r="G17" s="47"/>
      <c r="H17" s="47"/>
      <c r="I17" s="57" t="s">
        <v>10</v>
      </c>
      <c r="J17" s="47" t="s">
        <v>61</v>
      </c>
      <c r="K17" s="47"/>
      <c r="L17" s="47"/>
      <c r="M17" s="47"/>
      <c r="N17" s="47"/>
      <c r="O17" s="19">
        <v>217598.25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/>
      <c r="I18" s="57" t="s">
        <v>13</v>
      </c>
      <c r="J18" s="47" t="s">
        <v>64</v>
      </c>
      <c r="K18" s="47"/>
      <c r="L18" s="47"/>
      <c r="M18" s="47"/>
      <c r="N18" s="47"/>
      <c r="O18" s="19">
        <v>29288.992</v>
      </c>
    </row>
    <row r="19" spans="2:15" ht="13.5">
      <c r="B19" s="23" t="s">
        <v>12</v>
      </c>
      <c r="C19" s="46"/>
      <c r="D19" s="19">
        <v>335720.81799999997</v>
      </c>
      <c r="E19" s="19">
        <v>8805238.369</v>
      </c>
      <c r="F19" s="20">
        <v>26.227859271449773</v>
      </c>
      <c r="G19" s="47"/>
      <c r="H19" s="47" t="s">
        <v>67</v>
      </c>
      <c r="I19" s="47" t="s">
        <v>68</v>
      </c>
      <c r="J19" s="47"/>
      <c r="K19" s="47"/>
      <c r="L19" s="47"/>
      <c r="M19" s="47"/>
      <c r="N19" s="47"/>
      <c r="O19" s="58">
        <v>0</v>
      </c>
    </row>
    <row r="20" spans="2:15" ht="13.5">
      <c r="B20" s="3"/>
      <c r="C20" s="46"/>
      <c r="D20" s="19"/>
      <c r="E20" s="19"/>
      <c r="F20" s="20"/>
      <c r="G20" s="47"/>
      <c r="H20" s="47" t="s">
        <v>69</v>
      </c>
      <c r="I20" s="47" t="s">
        <v>70</v>
      </c>
      <c r="J20" s="47"/>
      <c r="K20" s="47"/>
      <c r="L20" s="47"/>
      <c r="M20" s="47"/>
      <c r="N20" s="47"/>
      <c r="O20" s="19">
        <v>423404.345</v>
      </c>
    </row>
    <row r="21" spans="2:15" ht="13.5">
      <c r="B21" s="17" t="s">
        <v>17</v>
      </c>
      <c r="C21" s="46"/>
      <c r="D21" s="19">
        <f>D13+D19</f>
        <v>570053.368</v>
      </c>
      <c r="E21" s="19">
        <f>E13+E19</f>
        <v>14681552.941</v>
      </c>
      <c r="F21" s="20">
        <f>IF((E21=0),0,(IF((D21=0),0,(E21/D21))))</f>
        <v>25.754699060036074</v>
      </c>
      <c r="G21" s="47"/>
      <c r="H21" s="47" t="s">
        <v>71</v>
      </c>
      <c r="I21" s="47" t="s">
        <v>72</v>
      </c>
      <c r="J21" s="47"/>
      <c r="K21" s="47"/>
      <c r="L21" s="47"/>
      <c r="M21" s="47"/>
      <c r="N21" s="47"/>
      <c r="O21" s="19">
        <v>0</v>
      </c>
    </row>
    <row r="22" spans="1:15" ht="13.5">
      <c r="A22" s="16" t="s">
        <v>16</v>
      </c>
      <c r="B22" s="3"/>
      <c r="C22" s="46"/>
      <c r="D22" s="19"/>
      <c r="E22" s="19"/>
      <c r="F22" s="20"/>
      <c r="G22" s="47"/>
      <c r="H22" s="47"/>
      <c r="I22" s="47"/>
      <c r="J22" s="49" t="s">
        <v>73</v>
      </c>
      <c r="K22" s="47"/>
      <c r="L22" s="47"/>
      <c r="M22" s="47"/>
      <c r="N22" s="47"/>
      <c r="O22" s="58">
        <f>SUM(O17:O21)</f>
        <v>670291.5869999999</v>
      </c>
    </row>
    <row r="23" spans="2:15" ht="13.5">
      <c r="B23" s="12" t="s">
        <v>18</v>
      </c>
      <c r="C23" s="52"/>
      <c r="D23" s="19"/>
      <c r="E23" s="19"/>
      <c r="F23" s="20"/>
      <c r="G23" s="47"/>
      <c r="H23" s="47"/>
      <c r="I23" s="47"/>
      <c r="J23" s="47"/>
      <c r="K23" s="47"/>
      <c r="L23" s="47"/>
      <c r="M23" s="47"/>
      <c r="N23" s="47"/>
      <c r="O23" s="58"/>
    </row>
    <row r="24" spans="2:15" ht="13.5">
      <c r="B24" s="12"/>
      <c r="C24" s="52"/>
      <c r="D24" s="19"/>
      <c r="E24" s="19"/>
      <c r="F24" s="20"/>
      <c r="G24" s="57" t="s">
        <v>16</v>
      </c>
      <c r="H24" s="47" t="s">
        <v>74</v>
      </c>
      <c r="I24" s="47"/>
      <c r="J24" s="47"/>
      <c r="K24" s="47"/>
      <c r="L24" s="47"/>
      <c r="M24" s="47"/>
      <c r="N24" s="47"/>
      <c r="O24" s="58">
        <f>+O13+O22</f>
        <v>687025.5869999999</v>
      </c>
    </row>
    <row r="25" spans="2:15" ht="13.5"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1:15" ht="13.5">
      <c r="A26" s="16" t="s">
        <v>19</v>
      </c>
      <c r="B26" s="8" t="s">
        <v>59</v>
      </c>
      <c r="C26" s="55" t="s">
        <v>60</v>
      </c>
      <c r="D26" s="19">
        <v>0</v>
      </c>
      <c r="E26" s="19">
        <v>0</v>
      </c>
      <c r="F26" s="20">
        <v>0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94</v>
      </c>
      <c r="C27" s="55" t="s">
        <v>76</v>
      </c>
      <c r="D27" s="19">
        <v>31840.9</v>
      </c>
      <c r="E27" s="19">
        <v>732459.047</v>
      </c>
      <c r="F27" s="20">
        <v>23.161267213038254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23812.602000000003</v>
      </c>
      <c r="E28" s="19">
        <v>839322.3499999999</v>
      </c>
      <c r="F28" s="20">
        <f>E28/D28</f>
        <v>35.24698182920118</v>
      </c>
      <c r="G28" s="47"/>
      <c r="H28" s="47"/>
      <c r="I28" s="47"/>
      <c r="J28" s="47"/>
      <c r="K28" s="47"/>
      <c r="L28" s="47"/>
      <c r="M28" s="47"/>
      <c r="N28" s="47"/>
      <c r="O28" s="58"/>
    </row>
    <row r="29" spans="2:15" ht="13.5">
      <c r="B29" s="8" t="s">
        <v>78</v>
      </c>
      <c r="C29" s="55" t="s">
        <v>76</v>
      </c>
      <c r="D29" s="19">
        <v>8197.302</v>
      </c>
      <c r="E29" s="19">
        <v>261875.41600000008</v>
      </c>
      <c r="F29" s="20">
        <v>31.94653753149513</v>
      </c>
      <c r="G29" s="57" t="s">
        <v>19</v>
      </c>
      <c r="H29" s="47" t="s">
        <v>77</v>
      </c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0</v>
      </c>
      <c r="E30" s="19">
        <v>0</v>
      </c>
      <c r="F30" s="20">
        <v>0</v>
      </c>
      <c r="G30" s="47"/>
      <c r="H30" s="47" t="s">
        <v>57</v>
      </c>
      <c r="I30" s="47" t="s">
        <v>68</v>
      </c>
      <c r="J30" s="47"/>
      <c r="K30" s="47"/>
      <c r="L30" s="47"/>
      <c r="M30" s="47"/>
      <c r="N30" s="47"/>
      <c r="O30" s="58">
        <v>0</v>
      </c>
    </row>
    <row r="31" spans="2:15" ht="13.5">
      <c r="B31" s="23" t="s">
        <v>12</v>
      </c>
      <c r="C31" s="46"/>
      <c r="D31" s="19">
        <f>SUM(D26:D30)</f>
        <v>63850.804000000004</v>
      </c>
      <c r="E31" s="19">
        <f>SUM(E26:E30)</f>
        <v>1833656.813</v>
      </c>
      <c r="F31" s="20">
        <f>IF((E31=0),0,(IF((D31=0),0,(E31/D31))))</f>
        <v>28.717834359611196</v>
      </c>
      <c r="G31" s="47"/>
      <c r="H31" s="47" t="s">
        <v>67</v>
      </c>
      <c r="I31" s="47" t="s">
        <v>70</v>
      </c>
      <c r="J31" s="47"/>
      <c r="K31" s="47"/>
      <c r="L31" s="47"/>
      <c r="M31" s="47"/>
      <c r="N31" s="47"/>
      <c r="O31" s="19">
        <v>37493.745</v>
      </c>
    </row>
    <row r="32" spans="2:15" ht="13.5">
      <c r="B32" s="3"/>
      <c r="C32" s="46"/>
      <c r="D32" s="19"/>
      <c r="E32" s="19"/>
      <c r="F32" s="20"/>
      <c r="G32" s="47"/>
      <c r="H32" s="47" t="s">
        <v>69</v>
      </c>
      <c r="I32" s="47" t="s">
        <v>79</v>
      </c>
      <c r="J32" s="47"/>
      <c r="K32" s="47"/>
      <c r="L32" s="47"/>
      <c r="M32" s="47"/>
      <c r="N32" s="47"/>
      <c r="O32" s="59">
        <v>143329.51799999998</v>
      </c>
    </row>
    <row r="33" spans="2:15" ht="13.5">
      <c r="B33" s="17" t="s">
        <v>24</v>
      </c>
      <c r="C33" s="46"/>
      <c r="D33" s="19">
        <f>D21-D31</f>
        <v>506202.564</v>
      </c>
      <c r="E33" s="19">
        <f>E21-E31</f>
        <v>12847896.127999999</v>
      </c>
      <c r="F33" s="20">
        <f>IF((E33=0),0,(IF((D33=0),0,(E33/D33))))</f>
        <v>25.380938465574424</v>
      </c>
      <c r="G33" s="47"/>
      <c r="H33" s="47" t="s">
        <v>71</v>
      </c>
      <c r="I33" s="47" t="s">
        <v>72</v>
      </c>
      <c r="J33" s="47"/>
      <c r="K33" s="47"/>
      <c r="L33" s="47"/>
      <c r="M33" s="47"/>
      <c r="N33" s="47"/>
      <c r="O33" s="19">
        <v>0</v>
      </c>
    </row>
    <row r="34" spans="2:15" ht="13.5">
      <c r="B34" s="3"/>
      <c r="C34" s="46"/>
      <c r="D34" s="19"/>
      <c r="E34" s="19"/>
      <c r="F34" s="20"/>
      <c r="G34" s="47"/>
      <c r="H34" s="47"/>
      <c r="I34" s="47"/>
      <c r="J34" s="49" t="s">
        <v>80</v>
      </c>
      <c r="K34" s="47"/>
      <c r="L34" s="47"/>
      <c r="M34" s="47"/>
      <c r="N34" s="47"/>
      <c r="O34" s="58">
        <f>SUM(O30:O33)</f>
        <v>180823.26299999998</v>
      </c>
    </row>
    <row r="35" spans="1:15" ht="13.5">
      <c r="A35" s="16" t="s">
        <v>23</v>
      </c>
      <c r="B35" s="17" t="s">
        <v>26</v>
      </c>
      <c r="C35" s="46"/>
      <c r="D35" s="19">
        <f>+D31+D33</f>
        <v>570053.368</v>
      </c>
      <c r="E35" s="19">
        <f>+E31+E33</f>
        <v>14681552.941</v>
      </c>
      <c r="F35" s="20">
        <f>IF((E35=0),0,(IF((D35=0),0,(E35/D35))))</f>
        <v>25.754699060036074</v>
      </c>
      <c r="G35" s="47"/>
      <c r="H35" s="47"/>
      <c r="I35" s="47"/>
      <c r="J35" s="47"/>
      <c r="K35" s="47"/>
      <c r="L35" s="47"/>
      <c r="M35" s="47"/>
      <c r="N35" s="47"/>
      <c r="O35" s="58"/>
    </row>
    <row r="36" spans="2:15" ht="13.5">
      <c r="B36" s="8"/>
      <c r="C36" s="46"/>
      <c r="D36" s="19"/>
      <c r="E36" s="19"/>
      <c r="F36" s="20"/>
      <c r="G36" s="57" t="s">
        <v>23</v>
      </c>
      <c r="H36" s="47" t="s">
        <v>81</v>
      </c>
      <c r="I36" s="47"/>
      <c r="J36" s="47"/>
      <c r="K36" s="47"/>
      <c r="L36" s="47"/>
      <c r="M36" s="47"/>
      <c r="N36" s="47"/>
      <c r="O36" s="58">
        <f>+O24-O34</f>
        <v>506202.32399999996</v>
      </c>
    </row>
    <row r="37" spans="1:15" ht="13.5">
      <c r="A37" s="16" t="s">
        <v>25</v>
      </c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5">
      <c r="A38" s="16"/>
      <c r="D38" s="19"/>
      <c r="E38" s="19"/>
      <c r="F38" s="20"/>
      <c r="G38" s="57" t="s">
        <v>82</v>
      </c>
      <c r="H38" s="47" t="s">
        <v>83</v>
      </c>
      <c r="I38" s="47"/>
      <c r="J38" s="47"/>
      <c r="K38" s="47"/>
      <c r="L38" s="47"/>
      <c r="M38" s="47"/>
      <c r="N38" s="47" t="s">
        <v>4</v>
      </c>
      <c r="O38" s="58">
        <f>O34+O36</f>
        <v>687025.5869999999</v>
      </c>
    </row>
    <row r="39" spans="1:15" ht="13.5">
      <c r="A39" s="16"/>
      <c r="B39" s="8" t="s">
        <v>28</v>
      </c>
      <c r="C39" s="46"/>
      <c r="D39" s="63">
        <f>D21-D31</f>
        <v>506202.564</v>
      </c>
      <c r="E39" s="63">
        <f>E21-E31</f>
        <v>12847896.127999999</v>
      </c>
      <c r="F39" s="64">
        <f aca="true" t="shared" si="0" ref="F39:F45">IF((E39=0),0,(IF((D39=0),0,(E39/D39))))</f>
        <v>25.380938465574424</v>
      </c>
      <c r="G39" s="47"/>
      <c r="H39" s="47"/>
      <c r="I39" s="47"/>
      <c r="J39" s="47"/>
      <c r="K39" s="47"/>
      <c r="L39" s="47"/>
      <c r="M39" s="47"/>
      <c r="N39" s="60" t="s">
        <v>4</v>
      </c>
      <c r="O39" s="61" t="s">
        <v>4</v>
      </c>
    </row>
    <row r="40" spans="2:15" ht="13.5">
      <c r="B40" s="8" t="s">
        <v>86</v>
      </c>
      <c r="C40" s="46"/>
      <c r="D40" s="19">
        <f>D41-D39</f>
        <v>-0.24000000004889444</v>
      </c>
      <c r="E40" s="19">
        <v>0</v>
      </c>
      <c r="F40" s="20">
        <f t="shared" si="0"/>
        <v>0</v>
      </c>
      <c r="G40" s="47" t="s">
        <v>84</v>
      </c>
      <c r="H40" s="62" t="s">
        <v>85</v>
      </c>
      <c r="I40" s="47"/>
      <c r="J40" s="47"/>
      <c r="K40" s="47"/>
      <c r="L40" s="47"/>
      <c r="M40" s="47"/>
      <c r="N40" s="61" t="s">
        <v>4</v>
      </c>
      <c r="O40" s="58" t="s">
        <v>4</v>
      </c>
    </row>
    <row r="41" spans="1:6" ht="13.5">
      <c r="A41" s="16" t="s">
        <v>27</v>
      </c>
      <c r="B41" s="8" t="s">
        <v>32</v>
      </c>
      <c r="C41" s="46"/>
      <c r="D41" s="19">
        <f>D45-D44</f>
        <v>506202.32399999996</v>
      </c>
      <c r="E41" s="19">
        <f>(SUM(E39))+E40</f>
        <v>12847896.127999999</v>
      </c>
      <c r="F41" s="20">
        <f t="shared" si="0"/>
        <v>25.380950499152586</v>
      </c>
    </row>
    <row r="42" spans="1:6" ht="13.5">
      <c r="A42" s="71" t="s">
        <v>29</v>
      </c>
      <c r="B42" s="72" t="s">
        <v>34</v>
      </c>
      <c r="C42" s="73"/>
      <c r="D42" s="74">
        <v>-786.712887</v>
      </c>
      <c r="E42" s="74">
        <v>-20691.335640987</v>
      </c>
      <c r="F42" s="20">
        <f t="shared" si="0"/>
        <v>26.301</v>
      </c>
    </row>
    <row r="43" spans="1:6" ht="13.5">
      <c r="A43" s="71" t="s">
        <v>31</v>
      </c>
      <c r="B43" s="72" t="s">
        <v>36</v>
      </c>
      <c r="C43" s="73"/>
      <c r="D43" s="74">
        <v>786.712887</v>
      </c>
      <c r="E43" s="74">
        <v>20691.335640987</v>
      </c>
      <c r="F43" s="20">
        <f t="shared" si="0"/>
        <v>26.301</v>
      </c>
    </row>
    <row r="44" spans="1:6" ht="13.5">
      <c r="A44" s="71" t="s">
        <v>33</v>
      </c>
      <c r="B44" s="75" t="s">
        <v>38</v>
      </c>
      <c r="C44" s="73"/>
      <c r="D44" s="74">
        <v>0</v>
      </c>
      <c r="E44" s="74">
        <v>0</v>
      </c>
      <c r="F44" s="20">
        <f t="shared" si="0"/>
        <v>0</v>
      </c>
    </row>
    <row r="45" spans="1:6" ht="13.5">
      <c r="A45" s="71" t="s">
        <v>35</v>
      </c>
      <c r="B45" s="75" t="s">
        <v>40</v>
      </c>
      <c r="C45" s="76" t="s">
        <v>87</v>
      </c>
      <c r="D45" s="74">
        <v>506202.32399999996</v>
      </c>
      <c r="E45" s="77">
        <f>SUM(E41:E44)</f>
        <v>12847896.127999999</v>
      </c>
      <c r="F45" s="65">
        <f t="shared" si="0"/>
        <v>25.380950499152586</v>
      </c>
    </row>
    <row r="46" spans="1:6" ht="13.5">
      <c r="A46" s="71" t="s">
        <v>37</v>
      </c>
      <c r="B46" s="78" t="s">
        <v>4</v>
      </c>
      <c r="C46" s="78"/>
      <c r="D46" s="78"/>
      <c r="E46" s="78"/>
      <c r="F46" s="37"/>
    </row>
    <row r="47" spans="1:11" ht="15.75">
      <c r="A47" s="16" t="s">
        <v>39</v>
      </c>
      <c r="B47" s="38" t="s">
        <v>4</v>
      </c>
      <c r="C47"/>
      <c r="D47"/>
      <c r="E47"/>
      <c r="F47"/>
      <c r="G47" s="37"/>
      <c r="H47" s="37"/>
      <c r="I47" s="37"/>
      <c r="J47" s="37"/>
      <c r="K47" s="37"/>
    </row>
    <row r="48" spans="1:11" ht="15.75">
      <c r="A48" s="36" t="s">
        <v>4</v>
      </c>
      <c r="B48" s="3"/>
      <c r="C48" s="46"/>
      <c r="D48" s="19"/>
      <c r="E48" s="19"/>
      <c r="F48" s="39"/>
      <c r="G48" s="66" t="s">
        <v>4</v>
      </c>
      <c r="H48" s="67"/>
      <c r="I48" s="67" t="s">
        <v>4</v>
      </c>
      <c r="J48" s="67"/>
      <c r="K48"/>
    </row>
    <row r="49" ht="15.75">
      <c r="A49"/>
    </row>
    <row r="50" spans="1:7" ht="15.75">
      <c r="A50"/>
      <c r="B50"/>
      <c r="C50"/>
      <c r="D50"/>
      <c r="E50"/>
      <c r="F50"/>
      <c r="G50"/>
    </row>
    <row r="51" spans="1:7" ht="15.75">
      <c r="A51"/>
      <c r="B51"/>
      <c r="C51"/>
      <c r="D51"/>
      <c r="E51"/>
      <c r="F51"/>
      <c r="G51"/>
    </row>
    <row r="52" spans="1:7" ht="15.75">
      <c r="A52"/>
      <c r="B52"/>
      <c r="C52"/>
      <c r="D52"/>
      <c r="E52"/>
      <c r="F52"/>
      <c r="G52"/>
    </row>
    <row r="53" spans="1:7" ht="15.75">
      <c r="A53"/>
      <c r="B53"/>
      <c r="C53"/>
      <c r="D53"/>
      <c r="E53"/>
      <c r="F53"/>
      <c r="G53"/>
    </row>
    <row r="54" spans="1:7" ht="15.75">
      <c r="A54"/>
      <c r="B54"/>
      <c r="C54"/>
      <c r="D54"/>
      <c r="E54"/>
      <c r="F54"/>
      <c r="G54"/>
    </row>
    <row r="55" spans="1:7" ht="15.75">
      <c r="A55"/>
      <c r="B55"/>
      <c r="C55"/>
      <c r="D55"/>
      <c r="E55"/>
      <c r="F55"/>
      <c r="G55"/>
    </row>
    <row r="56" spans="1:7" ht="15.75">
      <c r="A56"/>
      <c r="B56"/>
      <c r="C56"/>
      <c r="D56"/>
      <c r="E56"/>
      <c r="F56"/>
      <c r="G56"/>
    </row>
    <row r="57" spans="1:7" ht="15.75">
      <c r="A57"/>
      <c r="B57"/>
      <c r="C57"/>
      <c r="D57"/>
      <c r="E57"/>
      <c r="F57"/>
      <c r="G57"/>
    </row>
    <row r="58" spans="1:7" ht="15.75">
      <c r="A58"/>
      <c r="B58"/>
      <c r="C58"/>
      <c r="D58"/>
      <c r="E58"/>
      <c r="F58"/>
      <c r="G58"/>
    </row>
    <row r="59" ht="13.5">
      <c r="B59" s="6" t="s">
        <v>4</v>
      </c>
    </row>
    <row r="60" ht="13.5">
      <c r="B60" s="6" t="s">
        <v>4</v>
      </c>
    </row>
  </sheetData>
  <sheetProtection/>
  <mergeCells count="1">
    <mergeCell ref="D6:F6"/>
  </mergeCells>
  <printOptions/>
  <pageMargins left="0.7" right="0.7" top="0.75" bottom="0.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 t="s">
        <v>4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D6</f>
        <v>November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2.75" customHeight="1">
      <c r="B6" s="8" t="s">
        <v>3</v>
      </c>
      <c r="C6" s="46"/>
      <c r="D6" s="158" t="str">
        <f>+'[12]INPUT SHEET'!B1</f>
        <v>November 2013 ACTUAL</v>
      </c>
      <c r="E6" s="158"/>
      <c r="F6" s="158"/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52</v>
      </c>
      <c r="C11" s="55" t="s">
        <v>53</v>
      </c>
      <c r="D11" s="19">
        <v>35869</v>
      </c>
      <c r="E11" s="19">
        <v>2075966.83</v>
      </c>
      <c r="F11" s="20">
        <v>57.876350887953386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94</v>
      </c>
      <c r="C12" s="55" t="s">
        <v>54</v>
      </c>
      <c r="D12" s="19">
        <f>113852.85+126399</f>
        <v>240251.85</v>
      </c>
      <c r="E12" s="59">
        <f>2907930.174+3204094</f>
        <v>6112024.174000001</v>
      </c>
      <c r="F12" s="20">
        <f>E12/D12</f>
        <v>25.4400712169334</v>
      </c>
      <c r="G12" s="57" t="s">
        <v>10</v>
      </c>
      <c r="H12" s="47" t="s">
        <v>11</v>
      </c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276120.85</v>
      </c>
      <c r="E13" s="19">
        <f>SUM(E11:E12)</f>
        <v>8187991.004000001</v>
      </c>
      <c r="F13" s="20">
        <f>IF((E13=0),0,(IF((D13=0),0,(E13/D13))))</f>
        <v>29.653649856575488</v>
      </c>
      <c r="G13" s="47"/>
      <c r="H13" s="47"/>
      <c r="I13" s="47" t="s">
        <v>55</v>
      </c>
      <c r="J13" s="47"/>
      <c r="K13" s="47"/>
      <c r="L13" s="47"/>
      <c r="M13" s="47"/>
      <c r="N13" s="47"/>
      <c r="O13" s="19">
        <v>35869</v>
      </c>
    </row>
    <row r="14" spans="2:15" ht="13.5">
      <c r="B14" s="3"/>
      <c r="C14" s="46"/>
      <c r="D14" s="19"/>
      <c r="E14" s="19"/>
      <c r="F14" s="20"/>
      <c r="G14" s="47"/>
      <c r="H14" s="47"/>
      <c r="I14" s="47"/>
      <c r="J14" s="47"/>
      <c r="K14" s="47"/>
      <c r="L14" s="47"/>
      <c r="M14" s="47"/>
      <c r="N14" s="47"/>
      <c r="O14" s="58"/>
    </row>
    <row r="15" spans="2:15" ht="13.5">
      <c r="B15" s="17" t="s">
        <v>14</v>
      </c>
      <c r="C15" s="46"/>
      <c r="D15" s="19"/>
      <c r="E15" s="19"/>
      <c r="F15" s="20"/>
      <c r="G15" s="57" t="s">
        <v>13</v>
      </c>
      <c r="H15" s="47" t="s">
        <v>56</v>
      </c>
      <c r="I15" s="47"/>
      <c r="J15" s="47"/>
      <c r="K15" s="47"/>
      <c r="L15" s="47"/>
      <c r="M15" s="47"/>
      <c r="N15" s="47"/>
      <c r="O15" s="58"/>
    </row>
    <row r="16" spans="1:15" ht="13.5">
      <c r="A16" s="16" t="s">
        <v>13</v>
      </c>
      <c r="B16" s="8" t="s">
        <v>59</v>
      </c>
      <c r="C16" s="55" t="s">
        <v>60</v>
      </c>
      <c r="D16" s="19">
        <v>352668.654</v>
      </c>
      <c r="E16" s="19">
        <v>8310982.944</v>
      </c>
      <c r="F16" s="20">
        <v>23.565981409847673</v>
      </c>
      <c r="G16" s="47"/>
      <c r="H16" s="47" t="s">
        <v>57</v>
      </c>
      <c r="I16" s="47" t="s">
        <v>58</v>
      </c>
      <c r="J16" s="47"/>
      <c r="K16" s="47"/>
      <c r="L16" s="47"/>
      <c r="M16" s="47"/>
      <c r="N16" s="47"/>
      <c r="O16" s="58" t="s">
        <v>4</v>
      </c>
    </row>
    <row r="17" spans="1:15" ht="13.5">
      <c r="A17" s="6"/>
      <c r="B17" s="8" t="s">
        <v>62</v>
      </c>
      <c r="C17" s="55" t="s">
        <v>63</v>
      </c>
      <c r="D17" s="19">
        <v>24114.307999999997</v>
      </c>
      <c r="E17" s="19">
        <v>793593.51</v>
      </c>
      <c r="F17" s="20">
        <v>32.909653057429644</v>
      </c>
      <c r="G17" s="47"/>
      <c r="H17" s="47"/>
      <c r="I17" s="57" t="s">
        <v>10</v>
      </c>
      <c r="J17" s="47" t="s">
        <v>61</v>
      </c>
      <c r="K17" s="47"/>
      <c r="L17" s="47"/>
      <c r="M17" s="47"/>
      <c r="N17" s="47"/>
      <c r="O17" s="19">
        <v>240252.3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/>
      <c r="I18" s="57" t="s">
        <v>13</v>
      </c>
      <c r="J18" s="47" t="s">
        <v>64</v>
      </c>
      <c r="K18" s="47"/>
      <c r="L18" s="47"/>
      <c r="M18" s="47"/>
      <c r="N18" s="47"/>
      <c r="O18" s="19">
        <v>24114.307999999997</v>
      </c>
    </row>
    <row r="19" spans="2:15" ht="13.5">
      <c r="B19" s="23" t="s">
        <v>12</v>
      </c>
      <c r="C19" s="46"/>
      <c r="D19" s="19">
        <f>SUM(D16:D18)</f>
        <v>376782.962</v>
      </c>
      <c r="E19" s="19">
        <f>SUM(E16:E18)</f>
        <v>9104576.454</v>
      </c>
      <c r="F19" s="20">
        <f>IF((E19=0),0,(IF((D19=0),0,(E19/D19))))</f>
        <v>24.163981316119067</v>
      </c>
      <c r="G19" s="47"/>
      <c r="H19" s="47" t="s">
        <v>67</v>
      </c>
      <c r="I19" s="47" t="s">
        <v>68</v>
      </c>
      <c r="J19" s="47"/>
      <c r="K19" s="47"/>
      <c r="L19" s="47"/>
      <c r="M19" s="47"/>
      <c r="N19" s="47"/>
      <c r="O19" s="58">
        <v>0</v>
      </c>
    </row>
    <row r="20" spans="2:15" ht="13.5">
      <c r="B20" s="3"/>
      <c r="C20" s="46"/>
      <c r="D20" s="19"/>
      <c r="E20" s="19"/>
      <c r="F20" s="20"/>
      <c r="G20" s="47"/>
      <c r="H20" s="47" t="s">
        <v>69</v>
      </c>
      <c r="I20" s="47" t="s">
        <v>70</v>
      </c>
      <c r="J20" s="47"/>
      <c r="K20" s="47"/>
      <c r="L20" s="47"/>
      <c r="M20" s="47"/>
      <c r="N20" s="47"/>
      <c r="O20" s="19">
        <v>443514.263</v>
      </c>
    </row>
    <row r="21" spans="2:15" ht="13.5">
      <c r="B21" s="17" t="s">
        <v>17</v>
      </c>
      <c r="C21" s="46"/>
      <c r="D21" s="19">
        <f>D13+D19</f>
        <v>652903.8119999999</v>
      </c>
      <c r="E21" s="19">
        <f>E13+E19</f>
        <v>17292567.458</v>
      </c>
      <c r="F21" s="20">
        <f>IF((E21=0),0,(IF((D21=0),0,(E21/D21))))</f>
        <v>26.485627959543912</v>
      </c>
      <c r="G21" s="47"/>
      <c r="H21" s="47" t="s">
        <v>71</v>
      </c>
      <c r="I21" s="47" t="s">
        <v>72</v>
      </c>
      <c r="J21" s="47"/>
      <c r="K21" s="47"/>
      <c r="L21" s="47"/>
      <c r="M21" s="47"/>
      <c r="N21" s="47"/>
      <c r="O21" s="19">
        <v>0</v>
      </c>
    </row>
    <row r="22" spans="1:15" ht="13.5">
      <c r="A22" s="16" t="s">
        <v>16</v>
      </c>
      <c r="B22" s="3"/>
      <c r="C22" s="46"/>
      <c r="D22" s="19"/>
      <c r="E22" s="19"/>
      <c r="F22" s="20"/>
      <c r="G22" s="47"/>
      <c r="H22" s="47"/>
      <c r="I22" s="47"/>
      <c r="J22" s="49" t="s">
        <v>73</v>
      </c>
      <c r="K22" s="47"/>
      <c r="L22" s="47"/>
      <c r="M22" s="47"/>
      <c r="N22" s="47"/>
      <c r="O22" s="58">
        <f>SUM(O17:O21)</f>
        <v>707880.871</v>
      </c>
    </row>
    <row r="23" spans="2:15" ht="13.5">
      <c r="B23" s="12" t="s">
        <v>18</v>
      </c>
      <c r="C23" s="52"/>
      <c r="D23" s="19"/>
      <c r="E23" s="19"/>
      <c r="F23" s="20"/>
      <c r="G23" s="47"/>
      <c r="H23" s="47"/>
      <c r="I23" s="47"/>
      <c r="J23" s="47"/>
      <c r="K23" s="47"/>
      <c r="L23" s="47"/>
      <c r="M23" s="47"/>
      <c r="N23" s="47"/>
      <c r="O23" s="58"/>
    </row>
    <row r="24" spans="2:15" ht="13.5">
      <c r="B24" s="12"/>
      <c r="C24" s="52"/>
      <c r="D24" s="19"/>
      <c r="E24" s="19"/>
      <c r="F24" s="20"/>
      <c r="G24" s="57" t="s">
        <v>16</v>
      </c>
      <c r="H24" s="47" t="s">
        <v>74</v>
      </c>
      <c r="I24" s="47"/>
      <c r="J24" s="47"/>
      <c r="K24" s="47"/>
      <c r="L24" s="47"/>
      <c r="M24" s="47"/>
      <c r="N24" s="47"/>
      <c r="O24" s="58">
        <f>+O13+O22</f>
        <v>743749.871</v>
      </c>
    </row>
    <row r="25" spans="2:15" ht="13.5"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1:15" ht="13.5">
      <c r="A26" s="16" t="s">
        <v>19</v>
      </c>
      <c r="B26" s="8" t="s">
        <v>59</v>
      </c>
      <c r="C26" s="55" t="s">
        <v>60</v>
      </c>
      <c r="D26" s="19">
        <v>0</v>
      </c>
      <c r="E26" s="19">
        <v>0</v>
      </c>
      <c r="F26" s="20">
        <v>0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94</v>
      </c>
      <c r="C27" s="55" t="s">
        <v>76</v>
      </c>
      <c r="D27" s="19">
        <f>17421.308+18332</f>
        <v>35753.308000000005</v>
      </c>
      <c r="E27" s="19">
        <f>406397.017000001+425940</f>
        <v>832337.0170000009</v>
      </c>
      <c r="F27" s="20">
        <v>23.32758349717488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15850.486</v>
      </c>
      <c r="E28" s="19">
        <v>567107.6799999999</v>
      </c>
      <c r="F28" s="20">
        <f>E28/D28</f>
        <v>35.77856729440346</v>
      </c>
      <c r="G28" s="47"/>
      <c r="H28" s="47"/>
      <c r="I28" s="47"/>
      <c r="J28" s="47"/>
      <c r="K28" s="47"/>
      <c r="L28" s="47"/>
      <c r="M28" s="47"/>
      <c r="N28" s="47"/>
      <c r="O28" s="58"/>
    </row>
    <row r="29" spans="2:15" ht="13.5">
      <c r="B29" s="8" t="s">
        <v>78</v>
      </c>
      <c r="C29" s="55" t="s">
        <v>76</v>
      </c>
      <c r="D29" s="19">
        <v>5467.161999999997</v>
      </c>
      <c r="E29" s="19">
        <v>174956.15700000024</v>
      </c>
      <c r="F29" s="20">
        <v>32.001275433213856</v>
      </c>
      <c r="G29" s="57" t="s">
        <v>19</v>
      </c>
      <c r="H29" s="47" t="s">
        <v>77</v>
      </c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20.63</v>
      </c>
      <c r="E30" s="19">
        <v>670.082</v>
      </c>
      <c r="F30" s="20">
        <v>32.480950072709646</v>
      </c>
      <c r="G30" s="47"/>
      <c r="H30" s="47" t="s">
        <v>57</v>
      </c>
      <c r="I30" s="47" t="s">
        <v>68</v>
      </c>
      <c r="J30" s="47"/>
      <c r="K30" s="47"/>
      <c r="L30" s="47"/>
      <c r="M30" s="47"/>
      <c r="N30" s="47"/>
      <c r="O30" s="58">
        <v>0</v>
      </c>
    </row>
    <row r="31" spans="2:15" ht="13.5">
      <c r="B31" s="23" t="s">
        <v>12</v>
      </c>
      <c r="C31" s="46"/>
      <c r="D31" s="19">
        <f>SUM(D26:D30)</f>
        <v>57091.586</v>
      </c>
      <c r="E31" s="19">
        <f>SUM(E26:E30)</f>
        <v>1575070.9360000012</v>
      </c>
      <c r="F31" s="20">
        <f>IF((E31=0),0,(IF((D31=0),0,(E31/D31))))</f>
        <v>27.588495019213532</v>
      </c>
      <c r="G31" s="47"/>
      <c r="H31" s="47" t="s">
        <v>67</v>
      </c>
      <c r="I31" s="47" t="s">
        <v>70</v>
      </c>
      <c r="J31" s="47"/>
      <c r="K31" s="47"/>
      <c r="L31" s="47"/>
      <c r="M31" s="47"/>
      <c r="N31" s="47"/>
      <c r="O31" s="19">
        <v>38600.287</v>
      </c>
    </row>
    <row r="32" spans="2:15" ht="13.5">
      <c r="B32" s="3"/>
      <c r="C32" s="46"/>
      <c r="D32" s="19"/>
      <c r="E32" s="19"/>
      <c r="F32" s="20"/>
      <c r="G32" s="47"/>
      <c r="H32" s="47" t="s">
        <v>69</v>
      </c>
      <c r="I32" s="47" t="s">
        <v>79</v>
      </c>
      <c r="J32" s="47"/>
      <c r="K32" s="47"/>
      <c r="L32" s="47"/>
      <c r="M32" s="47"/>
      <c r="N32" s="47"/>
      <c r="O32" s="59">
        <v>109316.10399999999</v>
      </c>
    </row>
    <row r="33" spans="2:15" ht="13.5">
      <c r="B33" s="17" t="s">
        <v>24</v>
      </c>
      <c r="C33" s="46"/>
      <c r="D33" s="19">
        <f>D21-D31</f>
        <v>595812.2259999999</v>
      </c>
      <c r="E33" s="19">
        <f>E21-E31</f>
        <v>15717496.522</v>
      </c>
      <c r="F33" s="20">
        <f>IF((E33=0),0,(IF((D33=0),0,(E33/D33))))</f>
        <v>26.379949648767365</v>
      </c>
      <c r="G33" s="47"/>
      <c r="H33" s="47" t="s">
        <v>71</v>
      </c>
      <c r="I33" s="47" t="s">
        <v>72</v>
      </c>
      <c r="J33" s="47"/>
      <c r="K33" s="47"/>
      <c r="L33" s="47"/>
      <c r="M33" s="47"/>
      <c r="N33" s="47"/>
      <c r="O33" s="19">
        <v>20.63</v>
      </c>
    </row>
    <row r="34" spans="2:15" ht="13.5">
      <c r="B34" s="3"/>
      <c r="C34" s="46"/>
      <c r="D34" s="19"/>
      <c r="E34" s="19"/>
      <c r="F34" s="20"/>
      <c r="G34" s="47"/>
      <c r="H34" s="47"/>
      <c r="I34" s="47"/>
      <c r="J34" s="49" t="s">
        <v>80</v>
      </c>
      <c r="K34" s="47"/>
      <c r="L34" s="47"/>
      <c r="M34" s="47"/>
      <c r="N34" s="47"/>
      <c r="O34" s="58">
        <f>SUM(O30:O33)</f>
        <v>147937.021</v>
      </c>
    </row>
    <row r="35" spans="1:15" ht="13.5">
      <c r="A35" s="16" t="s">
        <v>23</v>
      </c>
      <c r="B35" s="17" t="s">
        <v>26</v>
      </c>
      <c r="C35" s="46"/>
      <c r="D35" s="19">
        <f>+D31+D33</f>
        <v>652903.8119999999</v>
      </c>
      <c r="E35" s="19">
        <f>+E31+E33</f>
        <v>17292567.458</v>
      </c>
      <c r="F35" s="20">
        <f>IF((E35=0),0,(IF((D35=0),0,(E35/D35))))</f>
        <v>26.485627959543912</v>
      </c>
      <c r="G35" s="47"/>
      <c r="H35" s="47"/>
      <c r="I35" s="47"/>
      <c r="J35" s="47"/>
      <c r="K35" s="47"/>
      <c r="L35" s="47"/>
      <c r="M35" s="47"/>
      <c r="N35" s="47"/>
      <c r="O35" s="58"/>
    </row>
    <row r="36" spans="2:15" ht="13.5">
      <c r="B36" s="8"/>
      <c r="C36" s="46"/>
      <c r="D36" s="19"/>
      <c r="E36" s="19"/>
      <c r="F36" s="20"/>
      <c r="G36" s="57" t="s">
        <v>23</v>
      </c>
      <c r="H36" s="47" t="s">
        <v>81</v>
      </c>
      <c r="I36" s="47"/>
      <c r="J36" s="47"/>
      <c r="K36" s="47"/>
      <c r="L36" s="47"/>
      <c r="M36" s="47"/>
      <c r="N36" s="47"/>
      <c r="O36" s="58">
        <f>+O24-O34</f>
        <v>595812.8500000001</v>
      </c>
    </row>
    <row r="37" spans="1:15" ht="13.5">
      <c r="A37" s="16" t="s">
        <v>25</v>
      </c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5">
      <c r="A38" s="16"/>
      <c r="D38" s="19"/>
      <c r="E38" s="19"/>
      <c r="F38" s="20"/>
      <c r="G38" s="57" t="s">
        <v>82</v>
      </c>
      <c r="H38" s="47" t="s">
        <v>83</v>
      </c>
      <c r="I38" s="47"/>
      <c r="J38" s="47"/>
      <c r="K38" s="47"/>
      <c r="L38" s="47"/>
      <c r="M38" s="47"/>
      <c r="N38" s="47" t="s">
        <v>4</v>
      </c>
      <c r="O38" s="58">
        <f>O34+O36</f>
        <v>743749.871</v>
      </c>
    </row>
    <row r="39" spans="1:15" ht="13.5">
      <c r="A39" s="16"/>
      <c r="B39" s="8" t="s">
        <v>28</v>
      </c>
      <c r="C39" s="46"/>
      <c r="D39" s="63">
        <f>D21-D31</f>
        <v>595812.2259999999</v>
      </c>
      <c r="E39" s="63">
        <f>E21-E31</f>
        <v>15717496.522</v>
      </c>
      <c r="F39" s="64">
        <f aca="true" t="shared" si="0" ref="F39:F45">IF((E39=0),0,(IF((D39=0),0,(E39/D39))))</f>
        <v>26.379949648767365</v>
      </c>
      <c r="G39" s="47"/>
      <c r="H39" s="47"/>
      <c r="I39" s="47"/>
      <c r="J39" s="47"/>
      <c r="K39" s="47"/>
      <c r="L39" s="47"/>
      <c r="M39" s="47"/>
      <c r="N39" s="60" t="s">
        <v>4</v>
      </c>
      <c r="O39" s="61" t="s">
        <v>4</v>
      </c>
    </row>
    <row r="40" spans="2:15" ht="13.5">
      <c r="B40" s="8" t="s">
        <v>86</v>
      </c>
      <c r="C40" s="46"/>
      <c r="D40" s="19">
        <f>D41-D39</f>
        <v>0.6240000001853332</v>
      </c>
      <c r="E40" s="19">
        <v>0</v>
      </c>
      <c r="F40" s="20">
        <f t="shared" si="0"/>
        <v>0</v>
      </c>
      <c r="G40" s="47" t="s">
        <v>84</v>
      </c>
      <c r="H40" s="62" t="s">
        <v>85</v>
      </c>
      <c r="I40" s="47"/>
      <c r="J40" s="47"/>
      <c r="K40" s="47"/>
      <c r="L40" s="47"/>
      <c r="M40" s="47"/>
      <c r="N40" s="61" t="s">
        <v>4</v>
      </c>
      <c r="O40" s="58" t="s">
        <v>4</v>
      </c>
    </row>
    <row r="41" spans="1:6" ht="13.5">
      <c r="A41" s="16" t="s">
        <v>27</v>
      </c>
      <c r="B41" s="8" t="s">
        <v>32</v>
      </c>
      <c r="C41" s="46"/>
      <c r="D41" s="19">
        <f>D45-D44</f>
        <v>595812.8500000001</v>
      </c>
      <c r="E41" s="19">
        <f>(SUM(E39))+E40</f>
        <v>15717496.522</v>
      </c>
      <c r="F41" s="20">
        <f t="shared" si="0"/>
        <v>26.37992202081576</v>
      </c>
    </row>
    <row r="42" spans="1:6" ht="13.5">
      <c r="A42" s="71" t="s">
        <v>29</v>
      </c>
      <c r="B42" s="72" t="s">
        <v>34</v>
      </c>
      <c r="C42" s="73"/>
      <c r="D42" s="74">
        <v>518.1808418</v>
      </c>
      <c r="E42" s="74">
        <v>13307.402198265801</v>
      </c>
      <c r="F42" s="20">
        <f t="shared" si="0"/>
        <v>25.681</v>
      </c>
    </row>
    <row r="43" spans="1:6" ht="13.5">
      <c r="A43" s="71" t="s">
        <v>31</v>
      </c>
      <c r="B43" s="72" t="s">
        <v>36</v>
      </c>
      <c r="C43" s="73"/>
      <c r="D43" s="74">
        <v>-518.1808418</v>
      </c>
      <c r="E43" s="74">
        <v>-13307.402198265801</v>
      </c>
      <c r="F43" s="20">
        <f t="shared" si="0"/>
        <v>25.681</v>
      </c>
    </row>
    <row r="44" spans="1:6" ht="13.5">
      <c r="A44" s="71" t="s">
        <v>33</v>
      </c>
      <c r="B44" s="75" t="s">
        <v>38</v>
      </c>
      <c r="C44" s="73"/>
      <c r="D44" s="74">
        <v>0</v>
      </c>
      <c r="E44" s="74">
        <v>0</v>
      </c>
      <c r="F44" s="20">
        <f t="shared" si="0"/>
        <v>0</v>
      </c>
    </row>
    <row r="45" spans="1:6" ht="13.5">
      <c r="A45" s="71" t="s">
        <v>35</v>
      </c>
      <c r="B45" s="75" t="s">
        <v>40</v>
      </c>
      <c r="C45" s="76" t="s">
        <v>87</v>
      </c>
      <c r="D45" s="74">
        <f>O36+D42+D43</f>
        <v>595812.8500000001</v>
      </c>
      <c r="E45" s="77">
        <f>SUM(E41:E44)</f>
        <v>15717496.522</v>
      </c>
      <c r="F45" s="65">
        <f t="shared" si="0"/>
        <v>26.37992202081576</v>
      </c>
    </row>
    <row r="46" spans="1:6" ht="13.5">
      <c r="A46" s="71" t="s">
        <v>37</v>
      </c>
      <c r="B46" s="78" t="s">
        <v>4</v>
      </c>
      <c r="C46" s="78"/>
      <c r="D46" s="78"/>
      <c r="E46" s="78"/>
      <c r="F46" s="37"/>
    </row>
    <row r="47" spans="1:11" ht="15.75">
      <c r="A47" s="16" t="s">
        <v>39</v>
      </c>
      <c r="B47" s="38" t="s">
        <v>4</v>
      </c>
      <c r="C47"/>
      <c r="D47"/>
      <c r="E47"/>
      <c r="F47"/>
      <c r="G47" s="37"/>
      <c r="H47" s="37"/>
      <c r="I47" s="37"/>
      <c r="J47" s="37"/>
      <c r="K47" s="37"/>
    </row>
    <row r="48" spans="1:11" ht="15.75">
      <c r="A48" s="36" t="s">
        <v>4</v>
      </c>
      <c r="B48" s="3"/>
      <c r="C48" s="46"/>
      <c r="D48" s="19"/>
      <c r="E48" s="19"/>
      <c r="F48" s="39"/>
      <c r="G48" s="66" t="s">
        <v>4</v>
      </c>
      <c r="H48" s="67"/>
      <c r="I48" s="67" t="s">
        <v>4</v>
      </c>
      <c r="J48" s="67"/>
      <c r="K48"/>
    </row>
    <row r="49" ht="15.75">
      <c r="A49"/>
    </row>
    <row r="54" spans="2:6" ht="13.5">
      <c r="B54" s="8"/>
      <c r="C54" s="46"/>
      <c r="D54" s="19"/>
      <c r="E54" s="19"/>
      <c r="F54" s="39"/>
    </row>
    <row r="55" spans="2:7" ht="15.75">
      <c r="B55" s="8"/>
      <c r="C55" s="46"/>
      <c r="E55"/>
      <c r="F55"/>
      <c r="G55"/>
    </row>
    <row r="56" spans="2:7" ht="15.75">
      <c r="B56" s="8"/>
      <c r="C56" s="46"/>
      <c r="E56"/>
      <c r="F56"/>
      <c r="G56"/>
    </row>
    <row r="57" spans="3:7" ht="15.75">
      <c r="C57" s="68"/>
      <c r="D57" s="19"/>
      <c r="E57"/>
      <c r="F57"/>
      <c r="G57"/>
    </row>
    <row r="58" spans="5:7" ht="15.75">
      <c r="E58"/>
      <c r="F58"/>
      <c r="G58"/>
    </row>
    <row r="59" spans="2:7" ht="15.75">
      <c r="B59" s="6" t="s">
        <v>4</v>
      </c>
      <c r="E59"/>
      <c r="F59"/>
      <c r="G59"/>
    </row>
    <row r="60" ht="13.5">
      <c r="B60" s="6" t="s">
        <v>4</v>
      </c>
    </row>
  </sheetData>
  <sheetProtection/>
  <mergeCells count="1">
    <mergeCell ref="D6:F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I49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3.28125" style="1" bestFit="1" customWidth="1"/>
    <col min="2" max="2" width="51.7109375" style="6" bestFit="1" customWidth="1"/>
    <col min="3" max="3" width="9.421875" style="6" bestFit="1" customWidth="1"/>
    <col min="4" max="4" width="10.8515625" style="6" bestFit="1" customWidth="1"/>
    <col min="5" max="5" width="11.00390625" style="6" bestFit="1" customWidth="1"/>
    <col min="7" max="7" width="3.28125" style="1" bestFit="1" customWidth="1"/>
    <col min="8" max="8" width="51.7109375" style="6" bestFit="1" customWidth="1"/>
    <col min="9" max="9" width="11.28125" style="6" customWidth="1"/>
    <col min="10" max="10" width="19.7109375" style="6" customWidth="1"/>
    <col min="11" max="11" width="16.00390625" style="6" customWidth="1"/>
    <col min="13" max="13" width="3.28125" style="1" bestFit="1" customWidth="1"/>
    <col min="14" max="14" width="56.140625" style="6" customWidth="1"/>
    <col min="15" max="15" width="11.421875" style="6" customWidth="1"/>
    <col min="16" max="16" width="18.8515625" style="6" customWidth="1"/>
    <col min="17" max="17" width="11.00390625" style="6" bestFit="1" customWidth="1"/>
    <col min="19" max="19" width="3.28125" style="1" bestFit="1" customWidth="1"/>
    <col min="20" max="20" width="56.140625" style="6" customWidth="1"/>
    <col min="21" max="21" width="11.7109375" style="6" customWidth="1"/>
    <col min="22" max="22" width="15.7109375" style="6" customWidth="1"/>
    <col min="23" max="23" width="11.00390625" style="6" bestFit="1" customWidth="1"/>
    <col min="25" max="25" width="3.28125" style="1" bestFit="1" customWidth="1"/>
    <col min="26" max="26" width="56.140625" style="6" customWidth="1"/>
    <col min="27" max="27" width="9.421875" style="6" bestFit="1" customWidth="1"/>
    <col min="28" max="28" width="10.8515625" style="6" bestFit="1" customWidth="1"/>
    <col min="29" max="29" width="11.00390625" style="6" bestFit="1" customWidth="1"/>
    <col min="31" max="31" width="3.28125" style="1" bestFit="1" customWidth="1"/>
    <col min="32" max="32" width="56.140625" style="6" customWidth="1"/>
    <col min="33" max="33" width="9.421875" style="6" bestFit="1" customWidth="1"/>
    <col min="34" max="34" width="10.8515625" style="6" bestFit="1" customWidth="1"/>
    <col min="35" max="35" width="11.00390625" style="6" bestFit="1" customWidth="1"/>
    <col min="37" max="37" width="3.28125" style="1" bestFit="1" customWidth="1"/>
    <col min="38" max="38" width="56.140625" style="6" customWidth="1"/>
    <col min="39" max="39" width="9.421875" style="6" bestFit="1" customWidth="1"/>
    <col min="40" max="40" width="10.8515625" style="6" bestFit="1" customWidth="1"/>
    <col min="41" max="41" width="11.00390625" style="6" bestFit="1" customWidth="1"/>
    <col min="43" max="43" width="3.28125" style="1" bestFit="1" customWidth="1"/>
    <col min="44" max="44" width="56.140625" style="6" customWidth="1"/>
    <col min="45" max="45" width="9.421875" style="6" bestFit="1" customWidth="1"/>
    <col min="46" max="46" width="10.8515625" style="6" bestFit="1" customWidth="1"/>
    <col min="47" max="47" width="11.00390625" style="6" bestFit="1" customWidth="1"/>
    <col min="49" max="49" width="3.28125" style="1" bestFit="1" customWidth="1"/>
    <col min="50" max="50" width="56.140625" style="6" customWidth="1"/>
    <col min="51" max="51" width="9.421875" style="6" bestFit="1" customWidth="1"/>
    <col min="52" max="52" width="10.8515625" style="6" bestFit="1" customWidth="1"/>
    <col min="53" max="53" width="11.00390625" style="6" bestFit="1" customWidth="1"/>
    <col min="55" max="55" width="3.28125" style="1" bestFit="1" customWidth="1"/>
    <col min="56" max="56" width="56.140625" style="6" customWidth="1"/>
    <col min="57" max="57" width="9.421875" style="6" bestFit="1" customWidth="1"/>
    <col min="58" max="58" width="10.8515625" style="6" bestFit="1" customWidth="1"/>
    <col min="59" max="59" width="11.00390625" style="6" bestFit="1" customWidth="1"/>
    <col min="60" max="60" width="3.140625" style="0" customWidth="1"/>
  </cols>
  <sheetData>
    <row r="1" spans="2:59" ht="16.5">
      <c r="B1" s="2" t="s">
        <v>0</v>
      </c>
      <c r="C1" s="3"/>
      <c r="D1" s="4"/>
      <c r="E1" s="5">
        <v>42097.43542534722</v>
      </c>
      <c r="H1" s="2" t="s">
        <v>0</v>
      </c>
      <c r="I1" s="3"/>
      <c r="J1" s="4"/>
      <c r="K1" s="5"/>
      <c r="N1" s="2" t="s">
        <v>0</v>
      </c>
      <c r="O1" s="3"/>
      <c r="P1" s="4"/>
      <c r="Q1" s="5"/>
      <c r="T1" s="2" t="s">
        <v>0</v>
      </c>
      <c r="U1" s="3"/>
      <c r="V1" s="4"/>
      <c r="W1" s="5"/>
      <c r="Z1" s="2" t="s">
        <v>0</v>
      </c>
      <c r="AA1" s="3"/>
      <c r="AB1" s="4"/>
      <c r="AC1" s="5">
        <v>42097.43583738426</v>
      </c>
      <c r="AF1" s="2" t="s">
        <v>0</v>
      </c>
      <c r="AG1" s="3"/>
      <c r="AH1" s="4"/>
      <c r="AI1" s="5">
        <v>42097.43596446759</v>
      </c>
      <c r="AL1" s="2" t="s">
        <v>0</v>
      </c>
      <c r="AM1" s="3"/>
      <c r="AN1" s="4"/>
      <c r="AO1" s="5">
        <v>42097.436074074074</v>
      </c>
      <c r="AR1" s="2" t="s">
        <v>0</v>
      </c>
      <c r="AS1" s="3"/>
      <c r="AT1" s="4"/>
      <c r="AU1" s="5">
        <v>42097.43618113426</v>
      </c>
      <c r="AX1" s="2" t="s">
        <v>0</v>
      </c>
      <c r="AY1" s="3"/>
      <c r="AZ1" s="4"/>
      <c r="BA1" s="5">
        <v>42097.436247453705</v>
      </c>
      <c r="BD1" s="2" t="s">
        <v>0</v>
      </c>
      <c r="BE1" s="3"/>
      <c r="BF1" s="4"/>
      <c r="BG1" s="5">
        <v>42097.436329282405</v>
      </c>
    </row>
    <row r="2" spans="4:58" ht="15.75">
      <c r="D2" s="7"/>
      <c r="H2" s="42" t="s">
        <v>4</v>
      </c>
      <c r="J2" s="7"/>
      <c r="P2" s="7"/>
      <c r="V2" s="7"/>
      <c r="Z2" s="6" t="s">
        <v>117</v>
      </c>
      <c r="AB2" s="7"/>
      <c r="AF2" s="6" t="s">
        <v>118</v>
      </c>
      <c r="AH2" s="7"/>
      <c r="AL2" s="6" t="s">
        <v>119</v>
      </c>
      <c r="AN2" s="7"/>
      <c r="AR2" s="6" t="s">
        <v>120</v>
      </c>
      <c r="AT2" s="7"/>
      <c r="AX2" s="6" t="s">
        <v>121</v>
      </c>
      <c r="AZ2" s="7"/>
      <c r="BD2" s="6" t="s">
        <v>122</v>
      </c>
      <c r="BF2" s="7"/>
    </row>
    <row r="3" spans="2:58" ht="15.75">
      <c r="B3" s="8" t="s">
        <v>1</v>
      </c>
      <c r="D3" s="9"/>
      <c r="H3" s="8" t="s">
        <v>1</v>
      </c>
      <c r="J3" s="9"/>
      <c r="N3" s="8" t="s">
        <v>1</v>
      </c>
      <c r="P3" s="9"/>
      <c r="T3" s="8" t="s">
        <v>1</v>
      </c>
      <c r="V3" s="9"/>
      <c r="Z3" s="8" t="s">
        <v>1</v>
      </c>
      <c r="AB3" s="9"/>
      <c r="AF3" s="8" t="s">
        <v>1</v>
      </c>
      <c r="AH3" s="9"/>
      <c r="AL3" s="8" t="s">
        <v>1</v>
      </c>
      <c r="AN3" s="9"/>
      <c r="AR3" s="8" t="s">
        <v>1</v>
      </c>
      <c r="AT3" s="9"/>
      <c r="AX3" s="8" t="s">
        <v>1</v>
      </c>
      <c r="AZ3" s="9"/>
      <c r="BD3" s="8" t="s">
        <v>1</v>
      </c>
      <c r="BF3" s="9"/>
    </row>
    <row r="4" spans="2:56" ht="15.75">
      <c r="B4" s="8" t="s">
        <v>2</v>
      </c>
      <c r="H4" s="8" t="s">
        <v>2</v>
      </c>
      <c r="N4" s="8" t="s">
        <v>2</v>
      </c>
      <c r="T4" s="8" t="s">
        <v>2</v>
      </c>
      <c r="Z4" s="8" t="s">
        <v>2</v>
      </c>
      <c r="AF4" s="8" t="s">
        <v>2</v>
      </c>
      <c r="AL4" s="8" t="s">
        <v>2</v>
      </c>
      <c r="AR4" s="8" t="s">
        <v>2</v>
      </c>
      <c r="AX4" s="8" t="s">
        <v>2</v>
      </c>
      <c r="BD4" s="8" t="s">
        <v>2</v>
      </c>
    </row>
    <row r="5" spans="2:58" ht="15.75">
      <c r="B5" s="3"/>
      <c r="D5" s="8"/>
      <c r="H5" s="3"/>
      <c r="J5" s="8"/>
      <c r="N5" s="3"/>
      <c r="P5" s="8"/>
      <c r="T5" s="3"/>
      <c r="V5" s="8"/>
      <c r="Z5" s="3"/>
      <c r="AB5" s="8"/>
      <c r="AF5" s="3"/>
      <c r="AH5" s="8"/>
      <c r="AL5" s="3"/>
      <c r="AN5" s="8"/>
      <c r="AR5" s="3"/>
      <c r="AT5" s="8"/>
      <c r="AX5" s="3"/>
      <c r="AZ5" s="8"/>
      <c r="BD5" s="3"/>
      <c r="BF5" s="8"/>
    </row>
    <row r="6" spans="2:59" ht="15.75">
      <c r="B6" s="8" t="s">
        <v>3</v>
      </c>
      <c r="C6" s="85">
        <v>41640</v>
      </c>
      <c r="D6" s="85">
        <v>41640</v>
      </c>
      <c r="E6" s="85">
        <v>41640</v>
      </c>
      <c r="H6" s="8" t="s">
        <v>3</v>
      </c>
      <c r="I6" s="6" t="s">
        <v>44</v>
      </c>
      <c r="J6" s="10" t="s">
        <v>44</v>
      </c>
      <c r="K6" s="11" t="s">
        <v>44</v>
      </c>
      <c r="N6" s="8" t="s">
        <v>3</v>
      </c>
      <c r="O6" s="6" t="s">
        <v>115</v>
      </c>
      <c r="P6" s="7" t="s">
        <v>115</v>
      </c>
      <c r="Q6" s="11" t="s">
        <v>115</v>
      </c>
      <c r="T6" s="8" t="s">
        <v>3</v>
      </c>
      <c r="U6" s="6" t="s">
        <v>116</v>
      </c>
      <c r="V6" s="45" t="s">
        <v>116</v>
      </c>
      <c r="W6" s="11" t="s">
        <v>116</v>
      </c>
      <c r="Z6" s="8" t="s">
        <v>3</v>
      </c>
      <c r="AA6" s="6" t="s">
        <v>117</v>
      </c>
      <c r="AB6" s="10" t="s">
        <v>117</v>
      </c>
      <c r="AC6" s="10" t="s">
        <v>117</v>
      </c>
      <c r="AF6" s="8" t="s">
        <v>3</v>
      </c>
      <c r="AG6" s="6" t="s">
        <v>118</v>
      </c>
      <c r="AH6" s="10" t="s">
        <v>118</v>
      </c>
      <c r="AI6" s="10" t="s">
        <v>118</v>
      </c>
      <c r="AL6" s="8" t="s">
        <v>3</v>
      </c>
      <c r="AM6" s="6" t="s">
        <v>119</v>
      </c>
      <c r="AN6" s="10" t="s">
        <v>119</v>
      </c>
      <c r="AO6" s="10" t="s">
        <v>119</v>
      </c>
      <c r="AR6" s="8" t="s">
        <v>3</v>
      </c>
      <c r="AS6" s="6" t="s">
        <v>120</v>
      </c>
      <c r="AT6" s="10" t="s">
        <v>120</v>
      </c>
      <c r="AU6" s="10" t="s">
        <v>120</v>
      </c>
      <c r="AX6" s="8" t="s">
        <v>3</v>
      </c>
      <c r="AY6" s="6" t="s">
        <v>121</v>
      </c>
      <c r="AZ6" s="10" t="s">
        <v>121</v>
      </c>
      <c r="BA6" s="10" t="s">
        <v>121</v>
      </c>
      <c r="BD6" s="8" t="s">
        <v>3</v>
      </c>
      <c r="BE6" s="6" t="s">
        <v>122</v>
      </c>
      <c r="BF6" s="10" t="s">
        <v>122</v>
      </c>
      <c r="BG6" s="10" t="s">
        <v>122</v>
      </c>
    </row>
    <row r="7" spans="2:56" ht="15.75">
      <c r="B7" s="3"/>
      <c r="H7" s="3"/>
      <c r="N7" s="3"/>
      <c r="T7" s="3"/>
      <c r="Z7" s="3"/>
      <c r="AF7" s="3"/>
      <c r="AL7" s="3"/>
      <c r="AR7" s="3"/>
      <c r="AX7" s="3"/>
      <c r="BD7" s="3"/>
    </row>
    <row r="8" spans="2:61" ht="15">
      <c r="B8" s="12" t="s">
        <v>5</v>
      </c>
      <c r="C8" s="12" t="s">
        <v>6</v>
      </c>
      <c r="D8" s="13" t="s">
        <v>7</v>
      </c>
      <c r="E8" s="81" t="s">
        <v>8</v>
      </c>
      <c r="H8" s="12" t="s">
        <v>5</v>
      </c>
      <c r="I8" s="12" t="s">
        <v>6</v>
      </c>
      <c r="J8" s="13" t="s">
        <v>7</v>
      </c>
      <c r="K8" s="43" t="s">
        <v>8</v>
      </c>
      <c r="N8" s="12" t="s">
        <v>5</v>
      </c>
      <c r="O8" s="12" t="s">
        <v>6</v>
      </c>
      <c r="P8" s="13" t="s">
        <v>7</v>
      </c>
      <c r="Q8" s="43" t="s">
        <v>8</v>
      </c>
      <c r="T8" s="12" t="s">
        <v>5</v>
      </c>
      <c r="U8" s="12" t="s">
        <v>6</v>
      </c>
      <c r="V8" s="13" t="s">
        <v>7</v>
      </c>
      <c r="W8" s="81" t="s">
        <v>8</v>
      </c>
      <c r="Z8" s="12" t="s">
        <v>5</v>
      </c>
      <c r="AA8" s="12" t="s">
        <v>6</v>
      </c>
      <c r="AB8" s="13" t="s">
        <v>7</v>
      </c>
      <c r="AC8" s="81" t="s">
        <v>8</v>
      </c>
      <c r="AF8" s="12" t="s">
        <v>5</v>
      </c>
      <c r="AG8" s="12" t="s">
        <v>6</v>
      </c>
      <c r="AH8" s="13" t="s">
        <v>7</v>
      </c>
      <c r="AI8" s="81" t="s">
        <v>8</v>
      </c>
      <c r="AL8" s="12" t="s">
        <v>5</v>
      </c>
      <c r="AM8" s="12" t="s">
        <v>6</v>
      </c>
      <c r="AN8" s="83" t="s">
        <v>7</v>
      </c>
      <c r="AO8" s="81" t="s">
        <v>8</v>
      </c>
      <c r="AR8" s="12" t="s">
        <v>5</v>
      </c>
      <c r="AS8" s="12" t="s">
        <v>6</v>
      </c>
      <c r="AT8" s="13" t="s">
        <v>7</v>
      </c>
      <c r="AU8" s="81" t="s">
        <v>8</v>
      </c>
      <c r="AX8" s="12" t="s">
        <v>5</v>
      </c>
      <c r="AY8" s="12" t="s">
        <v>6</v>
      </c>
      <c r="AZ8" s="13" t="s">
        <v>7</v>
      </c>
      <c r="BA8" s="81" t="s">
        <v>8</v>
      </c>
      <c r="BD8" s="12" t="s">
        <v>5</v>
      </c>
      <c r="BE8" s="12" t="s">
        <v>6</v>
      </c>
      <c r="BF8" s="13" t="s">
        <v>7</v>
      </c>
      <c r="BG8" s="81" t="s">
        <v>8</v>
      </c>
      <c r="BI8" s="135" t="s">
        <v>153</v>
      </c>
    </row>
    <row r="9" spans="2:61" ht="15.75">
      <c r="B9" s="12"/>
      <c r="C9" s="14"/>
      <c r="D9" s="15" t="s">
        <v>9</v>
      </c>
      <c r="E9" s="14"/>
      <c r="H9" s="12"/>
      <c r="I9" s="14"/>
      <c r="J9" s="15" t="s">
        <v>9</v>
      </c>
      <c r="K9" s="14"/>
      <c r="N9" s="12"/>
      <c r="O9" s="14"/>
      <c r="P9" s="15" t="s">
        <v>9</v>
      </c>
      <c r="Q9" s="14"/>
      <c r="T9" s="12"/>
      <c r="U9" s="14"/>
      <c r="V9" s="15" t="s">
        <v>9</v>
      </c>
      <c r="W9" s="14"/>
      <c r="Z9" s="12"/>
      <c r="AA9" s="14"/>
      <c r="AB9" s="15" t="s">
        <v>9</v>
      </c>
      <c r="AC9" s="14"/>
      <c r="AF9" s="12"/>
      <c r="AG9" s="14"/>
      <c r="AH9" s="15" t="s">
        <v>9</v>
      </c>
      <c r="AI9" s="14"/>
      <c r="AL9" s="12"/>
      <c r="AM9" s="14"/>
      <c r="AN9" s="15" t="s">
        <v>9</v>
      </c>
      <c r="AO9" s="14"/>
      <c r="AR9" s="12"/>
      <c r="AS9" s="14"/>
      <c r="AT9" s="15" t="s">
        <v>9</v>
      </c>
      <c r="AU9" s="14"/>
      <c r="AX9" s="12"/>
      <c r="AY9" s="14"/>
      <c r="AZ9" s="15" t="s">
        <v>9</v>
      </c>
      <c r="BA9" s="14"/>
      <c r="BD9" s="12"/>
      <c r="BE9" s="14"/>
      <c r="BF9" s="15" t="s">
        <v>9</v>
      </c>
      <c r="BG9" s="14"/>
      <c r="BI9" s="135"/>
    </row>
    <row r="10" spans="1:61" ht="15.75">
      <c r="A10" s="16" t="s">
        <v>10</v>
      </c>
      <c r="B10" s="17" t="s">
        <v>11</v>
      </c>
      <c r="G10" s="16" t="s">
        <v>10</v>
      </c>
      <c r="H10" s="17" t="s">
        <v>11</v>
      </c>
      <c r="M10" s="16" t="s">
        <v>10</v>
      </c>
      <c r="N10" s="17" t="s">
        <v>11</v>
      </c>
      <c r="S10" s="16" t="s">
        <v>10</v>
      </c>
      <c r="T10" s="17" t="s">
        <v>11</v>
      </c>
      <c r="Y10" s="16" t="s">
        <v>10</v>
      </c>
      <c r="Z10" s="17" t="s">
        <v>11</v>
      </c>
      <c r="AE10" s="16" t="s">
        <v>10</v>
      </c>
      <c r="AF10" s="17" t="s">
        <v>11</v>
      </c>
      <c r="AK10" s="16" t="s">
        <v>10</v>
      </c>
      <c r="AL10" s="17" t="s">
        <v>11</v>
      </c>
      <c r="AQ10" s="16" t="s">
        <v>10</v>
      </c>
      <c r="AR10" s="17" t="s">
        <v>11</v>
      </c>
      <c r="AV10" t="s">
        <v>153</v>
      </c>
      <c r="AW10" s="16" t="s">
        <v>10</v>
      </c>
      <c r="AX10" s="17" t="s">
        <v>11</v>
      </c>
      <c r="BB10" t="s">
        <v>153</v>
      </c>
      <c r="BC10" s="16" t="s">
        <v>10</v>
      </c>
      <c r="BD10" s="17" t="s">
        <v>11</v>
      </c>
      <c r="BI10" s="135"/>
    </row>
    <row r="11" spans="2:61" ht="15.75">
      <c r="B11" s="41" t="s">
        <v>43</v>
      </c>
      <c r="C11" s="19">
        <v>611150</v>
      </c>
      <c r="D11" s="19">
        <v>19054146</v>
      </c>
      <c r="E11" s="20">
        <v>31.177527611879245</v>
      </c>
      <c r="H11" s="18" t="s">
        <v>43</v>
      </c>
      <c r="I11" s="19">
        <v>580585</v>
      </c>
      <c r="J11" s="19">
        <v>17147648.23</v>
      </c>
      <c r="K11" s="20">
        <v>29.53512100725992</v>
      </c>
      <c r="N11" s="18" t="s">
        <v>43</v>
      </c>
      <c r="O11" s="19">
        <v>295855</v>
      </c>
      <c r="P11" s="19">
        <v>9283759.34</v>
      </c>
      <c r="Q11" s="20">
        <v>31.379423501377364</v>
      </c>
      <c r="T11" s="18" t="s">
        <v>43</v>
      </c>
      <c r="U11" s="19">
        <v>478140</v>
      </c>
      <c r="V11" s="19">
        <v>14450191.76</v>
      </c>
      <c r="W11" s="20">
        <v>30.221675157903544</v>
      </c>
      <c r="Z11" s="18" t="s">
        <v>98</v>
      </c>
      <c r="AA11" s="19">
        <v>378896</v>
      </c>
      <c r="AB11" s="19">
        <v>12354119.220000003</v>
      </c>
      <c r="AC11" s="20">
        <v>32.60556780752503</v>
      </c>
      <c r="AF11" s="18" t="s">
        <v>98</v>
      </c>
      <c r="AG11" s="19">
        <v>574116</v>
      </c>
      <c r="AH11" s="19">
        <v>17404939.77</v>
      </c>
      <c r="AI11" s="20">
        <v>30.316068129088894</v>
      </c>
      <c r="AL11" s="18" t="s">
        <v>98</v>
      </c>
      <c r="AM11" s="19">
        <v>465645</v>
      </c>
      <c r="AN11" s="19">
        <v>13851169.559999999</v>
      </c>
      <c r="AO11" s="20">
        <v>29.746200560512833</v>
      </c>
      <c r="AP11" s="154"/>
      <c r="AR11" s="18" t="s">
        <v>98</v>
      </c>
      <c r="AS11" s="19">
        <v>585732</v>
      </c>
      <c r="AT11" s="19">
        <v>16752912.01</v>
      </c>
      <c r="AU11" s="20">
        <v>28.601667673953276</v>
      </c>
      <c r="AV11" s="152">
        <f>AT11/AS11</f>
        <v>28.601667673953276</v>
      </c>
      <c r="AX11" s="18" t="s">
        <v>98</v>
      </c>
      <c r="AY11" s="19">
        <v>210517</v>
      </c>
      <c r="AZ11" s="19">
        <v>5643959.499999999</v>
      </c>
      <c r="BA11" s="20">
        <v>26.809993967233044</v>
      </c>
      <c r="BB11" s="152">
        <f>_xlfn.IFERROR(AZ11/AY11,"")</f>
        <v>26.809993967233044</v>
      </c>
      <c r="BD11" s="18" t="s">
        <v>43</v>
      </c>
      <c r="BE11" s="19">
        <v>0</v>
      </c>
      <c r="BF11" s="19">
        <v>0</v>
      </c>
      <c r="BG11" s="20">
        <v>0</v>
      </c>
      <c r="BI11" s="135"/>
    </row>
    <row r="12" spans="2:61" ht="15.75">
      <c r="B12" s="18" t="s">
        <v>41</v>
      </c>
      <c r="C12" s="19">
        <v>359030</v>
      </c>
      <c r="D12" s="19">
        <v>10854140</v>
      </c>
      <c r="E12" s="20">
        <v>30.231846920870122</v>
      </c>
      <c r="H12" s="18" t="s">
        <v>41</v>
      </c>
      <c r="I12" s="19">
        <v>301325</v>
      </c>
      <c r="J12" s="19">
        <v>9304481</v>
      </c>
      <c r="K12" s="20">
        <v>30.878556376005974</v>
      </c>
      <c r="N12" s="18" t="s">
        <v>41</v>
      </c>
      <c r="O12" s="19">
        <v>430697</v>
      </c>
      <c r="P12" s="19">
        <v>11870584</v>
      </c>
      <c r="Q12" s="20">
        <v>27.561334302305333</v>
      </c>
      <c r="T12" s="18" t="s">
        <v>41</v>
      </c>
      <c r="U12" s="19">
        <v>368914</v>
      </c>
      <c r="V12" s="19">
        <v>9550555</v>
      </c>
      <c r="W12" s="20">
        <v>25.888296459337408</v>
      </c>
      <c r="Z12" s="8" t="s">
        <v>41</v>
      </c>
      <c r="AA12" s="19">
        <v>317266</v>
      </c>
      <c r="AB12" s="19">
        <v>7948457.9276662</v>
      </c>
      <c r="AC12" s="20">
        <v>25.052977399614836</v>
      </c>
      <c r="AF12" s="8" t="s">
        <v>41</v>
      </c>
      <c r="AG12" s="19">
        <v>349479</v>
      </c>
      <c r="AH12" s="19">
        <v>9018211.178287901</v>
      </c>
      <c r="AI12" s="20">
        <v>25.804729835806732</v>
      </c>
      <c r="AL12" s="8" t="s">
        <v>41</v>
      </c>
      <c r="AM12" s="19">
        <v>432602</v>
      </c>
      <c r="AN12" s="19">
        <v>11034901.933142398</v>
      </c>
      <c r="AO12" s="20">
        <v>25.508208314206588</v>
      </c>
      <c r="AP12" s="154"/>
      <c r="AR12" s="8" t="s">
        <v>41</v>
      </c>
      <c r="AS12" s="19">
        <v>378408</v>
      </c>
      <c r="AT12" s="19">
        <v>9922315.778611</v>
      </c>
      <c r="AU12" s="133">
        <v>52.3952679280259</v>
      </c>
      <c r="AV12" s="152">
        <f>AT12/AS12</f>
        <v>26.221210383001946</v>
      </c>
      <c r="AX12" s="8" t="s">
        <v>41</v>
      </c>
      <c r="AY12" s="19">
        <v>419768</v>
      </c>
      <c r="AZ12" s="19">
        <v>11388378.0500587</v>
      </c>
      <c r="BA12" s="133">
        <v>54.143751945049985</v>
      </c>
      <c r="BB12" s="152">
        <f aca="true" t="shared" si="0" ref="BB12:BB42">_xlfn.IFERROR(AZ12/AY12,"")</f>
        <v>27.130172023733824</v>
      </c>
      <c r="BD12" s="8" t="s">
        <v>41</v>
      </c>
      <c r="BE12" s="19">
        <v>242417</v>
      </c>
      <c r="BF12" s="19">
        <v>6227643.1069132</v>
      </c>
      <c r="BG12" s="133">
        <v>59.160916176145065</v>
      </c>
      <c r="BI12" s="153">
        <f>_xlfn.IFERROR(BF12/BE12,"")</f>
        <v>25.689795298651497</v>
      </c>
    </row>
    <row r="13" spans="2:61" ht="15.75">
      <c r="B13" s="8" t="s">
        <v>42</v>
      </c>
      <c r="C13" s="19">
        <v>263914</v>
      </c>
      <c r="D13" s="19">
        <v>6354956</v>
      </c>
      <c r="E13" s="20">
        <v>24.079647157786248</v>
      </c>
      <c r="H13" s="8" t="s">
        <v>42</v>
      </c>
      <c r="I13" s="19">
        <v>189986</v>
      </c>
      <c r="J13" s="19">
        <v>4998482</v>
      </c>
      <c r="K13" s="20">
        <v>26.309738612318803</v>
      </c>
      <c r="N13" s="8" t="s">
        <v>42</v>
      </c>
      <c r="O13" s="19">
        <v>282429</v>
      </c>
      <c r="P13" s="19">
        <v>6273177</v>
      </c>
      <c r="Q13" s="20">
        <v>22.21151864716442</v>
      </c>
      <c r="T13" s="8" t="s">
        <v>42</v>
      </c>
      <c r="U13" s="19">
        <v>199962</v>
      </c>
      <c r="V13" s="19">
        <v>5142573</v>
      </c>
      <c r="W13" s="20">
        <v>25.717751372760823</v>
      </c>
      <c r="Z13" s="8" t="s">
        <v>42</v>
      </c>
      <c r="AA13" s="19">
        <v>137997.74999999988</v>
      </c>
      <c r="AB13" s="19">
        <v>3642665.233499998</v>
      </c>
      <c r="AC13" s="20">
        <v>26.396555259053144</v>
      </c>
      <c r="AF13" s="8" t="s">
        <v>42</v>
      </c>
      <c r="AG13" s="19">
        <v>215782.50000000017</v>
      </c>
      <c r="AH13" s="19">
        <v>5670449.590500005</v>
      </c>
      <c r="AI13" s="20">
        <v>26.278542469848112</v>
      </c>
      <c r="AL13" s="8" t="s">
        <v>42</v>
      </c>
      <c r="AM13" s="19">
        <v>202669.0499999998</v>
      </c>
      <c r="AN13" s="19">
        <v>5131807.280999996</v>
      </c>
      <c r="AO13" s="20">
        <v>25.32111973189789</v>
      </c>
      <c r="AP13" s="154"/>
      <c r="AR13" s="8" t="s">
        <v>42</v>
      </c>
      <c r="AS13" s="19">
        <v>215726.10000000015</v>
      </c>
      <c r="AT13" s="19">
        <v>5500419.330000002</v>
      </c>
      <c r="AU13" s="133">
        <v>51.045736487214</v>
      </c>
      <c r="AV13" s="152">
        <f>AT13/AS13</f>
        <v>25.497236217592576</v>
      </c>
      <c r="AX13" s="8" t="s">
        <v>42</v>
      </c>
      <c r="AY13" s="19">
        <v>229325.39999999985</v>
      </c>
      <c r="AZ13" s="19">
        <v>4664969.173499998</v>
      </c>
      <c r="BA13" s="133">
        <v>40.685393064329496</v>
      </c>
      <c r="BB13" s="152">
        <f t="shared" si="0"/>
        <v>20.342139045653035</v>
      </c>
      <c r="BD13" s="8" t="s">
        <v>42</v>
      </c>
      <c r="BE13" s="19">
        <v>248849.84999999992</v>
      </c>
      <c r="BF13" s="19">
        <v>6095173.9169999985</v>
      </c>
      <c r="BG13" s="133">
        <v>48.98573524542282</v>
      </c>
      <c r="BI13" s="153">
        <f aca="true" t="shared" si="1" ref="BI13:BI43">_xlfn.IFERROR(BF13/BE13,"")</f>
        <v>24.493379911621407</v>
      </c>
    </row>
    <row r="14" spans="2:61" ht="15">
      <c r="B14" s="23" t="s">
        <v>12</v>
      </c>
      <c r="C14" s="24">
        <v>1234094</v>
      </c>
      <c r="D14" s="24">
        <v>36263242</v>
      </c>
      <c r="E14" s="25">
        <v>29.38450555630284</v>
      </c>
      <c r="H14" s="23" t="s">
        <v>12</v>
      </c>
      <c r="I14" s="24">
        <v>1071896</v>
      </c>
      <c r="J14" s="24">
        <v>31450611.23</v>
      </c>
      <c r="K14" s="25">
        <v>29.341103269347027</v>
      </c>
      <c r="N14" s="23" t="s">
        <v>12</v>
      </c>
      <c r="O14" s="24">
        <v>1008981</v>
      </c>
      <c r="P14" s="24">
        <v>27427520.34</v>
      </c>
      <c r="Q14" s="25">
        <v>27.183386347215656</v>
      </c>
      <c r="T14" s="23" t="s">
        <v>12</v>
      </c>
      <c r="U14" s="24">
        <v>1047016</v>
      </c>
      <c r="V14" s="24">
        <v>29143319.759999998</v>
      </c>
      <c r="W14" s="25">
        <v>27.834646041703277</v>
      </c>
      <c r="Z14" s="23" t="s">
        <v>12</v>
      </c>
      <c r="AA14" s="24">
        <v>834159.7499999999</v>
      </c>
      <c r="AB14" s="24">
        <v>23945242.381166197</v>
      </c>
      <c r="AC14" s="25">
        <v>28.70582329244033</v>
      </c>
      <c r="AF14" s="23" t="s">
        <v>12</v>
      </c>
      <c r="AG14" s="24">
        <v>1139377.5000000002</v>
      </c>
      <c r="AH14" s="24">
        <v>32093600.538787905</v>
      </c>
      <c r="AI14" s="25">
        <v>28.167662200445328</v>
      </c>
      <c r="AL14" s="23" t="s">
        <v>12</v>
      </c>
      <c r="AM14" s="24">
        <v>1100916.0499999998</v>
      </c>
      <c r="AN14" s="24">
        <v>30017878.774142392</v>
      </c>
      <c r="AO14" s="25">
        <v>27.26627409432572</v>
      </c>
      <c r="AR14" s="23" t="s">
        <v>12</v>
      </c>
      <c r="AS14" s="24">
        <v>1179866.1</v>
      </c>
      <c r="AT14" s="24">
        <v>32175647.118611004</v>
      </c>
      <c r="AU14" s="25">
        <v>27.270592077025523</v>
      </c>
      <c r="AX14" s="23" t="s">
        <v>12</v>
      </c>
      <c r="AY14" s="24">
        <v>859610.3999999999</v>
      </c>
      <c r="AZ14" s="24">
        <v>21697306.723558698</v>
      </c>
      <c r="BA14" s="25">
        <v>25.240861119826725</v>
      </c>
      <c r="BB14" s="152">
        <f t="shared" si="0"/>
        <v>25.240861119826725</v>
      </c>
      <c r="BD14" s="23" t="s">
        <v>12</v>
      </c>
      <c r="BE14" s="24">
        <v>491266.8499999999</v>
      </c>
      <c r="BF14" s="24">
        <v>12322817.023913197</v>
      </c>
      <c r="BG14" s="25">
        <v>25.08375442778848</v>
      </c>
      <c r="BI14" s="153">
        <f t="shared" si="1"/>
        <v>25.08375442778848</v>
      </c>
    </row>
    <row r="15" spans="2:61" ht="15.75">
      <c r="B15" s="3"/>
      <c r="C15" s="19"/>
      <c r="D15" s="19"/>
      <c r="E15" s="20"/>
      <c r="H15" s="3"/>
      <c r="I15" s="19"/>
      <c r="J15" s="19"/>
      <c r="K15" s="20"/>
      <c r="N15" s="3"/>
      <c r="O15" s="19"/>
      <c r="P15" s="19"/>
      <c r="Q15" s="20"/>
      <c r="T15" s="3"/>
      <c r="U15" s="19"/>
      <c r="V15" s="19"/>
      <c r="W15" s="20"/>
      <c r="Z15" s="3"/>
      <c r="AA15" s="19"/>
      <c r="AB15" s="19"/>
      <c r="AC15" s="20"/>
      <c r="AF15" s="3"/>
      <c r="AG15" s="19"/>
      <c r="AH15" s="19"/>
      <c r="AI15" s="20"/>
      <c r="AL15" s="3"/>
      <c r="AM15" s="19"/>
      <c r="AN15" s="19"/>
      <c r="AO15" s="20"/>
      <c r="AR15" s="3"/>
      <c r="AS15" s="19"/>
      <c r="AT15" s="19"/>
      <c r="AU15" s="20"/>
      <c r="AX15" s="3"/>
      <c r="AY15" s="19"/>
      <c r="AZ15" s="19"/>
      <c r="BA15" s="20"/>
      <c r="BB15" s="152">
        <f t="shared" si="0"/>
      </c>
      <c r="BD15" s="3"/>
      <c r="BE15" s="19"/>
      <c r="BF15" s="19"/>
      <c r="BG15" s="20"/>
      <c r="BI15" s="153">
        <f t="shared" si="1"/>
      </c>
    </row>
    <row r="16" spans="1:61" ht="15.75">
      <c r="A16" s="16" t="s">
        <v>13</v>
      </c>
      <c r="B16" s="17" t="s">
        <v>14</v>
      </c>
      <c r="C16" s="19"/>
      <c r="D16" s="19"/>
      <c r="E16" s="20"/>
      <c r="G16" s="16" t="s">
        <v>13</v>
      </c>
      <c r="H16" s="17" t="s">
        <v>14</v>
      </c>
      <c r="I16" s="19"/>
      <c r="J16" s="19"/>
      <c r="K16" s="20"/>
      <c r="M16" s="16" t="s">
        <v>13</v>
      </c>
      <c r="N16" s="17" t="s">
        <v>14</v>
      </c>
      <c r="O16" s="19"/>
      <c r="P16" s="19"/>
      <c r="Q16" s="20"/>
      <c r="S16" s="16" t="s">
        <v>13</v>
      </c>
      <c r="T16" s="17" t="s">
        <v>14</v>
      </c>
      <c r="U16" s="19"/>
      <c r="V16" s="19"/>
      <c r="W16" s="20"/>
      <c r="Y16" s="16" t="s">
        <v>13</v>
      </c>
      <c r="Z16" s="17" t="s">
        <v>14</v>
      </c>
      <c r="AA16" s="19"/>
      <c r="AB16" s="19"/>
      <c r="AC16" s="20"/>
      <c r="AE16" s="16" t="s">
        <v>13</v>
      </c>
      <c r="AF16" s="17" t="s">
        <v>14</v>
      </c>
      <c r="AG16" s="19"/>
      <c r="AH16" s="19"/>
      <c r="AI16" s="20"/>
      <c r="AK16" s="16" t="s">
        <v>13</v>
      </c>
      <c r="AL16" s="17" t="s">
        <v>14</v>
      </c>
      <c r="AM16" s="19"/>
      <c r="AN16" s="19"/>
      <c r="AO16" s="20"/>
      <c r="AQ16" s="16" t="s">
        <v>13</v>
      </c>
      <c r="AR16" s="17" t="s">
        <v>14</v>
      </c>
      <c r="AS16" s="19"/>
      <c r="AT16" s="19"/>
      <c r="AU16" s="20"/>
      <c r="AW16" s="16" t="s">
        <v>13</v>
      </c>
      <c r="AX16" s="17" t="s">
        <v>14</v>
      </c>
      <c r="AY16" s="19"/>
      <c r="AZ16" s="19"/>
      <c r="BA16" s="20"/>
      <c r="BB16" s="152">
        <f t="shared" si="0"/>
      </c>
      <c r="BC16" s="16" t="s">
        <v>13</v>
      </c>
      <c r="BD16" s="17" t="s">
        <v>14</v>
      </c>
      <c r="BE16" s="19"/>
      <c r="BF16" s="19"/>
      <c r="BG16" s="20"/>
      <c r="BI16" s="153">
        <f t="shared" si="1"/>
      </c>
    </row>
    <row r="17" spans="2:61" ht="15.75">
      <c r="B17" s="8" t="s">
        <v>15</v>
      </c>
      <c r="C17" s="21">
        <v>75823.807</v>
      </c>
      <c r="D17" s="21">
        <v>7100284.53</v>
      </c>
      <c r="E17" s="22">
        <v>93.64188914967036</v>
      </c>
      <c r="H17" s="8" t="s">
        <v>15</v>
      </c>
      <c r="I17" s="21">
        <v>57851.082</v>
      </c>
      <c r="J17" s="21">
        <v>3210163</v>
      </c>
      <c r="K17" s="22">
        <v>55.49011166290718</v>
      </c>
      <c r="N17" s="8" t="s">
        <v>15</v>
      </c>
      <c r="O17" s="21">
        <v>42405.761</v>
      </c>
      <c r="P17" s="21">
        <v>2740091.89</v>
      </c>
      <c r="Q17" s="22">
        <v>64.61602917584713</v>
      </c>
      <c r="T17" s="8" t="s">
        <v>15</v>
      </c>
      <c r="U17" s="21">
        <v>55634.780999999995</v>
      </c>
      <c r="V17" s="21">
        <v>2042947.33</v>
      </c>
      <c r="W17" s="22">
        <v>36.720686111804774</v>
      </c>
      <c r="Z17" s="8" t="s">
        <v>15</v>
      </c>
      <c r="AA17" s="21">
        <v>74853.971</v>
      </c>
      <c r="AB17" s="21">
        <v>3958473.4800000004</v>
      </c>
      <c r="AC17" s="22">
        <v>52.882611665318336</v>
      </c>
      <c r="AF17" s="8" t="s">
        <v>15</v>
      </c>
      <c r="AG17" s="21">
        <v>74632.903</v>
      </c>
      <c r="AH17" s="21">
        <v>3301338</v>
      </c>
      <c r="AI17" s="22">
        <v>44.23435063218698</v>
      </c>
      <c r="AL17" s="8" t="s">
        <v>15</v>
      </c>
      <c r="AM17" s="21">
        <v>89330.635</v>
      </c>
      <c r="AN17" s="21">
        <v>3079256.54</v>
      </c>
      <c r="AO17" s="22">
        <v>34.470330810925056</v>
      </c>
      <c r="AR17" s="8" t="s">
        <v>15</v>
      </c>
      <c r="AS17" s="21">
        <v>85871.148</v>
      </c>
      <c r="AT17" s="21">
        <v>2828326.5</v>
      </c>
      <c r="AU17" s="22">
        <v>32.93686605890025</v>
      </c>
      <c r="AX17" s="8" t="s">
        <v>15</v>
      </c>
      <c r="AY17" s="21">
        <v>43761.142</v>
      </c>
      <c r="AZ17" s="21">
        <v>1585860.99</v>
      </c>
      <c r="BA17" s="22">
        <v>36.23902205294368</v>
      </c>
      <c r="BB17" s="152">
        <f t="shared" si="0"/>
        <v>36.23902205294368</v>
      </c>
      <c r="BD17" s="8" t="s">
        <v>15</v>
      </c>
      <c r="BE17" s="21">
        <v>61187.967000000004</v>
      </c>
      <c r="BF17" s="21">
        <v>2110218.26</v>
      </c>
      <c r="BG17" s="22">
        <v>34.48747136834926</v>
      </c>
      <c r="BI17" s="153">
        <f t="shared" si="1"/>
        <v>34.48747136834926</v>
      </c>
    </row>
    <row r="18" spans="2:61" ht="15">
      <c r="B18" s="23" t="s">
        <v>12</v>
      </c>
      <c r="C18" s="24">
        <v>75823.807</v>
      </c>
      <c r="D18" s="24">
        <v>7100284.53</v>
      </c>
      <c r="E18" s="25">
        <v>93.64188914967036</v>
      </c>
      <c r="H18" s="23" t="s">
        <v>12</v>
      </c>
      <c r="I18" s="24">
        <v>57851.082</v>
      </c>
      <c r="J18" s="24">
        <v>3210163</v>
      </c>
      <c r="K18" s="25">
        <v>55.49011166290718</v>
      </c>
      <c r="N18" s="23" t="s">
        <v>12</v>
      </c>
      <c r="O18" s="24">
        <v>42405.761</v>
      </c>
      <c r="P18" s="24">
        <v>2740091.89</v>
      </c>
      <c r="Q18" s="25">
        <v>64.61602917584713</v>
      </c>
      <c r="T18" s="23" t="s">
        <v>12</v>
      </c>
      <c r="U18" s="24">
        <v>55634.780999999995</v>
      </c>
      <c r="V18" s="24">
        <v>2042947.33</v>
      </c>
      <c r="W18" s="25">
        <v>36.720686111804774</v>
      </c>
      <c r="Z18" s="23" t="s">
        <v>12</v>
      </c>
      <c r="AA18" s="24">
        <v>74853.971</v>
      </c>
      <c r="AB18" s="24">
        <v>3958473.4800000004</v>
      </c>
      <c r="AC18" s="25">
        <v>52.882611665318336</v>
      </c>
      <c r="AF18" s="23" t="s">
        <v>12</v>
      </c>
      <c r="AG18" s="24">
        <v>74632.903</v>
      </c>
      <c r="AH18" s="24">
        <v>3301338</v>
      </c>
      <c r="AI18" s="25">
        <v>44.23435063218698</v>
      </c>
      <c r="AL18" s="23" t="s">
        <v>12</v>
      </c>
      <c r="AM18" s="24">
        <v>89330.635</v>
      </c>
      <c r="AN18" s="24">
        <v>3079256.54</v>
      </c>
      <c r="AO18" s="25">
        <v>34.470330810925056</v>
      </c>
      <c r="AR18" s="23" t="s">
        <v>12</v>
      </c>
      <c r="AS18" s="24">
        <v>85871.148</v>
      </c>
      <c r="AT18" s="24">
        <v>2828326.5</v>
      </c>
      <c r="AU18" s="25">
        <v>32.93686605890025</v>
      </c>
      <c r="AX18" s="23" t="s">
        <v>12</v>
      </c>
      <c r="AY18" s="24">
        <v>43761.142</v>
      </c>
      <c r="AZ18" s="24">
        <v>1585860.99</v>
      </c>
      <c r="BA18" s="25">
        <v>36.23902205294368</v>
      </c>
      <c r="BB18" s="152">
        <f t="shared" si="0"/>
        <v>36.23902205294368</v>
      </c>
      <c r="BD18" s="23" t="s">
        <v>12</v>
      </c>
      <c r="BE18" s="24">
        <v>61187.967000000004</v>
      </c>
      <c r="BF18" s="24">
        <v>2110218.26</v>
      </c>
      <c r="BG18" s="25">
        <v>34.48747136834926</v>
      </c>
      <c r="BI18" s="153">
        <f t="shared" si="1"/>
        <v>34.48747136834926</v>
      </c>
    </row>
    <row r="19" spans="2:61" ht="15.75">
      <c r="B19" s="3"/>
      <c r="C19" s="19"/>
      <c r="D19" s="19"/>
      <c r="E19" s="20"/>
      <c r="H19" s="3"/>
      <c r="I19" s="19"/>
      <c r="J19" s="19"/>
      <c r="K19" s="20"/>
      <c r="N19" s="3"/>
      <c r="O19" s="19"/>
      <c r="P19" s="19"/>
      <c r="Q19" s="20"/>
      <c r="T19" s="3"/>
      <c r="U19" s="19"/>
      <c r="V19" s="19"/>
      <c r="W19" s="20"/>
      <c r="Z19" s="3"/>
      <c r="AA19" s="19"/>
      <c r="AB19" s="19"/>
      <c r="AC19" s="20"/>
      <c r="AF19" s="3"/>
      <c r="AG19" s="19"/>
      <c r="AH19" s="19"/>
      <c r="AI19" s="20"/>
      <c r="AL19" s="3"/>
      <c r="AM19" s="19"/>
      <c r="AN19" s="19"/>
      <c r="AO19" s="20"/>
      <c r="AR19" s="3"/>
      <c r="AS19" s="19"/>
      <c r="AT19" s="19"/>
      <c r="AU19" s="20"/>
      <c r="AX19" s="3"/>
      <c r="AY19" s="19"/>
      <c r="AZ19" s="19"/>
      <c r="BA19" s="20"/>
      <c r="BB19" s="152">
        <f t="shared" si="0"/>
      </c>
      <c r="BD19" s="3"/>
      <c r="BE19" s="19"/>
      <c r="BF19" s="19"/>
      <c r="BG19" s="20"/>
      <c r="BI19" s="153">
        <f t="shared" si="1"/>
      </c>
    </row>
    <row r="20" spans="1:61" ht="15">
      <c r="A20" s="16" t="s">
        <v>16</v>
      </c>
      <c r="B20" s="17" t="s">
        <v>17</v>
      </c>
      <c r="C20" s="24">
        <v>1309917.807</v>
      </c>
      <c r="D20" s="24">
        <v>43363526.53</v>
      </c>
      <c r="E20" s="25">
        <v>33.104005685144486</v>
      </c>
      <c r="G20" s="16" t="s">
        <v>16</v>
      </c>
      <c r="H20" s="17" t="s">
        <v>17</v>
      </c>
      <c r="I20" s="24">
        <v>1129747.082</v>
      </c>
      <c r="J20" s="24">
        <v>34660774.230000004</v>
      </c>
      <c r="K20" s="25">
        <v>30.680118393082964</v>
      </c>
      <c r="M20" s="16" t="s">
        <v>16</v>
      </c>
      <c r="N20" s="17" t="s">
        <v>17</v>
      </c>
      <c r="O20" s="24">
        <v>1051386.761</v>
      </c>
      <c r="P20" s="24">
        <v>30167612.23</v>
      </c>
      <c r="Q20" s="25">
        <v>28.693163495141253</v>
      </c>
      <c r="S20" s="16" t="s">
        <v>16</v>
      </c>
      <c r="T20" s="17" t="s">
        <v>17</v>
      </c>
      <c r="U20" s="24">
        <v>1102650.781</v>
      </c>
      <c r="V20" s="24">
        <v>31186267.089999996</v>
      </c>
      <c r="W20" s="25">
        <v>28.28299551170408</v>
      </c>
      <c r="Y20" s="16" t="s">
        <v>16</v>
      </c>
      <c r="Z20" s="17" t="s">
        <v>17</v>
      </c>
      <c r="AA20" s="24">
        <v>909013.7209999999</v>
      </c>
      <c r="AB20" s="24">
        <v>27903715.861166198</v>
      </c>
      <c r="AC20" s="25">
        <v>30.69669380839434</v>
      </c>
      <c r="AE20" s="16" t="s">
        <v>16</v>
      </c>
      <c r="AF20" s="17" t="s">
        <v>17</v>
      </c>
      <c r="AG20" s="24">
        <v>1214010.4030000002</v>
      </c>
      <c r="AH20" s="24">
        <v>35394938.5387879</v>
      </c>
      <c r="AI20" s="25">
        <v>29.155383225153383</v>
      </c>
      <c r="AK20" s="16" t="s">
        <v>16</v>
      </c>
      <c r="AL20" s="17" t="s">
        <v>17</v>
      </c>
      <c r="AM20" s="24">
        <v>1190246.6849999998</v>
      </c>
      <c r="AN20" s="24">
        <v>33097135.31414239</v>
      </c>
      <c r="AO20" s="25">
        <v>27.80695441646401</v>
      </c>
      <c r="AQ20" s="16" t="s">
        <v>16</v>
      </c>
      <c r="AR20" s="17" t="s">
        <v>17</v>
      </c>
      <c r="AS20" s="24">
        <v>1265737.2480000001</v>
      </c>
      <c r="AT20" s="24">
        <v>35003973.61861101</v>
      </c>
      <c r="AU20" s="25">
        <v>27.65500792042031</v>
      </c>
      <c r="AW20" s="16" t="s">
        <v>16</v>
      </c>
      <c r="AX20" s="17" t="s">
        <v>17</v>
      </c>
      <c r="AY20" s="24">
        <v>903371.5419999999</v>
      </c>
      <c r="AZ20" s="24">
        <v>23283167.713558696</v>
      </c>
      <c r="BA20" s="25">
        <v>25.773634247998814</v>
      </c>
      <c r="BB20" s="152">
        <f t="shared" si="0"/>
        <v>25.773634247998814</v>
      </c>
      <c r="BC20" s="16" t="s">
        <v>16</v>
      </c>
      <c r="BD20" s="17" t="s">
        <v>17</v>
      </c>
      <c r="BE20" s="24">
        <v>552454.8169999999</v>
      </c>
      <c r="BF20" s="24">
        <v>14433035.283913197</v>
      </c>
      <c r="BG20" s="25">
        <v>26.125277289261465</v>
      </c>
      <c r="BI20" s="153">
        <f t="shared" si="1"/>
        <v>26.125277289261465</v>
      </c>
    </row>
    <row r="21" spans="2:61" ht="15.75">
      <c r="B21" s="3"/>
      <c r="C21" s="19"/>
      <c r="D21" s="19"/>
      <c r="E21" s="20"/>
      <c r="H21" s="3"/>
      <c r="I21" s="19"/>
      <c r="J21" s="19"/>
      <c r="K21" s="20"/>
      <c r="N21" s="3"/>
      <c r="O21" s="19"/>
      <c r="P21" s="19"/>
      <c r="Q21" s="20"/>
      <c r="T21" s="3"/>
      <c r="U21" s="19"/>
      <c r="V21" s="19"/>
      <c r="W21" s="20"/>
      <c r="Z21" s="3"/>
      <c r="AA21" s="19"/>
      <c r="AB21" s="19"/>
      <c r="AC21" s="20"/>
      <c r="AF21" s="3"/>
      <c r="AG21" s="19"/>
      <c r="AH21" s="19"/>
      <c r="AI21" s="20"/>
      <c r="AL21" s="3"/>
      <c r="AM21" s="19"/>
      <c r="AN21" s="19"/>
      <c r="AO21" s="20"/>
      <c r="AR21" s="3"/>
      <c r="AS21" s="19"/>
      <c r="AT21" s="19"/>
      <c r="AU21" s="20"/>
      <c r="AX21" s="3"/>
      <c r="AY21" s="19"/>
      <c r="AZ21" s="19"/>
      <c r="BA21" s="20"/>
      <c r="BB21" s="152">
        <f t="shared" si="0"/>
      </c>
      <c r="BD21" s="3"/>
      <c r="BE21" s="19"/>
      <c r="BF21" s="19"/>
      <c r="BG21" s="20"/>
      <c r="BI21" s="153">
        <f t="shared" si="1"/>
      </c>
    </row>
    <row r="22" spans="2:61" ht="15.75">
      <c r="B22" s="12" t="s">
        <v>18</v>
      </c>
      <c r="C22" s="19"/>
      <c r="D22" s="19"/>
      <c r="E22" s="20"/>
      <c r="H22" s="12" t="s">
        <v>18</v>
      </c>
      <c r="I22" s="19"/>
      <c r="J22" s="19"/>
      <c r="K22" s="20"/>
      <c r="N22" s="12" t="s">
        <v>18</v>
      </c>
      <c r="O22" s="19"/>
      <c r="P22" s="19"/>
      <c r="Q22" s="20"/>
      <c r="T22" s="12" t="s">
        <v>18</v>
      </c>
      <c r="U22" s="19"/>
      <c r="V22" s="19"/>
      <c r="W22" s="20"/>
      <c r="Z22" s="12" t="s">
        <v>18</v>
      </c>
      <c r="AA22" s="19"/>
      <c r="AB22" s="19"/>
      <c r="AC22" s="20"/>
      <c r="AF22" s="12" t="s">
        <v>18</v>
      </c>
      <c r="AG22" s="19"/>
      <c r="AH22" s="19"/>
      <c r="AI22" s="20"/>
      <c r="AL22" s="12" t="s">
        <v>18</v>
      </c>
      <c r="AM22" s="19"/>
      <c r="AN22" s="19"/>
      <c r="AO22" s="20"/>
      <c r="AR22" s="12" t="s">
        <v>18</v>
      </c>
      <c r="AS22" s="19"/>
      <c r="AT22" s="19"/>
      <c r="AU22" s="20"/>
      <c r="AX22" s="12" t="s">
        <v>18</v>
      </c>
      <c r="AY22" s="19"/>
      <c r="AZ22" s="19"/>
      <c r="BA22" s="20"/>
      <c r="BB22" s="152">
        <f t="shared" si="0"/>
      </c>
      <c r="BD22" s="12" t="s">
        <v>18</v>
      </c>
      <c r="BE22" s="19"/>
      <c r="BF22" s="19"/>
      <c r="BG22" s="20"/>
      <c r="BI22" s="153">
        <f t="shared" si="1"/>
      </c>
    </row>
    <row r="23" spans="2:61" ht="15.75">
      <c r="B23" s="12"/>
      <c r="C23" s="19"/>
      <c r="D23" s="19"/>
      <c r="E23" s="20"/>
      <c r="H23" s="12"/>
      <c r="I23" s="19"/>
      <c r="J23" s="19"/>
      <c r="K23" s="20"/>
      <c r="N23" s="12"/>
      <c r="O23" s="19"/>
      <c r="P23" s="19"/>
      <c r="Q23" s="20"/>
      <c r="T23" s="12"/>
      <c r="U23" s="19"/>
      <c r="V23" s="19"/>
      <c r="W23" s="20"/>
      <c r="Z23" s="12"/>
      <c r="AA23" s="19"/>
      <c r="AB23" s="19"/>
      <c r="AC23" s="20"/>
      <c r="AF23" s="12"/>
      <c r="AG23" s="19"/>
      <c r="AH23" s="19"/>
      <c r="AI23" s="20"/>
      <c r="AL23" s="12"/>
      <c r="AM23" s="19"/>
      <c r="AN23" s="19"/>
      <c r="AO23" s="20"/>
      <c r="AR23" s="12"/>
      <c r="AS23" s="19"/>
      <c r="AT23" s="19"/>
      <c r="AU23" s="20"/>
      <c r="AX23" s="12"/>
      <c r="AY23" s="19"/>
      <c r="AZ23" s="19"/>
      <c r="BA23" s="20"/>
      <c r="BB23" s="152">
        <f t="shared" si="0"/>
      </c>
      <c r="BD23" s="12"/>
      <c r="BE23" s="19"/>
      <c r="BF23" s="19"/>
      <c r="BG23" s="20"/>
      <c r="BI23" s="153">
        <f t="shared" si="1"/>
      </c>
    </row>
    <row r="24" spans="1:61" ht="15.75">
      <c r="A24" s="16" t="s">
        <v>19</v>
      </c>
      <c r="B24" s="17" t="s">
        <v>20</v>
      </c>
      <c r="D24" s="19"/>
      <c r="G24" s="16" t="s">
        <v>19</v>
      </c>
      <c r="H24" s="17" t="s">
        <v>20</v>
      </c>
      <c r="J24" s="19"/>
      <c r="M24" s="16" t="s">
        <v>19</v>
      </c>
      <c r="N24" s="17" t="s">
        <v>20</v>
      </c>
      <c r="P24" s="19"/>
      <c r="S24" s="16" t="s">
        <v>19</v>
      </c>
      <c r="T24" s="17" t="s">
        <v>20</v>
      </c>
      <c r="V24" s="19"/>
      <c r="Y24" s="16" t="s">
        <v>19</v>
      </c>
      <c r="Z24" s="17" t="s">
        <v>20</v>
      </c>
      <c r="AB24" s="19"/>
      <c r="AE24" s="16" t="s">
        <v>19</v>
      </c>
      <c r="AF24" s="17" t="s">
        <v>20</v>
      </c>
      <c r="AH24" s="19"/>
      <c r="AK24" s="16" t="s">
        <v>19</v>
      </c>
      <c r="AL24" s="17" t="s">
        <v>20</v>
      </c>
      <c r="AN24" s="19"/>
      <c r="AQ24" s="16" t="s">
        <v>19</v>
      </c>
      <c r="AR24" s="17" t="s">
        <v>20</v>
      </c>
      <c r="AT24" s="19"/>
      <c r="AW24" s="16" t="s">
        <v>19</v>
      </c>
      <c r="AX24" s="17" t="s">
        <v>20</v>
      </c>
      <c r="AZ24" s="19"/>
      <c r="BB24" s="152">
        <f t="shared" si="0"/>
      </c>
      <c r="BC24" s="16" t="s">
        <v>19</v>
      </c>
      <c r="BD24" s="17" t="s">
        <v>20</v>
      </c>
      <c r="BF24" s="19"/>
      <c r="BI24" s="153">
        <f t="shared" si="1"/>
      </c>
    </row>
    <row r="25" spans="2:61" ht="15.75">
      <c r="B25" s="8" t="s">
        <v>21</v>
      </c>
      <c r="C25" s="26">
        <v>259164.95799999998</v>
      </c>
      <c r="D25" s="26">
        <v>6631481.974</v>
      </c>
      <c r="E25" s="27">
        <v>25.587880495788326</v>
      </c>
      <c r="H25" s="8" t="s">
        <v>21</v>
      </c>
      <c r="I25" s="26">
        <v>303476.57499999995</v>
      </c>
      <c r="J25" s="26">
        <v>8131635.862000005</v>
      </c>
      <c r="K25" s="27">
        <v>26.79493750712063</v>
      </c>
      <c r="N25" s="8" t="s">
        <v>43</v>
      </c>
      <c r="O25" s="26">
        <v>143704.15200000003</v>
      </c>
      <c r="P25" s="26">
        <v>3767732.6480000024</v>
      </c>
      <c r="Q25" s="27">
        <v>26.218676326067474</v>
      </c>
      <c r="T25" s="8" t="s">
        <v>43</v>
      </c>
      <c r="U25" s="26">
        <v>284640.3479999999</v>
      </c>
      <c r="V25" s="26">
        <v>7045907.992000002</v>
      </c>
      <c r="W25" s="27">
        <v>24.75372181599499</v>
      </c>
      <c r="Z25" s="8" t="s">
        <v>21</v>
      </c>
      <c r="AA25" s="26">
        <v>145291.38900000002</v>
      </c>
      <c r="AB25" s="26">
        <v>3623221.882999998</v>
      </c>
      <c r="AC25" s="27">
        <v>24.937622992922158</v>
      </c>
      <c r="AF25" s="8" t="s">
        <v>21</v>
      </c>
      <c r="AG25" s="26">
        <v>322770.6040000001</v>
      </c>
      <c r="AH25" s="26">
        <v>7792177.908999998</v>
      </c>
      <c r="AI25" s="27">
        <v>24.141535234106993</v>
      </c>
      <c r="AL25" s="8" t="s">
        <v>21</v>
      </c>
      <c r="AM25" s="26">
        <v>245957.70500000013</v>
      </c>
      <c r="AN25" s="26">
        <v>5538335.943000003</v>
      </c>
      <c r="AO25" s="27">
        <v>22.517432186155744</v>
      </c>
      <c r="AR25" s="8" t="s">
        <v>21</v>
      </c>
      <c r="AS25" s="26">
        <v>311854.9870000002</v>
      </c>
      <c r="AT25" s="26">
        <v>7201447.073999995</v>
      </c>
      <c r="AU25" s="27">
        <v>23.092294092446213</v>
      </c>
      <c r="AX25" s="8" t="s">
        <v>21</v>
      </c>
      <c r="AY25" s="26">
        <v>118998.195</v>
      </c>
      <c r="AZ25" s="26">
        <v>2667905.3789999997</v>
      </c>
      <c r="BA25" s="27">
        <v>22.419712996487043</v>
      </c>
      <c r="BB25" s="152">
        <f t="shared" si="0"/>
        <v>22.419712996487043</v>
      </c>
      <c r="BD25" s="8" t="s">
        <v>21</v>
      </c>
      <c r="BE25" s="26">
        <v>0</v>
      </c>
      <c r="BF25" s="26">
        <v>0</v>
      </c>
      <c r="BG25" s="27">
        <v>0</v>
      </c>
      <c r="BI25" s="153">
        <f t="shared" si="1"/>
      </c>
    </row>
    <row r="26" spans="2:61" ht="15.75">
      <c r="B26" s="8" t="s">
        <v>41</v>
      </c>
      <c r="C26" s="26">
        <v>75072</v>
      </c>
      <c r="D26" s="26">
        <v>1786431</v>
      </c>
      <c r="E26" s="27">
        <v>23.79623561381074</v>
      </c>
      <c r="H26" s="8" t="s">
        <v>41</v>
      </c>
      <c r="I26" s="26">
        <v>37886</v>
      </c>
      <c r="J26" s="26">
        <v>943929</v>
      </c>
      <c r="K26" s="20">
        <v>24.914981787467667</v>
      </c>
      <c r="N26" s="8" t="s">
        <v>41</v>
      </c>
      <c r="O26" s="26">
        <v>153627</v>
      </c>
      <c r="P26" s="26">
        <v>3699578</v>
      </c>
      <c r="Q26" s="20">
        <v>24.081561183906476</v>
      </c>
      <c r="T26" s="8" t="s">
        <v>41</v>
      </c>
      <c r="U26" s="26">
        <v>170712</v>
      </c>
      <c r="V26" s="26">
        <v>3089163</v>
      </c>
      <c r="W26" s="20">
        <v>18.095757767468015</v>
      </c>
      <c r="Z26" s="8" t="s">
        <v>41</v>
      </c>
      <c r="AA26" s="26">
        <v>185182.73400000005</v>
      </c>
      <c r="AB26" s="26">
        <v>4223742.761</v>
      </c>
      <c r="AC26" s="27">
        <v>22.808512811998977</v>
      </c>
      <c r="AF26" s="8" t="s">
        <v>41</v>
      </c>
      <c r="AG26" s="26">
        <v>160259.64899999992</v>
      </c>
      <c r="AH26" s="26">
        <v>2970672.6670000013</v>
      </c>
      <c r="AI26" s="27">
        <v>18.536622821381588</v>
      </c>
      <c r="AL26" s="8" t="s">
        <v>41</v>
      </c>
      <c r="AM26" s="26">
        <v>202953.1329999999</v>
      </c>
      <c r="AN26" s="26">
        <v>3989923.049999999</v>
      </c>
      <c r="AO26" s="27">
        <v>19.65933213753345</v>
      </c>
      <c r="AR26" s="8" t="s">
        <v>41</v>
      </c>
      <c r="AS26" s="26">
        <v>187098.828</v>
      </c>
      <c r="AT26" s="26">
        <v>3638980.4889999973</v>
      </c>
      <c r="AU26" s="27">
        <v>19.449509801312047</v>
      </c>
      <c r="AX26" s="8" t="s">
        <v>41</v>
      </c>
      <c r="AY26" s="26">
        <v>163982.67299999986</v>
      </c>
      <c r="AZ26" s="26">
        <v>3319801.760000001</v>
      </c>
      <c r="BA26" s="27">
        <v>40.46073586834313</v>
      </c>
      <c r="BB26" s="152">
        <f t="shared" si="0"/>
        <v>20.244832574475744</v>
      </c>
      <c r="BD26" s="8" t="s">
        <v>41</v>
      </c>
      <c r="BE26" s="26">
        <v>33640.03799999999</v>
      </c>
      <c r="BF26" s="26">
        <v>774515.6330000005</v>
      </c>
      <c r="BG26" s="27">
        <v>41.641587699649776</v>
      </c>
      <c r="BI26" s="153">
        <f t="shared" si="1"/>
        <v>23.023625389483826</v>
      </c>
    </row>
    <row r="27" spans="2:61" ht="15.75">
      <c r="B27" s="8" t="s">
        <v>42</v>
      </c>
      <c r="C27" s="19">
        <v>106810</v>
      </c>
      <c r="D27" s="19">
        <v>2352919</v>
      </c>
      <c r="E27" s="20">
        <v>22.029014137253068</v>
      </c>
      <c r="H27" s="8" t="s">
        <v>42</v>
      </c>
      <c r="I27" s="19">
        <v>87928</v>
      </c>
      <c r="J27" s="19">
        <v>2063022</v>
      </c>
      <c r="K27" s="20">
        <v>23.462628514238922</v>
      </c>
      <c r="N27" s="8" t="s">
        <v>42</v>
      </c>
      <c r="O27" s="19">
        <v>99282</v>
      </c>
      <c r="P27" s="19">
        <v>2205001</v>
      </c>
      <c r="Q27" s="20">
        <v>22.20947402348865</v>
      </c>
      <c r="T27" s="8" t="s">
        <v>42</v>
      </c>
      <c r="U27" s="19">
        <v>115564</v>
      </c>
      <c r="V27" s="19">
        <v>2631436</v>
      </c>
      <c r="W27" s="20">
        <v>22.770378318507493</v>
      </c>
      <c r="Z27" s="8" t="s">
        <v>42</v>
      </c>
      <c r="AA27" s="19">
        <v>9656.808000000023</v>
      </c>
      <c r="AB27" s="19">
        <v>287484.9830000006</v>
      </c>
      <c r="AC27" s="20">
        <v>29.770187312412126</v>
      </c>
      <c r="AF27" s="8" t="s">
        <v>42</v>
      </c>
      <c r="AG27" s="19">
        <v>118807.63899999998</v>
      </c>
      <c r="AH27" s="19">
        <v>2753928.8089999985</v>
      </c>
      <c r="AI27" s="20">
        <v>23.179728443219034</v>
      </c>
      <c r="AL27" s="8" t="s">
        <v>42</v>
      </c>
      <c r="AM27" s="19">
        <v>103118.50800000002</v>
      </c>
      <c r="AN27" s="19">
        <v>2280461.8709999984</v>
      </c>
      <c r="AO27" s="20">
        <v>22.114961855344127</v>
      </c>
      <c r="AR27" s="8" t="s">
        <v>42</v>
      </c>
      <c r="AS27" s="19">
        <v>127555.59399999995</v>
      </c>
      <c r="AT27" s="19">
        <v>2867130.3419999974</v>
      </c>
      <c r="AU27" s="20">
        <v>22.477495906608365</v>
      </c>
      <c r="AX27" s="8" t="s">
        <v>42</v>
      </c>
      <c r="AY27" s="19">
        <v>99998.36700000003</v>
      </c>
      <c r="AZ27" s="19">
        <v>2090219.6309999991</v>
      </c>
      <c r="BA27" s="20">
        <v>41.80094881910455</v>
      </c>
      <c r="BB27" s="152">
        <f t="shared" si="0"/>
        <v>20.902537648439786</v>
      </c>
      <c r="BD27" s="8" t="s">
        <v>42</v>
      </c>
      <c r="BE27" s="19">
        <v>8590.964000000004</v>
      </c>
      <c r="BF27" s="19">
        <v>195693.48399999994</v>
      </c>
      <c r="BG27" s="20">
        <v>45.41924450312956</v>
      </c>
      <c r="BI27" s="153">
        <f t="shared" si="1"/>
        <v>22.778990111004987</v>
      </c>
    </row>
    <row r="28" spans="2:61" ht="15.75">
      <c r="B28" s="18" t="s">
        <v>101</v>
      </c>
      <c r="C28" s="21">
        <v>72981.65000000001</v>
      </c>
      <c r="D28" s="21">
        <v>6971596.6899999995</v>
      </c>
      <c r="E28" s="22">
        <v>95.5253367113514</v>
      </c>
      <c r="H28" s="18" t="s">
        <v>22</v>
      </c>
      <c r="I28" s="21">
        <v>57174.225</v>
      </c>
      <c r="J28" s="21">
        <v>3162603.21</v>
      </c>
      <c r="K28" s="22">
        <v>55.31519159201546</v>
      </c>
      <c r="N28" s="18" t="s">
        <v>22</v>
      </c>
      <c r="O28" s="21">
        <v>39259.809</v>
      </c>
      <c r="P28" s="21">
        <v>2524811.29</v>
      </c>
      <c r="Q28" s="22">
        <v>64.31033044506151</v>
      </c>
      <c r="T28" s="18" t="s">
        <v>22</v>
      </c>
      <c r="U28" s="21">
        <v>55581.937999999995</v>
      </c>
      <c r="V28" s="21">
        <v>2042072.77</v>
      </c>
      <c r="W28" s="22">
        <v>36.739862687047726</v>
      </c>
      <c r="Z28" s="18" t="s">
        <v>22</v>
      </c>
      <c r="AA28" s="21">
        <v>60890.55499999999</v>
      </c>
      <c r="AB28" s="21">
        <v>3360256.9599999995</v>
      </c>
      <c r="AC28" s="22">
        <v>55.185191857751995</v>
      </c>
      <c r="AF28" s="18" t="s">
        <v>22</v>
      </c>
      <c r="AG28" s="21">
        <v>73983.855</v>
      </c>
      <c r="AH28" s="21">
        <v>3293074.88</v>
      </c>
      <c r="AI28" s="22">
        <v>44.51072304896791</v>
      </c>
      <c r="AL28" s="18" t="s">
        <v>22</v>
      </c>
      <c r="AM28" s="21">
        <v>86357.735</v>
      </c>
      <c r="AN28" s="21">
        <v>3035862.65</v>
      </c>
      <c r="AO28" s="22">
        <v>35.154496004324336</v>
      </c>
      <c r="AR28" s="18" t="s">
        <v>22</v>
      </c>
      <c r="AS28" s="21">
        <v>84320.438</v>
      </c>
      <c r="AT28" s="21">
        <v>2808642.08</v>
      </c>
      <c r="AU28" s="22">
        <v>33.3091495563626</v>
      </c>
      <c r="AX28" s="18" t="s">
        <v>22</v>
      </c>
      <c r="AY28" s="21">
        <v>41317.39</v>
      </c>
      <c r="AZ28" s="21">
        <v>1532162.05</v>
      </c>
      <c r="BA28" s="22">
        <v>37.082740463519116</v>
      </c>
      <c r="BB28" s="152">
        <f t="shared" si="0"/>
        <v>37.082740463519116</v>
      </c>
      <c r="BD28" s="18" t="s">
        <v>22</v>
      </c>
      <c r="BE28" s="21">
        <v>34855.195</v>
      </c>
      <c r="BF28" s="21">
        <v>1260145.1</v>
      </c>
      <c r="BG28" s="22">
        <v>36.1537240001096</v>
      </c>
      <c r="BI28" s="153">
        <f t="shared" si="1"/>
        <v>36.1537240001096</v>
      </c>
    </row>
    <row r="29" spans="2:61" ht="15">
      <c r="B29" s="23" t="s">
        <v>12</v>
      </c>
      <c r="C29" s="24">
        <v>514028.608</v>
      </c>
      <c r="D29" s="24">
        <v>17742428.663999997</v>
      </c>
      <c r="E29" s="25">
        <v>34.516422603467234</v>
      </c>
      <c r="H29" s="23" t="s">
        <v>12</v>
      </c>
      <c r="I29" s="24">
        <v>486464.79999999993</v>
      </c>
      <c r="J29" s="24">
        <v>14301190.072000004</v>
      </c>
      <c r="K29" s="25">
        <v>29.398201210036177</v>
      </c>
      <c r="N29" s="23" t="s">
        <v>12</v>
      </c>
      <c r="O29" s="24">
        <v>435872.961</v>
      </c>
      <c r="P29" s="24">
        <v>12197122.938000001</v>
      </c>
      <c r="Q29" s="25">
        <v>27.98320618470298</v>
      </c>
      <c r="T29" s="23" t="s">
        <v>12</v>
      </c>
      <c r="U29" s="24">
        <v>626498.2859999998</v>
      </c>
      <c r="V29" s="24">
        <v>14808579.762000002</v>
      </c>
      <c r="W29" s="25">
        <v>23.63706348910906</v>
      </c>
      <c r="Z29" s="23" t="s">
        <v>12</v>
      </c>
      <c r="AA29" s="24">
        <v>401021.4860000001</v>
      </c>
      <c r="AB29" s="24">
        <v>11494706.586999997</v>
      </c>
      <c r="AC29" s="25">
        <v>28.663567884240486</v>
      </c>
      <c r="AF29" s="23" t="s">
        <v>12</v>
      </c>
      <c r="AG29" s="24">
        <v>675821.747</v>
      </c>
      <c r="AH29" s="24">
        <v>16809854.264999997</v>
      </c>
      <c r="AI29" s="25">
        <v>24.873207083997546</v>
      </c>
      <c r="AL29" s="23" t="s">
        <v>12</v>
      </c>
      <c r="AM29" s="24">
        <v>638387.081</v>
      </c>
      <c r="AN29" s="24">
        <v>14844583.514</v>
      </c>
      <c r="AO29" s="25">
        <v>23.25326429029036</v>
      </c>
      <c r="AR29" s="23" t="s">
        <v>12</v>
      </c>
      <c r="AS29" s="24">
        <v>710829.8470000001</v>
      </c>
      <c r="AT29" s="24">
        <v>16516199.98499999</v>
      </c>
      <c r="AU29" s="25">
        <v>23.235096352109128</v>
      </c>
      <c r="AX29" s="23" t="s">
        <v>12</v>
      </c>
      <c r="AY29" s="24">
        <v>424296.62499999994</v>
      </c>
      <c r="AZ29" s="24">
        <v>9610088.82</v>
      </c>
      <c r="BA29" s="25">
        <v>22.649458548014614</v>
      </c>
      <c r="BB29" s="152">
        <f t="shared" si="0"/>
        <v>22.649458548014614</v>
      </c>
      <c r="BD29" s="23" t="s">
        <v>12</v>
      </c>
      <c r="BE29" s="24">
        <v>77086.19699999999</v>
      </c>
      <c r="BF29" s="24">
        <v>2230354.2170000006</v>
      </c>
      <c r="BG29" s="25">
        <v>28.93325009923633</v>
      </c>
      <c r="BI29" s="153">
        <f t="shared" si="1"/>
        <v>28.93325009923633</v>
      </c>
    </row>
    <row r="30" spans="2:61" ht="15.75">
      <c r="B30" s="3"/>
      <c r="C30" s="19"/>
      <c r="D30" s="19"/>
      <c r="E30" s="20"/>
      <c r="H30" s="3"/>
      <c r="I30" s="19"/>
      <c r="J30" s="19"/>
      <c r="K30" s="20"/>
      <c r="N30" s="3"/>
      <c r="O30" s="19"/>
      <c r="P30" s="19"/>
      <c r="Q30" s="20"/>
      <c r="T30" s="3"/>
      <c r="U30" s="19"/>
      <c r="V30" s="19"/>
      <c r="W30" s="20"/>
      <c r="Z30" s="3"/>
      <c r="AA30" s="19"/>
      <c r="AB30" s="19"/>
      <c r="AC30" s="20"/>
      <c r="AF30" s="3"/>
      <c r="AG30" s="19"/>
      <c r="AH30" s="19"/>
      <c r="AI30" s="20"/>
      <c r="AL30" s="3"/>
      <c r="AM30" s="19"/>
      <c r="AN30" s="19"/>
      <c r="AO30" s="20"/>
      <c r="AR30" s="3"/>
      <c r="AS30" s="19"/>
      <c r="AT30" s="19"/>
      <c r="AU30" s="20"/>
      <c r="AX30" s="3"/>
      <c r="AY30" s="19"/>
      <c r="AZ30" s="19"/>
      <c r="BA30" s="20"/>
      <c r="BB30" s="152">
        <f t="shared" si="0"/>
      </c>
      <c r="BD30" s="3"/>
      <c r="BE30" s="19"/>
      <c r="BF30" s="19"/>
      <c r="BG30" s="20"/>
      <c r="BI30" s="153">
        <f t="shared" si="1"/>
      </c>
    </row>
    <row r="31" spans="1:61" ht="15">
      <c r="A31" s="16" t="s">
        <v>23</v>
      </c>
      <c r="B31" s="17" t="s">
        <v>24</v>
      </c>
      <c r="C31" s="24">
        <v>795889.199</v>
      </c>
      <c r="D31" s="24">
        <v>25621097.866000004</v>
      </c>
      <c r="E31" s="25">
        <v>32.191789885064146</v>
      </c>
      <c r="G31" s="16" t="s">
        <v>23</v>
      </c>
      <c r="H31" s="17" t="s">
        <v>24</v>
      </c>
      <c r="I31" s="24">
        <v>643282.282</v>
      </c>
      <c r="J31" s="24">
        <v>20359584.158</v>
      </c>
      <c r="K31" s="25">
        <v>31.649533537129194</v>
      </c>
      <c r="M31" s="16" t="s">
        <v>23</v>
      </c>
      <c r="N31" s="17" t="s">
        <v>24</v>
      </c>
      <c r="O31" s="24">
        <v>615513.7999999999</v>
      </c>
      <c r="P31" s="24">
        <v>17970489.292</v>
      </c>
      <c r="Q31" s="25">
        <v>29.195916146802883</v>
      </c>
      <c r="S31" s="16" t="s">
        <v>23</v>
      </c>
      <c r="T31" s="17" t="s">
        <v>24</v>
      </c>
      <c r="U31" s="24">
        <v>476152.4950000001</v>
      </c>
      <c r="V31" s="24">
        <v>16377687.327999994</v>
      </c>
      <c r="W31" s="25">
        <v>34.39588682193084</v>
      </c>
      <c r="Y31" s="16" t="s">
        <v>23</v>
      </c>
      <c r="Z31" s="17" t="s">
        <v>24</v>
      </c>
      <c r="AA31" s="24">
        <v>507992.2349999998</v>
      </c>
      <c r="AB31" s="24">
        <v>16409009.2741662</v>
      </c>
      <c r="AC31" s="25">
        <v>32.30169310396291</v>
      </c>
      <c r="AE31" s="16" t="s">
        <v>23</v>
      </c>
      <c r="AF31" s="17" t="s">
        <v>24</v>
      </c>
      <c r="AG31" s="24">
        <v>538188.6560000002</v>
      </c>
      <c r="AH31" s="24">
        <v>18585084.273787905</v>
      </c>
      <c r="AI31" s="25">
        <v>34.532657027590524</v>
      </c>
      <c r="AK31" s="16" t="s">
        <v>23</v>
      </c>
      <c r="AL31" s="17" t="s">
        <v>24</v>
      </c>
      <c r="AM31" s="24">
        <v>551859.6039999998</v>
      </c>
      <c r="AN31" s="24">
        <v>18252551.800142393</v>
      </c>
      <c r="AO31" s="25">
        <v>33.07462924962052</v>
      </c>
      <c r="AQ31" s="16" t="s">
        <v>23</v>
      </c>
      <c r="AR31" s="17" t="s">
        <v>24</v>
      </c>
      <c r="AS31" s="24">
        <v>554907.4010000001</v>
      </c>
      <c r="AT31" s="24">
        <v>18487773.633611016</v>
      </c>
      <c r="AU31" s="25">
        <v>33.316862597785054</v>
      </c>
      <c r="AW31" s="16" t="s">
        <v>23</v>
      </c>
      <c r="AX31" s="17" t="s">
        <v>24</v>
      </c>
      <c r="AY31" s="24">
        <v>479074.91699999996</v>
      </c>
      <c r="AZ31" s="24">
        <v>13673078.893558696</v>
      </c>
      <c r="BA31" s="25">
        <v>28.540586051092916</v>
      </c>
      <c r="BB31" s="152">
        <f t="shared" si="0"/>
        <v>28.540586051092916</v>
      </c>
      <c r="BC31" s="16" t="s">
        <v>23</v>
      </c>
      <c r="BD31" s="17" t="s">
        <v>24</v>
      </c>
      <c r="BE31" s="24">
        <v>475368.61999999994</v>
      </c>
      <c r="BF31" s="24">
        <v>12202681.066913197</v>
      </c>
      <c r="BG31" s="25">
        <v>25.669933928144435</v>
      </c>
      <c r="BI31" s="153">
        <f t="shared" si="1"/>
        <v>25.669933928144435</v>
      </c>
    </row>
    <row r="32" spans="2:61" ht="15.75">
      <c r="B32" s="3"/>
      <c r="C32" s="19"/>
      <c r="D32" s="19"/>
      <c r="E32" s="20"/>
      <c r="H32" s="3"/>
      <c r="I32" s="19"/>
      <c r="J32" s="19"/>
      <c r="K32" s="20"/>
      <c r="N32" s="3"/>
      <c r="O32" s="19"/>
      <c r="P32" s="19"/>
      <c r="Q32" s="20"/>
      <c r="T32" s="3"/>
      <c r="U32" s="19"/>
      <c r="V32" s="19"/>
      <c r="W32" s="20"/>
      <c r="Z32" s="3"/>
      <c r="AA32" s="19"/>
      <c r="AB32" s="19"/>
      <c r="AC32" s="20"/>
      <c r="AF32" s="3"/>
      <c r="AG32" s="19"/>
      <c r="AH32" s="19"/>
      <c r="AI32" s="20"/>
      <c r="AL32" s="3"/>
      <c r="AM32" s="19"/>
      <c r="AN32" s="19"/>
      <c r="AO32" s="20"/>
      <c r="AR32" s="3"/>
      <c r="AS32" s="19"/>
      <c r="AT32" s="19"/>
      <c r="AU32" s="20"/>
      <c r="AX32" s="3"/>
      <c r="AY32" s="19"/>
      <c r="AZ32" s="19"/>
      <c r="BA32" s="20"/>
      <c r="BB32" s="152">
        <f t="shared" si="0"/>
      </c>
      <c r="BD32" s="3"/>
      <c r="BE32" s="19"/>
      <c r="BF32" s="19"/>
      <c r="BG32" s="20"/>
      <c r="BI32" s="153">
        <f t="shared" si="1"/>
      </c>
    </row>
    <row r="33" spans="1:61" ht="15">
      <c r="A33" s="16" t="s">
        <v>25</v>
      </c>
      <c r="B33" s="17" t="s">
        <v>26</v>
      </c>
      <c r="C33" s="24">
        <v>1309917.807</v>
      </c>
      <c r="D33" s="24">
        <v>43363526.53</v>
      </c>
      <c r="E33" s="25">
        <v>33.104005685144486</v>
      </c>
      <c r="G33" s="16" t="s">
        <v>25</v>
      </c>
      <c r="H33" s="17" t="s">
        <v>26</v>
      </c>
      <c r="I33" s="24">
        <v>1129747.082</v>
      </c>
      <c r="J33" s="24">
        <v>34660774.230000004</v>
      </c>
      <c r="K33" s="25">
        <v>30.680118393082964</v>
      </c>
      <c r="M33" s="16" t="s">
        <v>25</v>
      </c>
      <c r="N33" s="17" t="s">
        <v>26</v>
      </c>
      <c r="O33" s="24">
        <v>1051386.761</v>
      </c>
      <c r="P33" s="24">
        <v>30167612.23</v>
      </c>
      <c r="Q33" s="25">
        <v>28.693163495141253</v>
      </c>
      <c r="S33" s="16" t="s">
        <v>25</v>
      </c>
      <c r="T33" s="17" t="s">
        <v>26</v>
      </c>
      <c r="U33" s="24">
        <v>1102650.781</v>
      </c>
      <c r="V33" s="24">
        <v>31186267.089999996</v>
      </c>
      <c r="W33" s="25">
        <v>28.28299551170408</v>
      </c>
      <c r="Y33" s="16" t="s">
        <v>25</v>
      </c>
      <c r="Z33" s="17" t="s">
        <v>26</v>
      </c>
      <c r="AA33" s="24">
        <v>909013.7209999999</v>
      </c>
      <c r="AB33" s="24">
        <v>27903715.861166198</v>
      </c>
      <c r="AC33" s="25">
        <v>30.69669380839434</v>
      </c>
      <c r="AE33" s="16" t="s">
        <v>25</v>
      </c>
      <c r="AF33" s="17" t="s">
        <v>26</v>
      </c>
      <c r="AG33" s="24">
        <v>1214010.4030000002</v>
      </c>
      <c r="AH33" s="24">
        <v>35394938.5387879</v>
      </c>
      <c r="AI33" s="25">
        <v>29.155383225153383</v>
      </c>
      <c r="AK33" s="16" t="s">
        <v>25</v>
      </c>
      <c r="AL33" s="17" t="s">
        <v>26</v>
      </c>
      <c r="AM33" s="24">
        <v>1190246.6849999998</v>
      </c>
      <c r="AN33" s="24">
        <v>33097135.31414239</v>
      </c>
      <c r="AO33" s="25">
        <v>27.80695441646401</v>
      </c>
      <c r="AQ33" s="16" t="s">
        <v>25</v>
      </c>
      <c r="AR33" s="17" t="s">
        <v>26</v>
      </c>
      <c r="AS33" s="24">
        <v>1265737.2480000001</v>
      </c>
      <c r="AT33" s="24">
        <v>35003973.61861101</v>
      </c>
      <c r="AU33" s="25">
        <v>27.65500792042031</v>
      </c>
      <c r="AW33" s="16" t="s">
        <v>25</v>
      </c>
      <c r="AX33" s="17" t="s">
        <v>26</v>
      </c>
      <c r="AY33" s="24">
        <v>903371.5419999999</v>
      </c>
      <c r="AZ33" s="24">
        <v>23283167.713558696</v>
      </c>
      <c r="BA33" s="25">
        <v>25.773634247998814</v>
      </c>
      <c r="BB33" s="152">
        <f t="shared" si="0"/>
        <v>25.773634247998814</v>
      </c>
      <c r="BC33" s="16" t="s">
        <v>25</v>
      </c>
      <c r="BD33" s="17" t="s">
        <v>26</v>
      </c>
      <c r="BE33" s="24">
        <v>552454.8169999999</v>
      </c>
      <c r="BF33" s="24">
        <v>14433035.283913197</v>
      </c>
      <c r="BG33" s="25">
        <v>26.125277289261465</v>
      </c>
      <c r="BI33" s="153">
        <f t="shared" si="1"/>
        <v>26.125277289261465</v>
      </c>
    </row>
    <row r="34" spans="1:61" ht="15.75">
      <c r="A34" s="16"/>
      <c r="B34" s="8"/>
      <c r="C34" s="19"/>
      <c r="D34" s="19"/>
      <c r="E34" s="20"/>
      <c r="G34" s="16"/>
      <c r="H34" s="8"/>
      <c r="I34" s="19"/>
      <c r="J34" s="19"/>
      <c r="K34" s="20"/>
      <c r="M34" s="16"/>
      <c r="N34" s="8"/>
      <c r="O34" s="19"/>
      <c r="P34" s="19"/>
      <c r="Q34" s="20"/>
      <c r="S34" s="16"/>
      <c r="T34" s="8"/>
      <c r="U34" s="19"/>
      <c r="V34" s="19"/>
      <c r="W34" s="20"/>
      <c r="Y34" s="16"/>
      <c r="Z34" s="8"/>
      <c r="AA34" s="19"/>
      <c r="AB34" s="19"/>
      <c r="AC34" s="20"/>
      <c r="AE34" s="16"/>
      <c r="AF34" s="8"/>
      <c r="AG34" s="19"/>
      <c r="AH34" s="19"/>
      <c r="AI34" s="20"/>
      <c r="AK34" s="16"/>
      <c r="AL34" s="8"/>
      <c r="AM34" s="19"/>
      <c r="AN34" s="19"/>
      <c r="AO34" s="20"/>
      <c r="AQ34" s="16"/>
      <c r="AR34" s="8"/>
      <c r="AS34" s="19"/>
      <c r="AT34" s="19"/>
      <c r="AU34" s="20"/>
      <c r="AW34" s="16"/>
      <c r="AX34" s="8"/>
      <c r="AY34" s="19"/>
      <c r="AZ34" s="19"/>
      <c r="BA34" s="20"/>
      <c r="BB34" s="152">
        <f t="shared" si="0"/>
      </c>
      <c r="BC34" s="16"/>
      <c r="BD34" s="8"/>
      <c r="BE34" s="19"/>
      <c r="BF34" s="19"/>
      <c r="BG34" s="20"/>
      <c r="BI34" s="153">
        <f t="shared" si="1"/>
      </c>
    </row>
    <row r="35" spans="1:61" ht="15.75">
      <c r="A35" s="16"/>
      <c r="B35" s="8"/>
      <c r="C35" s="19"/>
      <c r="D35" s="19"/>
      <c r="E35" s="20"/>
      <c r="G35" s="16"/>
      <c r="H35" s="8"/>
      <c r="I35" s="19"/>
      <c r="J35" s="19"/>
      <c r="K35" s="20"/>
      <c r="M35" s="16"/>
      <c r="N35" s="8"/>
      <c r="O35" s="19"/>
      <c r="P35" s="19"/>
      <c r="Q35" s="20"/>
      <c r="S35" s="16"/>
      <c r="T35" s="8"/>
      <c r="U35" s="19"/>
      <c r="V35" s="19"/>
      <c r="W35" s="20"/>
      <c r="Y35" s="16"/>
      <c r="Z35" s="8"/>
      <c r="AA35" s="19"/>
      <c r="AB35" s="19"/>
      <c r="AC35" s="20"/>
      <c r="AE35" s="16"/>
      <c r="AF35" s="8"/>
      <c r="AG35" s="19"/>
      <c r="AH35" s="19"/>
      <c r="AI35" s="20"/>
      <c r="AK35" s="16"/>
      <c r="AL35" s="8"/>
      <c r="AM35" s="19"/>
      <c r="AN35" s="19"/>
      <c r="AO35" s="20"/>
      <c r="AQ35" s="16" t="s">
        <v>27</v>
      </c>
      <c r="AR35" s="8"/>
      <c r="AS35" s="19"/>
      <c r="AT35" s="19"/>
      <c r="AU35" s="20"/>
      <c r="AW35" s="16"/>
      <c r="AX35" s="8"/>
      <c r="AY35" s="19"/>
      <c r="AZ35" s="19"/>
      <c r="BA35" s="20"/>
      <c r="BB35" s="152">
        <f t="shared" si="0"/>
      </c>
      <c r="BC35" s="16"/>
      <c r="BD35" s="8"/>
      <c r="BE35" s="19"/>
      <c r="BF35" s="19"/>
      <c r="BG35" s="20"/>
      <c r="BI35" s="153">
        <f t="shared" si="1"/>
      </c>
    </row>
    <row r="36" spans="3:61" ht="16.5" thickBot="1">
      <c r="C36" s="19"/>
      <c r="D36" s="19"/>
      <c r="E36" s="20"/>
      <c r="I36" s="19"/>
      <c r="J36" s="19"/>
      <c r="K36" s="20"/>
      <c r="O36" s="19"/>
      <c r="P36" s="19"/>
      <c r="Q36" s="20"/>
      <c r="U36" s="19"/>
      <c r="V36" s="19"/>
      <c r="W36" s="20"/>
      <c r="AA36" s="19"/>
      <c r="AB36" s="19"/>
      <c r="AC36" s="20"/>
      <c r="AG36" s="19"/>
      <c r="AH36" s="19"/>
      <c r="AI36" s="20"/>
      <c r="AM36" s="19"/>
      <c r="AN36" s="19"/>
      <c r="AO36" s="20"/>
      <c r="AQ36" s="16" t="s">
        <v>29</v>
      </c>
      <c r="AS36" s="19"/>
      <c r="AT36" s="19"/>
      <c r="AU36" s="20"/>
      <c r="AY36" s="19"/>
      <c r="AZ36" s="19"/>
      <c r="BA36" s="20"/>
      <c r="BB36" s="152">
        <f t="shared" si="0"/>
      </c>
      <c r="BE36" s="19"/>
      <c r="BF36" s="19"/>
      <c r="BG36" s="20"/>
      <c r="BI36" s="153">
        <f t="shared" si="1"/>
      </c>
    </row>
    <row r="37" spans="1:61" ht="16.5" thickBot="1">
      <c r="A37" s="16" t="s">
        <v>27</v>
      </c>
      <c r="B37" s="8" t="s">
        <v>28</v>
      </c>
      <c r="C37" s="19">
        <v>795889.199</v>
      </c>
      <c r="D37" s="19">
        <v>25621097.866000004</v>
      </c>
      <c r="E37" s="20">
        <v>32.191789885064146</v>
      </c>
      <c r="G37" s="16" t="s">
        <v>27</v>
      </c>
      <c r="H37" s="8" t="s">
        <v>28</v>
      </c>
      <c r="I37" s="19">
        <v>643282.282</v>
      </c>
      <c r="J37" s="19">
        <v>20359584.158</v>
      </c>
      <c r="K37" s="20">
        <v>31.649533537129194</v>
      </c>
      <c r="M37" s="16" t="s">
        <v>27</v>
      </c>
      <c r="N37" s="8" t="s">
        <v>28</v>
      </c>
      <c r="O37" s="19">
        <v>615513.7999999999</v>
      </c>
      <c r="P37" s="19">
        <v>17970489.292</v>
      </c>
      <c r="Q37" s="20">
        <v>29.195916146802883</v>
      </c>
      <c r="S37" s="16" t="s">
        <v>27</v>
      </c>
      <c r="T37" s="8" t="s">
        <v>28</v>
      </c>
      <c r="U37" s="19">
        <v>476152.4950000001</v>
      </c>
      <c r="V37" s="19">
        <v>16377687.327999994</v>
      </c>
      <c r="W37" s="20">
        <v>34.39588682193084</v>
      </c>
      <c r="Y37" s="16" t="s">
        <v>27</v>
      </c>
      <c r="Z37" s="8" t="s">
        <v>28</v>
      </c>
      <c r="AA37" s="19">
        <v>507992.2349999998</v>
      </c>
      <c r="AB37" s="19">
        <v>16409009.2741662</v>
      </c>
      <c r="AC37" s="20">
        <v>32.30169310396291</v>
      </c>
      <c r="AE37" s="16" t="s">
        <v>27</v>
      </c>
      <c r="AF37" s="8" t="s">
        <v>28</v>
      </c>
      <c r="AG37" s="19">
        <v>538188.6560000002</v>
      </c>
      <c r="AH37" s="19">
        <v>18585084.273787905</v>
      </c>
      <c r="AI37" s="20">
        <v>34.532657027590524</v>
      </c>
      <c r="AK37" s="16" t="s">
        <v>27</v>
      </c>
      <c r="AL37" s="8" t="s">
        <v>28</v>
      </c>
      <c r="AM37" s="19">
        <v>551859.6039999998</v>
      </c>
      <c r="AN37" s="19">
        <v>18252551.800142393</v>
      </c>
      <c r="AO37" s="20">
        <v>33.07462924962052</v>
      </c>
      <c r="AQ37" s="28" t="s">
        <v>31</v>
      </c>
      <c r="AR37" s="8" t="s">
        <v>28</v>
      </c>
      <c r="AS37" s="19">
        <v>554907.4010000001</v>
      </c>
      <c r="AT37" s="19">
        <v>18487773.633611016</v>
      </c>
      <c r="AU37" s="20">
        <v>33.316862597785054</v>
      </c>
      <c r="AW37" s="16" t="s">
        <v>27</v>
      </c>
      <c r="AX37" s="8" t="s">
        <v>28</v>
      </c>
      <c r="AY37" s="19">
        <v>479074.91699999996</v>
      </c>
      <c r="AZ37" s="19">
        <v>13673078.893558696</v>
      </c>
      <c r="BA37" s="20">
        <v>28.540586051092916</v>
      </c>
      <c r="BB37" s="152">
        <f t="shared" si="0"/>
        <v>28.540586051092916</v>
      </c>
      <c r="BC37" s="16" t="s">
        <v>27</v>
      </c>
      <c r="BD37" s="8" t="s">
        <v>28</v>
      </c>
      <c r="BE37" s="19">
        <v>475368.61999999994</v>
      </c>
      <c r="BF37" s="19">
        <v>12202681.066913197</v>
      </c>
      <c r="BG37" s="20">
        <v>25.669933928144435</v>
      </c>
      <c r="BI37" s="153">
        <f t="shared" si="1"/>
        <v>25.669933928144435</v>
      </c>
    </row>
    <row r="38" spans="1:61" ht="16.5" thickBot="1">
      <c r="A38" s="16" t="s">
        <v>29</v>
      </c>
      <c r="B38" s="18" t="s">
        <v>30</v>
      </c>
      <c r="C38" s="26">
        <v>0</v>
      </c>
      <c r="D38" s="19">
        <v>0</v>
      </c>
      <c r="E38" s="20">
        <v>0</v>
      </c>
      <c r="G38" s="16" t="s">
        <v>29</v>
      </c>
      <c r="H38" s="18" t="s">
        <v>30</v>
      </c>
      <c r="I38" s="26">
        <v>0</v>
      </c>
      <c r="J38" s="19">
        <v>0</v>
      </c>
      <c r="K38" s="20">
        <v>0</v>
      </c>
      <c r="M38" s="16" t="s">
        <v>29</v>
      </c>
      <c r="N38" s="18" t="s">
        <v>30</v>
      </c>
      <c r="O38" s="26">
        <v>0</v>
      </c>
      <c r="P38" s="19">
        <v>0</v>
      </c>
      <c r="Q38" s="20">
        <v>0</v>
      </c>
      <c r="S38" s="16" t="s">
        <v>29</v>
      </c>
      <c r="T38" s="18" t="s">
        <v>30</v>
      </c>
      <c r="U38" s="26">
        <v>0</v>
      </c>
      <c r="V38" s="19">
        <v>0</v>
      </c>
      <c r="W38" s="20">
        <v>0</v>
      </c>
      <c r="Y38" s="16" t="s">
        <v>29</v>
      </c>
      <c r="Z38" s="18" t="s">
        <v>30</v>
      </c>
      <c r="AA38" s="26">
        <v>0</v>
      </c>
      <c r="AB38" s="19">
        <v>0</v>
      </c>
      <c r="AC38" s="20">
        <v>0</v>
      </c>
      <c r="AE38" s="16" t="s">
        <v>29</v>
      </c>
      <c r="AF38" s="18" t="s">
        <v>30</v>
      </c>
      <c r="AG38" s="26">
        <v>0</v>
      </c>
      <c r="AH38" s="19">
        <v>0</v>
      </c>
      <c r="AI38" s="20">
        <v>0</v>
      </c>
      <c r="AK38" s="16" t="s">
        <v>29</v>
      </c>
      <c r="AL38" s="18" t="s">
        <v>30</v>
      </c>
      <c r="AM38" s="26">
        <v>0</v>
      </c>
      <c r="AN38" s="19">
        <v>0</v>
      </c>
      <c r="AO38" s="20">
        <v>0</v>
      </c>
      <c r="AQ38" s="16" t="s">
        <v>33</v>
      </c>
      <c r="AR38" s="18" t="s">
        <v>30</v>
      </c>
      <c r="AS38" s="26">
        <v>0</v>
      </c>
      <c r="AT38" s="19">
        <v>0</v>
      </c>
      <c r="AU38" s="20">
        <v>0</v>
      </c>
      <c r="AW38" s="16" t="s">
        <v>29</v>
      </c>
      <c r="AX38" s="18" t="s">
        <v>30</v>
      </c>
      <c r="AY38" s="26">
        <v>0</v>
      </c>
      <c r="AZ38" s="19">
        <v>0</v>
      </c>
      <c r="BA38" s="20">
        <v>0</v>
      </c>
      <c r="BB38" s="152">
        <f t="shared" si="0"/>
      </c>
      <c r="BC38" s="16" t="s">
        <v>29</v>
      </c>
      <c r="BD38" s="18" t="s">
        <v>30</v>
      </c>
      <c r="BE38" s="26">
        <v>0</v>
      </c>
      <c r="BF38" s="19">
        <v>0</v>
      </c>
      <c r="BG38" s="20">
        <v>0</v>
      </c>
      <c r="BI38" s="153">
        <f t="shared" si="1"/>
      </c>
    </row>
    <row r="39" spans="1:61" ht="16.5" thickBot="1">
      <c r="A39" s="28" t="s">
        <v>31</v>
      </c>
      <c r="B39" s="29" t="s">
        <v>32</v>
      </c>
      <c r="C39" s="30">
        <v>795889.199</v>
      </c>
      <c r="D39" s="30">
        <v>25621097.866000004</v>
      </c>
      <c r="E39" s="31">
        <v>32.191789885064146</v>
      </c>
      <c r="G39" s="28" t="s">
        <v>31</v>
      </c>
      <c r="H39" s="29" t="s">
        <v>32</v>
      </c>
      <c r="I39" s="30">
        <v>643282.282</v>
      </c>
      <c r="J39" s="30">
        <v>20359584.158</v>
      </c>
      <c r="K39" s="31">
        <v>31.649533537129194</v>
      </c>
      <c r="M39" s="28" t="s">
        <v>31</v>
      </c>
      <c r="N39" s="29" t="s">
        <v>32</v>
      </c>
      <c r="O39" s="30">
        <v>615513.7999999999</v>
      </c>
      <c r="P39" s="30">
        <v>17970489.292</v>
      </c>
      <c r="Q39" s="31">
        <v>29.195916146802883</v>
      </c>
      <c r="S39" s="28" t="s">
        <v>31</v>
      </c>
      <c r="T39" s="29" t="s">
        <v>32</v>
      </c>
      <c r="U39" s="30">
        <v>474338.3450000001</v>
      </c>
      <c r="V39" s="30">
        <v>16377687.327999994</v>
      </c>
      <c r="W39" s="31">
        <v>34.52743700912477</v>
      </c>
      <c r="Y39" s="28" t="s">
        <v>31</v>
      </c>
      <c r="Z39" s="29" t="s">
        <v>32</v>
      </c>
      <c r="AA39" s="30">
        <v>507992.2349999998</v>
      </c>
      <c r="AB39" s="30">
        <v>16409009.2741662</v>
      </c>
      <c r="AC39" s="31">
        <v>32.30169310396291</v>
      </c>
      <c r="AE39" s="28" t="s">
        <v>31</v>
      </c>
      <c r="AF39" s="29" t="s">
        <v>32</v>
      </c>
      <c r="AG39" s="30">
        <v>538188.6560000002</v>
      </c>
      <c r="AH39" s="30">
        <v>18585084.273787905</v>
      </c>
      <c r="AI39" s="31">
        <v>34.532657027590524</v>
      </c>
      <c r="AK39" s="28" t="s">
        <v>31</v>
      </c>
      <c r="AL39" s="29" t="s">
        <v>32</v>
      </c>
      <c r="AM39" s="30">
        <v>551859.6039999998</v>
      </c>
      <c r="AN39" s="30">
        <v>18252551.800142393</v>
      </c>
      <c r="AO39" s="31">
        <v>33.07462924962052</v>
      </c>
      <c r="AQ39" s="16" t="s">
        <v>35</v>
      </c>
      <c r="AR39" s="29" t="s">
        <v>32</v>
      </c>
      <c r="AS39" s="30">
        <v>554907.4010000001</v>
      </c>
      <c r="AT39" s="30">
        <v>18487773.633611016</v>
      </c>
      <c r="AU39" s="31">
        <v>33.316862597785054</v>
      </c>
      <c r="AW39" s="28" t="s">
        <v>31</v>
      </c>
      <c r="AX39" s="29" t="s">
        <v>32</v>
      </c>
      <c r="AY39" s="30">
        <v>479074.91699999996</v>
      </c>
      <c r="AZ39" s="30">
        <v>13673078.893558696</v>
      </c>
      <c r="BA39" s="31">
        <v>28.540586051092916</v>
      </c>
      <c r="BB39" s="152">
        <f t="shared" si="0"/>
        <v>28.540586051092916</v>
      </c>
      <c r="BC39" s="28" t="s">
        <v>31</v>
      </c>
      <c r="BD39" s="29" t="s">
        <v>32</v>
      </c>
      <c r="BE39" s="30">
        <v>475368.61999999994</v>
      </c>
      <c r="BF39" s="30">
        <v>12202681.066913197</v>
      </c>
      <c r="BG39" s="31">
        <v>25.669933928144435</v>
      </c>
      <c r="BI39" s="153">
        <f t="shared" si="1"/>
        <v>25.669933928144435</v>
      </c>
    </row>
    <row r="40" spans="1:61" ht="16.5" thickBot="1">
      <c r="A40" s="16" t="s">
        <v>33</v>
      </c>
      <c r="B40" s="18" t="s">
        <v>34</v>
      </c>
      <c r="C40" s="26">
        <v>709.268186</v>
      </c>
      <c r="D40" s="19">
        <v>6890.392832957999</v>
      </c>
      <c r="E40" s="20">
        <v>9.714791906594835</v>
      </c>
      <c r="G40" s="16" t="s">
        <v>33</v>
      </c>
      <c r="H40" s="18" t="s">
        <v>34</v>
      </c>
      <c r="I40" s="26">
        <v>-4004.114517382881</v>
      </c>
      <c r="J40" s="19">
        <v>-96415.54252638057</v>
      </c>
      <c r="K40" s="20">
        <v>24.079117145080676</v>
      </c>
      <c r="M40" s="16" t="s">
        <v>33</v>
      </c>
      <c r="N40" s="18" t="s">
        <v>45</v>
      </c>
      <c r="O40" s="26">
        <v>-4917.6</v>
      </c>
      <c r="P40" s="19">
        <v>-486122.53</v>
      </c>
      <c r="Q40" s="20">
        <v>98.85361355132585</v>
      </c>
      <c r="S40" s="16" t="s">
        <v>33</v>
      </c>
      <c r="T40" s="18" t="s">
        <v>45</v>
      </c>
      <c r="U40" s="26">
        <v>-1814.15</v>
      </c>
      <c r="V40" s="19">
        <v>-121701.5</v>
      </c>
      <c r="W40" s="20">
        <v>67.08458506738693</v>
      </c>
      <c r="Y40" s="16" t="s">
        <v>33</v>
      </c>
      <c r="Z40" s="18" t="s">
        <v>45</v>
      </c>
      <c r="AA40" s="26">
        <v>-1519.898959715907</v>
      </c>
      <c r="AB40" s="19">
        <v>-134323.5893284634</v>
      </c>
      <c r="AC40" s="20">
        <v>88.37665719145606</v>
      </c>
      <c r="AE40" s="16" t="s">
        <v>33</v>
      </c>
      <c r="AF40" s="18" t="s">
        <v>45</v>
      </c>
      <c r="AG40" s="26">
        <v>-721.73</v>
      </c>
      <c r="AH40" s="19">
        <v>-27468.82</v>
      </c>
      <c r="AI40" s="20">
        <v>38.059689911739845</v>
      </c>
      <c r="AK40" s="16" t="s">
        <v>33</v>
      </c>
      <c r="AL40" s="18" t="s">
        <v>45</v>
      </c>
      <c r="AM40" s="26">
        <v>-813.63</v>
      </c>
      <c r="AN40" s="19">
        <v>-39083.27</v>
      </c>
      <c r="AO40" s="20">
        <v>48.03567960866733</v>
      </c>
      <c r="AQ40" s="16" t="s">
        <v>37</v>
      </c>
      <c r="AR40" s="18" t="s">
        <v>45</v>
      </c>
      <c r="AS40" s="26">
        <v>-1793.925706393</v>
      </c>
      <c r="AT40" s="19">
        <v>-97015.2529</v>
      </c>
      <c r="AU40" s="20">
        <v>54.079861030068</v>
      </c>
      <c r="AW40" s="16" t="s">
        <v>33</v>
      </c>
      <c r="AX40" s="18" t="s">
        <v>45</v>
      </c>
      <c r="AY40" s="26">
        <v>-1494.158944384</v>
      </c>
      <c r="AZ40" s="19">
        <v>-63835.6632</v>
      </c>
      <c r="BA40" s="20">
        <v>42.72347559805136</v>
      </c>
      <c r="BB40" s="152">
        <f t="shared" si="0"/>
        <v>42.72347559805136</v>
      </c>
      <c r="BC40" s="16" t="s">
        <v>33</v>
      </c>
      <c r="BD40" s="18" t="s">
        <v>45</v>
      </c>
      <c r="BE40" s="26">
        <v>-235.29</v>
      </c>
      <c r="BF40" s="19">
        <v>-6248.83</v>
      </c>
      <c r="BG40" s="20">
        <v>26.557992264864637</v>
      </c>
      <c r="BI40" s="153">
        <f t="shared" si="1"/>
        <v>26.557992264864637</v>
      </c>
    </row>
    <row r="41" spans="1:61" ht="16.5" thickBot="1">
      <c r="A41" s="16" t="s">
        <v>35</v>
      </c>
      <c r="B41" s="18" t="s">
        <v>36</v>
      </c>
      <c r="C41" s="26">
        <v>-709.268186</v>
      </c>
      <c r="D41" s="19">
        <v>-6890.392832957999</v>
      </c>
      <c r="E41" s="20">
        <v>9.714791906594835</v>
      </c>
      <c r="G41" s="16" t="s">
        <v>35</v>
      </c>
      <c r="H41" s="18" t="s">
        <v>36</v>
      </c>
      <c r="I41" s="26">
        <v>4004.114517382881</v>
      </c>
      <c r="J41" s="19">
        <v>96415.54252638057</v>
      </c>
      <c r="K41" s="20">
        <v>24.079117145080676</v>
      </c>
      <c r="M41" s="16" t="s">
        <v>35</v>
      </c>
      <c r="N41" s="18" t="s">
        <v>46</v>
      </c>
      <c r="O41" s="26">
        <v>0</v>
      </c>
      <c r="P41" s="19">
        <v>0</v>
      </c>
      <c r="Q41" s="20">
        <v>0</v>
      </c>
      <c r="S41" s="16" t="s">
        <v>35</v>
      </c>
      <c r="T41" s="18" t="s">
        <v>46</v>
      </c>
      <c r="U41" s="26">
        <v>0</v>
      </c>
      <c r="V41" s="19">
        <v>0</v>
      </c>
      <c r="W41" s="20">
        <v>0</v>
      </c>
      <c r="Y41" s="16" t="s">
        <v>35</v>
      </c>
      <c r="Z41" s="18" t="s">
        <v>46</v>
      </c>
      <c r="AA41" s="26">
        <v>0</v>
      </c>
      <c r="AB41" s="19">
        <v>0</v>
      </c>
      <c r="AC41" s="20">
        <v>0</v>
      </c>
      <c r="AE41" s="16" t="s">
        <v>35</v>
      </c>
      <c r="AF41" s="18" t="s">
        <v>46</v>
      </c>
      <c r="AG41" s="26">
        <v>0</v>
      </c>
      <c r="AH41" s="19">
        <v>0</v>
      </c>
      <c r="AI41" s="20">
        <v>0</v>
      </c>
      <c r="AK41" s="16" t="s">
        <v>35</v>
      </c>
      <c r="AL41" s="18" t="s">
        <v>46</v>
      </c>
      <c r="AM41" s="26">
        <v>0</v>
      </c>
      <c r="AN41" s="19">
        <v>0</v>
      </c>
      <c r="AO41" s="20">
        <v>0</v>
      </c>
      <c r="AQ41" s="28" t="s">
        <v>39</v>
      </c>
      <c r="AR41" s="18" t="s">
        <v>46</v>
      </c>
      <c r="AS41" s="26">
        <v>0</v>
      </c>
      <c r="AT41" s="19">
        <v>0</v>
      </c>
      <c r="AU41" s="20">
        <v>0</v>
      </c>
      <c r="AW41" s="16" t="s">
        <v>35</v>
      </c>
      <c r="AX41" s="18" t="s">
        <v>46</v>
      </c>
      <c r="AY41" s="26">
        <v>0</v>
      </c>
      <c r="AZ41" s="19">
        <v>0</v>
      </c>
      <c r="BA41" s="20">
        <v>0</v>
      </c>
      <c r="BB41" s="152">
        <f t="shared" si="0"/>
      </c>
      <c r="BC41" s="16" t="s">
        <v>35</v>
      </c>
      <c r="BD41" s="18" t="s">
        <v>46</v>
      </c>
      <c r="BE41" s="26">
        <v>0</v>
      </c>
      <c r="BF41" s="19">
        <v>0</v>
      </c>
      <c r="BG41" s="20">
        <v>0</v>
      </c>
      <c r="BI41" s="153">
        <f t="shared" si="1"/>
      </c>
    </row>
    <row r="42" spans="1:61" ht="16.5" thickBot="1">
      <c r="A42" s="16" t="s">
        <v>37</v>
      </c>
      <c r="B42" s="8" t="s">
        <v>38</v>
      </c>
      <c r="C42" s="32">
        <v>0</v>
      </c>
      <c r="D42" s="26">
        <v>0</v>
      </c>
      <c r="E42" s="27">
        <v>0</v>
      </c>
      <c r="G42" s="16" t="s">
        <v>37</v>
      </c>
      <c r="H42" s="8" t="s">
        <v>38</v>
      </c>
      <c r="I42" s="32">
        <v>0</v>
      </c>
      <c r="J42" s="26">
        <v>0</v>
      </c>
      <c r="K42" s="27">
        <v>0</v>
      </c>
      <c r="M42" s="16" t="s">
        <v>37</v>
      </c>
      <c r="N42" s="8" t="s">
        <v>38</v>
      </c>
      <c r="O42" s="32">
        <v>0</v>
      </c>
      <c r="P42" s="26">
        <v>0</v>
      </c>
      <c r="Q42" s="27">
        <v>0</v>
      </c>
      <c r="S42" s="16" t="s">
        <v>37</v>
      </c>
      <c r="T42" s="8" t="s">
        <v>38</v>
      </c>
      <c r="U42" s="32">
        <v>0</v>
      </c>
      <c r="V42" s="26">
        <v>0</v>
      </c>
      <c r="W42" s="27">
        <v>0</v>
      </c>
      <c r="Y42" s="16" t="s">
        <v>37</v>
      </c>
      <c r="Z42" s="8" t="s">
        <v>38</v>
      </c>
      <c r="AA42" s="32">
        <v>0</v>
      </c>
      <c r="AB42" s="26">
        <v>0</v>
      </c>
      <c r="AC42" s="27">
        <v>0</v>
      </c>
      <c r="AE42" s="16" t="s">
        <v>37</v>
      </c>
      <c r="AF42" s="8" t="s">
        <v>38</v>
      </c>
      <c r="AG42" s="32">
        <v>0</v>
      </c>
      <c r="AH42" s="26">
        <v>0</v>
      </c>
      <c r="AI42" s="27">
        <v>0</v>
      </c>
      <c r="AK42" s="16" t="s">
        <v>37</v>
      </c>
      <c r="AL42" s="8" t="s">
        <v>38</v>
      </c>
      <c r="AM42" s="32">
        <v>0</v>
      </c>
      <c r="AN42" s="26">
        <v>0</v>
      </c>
      <c r="AO42" s="27">
        <v>0</v>
      </c>
      <c r="AQ42" s="36" t="s">
        <v>4</v>
      </c>
      <c r="AR42" s="8" t="s">
        <v>38</v>
      </c>
      <c r="AS42" s="32">
        <v>0</v>
      </c>
      <c r="AT42" s="26">
        <v>0</v>
      </c>
      <c r="AU42" s="27">
        <v>0</v>
      </c>
      <c r="AW42" s="16" t="s">
        <v>37</v>
      </c>
      <c r="AX42" s="8" t="s">
        <v>38</v>
      </c>
      <c r="AY42" s="32">
        <v>0</v>
      </c>
      <c r="AZ42" s="26">
        <v>0</v>
      </c>
      <c r="BA42" s="27">
        <v>0</v>
      </c>
      <c r="BB42" s="152">
        <f t="shared" si="0"/>
      </c>
      <c r="BC42" s="16" t="s">
        <v>37</v>
      </c>
      <c r="BD42" s="8" t="s">
        <v>38</v>
      </c>
      <c r="BE42" s="32">
        <v>0</v>
      </c>
      <c r="BF42" s="26">
        <v>0</v>
      </c>
      <c r="BG42" s="27">
        <v>0</v>
      </c>
      <c r="BI42" s="153">
        <f t="shared" si="1"/>
      </c>
    </row>
    <row r="43" spans="1:61" ht="16.5" thickBot="1">
      <c r="A43" s="28" t="s">
        <v>39</v>
      </c>
      <c r="B43" s="29" t="s">
        <v>40</v>
      </c>
      <c r="C43" s="33">
        <v>795889.199</v>
      </c>
      <c r="D43" s="33">
        <v>25621097.866000004</v>
      </c>
      <c r="E43" s="34">
        <v>32.191789885064146</v>
      </c>
      <c r="G43" s="28" t="s">
        <v>39</v>
      </c>
      <c r="H43" s="29" t="s">
        <v>40</v>
      </c>
      <c r="I43" s="33">
        <v>643282.282</v>
      </c>
      <c r="J43" s="33">
        <v>20359584.158</v>
      </c>
      <c r="K43" s="34">
        <v>31.649533537129194</v>
      </c>
      <c r="M43" s="28" t="s">
        <v>39</v>
      </c>
      <c r="N43" s="29" t="s">
        <v>40</v>
      </c>
      <c r="O43" s="33">
        <v>610596.2</v>
      </c>
      <c r="P43" s="33">
        <v>17484366.762</v>
      </c>
      <c r="Q43" s="34">
        <v>28.63490922806267</v>
      </c>
      <c r="S43" s="28" t="s">
        <v>39</v>
      </c>
      <c r="T43" s="29" t="s">
        <v>40</v>
      </c>
      <c r="U43" s="33">
        <v>474338.3450000001</v>
      </c>
      <c r="V43" s="33">
        <v>16255985.827999994</v>
      </c>
      <c r="W43" s="34">
        <v>34.27086593220709</v>
      </c>
      <c r="Y43" s="28" t="s">
        <v>39</v>
      </c>
      <c r="Z43" s="29" t="s">
        <v>40</v>
      </c>
      <c r="AA43" s="33">
        <v>506472.3360402839</v>
      </c>
      <c r="AB43" s="33">
        <v>16274685.684837736</v>
      </c>
      <c r="AC43" s="34">
        <v>32.133414851592754</v>
      </c>
      <c r="AE43" s="28" t="s">
        <v>39</v>
      </c>
      <c r="AF43" s="29" t="s">
        <v>40</v>
      </c>
      <c r="AG43" s="33">
        <v>537466.9260000002</v>
      </c>
      <c r="AH43" s="33">
        <v>18557615.453787904</v>
      </c>
      <c r="AI43" s="34">
        <v>34.52792080044735</v>
      </c>
      <c r="AK43" s="28" t="s">
        <v>39</v>
      </c>
      <c r="AL43" s="29" t="s">
        <v>40</v>
      </c>
      <c r="AM43" s="33">
        <v>551045.9739999998</v>
      </c>
      <c r="AN43" s="33">
        <v>18213468.530142393</v>
      </c>
      <c r="AO43" s="34">
        <v>33.052538970446044</v>
      </c>
      <c r="AQ43"/>
      <c r="AR43" s="29" t="s">
        <v>40</v>
      </c>
      <c r="AS43" s="33">
        <v>553113.4752936071</v>
      </c>
      <c r="AT43" s="33">
        <v>18390758.380711015</v>
      </c>
      <c r="AU43" s="34">
        <v>33.24952148553011</v>
      </c>
      <c r="AW43" s="28" t="s">
        <v>39</v>
      </c>
      <c r="AX43" s="29" t="s">
        <v>40</v>
      </c>
      <c r="AY43" s="33">
        <v>477580.75805561594</v>
      </c>
      <c r="AZ43" s="33">
        <v>13609243.230358696</v>
      </c>
      <c r="BA43" s="34">
        <v>28.49621346924922</v>
      </c>
      <c r="BC43" s="28" t="s">
        <v>39</v>
      </c>
      <c r="BD43" s="29" t="s">
        <v>40</v>
      </c>
      <c r="BE43" s="33">
        <v>475133.32999999996</v>
      </c>
      <c r="BF43" s="33">
        <v>12196432.236913197</v>
      </c>
      <c r="BG43" s="34">
        <v>25.66949415422656</v>
      </c>
      <c r="BI43" s="153">
        <f t="shared" si="1"/>
        <v>25.66949415422656</v>
      </c>
    </row>
    <row r="44" spans="1:61" ht="15">
      <c r="A44" s="36" t="s">
        <v>4</v>
      </c>
      <c r="B44" s="37" t="s">
        <v>4</v>
      </c>
      <c r="C44" s="37"/>
      <c r="D44" s="37"/>
      <c r="E44" s="37"/>
      <c r="G44" s="36" t="s">
        <v>4</v>
      </c>
      <c r="H44" s="37" t="s">
        <v>4</v>
      </c>
      <c r="I44" s="37"/>
      <c r="J44" s="37"/>
      <c r="K44" s="37"/>
      <c r="M44" s="36" t="s">
        <v>4</v>
      </c>
      <c r="N44" s="37" t="s">
        <v>4</v>
      </c>
      <c r="O44" s="37"/>
      <c r="P44" s="37"/>
      <c r="Q44" s="37"/>
      <c r="S44" s="36" t="s">
        <v>4</v>
      </c>
      <c r="T44" s="37" t="s">
        <v>4</v>
      </c>
      <c r="U44" s="37"/>
      <c r="V44" s="37"/>
      <c r="W44" s="37"/>
      <c r="Y44" s="36" t="s">
        <v>4</v>
      </c>
      <c r="Z44" s="37" t="s">
        <v>4</v>
      </c>
      <c r="AA44" s="37"/>
      <c r="AB44" s="37"/>
      <c r="AC44" s="37"/>
      <c r="AE44" s="36" t="s">
        <v>4</v>
      </c>
      <c r="AF44" s="37" t="s">
        <v>4</v>
      </c>
      <c r="AG44" s="37"/>
      <c r="AH44" s="37"/>
      <c r="AI44" s="37"/>
      <c r="AK44" s="36" t="s">
        <v>4</v>
      </c>
      <c r="AL44" s="37" t="s">
        <v>4</v>
      </c>
      <c r="AM44" s="37"/>
      <c r="AN44" s="37"/>
      <c r="AO44" s="37"/>
      <c r="AR44" s="37" t="s">
        <v>4</v>
      </c>
      <c r="AS44" s="37"/>
      <c r="AT44" s="37"/>
      <c r="AU44" s="37"/>
      <c r="AW44" s="36" t="s">
        <v>4</v>
      </c>
      <c r="AX44" s="37" t="s">
        <v>4</v>
      </c>
      <c r="AY44" s="37"/>
      <c r="AZ44" s="37"/>
      <c r="BA44" s="37"/>
      <c r="BC44" s="36" t="s">
        <v>4</v>
      </c>
      <c r="BD44" s="37" t="s">
        <v>4</v>
      </c>
      <c r="BE44" s="37"/>
      <c r="BF44" s="37"/>
      <c r="BG44" s="37"/>
      <c r="BI44" s="135"/>
    </row>
    <row r="45" spans="1:59" ht="15">
      <c r="A45"/>
      <c r="B45" s="38" t="s">
        <v>4</v>
      </c>
      <c r="C45"/>
      <c r="D45"/>
      <c r="E45"/>
      <c r="G45"/>
      <c r="H45" s="38" t="s">
        <v>4</v>
      </c>
      <c r="I45"/>
      <c r="J45"/>
      <c r="K45"/>
      <c r="M45"/>
      <c r="N45" s="38" t="s">
        <v>4</v>
      </c>
      <c r="O45"/>
      <c r="P45"/>
      <c r="Q45"/>
      <c r="S45"/>
      <c r="T45" s="38" t="s">
        <v>4</v>
      </c>
      <c r="U45"/>
      <c r="V45"/>
      <c r="W45"/>
      <c r="Y45"/>
      <c r="Z45" s="38" t="s">
        <v>4</v>
      </c>
      <c r="AA45"/>
      <c r="AB45"/>
      <c r="AC45"/>
      <c r="AE45"/>
      <c r="AF45" s="38" t="s">
        <v>4</v>
      </c>
      <c r="AG45"/>
      <c r="AH45"/>
      <c r="AI45"/>
      <c r="AK45"/>
      <c r="AL45" s="38" t="s">
        <v>4</v>
      </c>
      <c r="AM45"/>
      <c r="AN45"/>
      <c r="AO45"/>
      <c r="AR45" s="38" t="s">
        <v>4</v>
      </c>
      <c r="AS45"/>
      <c r="AT45"/>
      <c r="AU45"/>
      <c r="AW45"/>
      <c r="AX45" s="38" t="s">
        <v>4</v>
      </c>
      <c r="AY45"/>
      <c r="AZ45"/>
      <c r="BA45"/>
      <c r="BC45"/>
      <c r="BD45" s="38" t="s">
        <v>4</v>
      </c>
      <c r="BE45"/>
      <c r="BF45"/>
      <c r="BG45"/>
    </row>
    <row r="46" spans="2:59" ht="15.75">
      <c r="B46" s="3"/>
      <c r="C46" s="19"/>
      <c r="D46" s="19"/>
      <c r="E46" s="39"/>
      <c r="H46" s="3"/>
      <c r="I46" s="19"/>
      <c r="J46" s="19"/>
      <c r="K46" s="39"/>
      <c r="N46" s="3"/>
      <c r="O46" s="19"/>
      <c r="P46" s="19"/>
      <c r="Q46" s="39"/>
      <c r="T46" s="3"/>
      <c r="U46" s="19"/>
      <c r="V46" s="19"/>
      <c r="W46" s="39"/>
      <c r="Z46" s="6" t="s">
        <v>99</v>
      </c>
      <c r="AA46" s="19"/>
      <c r="AB46" s="19"/>
      <c r="AC46" s="39"/>
      <c r="AF46" s="3"/>
      <c r="AG46" s="19"/>
      <c r="AH46" s="19"/>
      <c r="AI46" s="39"/>
      <c r="AL46" s="3"/>
      <c r="AM46" s="19"/>
      <c r="AN46" s="19"/>
      <c r="AO46" s="39"/>
      <c r="AR46" s="3"/>
      <c r="AS46" s="19"/>
      <c r="AT46" s="19"/>
      <c r="AU46" s="39"/>
      <c r="AX46" s="3"/>
      <c r="AY46" s="19"/>
      <c r="AZ46" s="19"/>
      <c r="BA46" s="39"/>
      <c r="BD46" s="3"/>
      <c r="BE46" s="19"/>
      <c r="BF46" s="19"/>
      <c r="BG46" s="39"/>
    </row>
    <row r="48" spans="1:5" ht="15.75">
      <c r="A48" t="s">
        <v>100</v>
      </c>
      <c r="B48"/>
      <c r="C48"/>
      <c r="D48"/>
      <c r="E48"/>
    </row>
    <row r="49" spans="1:5" ht="15.75">
      <c r="A49"/>
      <c r="B49"/>
      <c r="C49"/>
      <c r="D49"/>
      <c r="E49"/>
    </row>
  </sheetData>
  <sheetProtection/>
  <printOptions/>
  <pageMargins left="0.7" right="0.7" top="0.75" bottom="0.75" header="0.3" footer="0.3"/>
  <pageSetup horizontalDpi="600" verticalDpi="600" orientation="portrait" scale="81" r:id="rId2"/>
  <colBreaks count="6" manualBreakCount="6">
    <brk id="5" max="47" man="1"/>
    <brk id="11" max="65535" man="1"/>
    <brk id="36" max="65535" man="1"/>
    <brk id="42" max="65535" man="1"/>
    <brk id="48" max="65535" man="1"/>
    <brk id="54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 t="s">
        <v>4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D6</f>
        <v>December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2.75" customHeight="1">
      <c r="B6" s="8" t="s">
        <v>3</v>
      </c>
      <c r="C6" s="46"/>
      <c r="D6" s="158" t="str">
        <f>+'[13]INPUT SHEET'!B1</f>
        <v>December 2013 ACTUAL</v>
      </c>
      <c r="E6" s="158"/>
      <c r="F6" s="158"/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52</v>
      </c>
      <c r="C11" s="55" t="s">
        <v>53</v>
      </c>
      <c r="D11" s="19">
        <v>379794</v>
      </c>
      <c r="E11" s="19">
        <v>13224760.229999999</v>
      </c>
      <c r="F11" s="20">
        <v>34.82087718605349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94</v>
      </c>
      <c r="C12" s="55" t="s">
        <v>54</v>
      </c>
      <c r="D12" s="19">
        <f>137910+135072</f>
        <v>272982</v>
      </c>
      <c r="E12" s="59">
        <f>3497663.5695+3396928</f>
        <v>6894591.5695</v>
      </c>
      <c r="F12" s="20">
        <f>E12/D12</f>
        <v>25.256579442966935</v>
      </c>
      <c r="G12" s="57" t="s">
        <v>10</v>
      </c>
      <c r="H12" s="47" t="s">
        <v>11</v>
      </c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652776</v>
      </c>
      <c r="E13" s="19">
        <f>SUM(E11:E12)</f>
        <v>20119351.7995</v>
      </c>
      <c r="F13" s="20">
        <f>IF((E13=0),0,(IF((D13=0),0,(E13/D13))))</f>
        <v>30.821218610212384</v>
      </c>
      <c r="G13" s="47"/>
      <c r="H13" s="47"/>
      <c r="I13" s="47" t="s">
        <v>55</v>
      </c>
      <c r="J13" s="47"/>
      <c r="K13" s="47"/>
      <c r="L13" s="47"/>
      <c r="M13" s="47"/>
      <c r="N13" s="47"/>
      <c r="O13" s="19">
        <v>379794</v>
      </c>
    </row>
    <row r="14" spans="2:15" ht="13.5">
      <c r="B14" s="3"/>
      <c r="C14" s="46"/>
      <c r="D14" s="19"/>
      <c r="E14" s="19"/>
      <c r="F14" s="20"/>
      <c r="G14" s="47"/>
      <c r="H14" s="47"/>
      <c r="I14" s="47"/>
      <c r="J14" s="47"/>
      <c r="K14" s="47"/>
      <c r="L14" s="47"/>
      <c r="M14" s="47"/>
      <c r="N14" s="47"/>
      <c r="O14" s="58"/>
    </row>
    <row r="15" spans="2:15" ht="13.5">
      <c r="B15" s="17" t="s">
        <v>14</v>
      </c>
      <c r="C15" s="46"/>
      <c r="D15" s="19"/>
      <c r="E15" s="19"/>
      <c r="F15" s="20"/>
      <c r="G15" s="57" t="s">
        <v>13</v>
      </c>
      <c r="H15" s="47" t="s">
        <v>56</v>
      </c>
      <c r="I15" s="47"/>
      <c r="J15" s="47"/>
      <c r="K15" s="47"/>
      <c r="L15" s="47"/>
      <c r="M15" s="47"/>
      <c r="N15" s="47"/>
      <c r="O15" s="58"/>
    </row>
    <row r="16" spans="1:15" ht="13.5">
      <c r="A16" s="16" t="s">
        <v>13</v>
      </c>
      <c r="B16" s="8" t="s">
        <v>59</v>
      </c>
      <c r="C16" s="55" t="s">
        <v>60</v>
      </c>
      <c r="D16" s="19">
        <v>272738.118</v>
      </c>
      <c r="E16" s="19">
        <v>5986721.537</v>
      </c>
      <c r="F16" s="20">
        <v>21.95043942115931</v>
      </c>
      <c r="G16" s="47"/>
      <c r="H16" s="47" t="s">
        <v>57</v>
      </c>
      <c r="I16" s="47" t="s">
        <v>58</v>
      </c>
      <c r="J16" s="47"/>
      <c r="K16" s="47"/>
      <c r="L16" s="47"/>
      <c r="M16" s="47"/>
      <c r="N16" s="47"/>
      <c r="O16" s="58" t="s">
        <v>4</v>
      </c>
    </row>
    <row r="17" spans="1:15" ht="13.5">
      <c r="A17" s="6"/>
      <c r="B17" s="8" t="s">
        <v>62</v>
      </c>
      <c r="C17" s="55" t="s">
        <v>63</v>
      </c>
      <c r="D17" s="19">
        <v>31447.161999999997</v>
      </c>
      <c r="E17" s="19">
        <v>1116409.91</v>
      </c>
      <c r="F17" s="20">
        <v>35.501133933803</v>
      </c>
      <c r="G17" s="47"/>
      <c r="H17" s="47"/>
      <c r="I17" s="57" t="s">
        <v>10</v>
      </c>
      <c r="J17" s="47" t="s">
        <v>61</v>
      </c>
      <c r="K17" s="47"/>
      <c r="L17" s="47"/>
      <c r="M17" s="47"/>
      <c r="N17" s="47"/>
      <c r="O17" s="19">
        <v>272982.15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/>
      <c r="I18" s="57" t="s">
        <v>13</v>
      </c>
      <c r="J18" s="47" t="s">
        <v>64</v>
      </c>
      <c r="K18" s="47"/>
      <c r="L18" s="47"/>
      <c r="M18" s="47"/>
      <c r="N18" s="47"/>
      <c r="O18" s="19">
        <v>31447.161999999997</v>
      </c>
    </row>
    <row r="19" spans="2:15" ht="13.5">
      <c r="B19" s="23" t="s">
        <v>12</v>
      </c>
      <c r="C19" s="46"/>
      <c r="D19" s="19">
        <f>SUM(D16:D18)</f>
        <v>304185.28</v>
      </c>
      <c r="E19" s="19">
        <f>SUM(E16:E18)</f>
        <v>7103131.447</v>
      </c>
      <c r="F19" s="20">
        <f>IF((E19=0),0,(IF((D19=0),0,(E19/D19))))</f>
        <v>23.351331948081114</v>
      </c>
      <c r="G19" s="47"/>
      <c r="H19" s="47" t="s">
        <v>67</v>
      </c>
      <c r="I19" s="47" t="s">
        <v>68</v>
      </c>
      <c r="J19" s="47"/>
      <c r="K19" s="47"/>
      <c r="L19" s="47"/>
      <c r="M19" s="47"/>
      <c r="N19" s="47"/>
      <c r="O19" s="58">
        <v>0</v>
      </c>
    </row>
    <row r="20" spans="2:15" ht="13.5">
      <c r="B20" s="3"/>
      <c r="C20" s="46"/>
      <c r="D20" s="19"/>
      <c r="E20" s="19"/>
      <c r="F20" s="20"/>
      <c r="G20" s="47"/>
      <c r="H20" s="47" t="s">
        <v>69</v>
      </c>
      <c r="I20" s="47" t="s">
        <v>70</v>
      </c>
      <c r="J20" s="47"/>
      <c r="K20" s="47"/>
      <c r="L20" s="47"/>
      <c r="M20" s="47"/>
      <c r="N20" s="47"/>
      <c r="O20" s="19">
        <v>461558.367</v>
      </c>
    </row>
    <row r="21" spans="2:15" ht="13.5">
      <c r="B21" s="17" t="s">
        <v>17</v>
      </c>
      <c r="C21" s="46"/>
      <c r="D21" s="19">
        <f>D13+D19</f>
        <v>956961.28</v>
      </c>
      <c r="E21" s="19">
        <f>E13+E19</f>
        <v>27222483.2465</v>
      </c>
      <c r="F21" s="20">
        <f>IF((E21=0),0,(IF((D21=0),0,(E21/D21))))</f>
        <v>28.44679697646701</v>
      </c>
      <c r="G21" s="47"/>
      <c r="H21" s="47" t="s">
        <v>71</v>
      </c>
      <c r="I21" s="47" t="s">
        <v>72</v>
      </c>
      <c r="J21" s="47"/>
      <c r="K21" s="47"/>
      <c r="L21" s="47"/>
      <c r="M21" s="47"/>
      <c r="N21" s="47"/>
      <c r="O21" s="19">
        <v>0</v>
      </c>
    </row>
    <row r="22" spans="1:15" ht="13.5">
      <c r="A22" s="16" t="s">
        <v>16</v>
      </c>
      <c r="B22" s="3"/>
      <c r="C22" s="46"/>
      <c r="D22" s="19"/>
      <c r="E22" s="19"/>
      <c r="F22" s="20"/>
      <c r="G22" s="47"/>
      <c r="H22" s="47"/>
      <c r="I22" s="47"/>
      <c r="J22" s="49" t="s">
        <v>73</v>
      </c>
      <c r="K22" s="47"/>
      <c r="L22" s="47"/>
      <c r="M22" s="47"/>
      <c r="N22" s="47"/>
      <c r="O22" s="58">
        <f>SUM(O17:O21)</f>
        <v>765987.679</v>
      </c>
    </row>
    <row r="23" spans="2:15" ht="13.5">
      <c r="B23" s="12" t="s">
        <v>18</v>
      </c>
      <c r="C23" s="52"/>
      <c r="D23" s="19"/>
      <c r="E23" s="19"/>
      <c r="F23" s="20"/>
      <c r="G23" s="47"/>
      <c r="H23" s="47"/>
      <c r="I23" s="47"/>
      <c r="J23" s="47"/>
      <c r="K23" s="47"/>
      <c r="L23" s="47"/>
      <c r="M23" s="47"/>
      <c r="N23" s="47"/>
      <c r="O23" s="58"/>
    </row>
    <row r="24" spans="2:15" ht="13.5">
      <c r="B24" s="12"/>
      <c r="C24" s="52"/>
      <c r="D24" s="19"/>
      <c r="E24" s="19"/>
      <c r="F24" s="20"/>
      <c r="G24" s="57" t="s">
        <v>16</v>
      </c>
      <c r="H24" s="47" t="s">
        <v>74</v>
      </c>
      <c r="I24" s="47"/>
      <c r="J24" s="47"/>
      <c r="K24" s="47"/>
      <c r="L24" s="47"/>
      <c r="M24" s="47"/>
      <c r="N24" s="47"/>
      <c r="O24" s="58">
        <f>+O13+O22</f>
        <v>1145781.679</v>
      </c>
    </row>
    <row r="25" spans="2:15" ht="13.5"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1:15" ht="13.5">
      <c r="A26" s="16" t="s">
        <v>19</v>
      </c>
      <c r="B26" s="8" t="s">
        <v>59</v>
      </c>
      <c r="C26" s="55" t="s">
        <v>60</v>
      </c>
      <c r="D26" s="19">
        <v>53.682</v>
      </c>
      <c r="E26" s="19">
        <v>1654.533</v>
      </c>
      <c r="F26" s="20">
        <v>30.821001453001003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94</v>
      </c>
      <c r="C27" s="55" t="s">
        <v>76</v>
      </c>
      <c r="D27" s="19">
        <f>50798.903+43615</f>
        <v>94413.90299999999</v>
      </c>
      <c r="E27" s="19">
        <f>1178969.999+1004962</f>
        <v>2183931.999</v>
      </c>
      <c r="F27" s="20">
        <f>E27/D27</f>
        <v>23.131466125280298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30202.158999999996</v>
      </c>
      <c r="E28" s="19">
        <v>1090814.21</v>
      </c>
      <c r="F28" s="20">
        <v>36.117093814385925</v>
      </c>
      <c r="G28" s="47"/>
      <c r="H28" s="47"/>
      <c r="I28" s="47"/>
      <c r="J28" s="47"/>
      <c r="K28" s="47"/>
      <c r="L28" s="47"/>
      <c r="M28" s="47"/>
      <c r="N28" s="47"/>
      <c r="O28" s="58"/>
    </row>
    <row r="29" spans="2:15" ht="13.5">
      <c r="B29" s="8" t="s">
        <v>78</v>
      </c>
      <c r="C29" s="55" t="s">
        <v>76</v>
      </c>
      <c r="D29" s="19">
        <v>172470.642</v>
      </c>
      <c r="E29" s="19">
        <v>9402209.193000011</v>
      </c>
      <c r="F29" s="20">
        <v>54.51483849059953</v>
      </c>
      <c r="G29" s="57" t="s">
        <v>19</v>
      </c>
      <c r="H29" s="47" t="s">
        <v>77</v>
      </c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113.834</v>
      </c>
      <c r="E30" s="19">
        <v>2927.165</v>
      </c>
      <c r="F30" s="20">
        <v>25.714329637893773</v>
      </c>
      <c r="G30" s="47"/>
      <c r="H30" s="47" t="s">
        <v>57</v>
      </c>
      <c r="I30" s="47" t="s">
        <v>68</v>
      </c>
      <c r="J30" s="47"/>
      <c r="K30" s="47"/>
      <c r="L30" s="47"/>
      <c r="M30" s="47"/>
      <c r="N30" s="47"/>
      <c r="O30" s="58">
        <v>0</v>
      </c>
    </row>
    <row r="31" spans="2:15" ht="13.5">
      <c r="B31" s="23" t="s">
        <v>12</v>
      </c>
      <c r="C31" s="46"/>
      <c r="D31" s="19">
        <f>SUM(D26:D30)</f>
        <v>297254.22</v>
      </c>
      <c r="E31" s="19">
        <f>SUM(E26:E30)</f>
        <v>12681537.100000009</v>
      </c>
      <c r="F31" s="20">
        <f>IF((E31=0),0,(IF((D31=0),0,(E31/D31))))</f>
        <v>42.66226094283879</v>
      </c>
      <c r="G31" s="47"/>
      <c r="H31" s="47" t="s">
        <v>67</v>
      </c>
      <c r="I31" s="47" t="s">
        <v>70</v>
      </c>
      <c r="J31" s="47"/>
      <c r="K31" s="47"/>
      <c r="L31" s="47"/>
      <c r="M31" s="47"/>
      <c r="N31" s="47"/>
      <c r="O31" s="19">
        <v>249977.41800000003</v>
      </c>
    </row>
    <row r="32" spans="2:15" ht="13.5">
      <c r="B32" s="3"/>
      <c r="C32" s="46"/>
      <c r="D32" s="19"/>
      <c r="E32" s="19"/>
      <c r="F32" s="20"/>
      <c r="G32" s="47"/>
      <c r="H32" s="47" t="s">
        <v>69</v>
      </c>
      <c r="I32" s="47" t="s">
        <v>79</v>
      </c>
      <c r="J32" s="47"/>
      <c r="K32" s="47"/>
      <c r="L32" s="47"/>
      <c r="M32" s="47"/>
      <c r="N32" s="47"/>
      <c r="O32" s="59">
        <v>235983.41</v>
      </c>
    </row>
    <row r="33" spans="2:15" ht="13.5">
      <c r="B33" s="17" t="s">
        <v>24</v>
      </c>
      <c r="C33" s="46"/>
      <c r="D33" s="19">
        <f>D21-D31</f>
        <v>659707.06</v>
      </c>
      <c r="E33" s="19">
        <f>E21-E31</f>
        <v>14540946.146499991</v>
      </c>
      <c r="F33" s="20">
        <f>IF((E33=0),0,(IF((D33=0),0,(E33/D33))))</f>
        <v>22.041519680720093</v>
      </c>
      <c r="G33" s="47"/>
      <c r="H33" s="47" t="s">
        <v>71</v>
      </c>
      <c r="I33" s="47" t="s">
        <v>72</v>
      </c>
      <c r="J33" s="47"/>
      <c r="K33" s="47"/>
      <c r="L33" s="47"/>
      <c r="M33" s="47"/>
      <c r="N33" s="47"/>
      <c r="O33" s="19">
        <v>113.834</v>
      </c>
    </row>
    <row r="34" spans="2:15" ht="13.5">
      <c r="B34" s="3"/>
      <c r="C34" s="46"/>
      <c r="D34" s="19"/>
      <c r="E34" s="19"/>
      <c r="F34" s="20"/>
      <c r="G34" s="47"/>
      <c r="H34" s="47"/>
      <c r="I34" s="47"/>
      <c r="J34" s="49" t="s">
        <v>80</v>
      </c>
      <c r="K34" s="47"/>
      <c r="L34" s="47"/>
      <c r="M34" s="47"/>
      <c r="N34" s="47"/>
      <c r="O34" s="58">
        <f>SUM(O30:O33)</f>
        <v>486074.662</v>
      </c>
    </row>
    <row r="35" spans="1:15" ht="13.5">
      <c r="A35" s="16" t="s">
        <v>23</v>
      </c>
      <c r="B35" s="17" t="s">
        <v>26</v>
      </c>
      <c r="C35" s="46"/>
      <c r="D35" s="19">
        <f>+D31+D33</f>
        <v>956961.28</v>
      </c>
      <c r="E35" s="19">
        <f>+E31+E33</f>
        <v>27222483.2465</v>
      </c>
      <c r="F35" s="20">
        <f>IF((E35=0),0,(IF((D35=0),0,(E35/D35))))</f>
        <v>28.44679697646701</v>
      </c>
      <c r="G35" s="47"/>
      <c r="H35" s="47"/>
      <c r="I35" s="47"/>
      <c r="J35" s="47"/>
      <c r="K35" s="47"/>
      <c r="L35" s="47"/>
      <c r="M35" s="47"/>
      <c r="N35" s="47"/>
      <c r="O35" s="58"/>
    </row>
    <row r="36" spans="2:15" ht="13.5">
      <c r="B36" s="8"/>
      <c r="C36" s="46"/>
      <c r="D36" s="19"/>
      <c r="E36" s="19"/>
      <c r="F36" s="20"/>
      <c r="G36" s="57" t="s">
        <v>23</v>
      </c>
      <c r="H36" s="47" t="s">
        <v>81</v>
      </c>
      <c r="I36" s="47"/>
      <c r="J36" s="47"/>
      <c r="K36" s="47"/>
      <c r="L36" s="47"/>
      <c r="M36" s="47"/>
      <c r="N36" s="47"/>
      <c r="O36" s="58">
        <f>+O24-O34</f>
        <v>659707.017</v>
      </c>
    </row>
    <row r="37" spans="1:15" ht="13.5">
      <c r="A37" s="16" t="s">
        <v>25</v>
      </c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5">
      <c r="A38" s="16"/>
      <c r="D38" s="19"/>
      <c r="E38" s="19"/>
      <c r="F38" s="20"/>
      <c r="G38" s="57" t="s">
        <v>82</v>
      </c>
      <c r="H38" s="47" t="s">
        <v>83</v>
      </c>
      <c r="I38" s="47"/>
      <c r="J38" s="47"/>
      <c r="K38" s="47"/>
      <c r="L38" s="47"/>
      <c r="M38" s="47"/>
      <c r="N38" s="47" t="s">
        <v>4</v>
      </c>
      <c r="O38" s="58">
        <f>O34+O36</f>
        <v>1145781.679</v>
      </c>
    </row>
    <row r="39" spans="1:15" ht="13.5">
      <c r="A39" s="16"/>
      <c r="B39" s="8" t="s">
        <v>28</v>
      </c>
      <c r="C39" s="46"/>
      <c r="D39" s="63">
        <f>D21-D31</f>
        <v>659707.06</v>
      </c>
      <c r="E39" s="63">
        <f>E21-E31</f>
        <v>14540946.146499991</v>
      </c>
      <c r="F39" s="64">
        <f aca="true" t="shared" si="0" ref="F39:F45">IF((E39=0),0,(IF((D39=0),0,(E39/D39))))</f>
        <v>22.041519680720093</v>
      </c>
      <c r="G39" s="47"/>
      <c r="H39" s="47"/>
      <c r="I39" s="47"/>
      <c r="J39" s="47"/>
      <c r="K39" s="47"/>
      <c r="L39" s="47"/>
      <c r="M39" s="47"/>
      <c r="N39" s="60" t="s">
        <v>4</v>
      </c>
      <c r="O39" s="61" t="s">
        <v>4</v>
      </c>
    </row>
    <row r="40" spans="2:15" ht="13.5">
      <c r="B40" s="8" t="s">
        <v>86</v>
      </c>
      <c r="C40" s="46"/>
      <c r="D40" s="19">
        <f>D41-D39</f>
        <v>-0.043000000063329935</v>
      </c>
      <c r="E40" s="19">
        <v>0</v>
      </c>
      <c r="F40" s="20">
        <f t="shared" si="0"/>
        <v>0</v>
      </c>
      <c r="G40" s="47" t="s">
        <v>84</v>
      </c>
      <c r="H40" s="62" t="s">
        <v>85</v>
      </c>
      <c r="I40" s="47"/>
      <c r="J40" s="47"/>
      <c r="K40" s="47"/>
      <c r="L40" s="47"/>
      <c r="M40" s="47"/>
      <c r="N40" s="61" t="s">
        <v>4</v>
      </c>
      <c r="O40" s="58" t="s">
        <v>4</v>
      </c>
    </row>
    <row r="41" spans="1:6" ht="13.5">
      <c r="A41" s="16" t="s">
        <v>27</v>
      </c>
      <c r="B41" s="8" t="s">
        <v>32</v>
      </c>
      <c r="C41" s="46"/>
      <c r="D41" s="19">
        <f>D45-D44</f>
        <v>659707.017</v>
      </c>
      <c r="E41" s="19">
        <f>(SUM(E39))+E40</f>
        <v>14540946.146499991</v>
      </c>
      <c r="F41" s="20">
        <f t="shared" si="0"/>
        <v>22.041521117396258</v>
      </c>
    </row>
    <row r="42" spans="1:6" ht="13.5">
      <c r="A42" s="71" t="s">
        <v>29</v>
      </c>
      <c r="B42" s="72" t="s">
        <v>34</v>
      </c>
      <c r="C42" s="73"/>
      <c r="D42" s="74">
        <v>1888.465403</v>
      </c>
      <c r="E42" s="74">
        <v>48445.089008583</v>
      </c>
      <c r="F42" s="20">
        <f t="shared" si="0"/>
        <v>25.65315145918138</v>
      </c>
    </row>
    <row r="43" spans="1:6" ht="13.5">
      <c r="A43" s="71" t="s">
        <v>31</v>
      </c>
      <c r="B43" s="72" t="s">
        <v>36</v>
      </c>
      <c r="C43" s="73"/>
      <c r="D43" s="74">
        <v>-1888.465403</v>
      </c>
      <c r="E43" s="74">
        <v>-48445.089008583</v>
      </c>
      <c r="F43" s="20">
        <f t="shared" si="0"/>
        <v>25.65315145918138</v>
      </c>
    </row>
    <row r="44" spans="1:6" ht="13.5">
      <c r="A44" s="71" t="s">
        <v>33</v>
      </c>
      <c r="B44" s="75" t="s">
        <v>38</v>
      </c>
      <c r="C44" s="73"/>
      <c r="D44" s="74">
        <v>0</v>
      </c>
      <c r="E44" s="74">
        <v>0</v>
      </c>
      <c r="F44" s="20">
        <f t="shared" si="0"/>
        <v>0</v>
      </c>
    </row>
    <row r="45" spans="1:6" ht="13.5">
      <c r="A45" s="71" t="s">
        <v>35</v>
      </c>
      <c r="B45" s="75" t="s">
        <v>40</v>
      </c>
      <c r="C45" s="76" t="s">
        <v>87</v>
      </c>
      <c r="D45" s="74">
        <v>659707.017</v>
      </c>
      <c r="E45" s="77">
        <f>SUM(E41:E44)</f>
        <v>14540946.146499991</v>
      </c>
      <c r="F45" s="65">
        <f t="shared" si="0"/>
        <v>22.041521117396258</v>
      </c>
    </row>
    <row r="46" spans="1:6" ht="13.5">
      <c r="A46" s="71" t="s">
        <v>37</v>
      </c>
      <c r="B46" s="78" t="s">
        <v>4</v>
      </c>
      <c r="C46" s="78"/>
      <c r="D46" s="78"/>
      <c r="E46" s="78"/>
      <c r="F46" s="37"/>
    </row>
    <row r="47" spans="1:11" ht="15.75">
      <c r="A47" s="16" t="s">
        <v>39</v>
      </c>
      <c r="B47" s="38" t="s">
        <v>4</v>
      </c>
      <c r="C47"/>
      <c r="D47"/>
      <c r="E47"/>
      <c r="F47"/>
      <c r="G47" s="37"/>
      <c r="H47" s="37"/>
      <c r="I47" s="37"/>
      <c r="J47" s="37"/>
      <c r="K47" s="37"/>
    </row>
    <row r="48" spans="1:11" ht="15.75">
      <c r="A48" s="36" t="s">
        <v>4</v>
      </c>
      <c r="B48" s="3"/>
      <c r="C48" s="46"/>
      <c r="D48" s="19"/>
      <c r="E48" s="19"/>
      <c r="F48" s="39"/>
      <c r="G48" s="66" t="s">
        <v>4</v>
      </c>
      <c r="H48" s="67"/>
      <c r="I48" s="67" t="s">
        <v>4</v>
      </c>
      <c r="J48" s="67"/>
      <c r="K48"/>
    </row>
    <row r="49" ht="15.75">
      <c r="A49"/>
    </row>
    <row r="54" spans="2:6" ht="13.5">
      <c r="B54" s="8"/>
      <c r="C54" s="46"/>
      <c r="D54" s="19"/>
      <c r="E54" s="19"/>
      <c r="F54" s="39"/>
    </row>
    <row r="55" spans="2:6" ht="15.75">
      <c r="B55" s="8"/>
      <c r="C55" s="46"/>
      <c r="E55"/>
      <c r="F55"/>
    </row>
    <row r="56" spans="2:6" ht="15.75">
      <c r="B56" s="8"/>
      <c r="C56" s="46"/>
      <c r="E56"/>
      <c r="F56"/>
    </row>
    <row r="57" spans="3:6" ht="15.75">
      <c r="C57" s="68"/>
      <c r="D57" s="19"/>
      <c r="E57"/>
      <c r="F57"/>
    </row>
    <row r="58" spans="5:6" ht="15.75">
      <c r="E58"/>
      <c r="F58"/>
    </row>
    <row r="59" spans="5:6" ht="15.75">
      <c r="E59"/>
      <c r="F59"/>
    </row>
    <row r="60" spans="5:6" ht="15.75">
      <c r="E60"/>
      <c r="F60"/>
    </row>
  </sheetData>
  <sheetProtection/>
  <mergeCells count="1">
    <mergeCell ref="D6:F6"/>
  </mergeCells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H39" sqref="H39"/>
    </sheetView>
  </sheetViews>
  <sheetFormatPr defaultColWidth="9.8515625" defaultRowHeight="15"/>
  <cols>
    <col min="1" max="1" width="3.28125" style="1" bestFit="1" customWidth="1"/>
    <col min="2" max="2" width="51.7109375" style="6" bestFit="1" customWidth="1"/>
    <col min="3" max="3" width="9.421875" style="6" bestFit="1" customWidth="1"/>
    <col min="4" max="4" width="10.8515625" style="6" bestFit="1" customWidth="1"/>
    <col min="5" max="5" width="11.00390625" style="6" bestFit="1" customWidth="1"/>
    <col min="6" max="16384" width="9.8515625" style="6" customWidth="1"/>
  </cols>
  <sheetData>
    <row r="1" spans="2:5" ht="16.5">
      <c r="B1" s="2" t="s">
        <v>0</v>
      </c>
      <c r="C1" s="3"/>
      <c r="D1" s="4"/>
      <c r="E1" s="5">
        <f ca="1">NOW()</f>
        <v>42101.74606493056</v>
      </c>
    </row>
    <row r="2" ht="13.5">
      <c r="D2" s="7"/>
    </row>
    <row r="3" spans="2:4" ht="13.5">
      <c r="B3" s="8" t="s">
        <v>1</v>
      </c>
      <c r="D3" s="9"/>
    </row>
    <row r="4" ht="13.5">
      <c r="B4" s="8" t="s">
        <v>2</v>
      </c>
    </row>
    <row r="5" spans="2:4" ht="13.5">
      <c r="B5" s="3"/>
      <c r="D5" s="8"/>
    </row>
    <row r="6" spans="2:5" ht="13.5">
      <c r="B6" s="8" t="s">
        <v>3</v>
      </c>
      <c r="D6" s="10"/>
      <c r="E6" s="11" t="s">
        <v>4</v>
      </c>
    </row>
    <row r="7" ht="13.5">
      <c r="B7" s="3"/>
    </row>
    <row r="8" spans="2:6" ht="13.5">
      <c r="B8" s="12" t="s">
        <v>5</v>
      </c>
      <c r="C8" s="12" t="s">
        <v>6</v>
      </c>
      <c r="D8" s="13" t="s">
        <v>7</v>
      </c>
      <c r="E8" s="81" t="s">
        <v>8</v>
      </c>
      <c r="F8" s="82"/>
    </row>
    <row r="9" spans="2:5" ht="13.5">
      <c r="B9" s="12"/>
      <c r="C9" s="14"/>
      <c r="D9" s="15" t="s">
        <v>9</v>
      </c>
      <c r="E9" s="14"/>
    </row>
    <row r="10" spans="1:2" ht="13.5">
      <c r="A10" s="16" t="s">
        <v>10</v>
      </c>
      <c r="B10" s="17" t="s">
        <v>11</v>
      </c>
    </row>
    <row r="11" spans="2:5" ht="13.5">
      <c r="B11" s="41" t="s">
        <v>43</v>
      </c>
      <c r="C11" s="19">
        <v>611150</v>
      </c>
      <c r="D11" s="19">
        <v>19054146</v>
      </c>
      <c r="E11" s="20">
        <v>31.177527611879245</v>
      </c>
    </row>
    <row r="12" spans="2:5" ht="13.5">
      <c r="B12" s="18" t="s">
        <v>41</v>
      </c>
      <c r="C12" s="19">
        <f>139495+219535</f>
        <v>359030</v>
      </c>
      <c r="D12" s="19">
        <f>4450957+6403183</f>
        <v>10854140</v>
      </c>
      <c r="E12" s="20">
        <f>D12/C12</f>
        <v>30.231846920870122</v>
      </c>
    </row>
    <row r="13" spans="2:5" ht="13.5">
      <c r="B13" s="8" t="s">
        <v>42</v>
      </c>
      <c r="C13" s="19">
        <f>135241+128673</f>
        <v>263914</v>
      </c>
      <c r="D13" s="19">
        <f>3274172+3080784</f>
        <v>6354956</v>
      </c>
      <c r="E13" s="20">
        <f>D13/C13</f>
        <v>24.079647157786248</v>
      </c>
    </row>
    <row r="14" spans="2:6" ht="13.5">
      <c r="B14" s="23" t="s">
        <v>12</v>
      </c>
      <c r="C14" s="24">
        <f>SUM(C11:C13)</f>
        <v>1234094</v>
      </c>
      <c r="D14" s="24">
        <f>SUM(D11:D13)</f>
        <v>36263242</v>
      </c>
      <c r="E14" s="25">
        <f>IF((D14=0),0,(IF((C14=0),0,(D14/C14))))</f>
        <v>29.38450555630284</v>
      </c>
      <c r="F14" s="40"/>
    </row>
    <row r="15" spans="2:5" ht="13.5">
      <c r="B15" s="3"/>
      <c r="C15" s="19"/>
      <c r="D15" s="19"/>
      <c r="E15" s="20"/>
    </row>
    <row r="16" spans="1:5" ht="13.5">
      <c r="A16" s="16" t="s">
        <v>13</v>
      </c>
      <c r="B16" s="17" t="s">
        <v>14</v>
      </c>
      <c r="C16" s="19"/>
      <c r="D16" s="19"/>
      <c r="E16" s="20"/>
    </row>
    <row r="17" spans="2:5" ht="13.5">
      <c r="B17" s="8" t="s">
        <v>15</v>
      </c>
      <c r="C17" s="21">
        <v>75823.807</v>
      </c>
      <c r="D17" s="21">
        <v>7100284.53</v>
      </c>
      <c r="E17" s="22">
        <v>93.64188914967036</v>
      </c>
    </row>
    <row r="18" spans="2:5" ht="13.5">
      <c r="B18" s="23" t="s">
        <v>12</v>
      </c>
      <c r="C18" s="24">
        <f>SUM(C17:C17)</f>
        <v>75823.807</v>
      </c>
      <c r="D18" s="24">
        <f>SUM(D17:D17)</f>
        <v>7100284.53</v>
      </c>
      <c r="E18" s="25">
        <f>IF((D18=0),0,(IF((C18=0),0,(D18/C18))))</f>
        <v>93.64188914967036</v>
      </c>
    </row>
    <row r="19" spans="2:5" ht="13.5">
      <c r="B19" s="3"/>
      <c r="C19" s="19"/>
      <c r="D19" s="19"/>
      <c r="E19" s="20"/>
    </row>
    <row r="20" spans="1:5" ht="13.5">
      <c r="A20" s="16" t="s">
        <v>16</v>
      </c>
      <c r="B20" s="17" t="s">
        <v>17</v>
      </c>
      <c r="C20" s="24">
        <f>C14+C18</f>
        <v>1309917.807</v>
      </c>
      <c r="D20" s="24">
        <f>D14+D18</f>
        <v>43363526.53</v>
      </c>
      <c r="E20" s="25">
        <f>IF((D20=0),0,(IF((C20=0),0,(D20/C20))))</f>
        <v>33.104005685144486</v>
      </c>
    </row>
    <row r="21" spans="2:5" ht="13.5">
      <c r="B21" s="3"/>
      <c r="C21" s="19"/>
      <c r="D21" s="19"/>
      <c r="E21" s="20"/>
    </row>
    <row r="22" spans="2:5" ht="13.5">
      <c r="B22" s="12" t="s">
        <v>18</v>
      </c>
      <c r="C22" s="19"/>
      <c r="D22" s="19"/>
      <c r="E22" s="20"/>
    </row>
    <row r="23" spans="2:5" ht="13.5">
      <c r="B23" s="12"/>
      <c r="C23" s="19"/>
      <c r="D23" s="19"/>
      <c r="E23" s="20"/>
    </row>
    <row r="24" spans="1:4" ht="13.5">
      <c r="A24" s="16" t="s">
        <v>19</v>
      </c>
      <c r="B24" s="17" t="s">
        <v>20</v>
      </c>
      <c r="D24" s="19"/>
    </row>
    <row r="25" spans="2:5" ht="13.5">
      <c r="B25" s="8" t="s">
        <v>21</v>
      </c>
      <c r="C25" s="26">
        <v>259164.95799999998</v>
      </c>
      <c r="D25" s="26">
        <v>6631481.974</v>
      </c>
      <c r="E25" s="27">
        <v>25.587880495788326</v>
      </c>
    </row>
    <row r="26" spans="2:5" ht="13.5">
      <c r="B26" s="8" t="s">
        <v>41</v>
      </c>
      <c r="C26" s="26">
        <f>26741+48331</f>
        <v>75072</v>
      </c>
      <c r="D26" s="26">
        <f>637279+1149152</f>
        <v>1786431</v>
      </c>
      <c r="E26" s="27">
        <f>D26/C26</f>
        <v>23.79623561381074</v>
      </c>
    </row>
    <row r="27" spans="2:5" ht="13.5">
      <c r="B27" s="8" t="s">
        <v>42</v>
      </c>
      <c r="C27" s="19">
        <f>57057+49753</f>
        <v>106810</v>
      </c>
      <c r="D27" s="19">
        <f>1262859+1090060</f>
        <v>2352919</v>
      </c>
      <c r="E27" s="20">
        <f>D27/C27</f>
        <v>22.029014137253068</v>
      </c>
    </row>
    <row r="28" spans="2:5" ht="13.5">
      <c r="B28" s="18" t="s">
        <v>101</v>
      </c>
      <c r="C28" s="21">
        <v>72981.65000000001</v>
      </c>
      <c r="D28" s="21">
        <v>6971596.6899999995</v>
      </c>
      <c r="E28" s="22">
        <v>95.5253367113514</v>
      </c>
    </row>
    <row r="29" spans="2:5" ht="13.5">
      <c r="B29" s="23" t="s">
        <v>12</v>
      </c>
      <c r="C29" s="24">
        <f>SUM(C25:C28)</f>
        <v>514028.608</v>
      </c>
      <c r="D29" s="24">
        <f>SUM(D25:D28)</f>
        <v>17742428.663999997</v>
      </c>
      <c r="E29" s="25">
        <f>IF((D29=0),0,(IF((C29=0),0,(D29/C29))))</f>
        <v>34.516422603467234</v>
      </c>
    </row>
    <row r="30" spans="2:5" ht="13.5">
      <c r="B30" s="3"/>
      <c r="C30" s="19"/>
      <c r="D30" s="19"/>
      <c r="E30" s="20"/>
    </row>
    <row r="31" spans="1:5" ht="13.5">
      <c r="A31" s="16" t="s">
        <v>23</v>
      </c>
      <c r="B31" s="17" t="s">
        <v>24</v>
      </c>
      <c r="C31" s="24">
        <f>C20-C29</f>
        <v>795889.199</v>
      </c>
      <c r="D31" s="24">
        <f>D20-D29</f>
        <v>25621097.866000004</v>
      </c>
      <c r="E31" s="25">
        <f>IF((D31=0),0,(IF((C31=0),0,(D31/C31))))</f>
        <v>32.191789885064146</v>
      </c>
    </row>
    <row r="32" spans="2:5" ht="13.5">
      <c r="B32" s="3"/>
      <c r="C32" s="19"/>
      <c r="D32" s="19"/>
      <c r="E32" s="20"/>
    </row>
    <row r="33" spans="1:5" ht="13.5">
      <c r="A33" s="16" t="s">
        <v>25</v>
      </c>
      <c r="B33" s="17" t="s">
        <v>26</v>
      </c>
      <c r="C33" s="24">
        <f>+C29+C31</f>
        <v>1309917.807</v>
      </c>
      <c r="D33" s="24">
        <f>+D29+D31</f>
        <v>43363526.53</v>
      </c>
      <c r="E33" s="25">
        <f>IF((D33=0),0,(IF((C33=0),0,(D33/C33))))</f>
        <v>33.104005685144486</v>
      </c>
    </row>
    <row r="34" spans="1:5" ht="13.5">
      <c r="A34" s="16"/>
      <c r="B34" s="8"/>
      <c r="C34" s="19"/>
      <c r="D34" s="19"/>
      <c r="E34" s="20"/>
    </row>
    <row r="35" spans="1:5" ht="13.5">
      <c r="A35" s="16"/>
      <c r="B35" s="8"/>
      <c r="C35" s="19"/>
      <c r="D35" s="19"/>
      <c r="E35" s="20"/>
    </row>
    <row r="36" spans="3:5" ht="13.5">
      <c r="C36" s="19"/>
      <c r="D36" s="19"/>
      <c r="E36" s="20"/>
    </row>
    <row r="37" spans="1:5" ht="13.5">
      <c r="A37" s="16" t="s">
        <v>27</v>
      </c>
      <c r="B37" s="8" t="s">
        <v>28</v>
      </c>
      <c r="C37" s="19">
        <f>C31</f>
        <v>795889.199</v>
      </c>
      <c r="D37" s="19">
        <f>D31</f>
        <v>25621097.866000004</v>
      </c>
      <c r="E37" s="20">
        <f aca="true" t="shared" si="0" ref="E37:E43">IF((D37=0),0,(IF((C37=0),0,(D37/C37))))</f>
        <v>32.191789885064146</v>
      </c>
    </row>
    <row r="38" spans="1:5" ht="14.25" thickBot="1">
      <c r="A38" s="16" t="s">
        <v>29</v>
      </c>
      <c r="B38" s="18" t="s">
        <v>30</v>
      </c>
      <c r="C38" s="26">
        <v>0</v>
      </c>
      <c r="D38" s="19">
        <v>0</v>
      </c>
      <c r="E38" s="20">
        <f t="shared" si="0"/>
        <v>0</v>
      </c>
    </row>
    <row r="39" spans="1:13" ht="14.25" thickBot="1">
      <c r="A39" s="28" t="s">
        <v>31</v>
      </c>
      <c r="B39" s="29" t="s">
        <v>32</v>
      </c>
      <c r="C39" s="30">
        <f>C43-C42</f>
        <v>795889.199</v>
      </c>
      <c r="D39" s="30">
        <f>(SUM(D37))+D38</f>
        <v>25621097.866000004</v>
      </c>
      <c r="E39" s="31">
        <f t="shared" si="0"/>
        <v>32.191789885064146</v>
      </c>
      <c r="K39" s="35"/>
      <c r="L39" s="35"/>
      <c r="M39" s="35"/>
    </row>
    <row r="40" spans="1:13" ht="13.5">
      <c r="A40" s="16" t="s">
        <v>33</v>
      </c>
      <c r="B40" s="18" t="s">
        <v>34</v>
      </c>
      <c r="C40" s="26">
        <f>-389.731814+1099</f>
        <v>709.268186</v>
      </c>
      <c r="D40" s="19">
        <f>-10068.607167042+16959</f>
        <v>6890.392832957999</v>
      </c>
      <c r="E40" s="20">
        <f t="shared" si="0"/>
        <v>9.714791906594835</v>
      </c>
      <c r="K40" s="35"/>
      <c r="L40" s="35"/>
      <c r="M40" s="35"/>
    </row>
    <row r="41" spans="1:13" ht="13.5">
      <c r="A41" s="16" t="s">
        <v>35</v>
      </c>
      <c r="B41" s="18" t="s">
        <v>36</v>
      </c>
      <c r="C41" s="26">
        <f>389.731814-1099</f>
        <v>-709.268186</v>
      </c>
      <c r="D41" s="19">
        <f>10068.607167042-16959</f>
        <v>-6890.392832957999</v>
      </c>
      <c r="E41" s="20">
        <f t="shared" si="0"/>
        <v>9.714791906594835</v>
      </c>
      <c r="K41" s="35"/>
      <c r="L41" s="35"/>
      <c r="M41" s="35"/>
    </row>
    <row r="42" spans="1:13" ht="14.25" thickBot="1">
      <c r="A42" s="16" t="s">
        <v>37</v>
      </c>
      <c r="B42" s="8" t="s">
        <v>38</v>
      </c>
      <c r="C42" s="32">
        <v>0</v>
      </c>
      <c r="D42" s="26">
        <v>0</v>
      </c>
      <c r="E42" s="27">
        <f t="shared" si="0"/>
        <v>0</v>
      </c>
      <c r="K42" s="35"/>
      <c r="L42" s="35"/>
      <c r="M42" s="35"/>
    </row>
    <row r="43" spans="1:13" ht="14.25" thickBot="1">
      <c r="A43" s="28" t="s">
        <v>39</v>
      </c>
      <c r="B43" s="29" t="s">
        <v>40</v>
      </c>
      <c r="C43" s="33">
        <f>C37+C38+C40+C41</f>
        <v>795889.199</v>
      </c>
      <c r="D43" s="33">
        <f>D37+D38+D40+D41</f>
        <v>25621097.866000004</v>
      </c>
      <c r="E43" s="34">
        <f t="shared" si="0"/>
        <v>32.191789885064146</v>
      </c>
      <c r="K43" s="35"/>
      <c r="L43" s="35"/>
      <c r="M43" s="35"/>
    </row>
    <row r="44" spans="1:13" ht="14.25">
      <c r="A44" s="36" t="s">
        <v>4</v>
      </c>
      <c r="B44" s="37" t="s">
        <v>4</v>
      </c>
      <c r="C44" s="37"/>
      <c r="D44" s="37"/>
      <c r="E44" s="37"/>
      <c r="K44" s="35"/>
      <c r="L44" s="35"/>
      <c r="M44" s="35"/>
    </row>
    <row r="45" spans="1:13" ht="15.75">
      <c r="A45"/>
      <c r="B45" s="38" t="s">
        <v>4</v>
      </c>
      <c r="C45"/>
      <c r="D45"/>
      <c r="E45"/>
      <c r="K45" s="35"/>
      <c r="L45" s="35"/>
      <c r="M45" s="35"/>
    </row>
    <row r="46" spans="2:5" ht="13.5">
      <c r="B46" s="3"/>
      <c r="C46" s="19"/>
      <c r="D46" s="19"/>
      <c r="E46" s="39"/>
    </row>
    <row r="48" spans="1:6" ht="13.5">
      <c r="A48" s="167" t="s">
        <v>100</v>
      </c>
      <c r="B48" s="167"/>
      <c r="C48" s="167"/>
      <c r="D48" s="167"/>
      <c r="E48" s="167"/>
      <c r="F48" s="167"/>
    </row>
    <row r="49" spans="1:6" ht="25.5" customHeight="1">
      <c r="A49" s="167"/>
      <c r="B49" s="167"/>
      <c r="C49" s="167"/>
      <c r="D49" s="167"/>
      <c r="E49" s="167"/>
      <c r="F49" s="167"/>
    </row>
  </sheetData>
  <sheetProtection/>
  <mergeCells count="1">
    <mergeCell ref="A48:F4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3.28125" style="1" bestFit="1" customWidth="1"/>
    <col min="2" max="2" width="51.7109375" style="6" bestFit="1" customWidth="1"/>
    <col min="3" max="3" width="11.28125" style="6" customWidth="1"/>
    <col min="4" max="4" width="19.7109375" style="6" customWidth="1"/>
    <col min="5" max="5" width="16.00390625" style="6" customWidth="1"/>
    <col min="6" max="6" width="9.8515625" style="6" customWidth="1"/>
    <col min="7" max="7" width="12.00390625" style="6" bestFit="1" customWidth="1"/>
    <col min="8" max="16384" width="9.8515625" style="6" customWidth="1"/>
  </cols>
  <sheetData>
    <row r="1" spans="2:5" ht="16.5">
      <c r="B1" s="2" t="s">
        <v>0</v>
      </c>
      <c r="C1" s="3"/>
      <c r="D1" s="4"/>
      <c r="E1" s="5"/>
    </row>
    <row r="2" spans="2:4" ht="13.5">
      <c r="B2" s="42" t="s">
        <v>4</v>
      </c>
      <c r="D2" s="7"/>
    </row>
    <row r="3" spans="2:4" ht="13.5">
      <c r="B3" s="8" t="s">
        <v>1</v>
      </c>
      <c r="D3" s="9"/>
    </row>
    <row r="4" ht="13.5">
      <c r="B4" s="8" t="s">
        <v>2</v>
      </c>
    </row>
    <row r="5" spans="2:4" ht="13.5">
      <c r="B5" s="3"/>
      <c r="D5" s="8"/>
    </row>
    <row r="6" spans="2:5" ht="13.5">
      <c r="B6" s="8" t="s">
        <v>3</v>
      </c>
      <c r="D6" s="10" t="s">
        <v>44</v>
      </c>
      <c r="E6" s="11" t="s">
        <v>4</v>
      </c>
    </row>
    <row r="7" ht="13.5">
      <c r="B7" s="3"/>
    </row>
    <row r="8" spans="2:5" ht="13.5">
      <c r="B8" s="12" t="s">
        <v>5</v>
      </c>
      <c r="C8" s="12" t="s">
        <v>6</v>
      </c>
      <c r="D8" s="13" t="s">
        <v>7</v>
      </c>
      <c r="E8" s="43" t="s">
        <v>8</v>
      </c>
    </row>
    <row r="9" spans="2:5" ht="13.5">
      <c r="B9" s="12"/>
      <c r="C9" s="14"/>
      <c r="D9" s="15" t="s">
        <v>9</v>
      </c>
      <c r="E9" s="14"/>
    </row>
    <row r="10" spans="1:2" ht="13.5">
      <c r="A10" s="16" t="s">
        <v>10</v>
      </c>
      <c r="B10" s="17" t="s">
        <v>11</v>
      </c>
    </row>
    <row r="11" spans="2:5" ht="13.5">
      <c r="B11" s="18" t="s">
        <v>43</v>
      </c>
      <c r="C11" s="19">
        <v>580585</v>
      </c>
      <c r="D11" s="19">
        <v>17147648.23</v>
      </c>
      <c r="E11" s="20">
        <v>29.53512100725992</v>
      </c>
    </row>
    <row r="12" spans="2:5" ht="13.5">
      <c r="B12" s="18" t="s">
        <v>41</v>
      </c>
      <c r="C12" s="19">
        <f>52281+249044</f>
        <v>301325</v>
      </c>
      <c r="D12" s="19">
        <f>1968715+7335766</f>
        <v>9304481</v>
      </c>
      <c r="E12" s="20">
        <f>D12/C12</f>
        <v>30.878556376005974</v>
      </c>
    </row>
    <row r="13" spans="2:5" ht="13.5">
      <c r="B13" s="8" t="s">
        <v>42</v>
      </c>
      <c r="C13" s="19">
        <f>94746+95240</f>
        <v>189986</v>
      </c>
      <c r="D13" s="19">
        <f>2459416+2539066</f>
        <v>4998482</v>
      </c>
      <c r="E13" s="20">
        <f>D13/C13</f>
        <v>26.309738612318803</v>
      </c>
    </row>
    <row r="14" spans="2:5" ht="13.5">
      <c r="B14" s="23" t="s">
        <v>12</v>
      </c>
      <c r="C14" s="24">
        <f>SUM(C11:C13)</f>
        <v>1071896</v>
      </c>
      <c r="D14" s="24">
        <f>SUM(D11:D13)</f>
        <v>31450611.23</v>
      </c>
      <c r="E14" s="25">
        <f>IF((D14=0),0,(IF((C14=0),0,(D14/C14))))</f>
        <v>29.341103269347027</v>
      </c>
    </row>
    <row r="15" spans="2:5" ht="13.5">
      <c r="B15" s="3"/>
      <c r="C15" s="19"/>
      <c r="D15" s="19"/>
      <c r="E15" s="20"/>
    </row>
    <row r="16" spans="1:5" ht="13.5">
      <c r="A16" s="16" t="s">
        <v>13</v>
      </c>
      <c r="B16" s="17" t="s">
        <v>14</v>
      </c>
      <c r="C16" s="19"/>
      <c r="D16" s="19"/>
      <c r="E16" s="20"/>
    </row>
    <row r="17" spans="2:5" ht="13.5">
      <c r="B17" s="8" t="s">
        <v>15</v>
      </c>
      <c r="C17" s="21">
        <v>57851.082</v>
      </c>
      <c r="D17" s="21">
        <v>3210163</v>
      </c>
      <c r="E17" s="22">
        <v>55.49011166290718</v>
      </c>
    </row>
    <row r="18" spans="2:5" ht="13.5">
      <c r="B18" s="23" t="s">
        <v>12</v>
      </c>
      <c r="C18" s="24">
        <f>SUM(C17:C17)</f>
        <v>57851.082</v>
      </c>
      <c r="D18" s="24">
        <f>SUM(D17:D17)</f>
        <v>3210163</v>
      </c>
      <c r="E18" s="25">
        <f>IF((D18=0),0,(IF((C18=0),0,(D18/C18))))</f>
        <v>55.49011166290718</v>
      </c>
    </row>
    <row r="19" spans="2:5" ht="13.5">
      <c r="B19" s="3"/>
      <c r="C19" s="19"/>
      <c r="D19" s="19"/>
      <c r="E19" s="20"/>
    </row>
    <row r="20" spans="1:5" ht="13.5">
      <c r="A20" s="16" t="s">
        <v>16</v>
      </c>
      <c r="B20" s="17" t="s">
        <v>17</v>
      </c>
      <c r="C20" s="24">
        <f>C14+C18</f>
        <v>1129747.082</v>
      </c>
      <c r="D20" s="24">
        <f>D14+D18</f>
        <v>34660774.230000004</v>
      </c>
      <c r="E20" s="25">
        <f>IF((D20=0),0,(IF((C20=0),0,(D20/C20))))</f>
        <v>30.680118393082964</v>
      </c>
    </row>
    <row r="21" spans="2:5" ht="13.5">
      <c r="B21" s="3"/>
      <c r="C21" s="19"/>
      <c r="D21" s="19"/>
      <c r="E21" s="20"/>
    </row>
    <row r="22" spans="2:5" ht="13.5">
      <c r="B22" s="12" t="s">
        <v>18</v>
      </c>
      <c r="C22" s="19"/>
      <c r="D22" s="19"/>
      <c r="E22" s="20"/>
    </row>
    <row r="23" spans="2:5" ht="13.5">
      <c r="B23" s="12"/>
      <c r="C23" s="19"/>
      <c r="D23" s="19"/>
      <c r="E23" s="20"/>
    </row>
    <row r="24" spans="1:4" ht="13.5">
      <c r="A24" s="16" t="s">
        <v>19</v>
      </c>
      <c r="B24" s="17" t="s">
        <v>20</v>
      </c>
      <c r="D24" s="19"/>
    </row>
    <row r="25" spans="2:5" ht="13.5">
      <c r="B25" s="8" t="s">
        <v>21</v>
      </c>
      <c r="C25" s="26">
        <v>303476.57499999995</v>
      </c>
      <c r="D25" s="26">
        <v>8131635.862000005</v>
      </c>
      <c r="E25" s="27">
        <v>26.79493750712063</v>
      </c>
    </row>
    <row r="26" spans="2:5" ht="13.5">
      <c r="B26" s="8" t="s">
        <v>41</v>
      </c>
      <c r="C26" s="26">
        <f>3248+34638</f>
        <v>37886</v>
      </c>
      <c r="D26" s="26">
        <f>77762+866167</f>
        <v>943929</v>
      </c>
      <c r="E26" s="20">
        <f>D26/C26</f>
        <v>24.914981787467667</v>
      </c>
    </row>
    <row r="27" spans="2:5" ht="13.5">
      <c r="B27" s="8" t="s">
        <v>42</v>
      </c>
      <c r="C27" s="19">
        <f>49491+38437</f>
        <v>87928</v>
      </c>
      <c r="D27" s="19">
        <f>1167489+895533</f>
        <v>2063022</v>
      </c>
      <c r="E27" s="20">
        <f>D27/C27</f>
        <v>23.462628514238922</v>
      </c>
    </row>
    <row r="28" spans="2:5" ht="13.5">
      <c r="B28" s="18" t="s">
        <v>22</v>
      </c>
      <c r="C28" s="21">
        <v>57174.225</v>
      </c>
      <c r="D28" s="21">
        <v>3162603.21</v>
      </c>
      <c r="E28" s="22">
        <v>55.31519159201546</v>
      </c>
    </row>
    <row r="29" spans="2:5" ht="13.5">
      <c r="B29" s="23" t="s">
        <v>12</v>
      </c>
      <c r="C29" s="24">
        <f>SUM(C25:C28)</f>
        <v>486464.79999999993</v>
      </c>
      <c r="D29" s="24">
        <f>SUM(D25:D28)</f>
        <v>14301190.072000004</v>
      </c>
      <c r="E29" s="25">
        <f>IF((D29=0),0,(IF((C29=0),0,(D29/C29))))</f>
        <v>29.398201210036177</v>
      </c>
    </row>
    <row r="30" spans="2:5" ht="13.5">
      <c r="B30" s="3"/>
      <c r="C30" s="19"/>
      <c r="D30" s="19"/>
      <c r="E30" s="20"/>
    </row>
    <row r="31" spans="1:5" ht="13.5">
      <c r="A31" s="16" t="s">
        <v>23</v>
      </c>
      <c r="B31" s="17" t="s">
        <v>24</v>
      </c>
      <c r="C31" s="24">
        <f>C20-C29</f>
        <v>643282.282</v>
      </c>
      <c r="D31" s="24">
        <f>D20-D29</f>
        <v>20359584.158</v>
      </c>
      <c r="E31" s="25">
        <f>IF((D31=0),0,(IF((C31=0),0,(D31/C31))))</f>
        <v>31.649533537129194</v>
      </c>
    </row>
    <row r="32" spans="2:5" ht="13.5">
      <c r="B32" s="3"/>
      <c r="C32" s="19"/>
      <c r="D32" s="19"/>
      <c r="E32" s="20"/>
    </row>
    <row r="33" spans="1:5" ht="13.5">
      <c r="A33" s="16" t="s">
        <v>25</v>
      </c>
      <c r="B33" s="17" t="s">
        <v>26</v>
      </c>
      <c r="C33" s="24">
        <f>+C29+C31</f>
        <v>1129747.082</v>
      </c>
      <c r="D33" s="24">
        <f>+D29+D31</f>
        <v>34660774.230000004</v>
      </c>
      <c r="E33" s="25">
        <f>IF((D33=0),0,(IF((C33=0),0,(D33/C33))))</f>
        <v>30.680118393082964</v>
      </c>
    </row>
    <row r="34" spans="1:5" ht="13.5">
      <c r="A34" s="16"/>
      <c r="B34" s="8"/>
      <c r="C34" s="19"/>
      <c r="D34" s="19"/>
      <c r="E34" s="20"/>
    </row>
    <row r="35" spans="1:5" ht="13.5">
      <c r="A35" s="16"/>
      <c r="B35" s="8"/>
      <c r="C35" s="19"/>
      <c r="D35" s="19"/>
      <c r="E35" s="20"/>
    </row>
    <row r="36" spans="3:5" ht="13.5">
      <c r="C36" s="19"/>
      <c r="D36" s="19"/>
      <c r="E36" s="20"/>
    </row>
    <row r="37" spans="1:13" ht="13.5">
      <c r="A37" s="16" t="s">
        <v>27</v>
      </c>
      <c r="B37" s="8" t="s">
        <v>28</v>
      </c>
      <c r="C37" s="19">
        <f>C31</f>
        <v>643282.282</v>
      </c>
      <c r="D37" s="19">
        <f>D31</f>
        <v>20359584.158</v>
      </c>
      <c r="E37" s="20">
        <f aca="true" t="shared" si="0" ref="E37:E43">IF((D37=0),0,(IF((C37=0),0,(D37/C37))))</f>
        <v>31.649533537129194</v>
      </c>
      <c r="G37" s="44"/>
      <c r="K37" s="35"/>
      <c r="L37" s="35"/>
      <c r="M37" s="35"/>
    </row>
    <row r="38" spans="1:13" ht="14.25" thickBot="1">
      <c r="A38" s="16" t="s">
        <v>29</v>
      </c>
      <c r="B38" s="18" t="s">
        <v>30</v>
      </c>
      <c r="C38" s="26">
        <v>0</v>
      </c>
      <c r="D38" s="19">
        <v>0</v>
      </c>
      <c r="E38" s="20">
        <f t="shared" si="0"/>
        <v>0</v>
      </c>
      <c r="K38" s="35"/>
      <c r="L38" s="35"/>
      <c r="M38" s="35"/>
    </row>
    <row r="39" spans="1:13" ht="14.25" thickBot="1">
      <c r="A39" s="28" t="s">
        <v>31</v>
      </c>
      <c r="B39" s="29" t="s">
        <v>32</v>
      </c>
      <c r="C39" s="30">
        <f>C43-C42</f>
        <v>643282.282</v>
      </c>
      <c r="D39" s="30">
        <f>(SUM(D37))+D38</f>
        <v>20359584.158</v>
      </c>
      <c r="E39" s="31">
        <f t="shared" si="0"/>
        <v>31.649533537129194</v>
      </c>
      <c r="K39" s="35"/>
      <c r="L39" s="35"/>
      <c r="M39" s="35"/>
    </row>
    <row r="40" spans="1:13" ht="13.5">
      <c r="A40" s="16" t="s">
        <v>33</v>
      </c>
      <c r="B40" s="18" t="s">
        <v>34</v>
      </c>
      <c r="C40" s="26">
        <v>-4004.114517382881</v>
      </c>
      <c r="D40" s="19">
        <v>-96415.54252638057</v>
      </c>
      <c r="E40" s="20">
        <f t="shared" si="0"/>
        <v>24.079117145080676</v>
      </c>
      <c r="K40" s="35"/>
      <c r="L40" s="35"/>
      <c r="M40" s="35"/>
    </row>
    <row r="41" spans="1:13" ht="13.5">
      <c r="A41" s="16" t="s">
        <v>35</v>
      </c>
      <c r="B41" s="18" t="s">
        <v>36</v>
      </c>
      <c r="C41" s="26">
        <v>4004.114517382881</v>
      </c>
      <c r="D41" s="19">
        <v>96415.54252638057</v>
      </c>
      <c r="E41" s="20">
        <f t="shared" si="0"/>
        <v>24.079117145080676</v>
      </c>
      <c r="K41" s="35"/>
      <c r="L41" s="35"/>
      <c r="M41" s="35"/>
    </row>
    <row r="42" spans="1:13" ht="14.25" thickBot="1">
      <c r="A42" s="16" t="s">
        <v>37</v>
      </c>
      <c r="B42" s="8" t="s">
        <v>38</v>
      </c>
      <c r="C42" s="32">
        <v>0</v>
      </c>
      <c r="D42" s="26">
        <v>0</v>
      </c>
      <c r="E42" s="27">
        <f t="shared" si="0"/>
        <v>0</v>
      </c>
      <c r="K42" s="35"/>
      <c r="L42" s="35"/>
      <c r="M42" s="35"/>
    </row>
    <row r="43" spans="1:13" ht="14.25" thickBot="1">
      <c r="A43" s="28" t="s">
        <v>39</v>
      </c>
      <c r="B43" s="29" t="s">
        <v>40</v>
      </c>
      <c r="C43" s="33">
        <f>C37+C38+C40+C41</f>
        <v>643282.282</v>
      </c>
      <c r="D43" s="33">
        <f>D37+D38+D40+D41</f>
        <v>20359584.158</v>
      </c>
      <c r="E43" s="34">
        <f t="shared" si="0"/>
        <v>31.649533537129194</v>
      </c>
      <c r="K43" s="35"/>
      <c r="L43" s="35"/>
      <c r="M43" s="35"/>
    </row>
    <row r="44" spans="1:5" ht="14.25">
      <c r="A44" s="36" t="s">
        <v>4</v>
      </c>
      <c r="B44" s="37" t="s">
        <v>4</v>
      </c>
      <c r="C44" s="37"/>
      <c r="D44" s="37"/>
      <c r="E44" s="37"/>
    </row>
    <row r="45" spans="1:5" ht="15.75">
      <c r="A45"/>
      <c r="B45" s="38" t="s">
        <v>4</v>
      </c>
      <c r="C45"/>
      <c r="D45"/>
      <c r="E45"/>
    </row>
    <row r="46" spans="2:5" ht="13.5">
      <c r="B46" s="3"/>
      <c r="C46" s="19"/>
      <c r="D46" s="19"/>
      <c r="E46" s="39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3.28125" style="1" bestFit="1" customWidth="1"/>
    <col min="2" max="2" width="56.140625" style="6" customWidth="1"/>
    <col min="3" max="3" width="11.421875" style="6" customWidth="1"/>
    <col min="4" max="4" width="18.8515625" style="6" customWidth="1"/>
    <col min="5" max="5" width="11.00390625" style="6" bestFit="1" customWidth="1"/>
    <col min="6" max="6" width="9.8515625" style="6" customWidth="1"/>
    <col min="7" max="7" width="12.00390625" style="6" bestFit="1" customWidth="1"/>
    <col min="8" max="16384" width="9.8515625" style="6" customWidth="1"/>
  </cols>
  <sheetData>
    <row r="1" spans="2:5" ht="16.5">
      <c r="B1" s="2" t="s">
        <v>0</v>
      </c>
      <c r="C1" s="3"/>
      <c r="D1" s="4"/>
      <c r="E1" s="5"/>
    </row>
    <row r="2" ht="13.5">
      <c r="D2" s="7"/>
    </row>
    <row r="3" spans="2:4" ht="13.5">
      <c r="B3" s="8" t="s">
        <v>1</v>
      </c>
      <c r="D3" s="9"/>
    </row>
    <row r="4" ht="13.5">
      <c r="B4" s="8" t="s">
        <v>2</v>
      </c>
    </row>
    <row r="5" spans="2:4" ht="13.5">
      <c r="B5" s="3"/>
      <c r="D5" s="8"/>
    </row>
    <row r="6" spans="2:5" ht="13.5">
      <c r="B6" s="8" t="s">
        <v>3</v>
      </c>
      <c r="D6" s="7" t="str">
        <f>'[1]Input Sheet'!B1</f>
        <v>March 2014 ACTUAL</v>
      </c>
      <c r="E6" s="11" t="s">
        <v>4</v>
      </c>
    </row>
    <row r="7" ht="13.5">
      <c r="B7" s="3"/>
    </row>
    <row r="8" spans="2:5" ht="13.5">
      <c r="B8" s="12" t="s">
        <v>5</v>
      </c>
      <c r="C8" s="12" t="s">
        <v>6</v>
      </c>
      <c r="D8" s="13" t="s">
        <v>7</v>
      </c>
      <c r="E8" s="43" t="s">
        <v>8</v>
      </c>
    </row>
    <row r="9" spans="2:5" ht="13.5">
      <c r="B9" s="12"/>
      <c r="C9" s="14"/>
      <c r="D9" s="15" t="s">
        <v>9</v>
      </c>
      <c r="E9" s="14"/>
    </row>
    <row r="10" spans="1:2" ht="13.5">
      <c r="A10" s="16" t="s">
        <v>10</v>
      </c>
      <c r="B10" s="17" t="s">
        <v>11</v>
      </c>
    </row>
    <row r="11" spans="2:5" ht="13.5">
      <c r="B11" s="18" t="s">
        <v>43</v>
      </c>
      <c r="C11" s="19">
        <v>295855</v>
      </c>
      <c r="D11" s="19">
        <v>9283759.34</v>
      </c>
      <c r="E11" s="20">
        <v>31.379423501377364</v>
      </c>
    </row>
    <row r="12" spans="2:5" ht="13.5">
      <c r="B12" s="18" t="s">
        <v>41</v>
      </c>
      <c r="C12" s="19">
        <f>180246+250451</f>
        <v>430697</v>
      </c>
      <c r="D12" s="19">
        <f>5522942+6347642</f>
        <v>11870584</v>
      </c>
      <c r="E12" s="20">
        <f>D12/C12</f>
        <v>27.561334302305333</v>
      </c>
    </row>
    <row r="13" spans="2:5" ht="13.5">
      <c r="B13" s="8" t="s">
        <v>42</v>
      </c>
      <c r="C13" s="19">
        <f>143800+138629</f>
        <v>282429</v>
      </c>
      <c r="D13" s="19">
        <f>3191497+3081680</f>
        <v>6273177</v>
      </c>
      <c r="E13" s="20">
        <f>D13/C13</f>
        <v>22.21151864716442</v>
      </c>
    </row>
    <row r="14" spans="2:5" ht="13.5">
      <c r="B14" s="23" t="s">
        <v>12</v>
      </c>
      <c r="C14" s="24">
        <f>SUM(C11:C13)</f>
        <v>1008981</v>
      </c>
      <c r="D14" s="24">
        <f>SUM(D11:D13)</f>
        <v>27427520.34</v>
      </c>
      <c r="E14" s="25">
        <f>IF((D14=0),0,(IF((C14=0),0,(D14/C14))))</f>
        <v>27.183386347215656</v>
      </c>
    </row>
    <row r="15" spans="2:5" ht="13.5">
      <c r="B15" s="3"/>
      <c r="C15" s="19"/>
      <c r="D15" s="19"/>
      <c r="E15" s="20"/>
    </row>
    <row r="16" spans="1:5" ht="13.5">
      <c r="A16" s="16" t="s">
        <v>13</v>
      </c>
      <c r="B16" s="17" t="s">
        <v>14</v>
      </c>
      <c r="C16" s="19"/>
      <c r="D16" s="19"/>
      <c r="E16" s="20"/>
    </row>
    <row r="17" spans="2:5" ht="13.5">
      <c r="B17" s="8" t="s">
        <v>15</v>
      </c>
      <c r="C17" s="21">
        <v>42405.761</v>
      </c>
      <c r="D17" s="21">
        <v>2740091.89</v>
      </c>
      <c r="E17" s="22">
        <v>64.61602917584713</v>
      </c>
    </row>
    <row r="18" spans="2:5" ht="13.5">
      <c r="B18" s="23" t="s">
        <v>12</v>
      </c>
      <c r="C18" s="24">
        <f>SUM(C17:C17)</f>
        <v>42405.761</v>
      </c>
      <c r="D18" s="24">
        <f>SUM(D17:D17)</f>
        <v>2740091.89</v>
      </c>
      <c r="E18" s="25">
        <f>IF((D18=0),0,(IF((C18=0),0,(D18/C18))))</f>
        <v>64.61602917584713</v>
      </c>
    </row>
    <row r="19" spans="2:5" ht="13.5">
      <c r="B19" s="3"/>
      <c r="C19" s="19"/>
      <c r="D19" s="19"/>
      <c r="E19" s="20"/>
    </row>
    <row r="20" spans="1:5" ht="13.5">
      <c r="A20" s="16" t="s">
        <v>16</v>
      </c>
      <c r="B20" s="17" t="s">
        <v>17</v>
      </c>
      <c r="C20" s="24">
        <f>C14+C18</f>
        <v>1051386.761</v>
      </c>
      <c r="D20" s="24">
        <f>D14+D18</f>
        <v>30167612.23</v>
      </c>
      <c r="E20" s="25">
        <f>IF((D20=0),0,(IF((C20=0),0,(D20/C20))))</f>
        <v>28.693163495141253</v>
      </c>
    </row>
    <row r="21" spans="2:5" ht="13.5">
      <c r="B21" s="3"/>
      <c r="C21" s="19"/>
      <c r="D21" s="19"/>
      <c r="E21" s="20"/>
    </row>
    <row r="22" spans="2:5" ht="13.5">
      <c r="B22" s="12" t="s">
        <v>18</v>
      </c>
      <c r="C22" s="19"/>
      <c r="D22" s="19"/>
      <c r="E22" s="20"/>
    </row>
    <row r="23" spans="2:5" ht="13.5">
      <c r="B23" s="12"/>
      <c r="C23" s="19"/>
      <c r="D23" s="19"/>
      <c r="E23" s="20"/>
    </row>
    <row r="24" spans="1:4" ht="13.5">
      <c r="A24" s="16" t="s">
        <v>19</v>
      </c>
      <c r="B24" s="17" t="s">
        <v>20</v>
      </c>
      <c r="D24" s="19"/>
    </row>
    <row r="25" spans="2:5" ht="13.5">
      <c r="B25" s="8" t="s">
        <v>43</v>
      </c>
      <c r="C25" s="26">
        <v>143704.15200000003</v>
      </c>
      <c r="D25" s="26">
        <v>3767732.6480000024</v>
      </c>
      <c r="E25" s="27">
        <v>26.218676326067474</v>
      </c>
    </row>
    <row r="26" spans="2:5" ht="13.5">
      <c r="B26" s="8" t="s">
        <v>41</v>
      </c>
      <c r="C26" s="26">
        <f>79491+74136</f>
        <v>153627</v>
      </c>
      <c r="D26" s="26">
        <f>1960975+1738603</f>
        <v>3699578</v>
      </c>
      <c r="E26" s="20">
        <f>D26/C26</f>
        <v>24.081561183906476</v>
      </c>
    </row>
    <row r="27" spans="2:5" ht="13.5">
      <c r="B27" s="8" t="s">
        <v>42</v>
      </c>
      <c r="C27" s="19">
        <f>53897+45385</f>
        <v>99282</v>
      </c>
      <c r="D27" s="19">
        <f>1207738+997263</f>
        <v>2205001</v>
      </c>
      <c r="E27" s="20">
        <f>D27/C27</f>
        <v>22.20947402348865</v>
      </c>
    </row>
    <row r="28" spans="2:5" ht="13.5">
      <c r="B28" s="18" t="s">
        <v>22</v>
      </c>
      <c r="C28" s="21">
        <v>39259.809</v>
      </c>
      <c r="D28" s="21">
        <v>2524811.29</v>
      </c>
      <c r="E28" s="22">
        <v>64.31033044506151</v>
      </c>
    </row>
    <row r="29" spans="2:5" ht="13.5">
      <c r="B29" s="23" t="s">
        <v>12</v>
      </c>
      <c r="C29" s="24">
        <f>SUM(C25:C28)</f>
        <v>435872.961</v>
      </c>
      <c r="D29" s="24">
        <f>SUM(D25:D28)</f>
        <v>12197122.938000001</v>
      </c>
      <c r="E29" s="25">
        <f>IF((D29=0),0,(IF((C29=0),0,(D29/C29))))</f>
        <v>27.98320618470298</v>
      </c>
    </row>
    <row r="30" spans="2:5" ht="13.5">
      <c r="B30" s="3"/>
      <c r="C30" s="19"/>
      <c r="D30" s="19"/>
      <c r="E30" s="20"/>
    </row>
    <row r="31" spans="1:5" ht="13.5">
      <c r="A31" s="16" t="s">
        <v>23</v>
      </c>
      <c r="B31" s="17" t="s">
        <v>24</v>
      </c>
      <c r="C31" s="24">
        <f>C20-C29</f>
        <v>615513.7999999999</v>
      </c>
      <c r="D31" s="24">
        <f>D20-D29</f>
        <v>17970489.292</v>
      </c>
      <c r="E31" s="25">
        <f>IF((D31=0),0,(IF((C31=0),0,(D31/C31))))</f>
        <v>29.195916146802883</v>
      </c>
    </row>
    <row r="32" spans="2:5" ht="13.5">
      <c r="B32" s="3"/>
      <c r="C32" s="19"/>
      <c r="D32" s="19"/>
      <c r="E32" s="20"/>
    </row>
    <row r="33" spans="1:5" ht="13.5">
      <c r="A33" s="16" t="s">
        <v>25</v>
      </c>
      <c r="B33" s="17" t="s">
        <v>26</v>
      </c>
      <c r="C33" s="24">
        <f>+C29+C31</f>
        <v>1051386.761</v>
      </c>
      <c r="D33" s="24">
        <f>+D29+D31</f>
        <v>30167612.23</v>
      </c>
      <c r="E33" s="25">
        <f>IF((D33=0),0,(IF((C33=0),0,(D33/C33))))</f>
        <v>28.693163495141253</v>
      </c>
    </row>
    <row r="34" spans="1:5" ht="13.5">
      <c r="A34" s="16"/>
      <c r="B34" s="8"/>
      <c r="C34" s="19"/>
      <c r="D34" s="19"/>
      <c r="E34" s="20"/>
    </row>
    <row r="35" spans="1:5" ht="13.5">
      <c r="A35" s="16"/>
      <c r="B35" s="8"/>
      <c r="C35" s="19"/>
      <c r="D35" s="19"/>
      <c r="E35" s="20"/>
    </row>
    <row r="36" spans="3:5" ht="13.5">
      <c r="C36" s="19"/>
      <c r="D36" s="19"/>
      <c r="E36" s="20"/>
    </row>
    <row r="37" spans="1:13" ht="13.5">
      <c r="A37" s="16" t="s">
        <v>27</v>
      </c>
      <c r="B37" s="8" t="s">
        <v>28</v>
      </c>
      <c r="C37" s="19">
        <f>C31</f>
        <v>615513.7999999999</v>
      </c>
      <c r="D37" s="19">
        <f>D31</f>
        <v>17970489.292</v>
      </c>
      <c r="E37" s="20">
        <f aca="true" t="shared" si="0" ref="E37:E43">IF((D37=0),0,(IF((C37=0),0,(D37/C37))))</f>
        <v>29.195916146802883</v>
      </c>
      <c r="G37" s="44"/>
      <c r="K37" s="35"/>
      <c r="L37" s="35"/>
      <c r="M37" s="35"/>
    </row>
    <row r="38" spans="1:13" ht="14.25" thickBot="1">
      <c r="A38" s="16" t="s">
        <v>29</v>
      </c>
      <c r="B38" s="18" t="s">
        <v>30</v>
      </c>
      <c r="C38" s="26">
        <v>0</v>
      </c>
      <c r="D38" s="19">
        <v>0</v>
      </c>
      <c r="E38" s="20">
        <f t="shared" si="0"/>
        <v>0</v>
      </c>
      <c r="K38" s="35"/>
      <c r="L38" s="35"/>
      <c r="M38" s="35"/>
    </row>
    <row r="39" spans="1:13" ht="14.25" thickBot="1">
      <c r="A39" s="28" t="s">
        <v>31</v>
      </c>
      <c r="B39" s="29" t="s">
        <v>32</v>
      </c>
      <c r="C39" s="30">
        <f>SUM(C37:C38)</f>
        <v>615513.7999999999</v>
      </c>
      <c r="D39" s="30">
        <f>(SUM(D37))+D38</f>
        <v>17970489.292</v>
      </c>
      <c r="E39" s="31">
        <f t="shared" si="0"/>
        <v>29.195916146802883</v>
      </c>
      <c r="K39" s="35"/>
      <c r="L39" s="35"/>
      <c r="M39" s="35"/>
    </row>
    <row r="40" spans="1:13" ht="13.5">
      <c r="A40" s="16" t="s">
        <v>33</v>
      </c>
      <c r="B40" s="18" t="s">
        <v>45</v>
      </c>
      <c r="C40" s="26">
        <f>'[1]Input Sheet'!C173</f>
        <v>-4917.6</v>
      </c>
      <c r="D40" s="19">
        <f>'[1]Input Sheet'!D173</f>
        <v>-486122.53</v>
      </c>
      <c r="E40" s="20">
        <f t="shared" si="0"/>
        <v>98.85361355132585</v>
      </c>
      <c r="K40" s="35"/>
      <c r="L40" s="35"/>
      <c r="M40" s="35"/>
    </row>
    <row r="41" spans="1:13" ht="13.5">
      <c r="A41" s="16" t="s">
        <v>35</v>
      </c>
      <c r="B41" s="18" t="s">
        <v>46</v>
      </c>
      <c r="C41" s="26">
        <v>0</v>
      </c>
      <c r="D41" s="19">
        <v>0</v>
      </c>
      <c r="E41" s="20">
        <f t="shared" si="0"/>
        <v>0</v>
      </c>
      <c r="K41" s="35"/>
      <c r="L41" s="35"/>
      <c r="M41" s="35"/>
    </row>
    <row r="42" spans="1:13" ht="14.25" thickBot="1">
      <c r="A42" s="16" t="s">
        <v>37</v>
      </c>
      <c r="B42" s="8" t="s">
        <v>38</v>
      </c>
      <c r="C42" s="32">
        <v>0</v>
      </c>
      <c r="D42" s="26">
        <v>0</v>
      </c>
      <c r="E42" s="27">
        <f t="shared" si="0"/>
        <v>0</v>
      </c>
      <c r="K42" s="35"/>
      <c r="L42" s="35"/>
      <c r="M42" s="35"/>
    </row>
    <row r="43" spans="1:13" ht="14.25" thickBot="1">
      <c r="A43" s="28" t="s">
        <v>39</v>
      </c>
      <c r="B43" s="29" t="s">
        <v>40</v>
      </c>
      <c r="C43" s="33">
        <f>C37+C38+C40+C41</f>
        <v>610596.2</v>
      </c>
      <c r="D43" s="33">
        <f>D37+D38+D40+D41</f>
        <v>17484366.762</v>
      </c>
      <c r="E43" s="34">
        <f t="shared" si="0"/>
        <v>28.63490922806267</v>
      </c>
      <c r="K43" s="35"/>
      <c r="L43" s="35"/>
      <c r="M43" s="35"/>
    </row>
    <row r="44" spans="1:5" ht="14.25">
      <c r="A44" s="36" t="s">
        <v>4</v>
      </c>
      <c r="B44" s="37" t="s">
        <v>4</v>
      </c>
      <c r="C44" s="37"/>
      <c r="D44" s="37"/>
      <c r="E44" s="37"/>
    </row>
    <row r="45" spans="1:5" ht="15.75">
      <c r="A45"/>
      <c r="B45" s="38" t="s">
        <v>4</v>
      </c>
      <c r="C45"/>
      <c r="D45"/>
      <c r="E45"/>
    </row>
    <row r="46" spans="2:5" ht="13.5">
      <c r="B46" s="3"/>
      <c r="C46" s="19"/>
      <c r="D46" s="19"/>
      <c r="E46" s="39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3.28125" style="1" bestFit="1" customWidth="1"/>
    <col min="2" max="2" width="56.140625" style="6" customWidth="1"/>
    <col min="3" max="3" width="11.7109375" style="6" customWidth="1"/>
    <col min="4" max="4" width="15.7109375" style="6" customWidth="1"/>
    <col min="5" max="5" width="11.00390625" style="6" bestFit="1" customWidth="1"/>
    <col min="6" max="6" width="9.8515625" style="6" customWidth="1"/>
    <col min="7" max="7" width="12.00390625" style="6" bestFit="1" customWidth="1"/>
    <col min="8" max="16384" width="9.8515625" style="6" customWidth="1"/>
  </cols>
  <sheetData>
    <row r="1" spans="2:5" ht="16.5">
      <c r="B1" s="2" t="s">
        <v>0</v>
      </c>
      <c r="C1" s="3"/>
      <c r="D1" s="4"/>
      <c r="E1" s="5"/>
    </row>
    <row r="2" ht="13.5">
      <c r="D2" s="7"/>
    </row>
    <row r="3" spans="2:4" ht="13.5">
      <c r="B3" s="8" t="s">
        <v>1</v>
      </c>
      <c r="D3" s="9"/>
    </row>
    <row r="4" ht="13.5">
      <c r="B4" s="8" t="s">
        <v>2</v>
      </c>
    </row>
    <row r="5" spans="2:4" ht="13.5">
      <c r="B5" s="3"/>
      <c r="D5" s="8"/>
    </row>
    <row r="6" spans="2:5" ht="13.5">
      <c r="B6" s="8" t="s">
        <v>3</v>
      </c>
      <c r="D6" s="45" t="str">
        <f>'[2]Input Sheet'!B1</f>
        <v>April 2014 ACTUAL</v>
      </c>
      <c r="E6" s="11" t="s">
        <v>4</v>
      </c>
    </row>
    <row r="7" ht="13.5">
      <c r="B7" s="3"/>
    </row>
    <row r="8" spans="2:5" ht="13.5">
      <c r="B8" s="12" t="s">
        <v>5</v>
      </c>
      <c r="C8" s="12" t="s">
        <v>6</v>
      </c>
      <c r="D8" s="13" t="s">
        <v>7</v>
      </c>
      <c r="E8" s="81" t="s">
        <v>8</v>
      </c>
    </row>
    <row r="9" spans="2:5" ht="13.5">
      <c r="B9" s="12"/>
      <c r="C9" s="14"/>
      <c r="D9" s="15" t="s">
        <v>9</v>
      </c>
      <c r="E9" s="14"/>
    </row>
    <row r="10" spans="1:2" ht="13.5">
      <c r="A10" s="16" t="s">
        <v>10</v>
      </c>
      <c r="B10" s="17" t="s">
        <v>11</v>
      </c>
    </row>
    <row r="11" spans="2:5" ht="13.5">
      <c r="B11" s="18" t="s">
        <v>43</v>
      </c>
      <c r="C11" s="19">
        <v>478140</v>
      </c>
      <c r="D11" s="19">
        <v>14450191.76</v>
      </c>
      <c r="E11" s="20">
        <v>30.221675157903544</v>
      </c>
    </row>
    <row r="12" spans="2:5" ht="13.5">
      <c r="B12" s="18" t="s">
        <v>41</v>
      </c>
      <c r="C12" s="19">
        <f>217935+150979</f>
        <v>368914</v>
      </c>
      <c r="D12" s="19">
        <f>5255914+4294641</f>
        <v>9550555</v>
      </c>
      <c r="E12" s="20">
        <f>D12/C12</f>
        <v>25.888296459337408</v>
      </c>
    </row>
    <row r="13" spans="2:5" ht="13.5">
      <c r="B13" s="8" t="s">
        <v>42</v>
      </c>
      <c r="C13" s="19">
        <f>109938+90024</f>
        <v>199962</v>
      </c>
      <c r="D13" s="19">
        <f>2790045+2352528</f>
        <v>5142573</v>
      </c>
      <c r="E13" s="20">
        <f>D13/C13</f>
        <v>25.717751372760823</v>
      </c>
    </row>
    <row r="14" spans="2:5" ht="13.5">
      <c r="B14" s="23" t="s">
        <v>12</v>
      </c>
      <c r="C14" s="24">
        <f>SUM(C11:C13)</f>
        <v>1047016</v>
      </c>
      <c r="D14" s="24">
        <f>SUM(D11:D13)</f>
        <v>29143319.759999998</v>
      </c>
      <c r="E14" s="25">
        <f>IF((D14=0),0,(IF((C14=0),0,(D14/C14))))</f>
        <v>27.834646041703277</v>
      </c>
    </row>
    <row r="15" spans="2:5" ht="13.5">
      <c r="B15" s="3"/>
      <c r="C15" s="19"/>
      <c r="D15" s="19"/>
      <c r="E15" s="20"/>
    </row>
    <row r="16" spans="1:5" ht="13.5">
      <c r="A16" s="16" t="s">
        <v>13</v>
      </c>
      <c r="B16" s="17" t="s">
        <v>14</v>
      </c>
      <c r="C16" s="19"/>
      <c r="D16" s="19"/>
      <c r="E16" s="20"/>
    </row>
    <row r="17" spans="2:5" ht="13.5">
      <c r="B17" s="8" t="s">
        <v>15</v>
      </c>
      <c r="C17" s="21">
        <v>55634.780999999995</v>
      </c>
      <c r="D17" s="21">
        <v>2042947.33</v>
      </c>
      <c r="E17" s="22">
        <v>36.720686111804774</v>
      </c>
    </row>
    <row r="18" spans="2:5" ht="13.5">
      <c r="B18" s="23" t="s">
        <v>12</v>
      </c>
      <c r="C18" s="24">
        <f>SUM(C17:C17)</f>
        <v>55634.780999999995</v>
      </c>
      <c r="D18" s="24">
        <f>SUM(D17:D17)</f>
        <v>2042947.33</v>
      </c>
      <c r="E18" s="25">
        <f>IF((D18=0),0,(IF((C18=0),0,(D18/C18))))</f>
        <v>36.720686111804774</v>
      </c>
    </row>
    <row r="19" spans="2:5" ht="13.5">
      <c r="B19" s="3"/>
      <c r="C19" s="19"/>
      <c r="D19" s="19"/>
      <c r="E19" s="20"/>
    </row>
    <row r="20" spans="1:5" ht="13.5">
      <c r="A20" s="16" t="s">
        <v>16</v>
      </c>
      <c r="B20" s="17" t="s">
        <v>17</v>
      </c>
      <c r="C20" s="24">
        <f>C14+C18</f>
        <v>1102650.781</v>
      </c>
      <c r="D20" s="24">
        <f>D14+D18</f>
        <v>31186267.089999996</v>
      </c>
      <c r="E20" s="25">
        <f>IF((D20=0),0,(IF((C20=0),0,(D20/C20))))</f>
        <v>28.28299551170408</v>
      </c>
    </row>
    <row r="21" spans="2:5" ht="13.5">
      <c r="B21" s="3"/>
      <c r="C21" s="19"/>
      <c r="D21" s="19"/>
      <c r="E21" s="20"/>
    </row>
    <row r="22" spans="2:5" ht="13.5">
      <c r="B22" s="12" t="s">
        <v>18</v>
      </c>
      <c r="C22" s="19"/>
      <c r="D22" s="19"/>
      <c r="E22" s="20"/>
    </row>
    <row r="23" spans="2:5" ht="13.5">
      <c r="B23" s="12"/>
      <c r="C23" s="19"/>
      <c r="D23" s="19"/>
      <c r="E23" s="20"/>
    </row>
    <row r="24" spans="1:4" ht="13.5">
      <c r="A24" s="16" t="s">
        <v>19</v>
      </c>
      <c r="B24" s="17" t="s">
        <v>20</v>
      </c>
      <c r="D24" s="19"/>
    </row>
    <row r="25" spans="2:5" ht="13.5">
      <c r="B25" s="8" t="s">
        <v>43</v>
      </c>
      <c r="C25" s="26">
        <v>284640.3479999999</v>
      </c>
      <c r="D25" s="26">
        <v>7045907.992000002</v>
      </c>
      <c r="E25" s="27">
        <v>24.75372181599499</v>
      </c>
    </row>
    <row r="26" spans="2:5" ht="13.5">
      <c r="B26" s="8" t="s">
        <v>41</v>
      </c>
      <c r="C26" s="26">
        <f>103339+67373</f>
        <v>170712</v>
      </c>
      <c r="D26" s="26">
        <f>1881980+1207183</f>
        <v>3089163</v>
      </c>
      <c r="E26" s="20">
        <f>D26/C26</f>
        <v>18.095757767468015</v>
      </c>
    </row>
    <row r="27" spans="2:5" ht="13.5">
      <c r="B27" s="8" t="s">
        <v>42</v>
      </c>
      <c r="C27" s="19">
        <f>64711+50853</f>
        <v>115564</v>
      </c>
      <c r="D27" s="19">
        <f>1480584+1150852</f>
        <v>2631436</v>
      </c>
      <c r="E27" s="20">
        <f>D27/C27</f>
        <v>22.770378318507493</v>
      </c>
    </row>
    <row r="28" spans="2:5" ht="13.5">
      <c r="B28" s="18" t="s">
        <v>22</v>
      </c>
      <c r="C28" s="21">
        <v>55581.937999999995</v>
      </c>
      <c r="D28" s="21">
        <v>2042072.77</v>
      </c>
      <c r="E28" s="22">
        <v>36.739862687047726</v>
      </c>
    </row>
    <row r="29" spans="2:5" ht="13.5">
      <c r="B29" s="23" t="s">
        <v>12</v>
      </c>
      <c r="C29" s="24">
        <f>SUM(C25:C28)</f>
        <v>626498.2859999998</v>
      </c>
      <c r="D29" s="24">
        <f>SUM(D25:D28)</f>
        <v>14808579.762000002</v>
      </c>
      <c r="E29" s="25">
        <f>IF((D29=0),0,(IF((C29=0),0,(D29/C29))))</f>
        <v>23.63706348910906</v>
      </c>
    </row>
    <row r="30" spans="2:5" ht="13.5">
      <c r="B30" s="3"/>
      <c r="C30" s="19"/>
      <c r="D30" s="19"/>
      <c r="E30" s="20"/>
    </row>
    <row r="31" spans="1:5" ht="13.5">
      <c r="A31" s="16" t="s">
        <v>23</v>
      </c>
      <c r="B31" s="17" t="s">
        <v>24</v>
      </c>
      <c r="C31" s="24">
        <f>C20-C29</f>
        <v>476152.4950000001</v>
      </c>
      <c r="D31" s="24">
        <f>D20-D29</f>
        <v>16377687.327999994</v>
      </c>
      <c r="E31" s="25">
        <f>IF((D31=0),0,(IF((C31=0),0,(D31/C31))))</f>
        <v>34.39588682193084</v>
      </c>
    </row>
    <row r="32" spans="2:5" ht="13.5">
      <c r="B32" s="3"/>
      <c r="C32" s="19"/>
      <c r="D32" s="19"/>
      <c r="E32" s="20"/>
    </row>
    <row r="33" spans="1:5" ht="13.5">
      <c r="A33" s="16" t="s">
        <v>25</v>
      </c>
      <c r="B33" s="17" t="s">
        <v>26</v>
      </c>
      <c r="C33" s="24">
        <f>+C29+C31</f>
        <v>1102650.781</v>
      </c>
      <c r="D33" s="24">
        <f>+D29+D31</f>
        <v>31186267.089999996</v>
      </c>
      <c r="E33" s="25">
        <f>IF((D33=0),0,(IF((C33=0),0,(D33/C33))))</f>
        <v>28.28299551170408</v>
      </c>
    </row>
    <row r="34" spans="1:5" ht="13.5">
      <c r="A34" s="16"/>
      <c r="B34" s="8"/>
      <c r="C34" s="19"/>
      <c r="D34" s="19"/>
      <c r="E34" s="20"/>
    </row>
    <row r="35" spans="1:5" ht="13.5">
      <c r="A35" s="16"/>
      <c r="B35" s="8"/>
      <c r="C35" s="19"/>
      <c r="D35" s="19"/>
      <c r="E35" s="20"/>
    </row>
    <row r="36" spans="3:5" ht="13.5">
      <c r="C36" s="19"/>
      <c r="D36" s="19"/>
      <c r="E36" s="20"/>
    </row>
    <row r="37" spans="1:13" ht="13.5">
      <c r="A37" s="16" t="s">
        <v>27</v>
      </c>
      <c r="B37" s="8" t="s">
        <v>28</v>
      </c>
      <c r="C37" s="19">
        <f>C31</f>
        <v>476152.4950000001</v>
      </c>
      <c r="D37" s="19">
        <f>D31</f>
        <v>16377687.327999994</v>
      </c>
      <c r="E37" s="20">
        <f aca="true" t="shared" si="0" ref="E37:E43">IF((D37=0),0,(IF((C37=0),0,(D37/C37))))</f>
        <v>34.39588682193084</v>
      </c>
      <c r="G37" s="44"/>
      <c r="K37" s="35"/>
      <c r="L37" s="35"/>
      <c r="M37" s="35"/>
    </row>
    <row r="38" spans="1:13" ht="14.25" thickBot="1">
      <c r="A38" s="16" t="s">
        <v>29</v>
      </c>
      <c r="B38" s="18" t="s">
        <v>30</v>
      </c>
      <c r="C38" s="26">
        <v>0</v>
      </c>
      <c r="D38" s="19">
        <v>0</v>
      </c>
      <c r="E38" s="20">
        <f t="shared" si="0"/>
        <v>0</v>
      </c>
      <c r="K38" s="35"/>
      <c r="L38" s="35"/>
      <c r="M38" s="35"/>
    </row>
    <row r="39" spans="1:13" ht="14.25" thickBot="1">
      <c r="A39" s="28" t="s">
        <v>31</v>
      </c>
      <c r="B39" s="29" t="s">
        <v>32</v>
      </c>
      <c r="C39" s="30">
        <f>C43-C42</f>
        <v>474338.3450000001</v>
      </c>
      <c r="D39" s="30">
        <f>(SUM(D37))+D38</f>
        <v>16377687.327999994</v>
      </c>
      <c r="E39" s="31">
        <f t="shared" si="0"/>
        <v>34.52743700912477</v>
      </c>
      <c r="K39" s="35"/>
      <c r="L39" s="35"/>
      <c r="M39" s="35"/>
    </row>
    <row r="40" spans="1:13" ht="13.5">
      <c r="A40" s="16" t="s">
        <v>33</v>
      </c>
      <c r="B40" s="18" t="s">
        <v>45</v>
      </c>
      <c r="C40" s="26">
        <f>'[2]Input Sheet'!C173</f>
        <v>-1814.15</v>
      </c>
      <c r="D40" s="19">
        <f>'[2]Input Sheet'!D173</f>
        <v>-121701.5</v>
      </c>
      <c r="E40" s="20">
        <f t="shared" si="0"/>
        <v>67.08458506738693</v>
      </c>
      <c r="K40" s="35"/>
      <c r="L40" s="35"/>
      <c r="M40" s="35"/>
    </row>
    <row r="41" spans="1:13" ht="13.5">
      <c r="A41" s="16" t="s">
        <v>35</v>
      </c>
      <c r="B41" s="18" t="s">
        <v>46</v>
      </c>
      <c r="C41" s="26">
        <v>0</v>
      </c>
      <c r="D41" s="19">
        <v>0</v>
      </c>
      <c r="E41" s="20">
        <f t="shared" si="0"/>
        <v>0</v>
      </c>
      <c r="K41" s="35"/>
      <c r="L41" s="35"/>
      <c r="M41" s="35"/>
    </row>
    <row r="42" spans="1:13" ht="14.25" thickBot="1">
      <c r="A42" s="16" t="s">
        <v>37</v>
      </c>
      <c r="B42" s="8" t="s">
        <v>38</v>
      </c>
      <c r="C42" s="32">
        <v>0</v>
      </c>
      <c r="D42" s="26">
        <v>0</v>
      </c>
      <c r="E42" s="27">
        <f t="shared" si="0"/>
        <v>0</v>
      </c>
      <c r="K42" s="35"/>
      <c r="L42" s="35"/>
      <c r="M42" s="35"/>
    </row>
    <row r="43" spans="1:13" ht="14.25" thickBot="1">
      <c r="A43" s="28" t="s">
        <v>39</v>
      </c>
      <c r="B43" s="29" t="s">
        <v>40</v>
      </c>
      <c r="C43" s="33">
        <f>C37+C38+C40+C41</f>
        <v>474338.3450000001</v>
      </c>
      <c r="D43" s="33">
        <f>D37+D38+D40+D41</f>
        <v>16255985.827999994</v>
      </c>
      <c r="E43" s="34">
        <f t="shared" si="0"/>
        <v>34.27086593220709</v>
      </c>
      <c r="K43" s="35"/>
      <c r="L43" s="35"/>
      <c r="M43" s="35"/>
    </row>
    <row r="44" spans="1:5" ht="14.25">
      <c r="A44" s="36" t="s">
        <v>4</v>
      </c>
      <c r="B44" s="37" t="s">
        <v>4</v>
      </c>
      <c r="C44" s="37"/>
      <c r="D44" s="37"/>
      <c r="E44" s="37"/>
    </row>
    <row r="45" spans="1:5" ht="15.75">
      <c r="A45"/>
      <c r="B45" s="38" t="s">
        <v>4</v>
      </c>
      <c r="C45"/>
      <c r="D45"/>
      <c r="E45"/>
    </row>
    <row r="46" spans="2:5" ht="13.5">
      <c r="B46" s="3"/>
      <c r="C46" s="19"/>
      <c r="D46" s="19"/>
      <c r="E46" s="39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3.28125" style="1" bestFit="1" customWidth="1"/>
    <col min="2" max="2" width="56.140625" style="6" customWidth="1"/>
    <col min="3" max="3" width="9.421875" style="6" bestFit="1" customWidth="1"/>
    <col min="4" max="4" width="10.8515625" style="6" bestFit="1" customWidth="1"/>
    <col min="5" max="5" width="11.00390625" style="6" bestFit="1" customWidth="1"/>
    <col min="6" max="6" width="9.8515625" style="6" customWidth="1"/>
    <col min="7" max="7" width="12.00390625" style="6" bestFit="1" customWidth="1"/>
    <col min="8" max="16384" width="9.8515625" style="6" customWidth="1"/>
  </cols>
  <sheetData>
    <row r="1" spans="2:5" ht="16.5">
      <c r="B1" s="2" t="s">
        <v>0</v>
      </c>
      <c r="C1" s="3"/>
      <c r="D1" s="4"/>
      <c r="E1" s="5">
        <f ca="1">NOW()</f>
        <v>42101.74606493056</v>
      </c>
    </row>
    <row r="2" spans="2:4" ht="13.5">
      <c r="B2" s="6" t="str">
        <f>'[16]Input Sheet'!B1</f>
        <v>May 2014 ACTUAL</v>
      </c>
      <c r="D2" s="7"/>
    </row>
    <row r="3" spans="2:4" ht="13.5">
      <c r="B3" s="8" t="s">
        <v>1</v>
      </c>
      <c r="D3" s="9"/>
    </row>
    <row r="4" ht="13.5">
      <c r="B4" s="8" t="s">
        <v>2</v>
      </c>
    </row>
    <row r="5" spans="2:4" ht="13.5">
      <c r="B5" s="3"/>
      <c r="D5" s="8"/>
    </row>
    <row r="6" spans="2:5" ht="13.5">
      <c r="B6" s="8" t="s">
        <v>3</v>
      </c>
      <c r="D6" s="10"/>
      <c r="E6" s="11" t="s">
        <v>4</v>
      </c>
    </row>
    <row r="7" ht="13.5">
      <c r="B7" s="3"/>
    </row>
    <row r="8" spans="2:5" ht="13.5">
      <c r="B8" s="12" t="s">
        <v>5</v>
      </c>
      <c r="C8" s="12" t="s">
        <v>6</v>
      </c>
      <c r="D8" s="13" t="s">
        <v>7</v>
      </c>
      <c r="E8" s="81" t="s">
        <v>8</v>
      </c>
    </row>
    <row r="9" spans="2:5" ht="13.5">
      <c r="B9" s="12"/>
      <c r="C9" s="14"/>
      <c r="D9" s="15" t="s">
        <v>9</v>
      </c>
      <c r="E9" s="14"/>
    </row>
    <row r="10" spans="1:2" ht="13.5">
      <c r="A10" s="16" t="s">
        <v>10</v>
      </c>
      <c r="B10" s="17" t="s">
        <v>11</v>
      </c>
    </row>
    <row r="11" spans="2:5" ht="13.5">
      <c r="B11" s="18" t="s">
        <v>98</v>
      </c>
      <c r="C11" s="19">
        <v>378896</v>
      </c>
      <c r="D11" s="19">
        <v>12354119.220000003</v>
      </c>
      <c r="E11" s="20">
        <f>IF((D11=0),0,(IF((C11=0),0,(D11/C11))))</f>
        <v>32.60556780752503</v>
      </c>
    </row>
    <row r="12" spans="2:8" ht="13.5">
      <c r="B12" s="8" t="s">
        <v>41</v>
      </c>
      <c r="C12" s="19">
        <v>317266</v>
      </c>
      <c r="D12" s="19">
        <v>7948457.9276662</v>
      </c>
      <c r="E12" s="20">
        <f>IF((D12=0),0,(IF((C12=0),0,(D12/C12))))</f>
        <v>25.052977399614836</v>
      </c>
      <c r="G12" s="35"/>
      <c r="H12" s="35"/>
    </row>
    <row r="13" spans="2:8" ht="13.5">
      <c r="B13" s="8" t="s">
        <v>42</v>
      </c>
      <c r="C13" s="19">
        <v>137997.74999999988</v>
      </c>
      <c r="D13" s="19">
        <v>3642665.233499998</v>
      </c>
      <c r="E13" s="20">
        <f>IF((D13=0),0,(IF((C13=0),0,(D13/C13))))</f>
        <v>26.396555259053144</v>
      </c>
      <c r="G13" s="35"/>
      <c r="H13" s="35"/>
    </row>
    <row r="14" spans="2:5" ht="13.5">
      <c r="B14" s="23" t="s">
        <v>12</v>
      </c>
      <c r="C14" s="24">
        <f>SUM(C11:C13)</f>
        <v>834159.7499999999</v>
      </c>
      <c r="D14" s="24">
        <f>SUM(D11:D13)</f>
        <v>23945242.381166197</v>
      </c>
      <c r="E14" s="25">
        <f>IF((D14=0),0,(IF((C14=0),0,(D14/C14))))</f>
        <v>28.70582329244033</v>
      </c>
    </row>
    <row r="15" spans="2:5" ht="13.5">
      <c r="B15" s="3"/>
      <c r="C15" s="19"/>
      <c r="D15" s="19"/>
      <c r="E15" s="20"/>
    </row>
    <row r="16" spans="1:5" ht="13.5">
      <c r="A16" s="16" t="s">
        <v>13</v>
      </c>
      <c r="B16" s="17" t="s">
        <v>14</v>
      </c>
      <c r="C16" s="19"/>
      <c r="D16" s="19"/>
      <c r="E16" s="20"/>
    </row>
    <row r="17" spans="2:5" ht="13.5">
      <c r="B17" s="8" t="s">
        <v>15</v>
      </c>
      <c r="C17" s="21">
        <v>74853.971</v>
      </c>
      <c r="D17" s="21">
        <v>3958473.4800000004</v>
      </c>
      <c r="E17" s="22">
        <f>IF((D17=0),0,(IF((C17=0),0,(D17/C17))))</f>
        <v>52.882611665318336</v>
      </c>
    </row>
    <row r="18" spans="2:5" ht="13.5">
      <c r="B18" s="23" t="s">
        <v>12</v>
      </c>
      <c r="C18" s="24">
        <f>SUM(C17:C17)</f>
        <v>74853.971</v>
      </c>
      <c r="D18" s="24">
        <f>SUM(D17:D17)</f>
        <v>3958473.4800000004</v>
      </c>
      <c r="E18" s="25">
        <f>IF((D18=0),0,(IF((C18=0),0,(D18/C18))))</f>
        <v>52.882611665318336</v>
      </c>
    </row>
    <row r="19" spans="2:5" ht="13.5">
      <c r="B19" s="3"/>
      <c r="C19" s="19"/>
      <c r="D19" s="19"/>
      <c r="E19" s="20"/>
    </row>
    <row r="20" spans="1:5" ht="13.5">
      <c r="A20" s="16" t="s">
        <v>16</v>
      </c>
      <c r="B20" s="17" t="s">
        <v>17</v>
      </c>
      <c r="C20" s="24">
        <f>C14+C18</f>
        <v>909013.7209999999</v>
      </c>
      <c r="D20" s="24">
        <f>D14+D18</f>
        <v>27903715.861166198</v>
      </c>
      <c r="E20" s="25">
        <f>IF((D20=0),0,(IF((C20=0),0,(D20/C20))))</f>
        <v>30.69669380839434</v>
      </c>
    </row>
    <row r="21" spans="2:5" ht="13.5">
      <c r="B21" s="3"/>
      <c r="C21" s="19"/>
      <c r="D21" s="19"/>
      <c r="E21" s="20"/>
    </row>
    <row r="22" spans="2:5" ht="13.5">
      <c r="B22" s="12" t="s">
        <v>18</v>
      </c>
      <c r="C22" s="19"/>
      <c r="D22" s="19"/>
      <c r="E22" s="20"/>
    </row>
    <row r="23" spans="2:5" ht="13.5">
      <c r="B23" s="12"/>
      <c r="C23" s="19"/>
      <c r="D23" s="19"/>
      <c r="E23" s="20"/>
    </row>
    <row r="24" spans="1:4" ht="13.5">
      <c r="A24" s="16" t="s">
        <v>19</v>
      </c>
      <c r="B24" s="17" t="s">
        <v>20</v>
      </c>
      <c r="D24" s="19"/>
    </row>
    <row r="25" spans="2:5" ht="13.5">
      <c r="B25" s="8" t="s">
        <v>21</v>
      </c>
      <c r="C25" s="26">
        <v>145291.38900000002</v>
      </c>
      <c r="D25" s="26">
        <v>3623221.882999998</v>
      </c>
      <c r="E25" s="27">
        <f>IF((D25=0),0,(IF((C25=0),0,(D25/C25))))</f>
        <v>24.937622992922158</v>
      </c>
    </row>
    <row r="26" spans="2:8" ht="13.5">
      <c r="B26" s="8" t="s">
        <v>41</v>
      </c>
      <c r="C26" s="26">
        <v>185182.73400000005</v>
      </c>
      <c r="D26" s="26">
        <v>4223742.761</v>
      </c>
      <c r="E26" s="27">
        <f>IF((D26=0),0,(IF((C26=0),0,(D26/C26))))</f>
        <v>22.808512811998977</v>
      </c>
      <c r="G26" s="35"/>
      <c r="H26" s="35"/>
    </row>
    <row r="27" spans="2:8" ht="13.5">
      <c r="B27" s="8" t="s">
        <v>42</v>
      </c>
      <c r="C27" s="19">
        <v>9656.808000000023</v>
      </c>
      <c r="D27" s="19">
        <v>287484.9830000006</v>
      </c>
      <c r="E27" s="20">
        <f>IF((D27=0),0,(IF((C27=0),0,(D27/C27))))</f>
        <v>29.770187312412126</v>
      </c>
      <c r="G27" s="35"/>
      <c r="H27" s="35"/>
    </row>
    <row r="28" spans="2:5" ht="13.5">
      <c r="B28" s="18" t="s">
        <v>22</v>
      </c>
      <c r="C28" s="21">
        <v>60890.55499999999</v>
      </c>
      <c r="D28" s="21">
        <v>3360256.9599999995</v>
      </c>
      <c r="E28" s="22">
        <v>55.185191857751995</v>
      </c>
    </row>
    <row r="29" spans="2:5" ht="13.5">
      <c r="B29" s="23" t="s">
        <v>12</v>
      </c>
      <c r="C29" s="24">
        <f>SUM(C25:C28)</f>
        <v>401021.4860000001</v>
      </c>
      <c r="D29" s="24">
        <f>SUM(D25:D28)</f>
        <v>11494706.586999997</v>
      </c>
      <c r="E29" s="25">
        <f>IF((D29=0),0,(IF((C29=0),0,(D29/C29))))</f>
        <v>28.663567884240486</v>
      </c>
    </row>
    <row r="30" spans="2:5" ht="13.5">
      <c r="B30" s="3"/>
      <c r="C30" s="19"/>
      <c r="D30" s="19"/>
      <c r="E30" s="20"/>
    </row>
    <row r="31" spans="1:5" ht="13.5">
      <c r="A31" s="16" t="s">
        <v>23</v>
      </c>
      <c r="B31" s="17" t="s">
        <v>24</v>
      </c>
      <c r="C31" s="24">
        <f>C20-C29</f>
        <v>507992.2349999998</v>
      </c>
      <c r="D31" s="24">
        <f>D20-D29</f>
        <v>16409009.2741662</v>
      </c>
      <c r="E31" s="25">
        <f>IF((D31=0),0,(IF((C31=0),0,(D31/C31))))</f>
        <v>32.30169310396291</v>
      </c>
    </row>
    <row r="32" spans="2:5" ht="13.5">
      <c r="B32" s="3"/>
      <c r="C32" s="19"/>
      <c r="D32" s="19"/>
      <c r="E32" s="20"/>
    </row>
    <row r="33" spans="1:5" ht="13.5">
      <c r="A33" s="16" t="s">
        <v>25</v>
      </c>
      <c r="B33" s="17" t="s">
        <v>26</v>
      </c>
      <c r="C33" s="24">
        <f>+C29+C31</f>
        <v>909013.7209999999</v>
      </c>
      <c r="D33" s="24">
        <f>+D29+D31</f>
        <v>27903715.861166198</v>
      </c>
      <c r="E33" s="25">
        <f>IF((D33=0),0,(IF((C33=0),0,(D33/C33))))</f>
        <v>30.69669380839434</v>
      </c>
    </row>
    <row r="34" spans="1:5" ht="13.5">
      <c r="A34" s="16"/>
      <c r="B34" s="8"/>
      <c r="C34" s="19"/>
      <c r="D34" s="19"/>
      <c r="E34" s="20"/>
    </row>
    <row r="35" spans="1:5" ht="13.5">
      <c r="A35" s="16"/>
      <c r="B35" s="8"/>
      <c r="C35" s="19"/>
      <c r="D35" s="19"/>
      <c r="E35" s="20"/>
    </row>
    <row r="36" spans="3:5" ht="13.5">
      <c r="C36" s="19"/>
      <c r="D36" s="19"/>
      <c r="E36" s="20"/>
    </row>
    <row r="37" spans="1:13" ht="13.5">
      <c r="A37" s="16" t="s">
        <v>27</v>
      </c>
      <c r="B37" s="8" t="s">
        <v>28</v>
      </c>
      <c r="C37" s="19">
        <f>C31</f>
        <v>507992.2349999998</v>
      </c>
      <c r="D37" s="19">
        <f>D31</f>
        <v>16409009.2741662</v>
      </c>
      <c r="E37" s="20">
        <f aca="true" t="shared" si="0" ref="E37:E43">IF((D37=0),0,(IF((C37=0),0,(D37/C37))))</f>
        <v>32.30169310396291</v>
      </c>
      <c r="G37" s="44"/>
      <c r="H37" s="35"/>
      <c r="K37" s="35"/>
      <c r="L37" s="35"/>
      <c r="M37" s="35"/>
    </row>
    <row r="38" spans="1:13" ht="14.25" thickBot="1">
      <c r="A38" s="16" t="s">
        <v>29</v>
      </c>
      <c r="B38" s="18" t="s">
        <v>30</v>
      </c>
      <c r="C38" s="26">
        <v>0</v>
      </c>
      <c r="D38" s="19">
        <v>0</v>
      </c>
      <c r="E38" s="20">
        <f t="shared" si="0"/>
        <v>0</v>
      </c>
      <c r="K38" s="35"/>
      <c r="L38" s="35"/>
      <c r="M38" s="35"/>
    </row>
    <row r="39" spans="1:13" ht="14.25" thickBot="1">
      <c r="A39" s="28" t="s">
        <v>31</v>
      </c>
      <c r="B39" s="29" t="s">
        <v>32</v>
      </c>
      <c r="C39" s="30">
        <f>SUM(C37:C38)</f>
        <v>507992.2349999998</v>
      </c>
      <c r="D39" s="30">
        <f>(SUM(D37))+D38</f>
        <v>16409009.2741662</v>
      </c>
      <c r="E39" s="31">
        <f t="shared" si="0"/>
        <v>32.30169310396291</v>
      </c>
      <c r="K39" s="35"/>
      <c r="L39" s="35"/>
      <c r="M39" s="35"/>
    </row>
    <row r="40" spans="1:13" ht="13.5">
      <c r="A40" s="16" t="s">
        <v>33</v>
      </c>
      <c r="B40" s="18" t="s">
        <v>45</v>
      </c>
      <c r="C40" s="26">
        <v>-1519.898959715907</v>
      </c>
      <c r="D40" s="19">
        <v>-134323.5893284634</v>
      </c>
      <c r="E40" s="20">
        <f t="shared" si="0"/>
        <v>88.37665719145606</v>
      </c>
      <c r="K40" s="35"/>
      <c r="L40" s="35"/>
      <c r="M40" s="35"/>
    </row>
    <row r="41" spans="1:13" ht="13.5">
      <c r="A41" s="16" t="s">
        <v>35</v>
      </c>
      <c r="B41" s="18" t="s">
        <v>46</v>
      </c>
      <c r="C41" s="26">
        <v>0</v>
      </c>
      <c r="D41" s="19">
        <v>0</v>
      </c>
      <c r="E41" s="20">
        <f t="shared" si="0"/>
        <v>0</v>
      </c>
      <c r="K41" s="35"/>
      <c r="L41" s="35"/>
      <c r="M41" s="35"/>
    </row>
    <row r="42" spans="1:13" ht="14.25" thickBot="1">
      <c r="A42" s="16" t="s">
        <v>37</v>
      </c>
      <c r="B42" s="8" t="s">
        <v>38</v>
      </c>
      <c r="C42" s="32">
        <v>0</v>
      </c>
      <c r="D42" s="26">
        <v>0</v>
      </c>
      <c r="E42" s="27">
        <f t="shared" si="0"/>
        <v>0</v>
      </c>
      <c r="K42" s="35"/>
      <c r="L42" s="35"/>
      <c r="M42" s="35"/>
    </row>
    <row r="43" spans="1:13" ht="14.25" thickBot="1">
      <c r="A43" s="28" t="s">
        <v>39</v>
      </c>
      <c r="B43" s="29" t="s">
        <v>40</v>
      </c>
      <c r="C43" s="33">
        <f>C37+C38+C40+C41</f>
        <v>506472.3360402839</v>
      </c>
      <c r="D43" s="33">
        <f>D37+D38+D40+D41</f>
        <v>16274685.684837736</v>
      </c>
      <c r="E43" s="34">
        <f t="shared" si="0"/>
        <v>32.133414851592754</v>
      </c>
      <c r="K43" s="35"/>
      <c r="L43" s="35"/>
      <c r="M43" s="35"/>
    </row>
    <row r="44" spans="1:5" ht="14.25">
      <c r="A44" s="36" t="s">
        <v>4</v>
      </c>
      <c r="B44" s="37" t="s">
        <v>4</v>
      </c>
      <c r="C44" s="37"/>
      <c r="D44" s="37"/>
      <c r="E44" s="37"/>
    </row>
    <row r="45" spans="1:5" ht="15.75">
      <c r="A45"/>
      <c r="B45" s="38" t="s">
        <v>4</v>
      </c>
      <c r="C45"/>
      <c r="D45"/>
      <c r="E45"/>
    </row>
    <row r="46" spans="2:5" ht="13.5">
      <c r="B46" s="6" t="s">
        <v>99</v>
      </c>
      <c r="C46" s="19"/>
      <c r="D46" s="19"/>
      <c r="E46" s="39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3.28125" style="1" bestFit="1" customWidth="1"/>
    <col min="2" max="2" width="56.140625" style="6" customWidth="1"/>
    <col min="3" max="3" width="9.421875" style="6" bestFit="1" customWidth="1"/>
    <col min="4" max="4" width="10.8515625" style="6" bestFit="1" customWidth="1"/>
    <col min="5" max="5" width="11.00390625" style="6" bestFit="1" customWidth="1"/>
    <col min="6" max="6" width="9.8515625" style="6" customWidth="1"/>
    <col min="7" max="7" width="12.00390625" style="6" bestFit="1" customWidth="1"/>
    <col min="8" max="16384" width="9.8515625" style="6" customWidth="1"/>
  </cols>
  <sheetData>
    <row r="1" spans="2:5" ht="16.5">
      <c r="B1" s="2" t="s">
        <v>0</v>
      </c>
      <c r="C1" s="3"/>
      <c r="D1" s="4"/>
      <c r="E1" s="5">
        <f ca="1">NOW()</f>
        <v>42101.74606493056</v>
      </c>
    </row>
    <row r="2" spans="2:4" ht="13.5">
      <c r="B2" s="6" t="str">
        <f>'[20]Input Sheet'!B1</f>
        <v>June 2014 ACTUAL</v>
      </c>
      <c r="D2" s="7"/>
    </row>
    <row r="3" spans="2:4" ht="13.5">
      <c r="B3" s="8" t="s">
        <v>1</v>
      </c>
      <c r="D3" s="9"/>
    </row>
    <row r="4" ht="13.5">
      <c r="B4" s="8" t="s">
        <v>2</v>
      </c>
    </row>
    <row r="5" spans="2:4" ht="13.5">
      <c r="B5" s="3"/>
      <c r="D5" s="8"/>
    </row>
    <row r="6" spans="2:5" ht="13.5">
      <c r="B6" s="8" t="s">
        <v>3</v>
      </c>
      <c r="D6" s="10"/>
      <c r="E6" s="11" t="s">
        <v>4</v>
      </c>
    </row>
    <row r="7" ht="13.5">
      <c r="B7" s="3"/>
    </row>
    <row r="8" spans="2:6" ht="13.5">
      <c r="B8" s="12" t="s">
        <v>5</v>
      </c>
      <c r="C8" s="12" t="s">
        <v>6</v>
      </c>
      <c r="D8" s="13" t="s">
        <v>7</v>
      </c>
      <c r="E8" s="81" t="s">
        <v>8</v>
      </c>
      <c r="F8" s="82"/>
    </row>
    <row r="9" spans="2:5" ht="13.5">
      <c r="B9" s="12"/>
      <c r="C9" s="14"/>
      <c r="D9" s="15" t="s">
        <v>9</v>
      </c>
      <c r="E9" s="14"/>
    </row>
    <row r="10" spans="1:2" ht="13.5">
      <c r="A10" s="16" t="s">
        <v>10</v>
      </c>
      <c r="B10" s="17" t="s">
        <v>11</v>
      </c>
    </row>
    <row r="11" spans="2:5" ht="13.5">
      <c r="B11" s="18" t="s">
        <v>98</v>
      </c>
      <c r="C11" s="19">
        <v>574116</v>
      </c>
      <c r="D11" s="19">
        <v>17404939.77</v>
      </c>
      <c r="E11" s="20">
        <f>IF((D11=0),0,(IF((C11=0),0,(D11/C11))))</f>
        <v>30.316068129088894</v>
      </c>
    </row>
    <row r="12" spans="2:8" ht="13.5">
      <c r="B12" s="8" t="s">
        <v>41</v>
      </c>
      <c r="C12" s="19">
        <v>349479</v>
      </c>
      <c r="D12" s="19">
        <v>9018211.178287901</v>
      </c>
      <c r="E12" s="20">
        <f>IF((D12=0),0,(IF((C12=0),0,(D12/C12))))</f>
        <v>25.804729835806732</v>
      </c>
      <c r="G12" s="35"/>
      <c r="H12" s="35"/>
    </row>
    <row r="13" spans="2:8" ht="13.5">
      <c r="B13" s="8" t="s">
        <v>42</v>
      </c>
      <c r="C13" s="19">
        <v>215782.50000000017</v>
      </c>
      <c r="D13" s="19">
        <v>5670449.590500005</v>
      </c>
      <c r="E13" s="20">
        <f>IF((D13=0),0,(IF((C13=0),0,(D13/C13))))</f>
        <v>26.278542469848112</v>
      </c>
      <c r="G13" s="35"/>
      <c r="H13" s="35"/>
    </row>
    <row r="14" spans="2:5" ht="13.5">
      <c r="B14" s="23" t="s">
        <v>12</v>
      </c>
      <c r="C14" s="24">
        <f>SUM(C11:C13)</f>
        <v>1139377.5000000002</v>
      </c>
      <c r="D14" s="24">
        <f>SUM(D11:D13)</f>
        <v>32093600.538787905</v>
      </c>
      <c r="E14" s="25">
        <f>IF((D14=0),0,(IF((C14=0),0,(D14/C14))))</f>
        <v>28.167662200445328</v>
      </c>
    </row>
    <row r="15" spans="2:5" ht="13.5">
      <c r="B15" s="3"/>
      <c r="C15" s="19"/>
      <c r="D15" s="19"/>
      <c r="E15" s="20"/>
    </row>
    <row r="16" spans="1:5" ht="13.5">
      <c r="A16" s="16" t="s">
        <v>13</v>
      </c>
      <c r="B16" s="17" t="s">
        <v>14</v>
      </c>
      <c r="C16" s="19"/>
      <c r="D16" s="19"/>
      <c r="E16" s="20"/>
    </row>
    <row r="17" spans="2:5" ht="13.5">
      <c r="B17" s="8" t="s">
        <v>15</v>
      </c>
      <c r="C17" s="21">
        <v>74632.903</v>
      </c>
      <c r="D17" s="21">
        <v>3301338</v>
      </c>
      <c r="E17" s="22">
        <f>IF((D17=0),0,(IF((C17=0),0,(D17/C17))))</f>
        <v>44.23435063218698</v>
      </c>
    </row>
    <row r="18" spans="2:5" ht="13.5">
      <c r="B18" s="23" t="s">
        <v>12</v>
      </c>
      <c r="C18" s="24">
        <f>SUM(C17:C17)</f>
        <v>74632.903</v>
      </c>
      <c r="D18" s="24">
        <f>SUM(D17:D17)</f>
        <v>3301338</v>
      </c>
      <c r="E18" s="25">
        <f>IF((D18=0),0,(IF((C18=0),0,(D18/C18))))</f>
        <v>44.23435063218698</v>
      </c>
    </row>
    <row r="19" spans="2:5" ht="13.5">
      <c r="B19" s="3"/>
      <c r="C19" s="19"/>
      <c r="D19" s="19"/>
      <c r="E19" s="20"/>
    </row>
    <row r="20" spans="1:5" ht="13.5">
      <c r="A20" s="16" t="s">
        <v>16</v>
      </c>
      <c r="B20" s="17" t="s">
        <v>17</v>
      </c>
      <c r="C20" s="24">
        <f>C14+C18</f>
        <v>1214010.4030000002</v>
      </c>
      <c r="D20" s="24">
        <f>D14+D18</f>
        <v>35394938.5387879</v>
      </c>
      <c r="E20" s="25">
        <f>IF((D20=0),0,(IF((C20=0),0,(D20/C20))))</f>
        <v>29.155383225153383</v>
      </c>
    </row>
    <row r="21" spans="2:5" ht="13.5">
      <c r="B21" s="3"/>
      <c r="C21" s="19"/>
      <c r="D21" s="19"/>
      <c r="E21" s="20"/>
    </row>
    <row r="22" spans="2:5" ht="13.5">
      <c r="B22" s="12" t="s">
        <v>18</v>
      </c>
      <c r="C22" s="19"/>
      <c r="D22" s="19"/>
      <c r="E22" s="20"/>
    </row>
    <row r="23" spans="2:5" ht="13.5">
      <c r="B23" s="12"/>
      <c r="C23" s="19"/>
      <c r="D23" s="19"/>
      <c r="E23" s="20"/>
    </row>
    <row r="24" spans="1:4" ht="13.5">
      <c r="A24" s="16" t="s">
        <v>19</v>
      </c>
      <c r="B24" s="17" t="s">
        <v>20</v>
      </c>
      <c r="D24" s="19"/>
    </row>
    <row r="25" spans="2:5" ht="13.5">
      <c r="B25" s="8" t="s">
        <v>21</v>
      </c>
      <c r="C25" s="26">
        <v>322770.6040000001</v>
      </c>
      <c r="D25" s="26">
        <v>7792177.908999998</v>
      </c>
      <c r="E25" s="27">
        <f>IF((D25=0),0,(IF((C25=0),0,(D25/C25))))</f>
        <v>24.141535234106993</v>
      </c>
    </row>
    <row r="26" spans="2:8" ht="13.5">
      <c r="B26" s="8" t="s">
        <v>41</v>
      </c>
      <c r="C26" s="26">
        <v>160259.64899999992</v>
      </c>
      <c r="D26" s="26">
        <v>2970672.6670000013</v>
      </c>
      <c r="E26" s="27">
        <f>IF((D26=0),0,(IF((C26=0),0,(D26/C26))))</f>
        <v>18.536622821381588</v>
      </c>
      <c r="G26" s="35"/>
      <c r="H26" s="35"/>
    </row>
    <row r="27" spans="2:8" ht="13.5">
      <c r="B27" s="8" t="s">
        <v>42</v>
      </c>
      <c r="C27" s="19">
        <v>118807.63899999998</v>
      </c>
      <c r="D27" s="19">
        <v>2753928.8089999985</v>
      </c>
      <c r="E27" s="20">
        <f>IF((D27=0),0,(IF((C27=0),0,(D27/C27))))</f>
        <v>23.179728443219034</v>
      </c>
      <c r="G27" s="35"/>
      <c r="H27" s="35"/>
    </row>
    <row r="28" spans="2:5" ht="13.5">
      <c r="B28" s="18" t="s">
        <v>22</v>
      </c>
      <c r="C28" s="21">
        <v>73983.855</v>
      </c>
      <c r="D28" s="21">
        <v>3293074.88</v>
      </c>
      <c r="E28" s="22">
        <v>44.51072304896791</v>
      </c>
    </row>
    <row r="29" spans="2:5" ht="13.5">
      <c r="B29" s="23" t="s">
        <v>12</v>
      </c>
      <c r="C29" s="24">
        <f>SUM(C25:C28)</f>
        <v>675821.747</v>
      </c>
      <c r="D29" s="24">
        <f>SUM(D25:D28)</f>
        <v>16809854.264999997</v>
      </c>
      <c r="E29" s="25">
        <f>IF((D29=0),0,(IF((C29=0),0,(D29/C29))))</f>
        <v>24.873207083997546</v>
      </c>
    </row>
    <row r="30" spans="2:5" ht="13.5">
      <c r="B30" s="3"/>
      <c r="C30" s="19"/>
      <c r="D30" s="19"/>
      <c r="E30" s="20"/>
    </row>
    <row r="31" spans="1:5" ht="13.5">
      <c r="A31" s="16" t="s">
        <v>23</v>
      </c>
      <c r="B31" s="17" t="s">
        <v>24</v>
      </c>
      <c r="C31" s="24">
        <f>C20-C29</f>
        <v>538188.6560000002</v>
      </c>
      <c r="D31" s="24">
        <f>D20-D29</f>
        <v>18585084.273787905</v>
      </c>
      <c r="E31" s="25">
        <f>IF((D31=0),0,(IF((C31=0),0,(D31/C31))))</f>
        <v>34.532657027590524</v>
      </c>
    </row>
    <row r="32" spans="2:5" ht="13.5">
      <c r="B32" s="3"/>
      <c r="C32" s="19"/>
      <c r="D32" s="19"/>
      <c r="E32" s="20"/>
    </row>
    <row r="33" spans="1:5" ht="13.5">
      <c r="A33" s="16" t="s">
        <v>25</v>
      </c>
      <c r="B33" s="17" t="s">
        <v>26</v>
      </c>
      <c r="C33" s="24">
        <f>+C29+C31</f>
        <v>1214010.4030000002</v>
      </c>
      <c r="D33" s="24">
        <f>+D29+D31</f>
        <v>35394938.5387879</v>
      </c>
      <c r="E33" s="25">
        <f>IF((D33=0),0,(IF((C33=0),0,(D33/C33))))</f>
        <v>29.155383225153383</v>
      </c>
    </row>
    <row r="34" spans="1:5" ht="13.5">
      <c r="A34" s="16"/>
      <c r="B34" s="8"/>
      <c r="C34" s="19"/>
      <c r="D34" s="19"/>
      <c r="E34" s="20"/>
    </row>
    <row r="35" spans="1:5" ht="13.5">
      <c r="A35" s="16"/>
      <c r="B35" s="8"/>
      <c r="C35" s="19"/>
      <c r="D35" s="19"/>
      <c r="E35" s="20"/>
    </row>
    <row r="36" spans="3:5" ht="13.5">
      <c r="C36" s="19"/>
      <c r="D36" s="19"/>
      <c r="E36" s="20"/>
    </row>
    <row r="37" spans="1:13" ht="13.5">
      <c r="A37" s="16" t="s">
        <v>27</v>
      </c>
      <c r="B37" s="8" t="s">
        <v>28</v>
      </c>
      <c r="C37" s="19">
        <f>C31</f>
        <v>538188.6560000002</v>
      </c>
      <c r="D37" s="19">
        <f>D31</f>
        <v>18585084.273787905</v>
      </c>
      <c r="E37" s="20">
        <f aca="true" t="shared" si="0" ref="E37:E43">IF((D37=0),0,(IF((C37=0),0,(D37/C37))))</f>
        <v>34.532657027590524</v>
      </c>
      <c r="G37" s="44"/>
      <c r="K37" s="35"/>
      <c r="L37" s="35"/>
      <c r="M37" s="35"/>
    </row>
    <row r="38" spans="1:13" ht="14.25" thickBot="1">
      <c r="A38" s="16" t="s">
        <v>29</v>
      </c>
      <c r="B38" s="18" t="s">
        <v>30</v>
      </c>
      <c r="C38" s="26">
        <v>0</v>
      </c>
      <c r="D38" s="19">
        <v>0</v>
      </c>
      <c r="E38" s="20">
        <f t="shared" si="0"/>
        <v>0</v>
      </c>
      <c r="K38" s="35"/>
      <c r="L38" s="35"/>
      <c r="M38" s="35"/>
    </row>
    <row r="39" spans="1:13" ht="14.25" thickBot="1">
      <c r="A39" s="28" t="s">
        <v>31</v>
      </c>
      <c r="B39" s="29" t="s">
        <v>32</v>
      </c>
      <c r="C39" s="30">
        <f>SUM(C37:C38)</f>
        <v>538188.6560000002</v>
      </c>
      <c r="D39" s="30">
        <f>(SUM(D37))+D38</f>
        <v>18585084.273787905</v>
      </c>
      <c r="E39" s="31">
        <f t="shared" si="0"/>
        <v>34.532657027590524</v>
      </c>
      <c r="K39" s="35"/>
      <c r="L39" s="35"/>
      <c r="M39" s="35"/>
    </row>
    <row r="40" spans="1:13" ht="13.5">
      <c r="A40" s="16" t="s">
        <v>33</v>
      </c>
      <c r="B40" s="18" t="s">
        <v>45</v>
      </c>
      <c r="C40" s="26">
        <v>-721.73</v>
      </c>
      <c r="D40" s="19">
        <v>-27468.82</v>
      </c>
      <c r="E40" s="20">
        <v>38.059689911739845</v>
      </c>
      <c r="K40" s="35"/>
      <c r="L40" s="35"/>
      <c r="M40" s="35"/>
    </row>
    <row r="41" spans="1:13" ht="13.5">
      <c r="A41" s="16" t="s">
        <v>35</v>
      </c>
      <c r="B41" s="18" t="s">
        <v>46</v>
      </c>
      <c r="C41" s="26">
        <v>0</v>
      </c>
      <c r="D41" s="19">
        <v>0</v>
      </c>
      <c r="E41" s="20">
        <f t="shared" si="0"/>
        <v>0</v>
      </c>
      <c r="K41" s="35"/>
      <c r="L41" s="35"/>
      <c r="M41" s="35"/>
    </row>
    <row r="42" spans="1:13" ht="14.25" thickBot="1">
      <c r="A42" s="16" t="s">
        <v>37</v>
      </c>
      <c r="B42" s="8" t="s">
        <v>38</v>
      </c>
      <c r="C42" s="32">
        <v>0</v>
      </c>
      <c r="D42" s="26">
        <v>0</v>
      </c>
      <c r="E42" s="27">
        <f t="shared" si="0"/>
        <v>0</v>
      </c>
      <c r="K42" s="35"/>
      <c r="L42" s="35"/>
      <c r="M42" s="35"/>
    </row>
    <row r="43" spans="1:13" ht="14.25" thickBot="1">
      <c r="A43" s="28" t="s">
        <v>39</v>
      </c>
      <c r="B43" s="29" t="s">
        <v>40</v>
      </c>
      <c r="C43" s="33">
        <f>C37+C38+C40+C41</f>
        <v>537466.9260000002</v>
      </c>
      <c r="D43" s="33">
        <f>D37+D38+D40+D41</f>
        <v>18557615.453787904</v>
      </c>
      <c r="E43" s="34">
        <f t="shared" si="0"/>
        <v>34.52792080044735</v>
      </c>
      <c r="K43" s="35"/>
      <c r="L43" s="35"/>
      <c r="M43" s="35"/>
    </row>
    <row r="44" spans="1:5" ht="14.25">
      <c r="A44" s="36" t="s">
        <v>4</v>
      </c>
      <c r="B44" s="37" t="s">
        <v>4</v>
      </c>
      <c r="C44" s="37"/>
      <c r="D44" s="37"/>
      <c r="E44" s="37"/>
    </row>
    <row r="45" spans="1:5" ht="15.75">
      <c r="A45"/>
      <c r="B45" s="38" t="s">
        <v>4</v>
      </c>
      <c r="C45"/>
      <c r="D45"/>
      <c r="E45"/>
    </row>
    <row r="46" spans="2:5" ht="13.5">
      <c r="B46" s="3"/>
      <c r="C46" s="19"/>
      <c r="D46" s="19"/>
      <c r="E46" s="39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H32" sqref="H32"/>
    </sheetView>
  </sheetViews>
  <sheetFormatPr defaultColWidth="9.8515625" defaultRowHeight="15"/>
  <cols>
    <col min="1" max="1" width="3.28125" style="1" bestFit="1" customWidth="1"/>
    <col min="2" max="2" width="56.140625" style="6" customWidth="1"/>
    <col min="3" max="3" width="9.421875" style="6" bestFit="1" customWidth="1"/>
    <col min="4" max="4" width="10.8515625" style="6" bestFit="1" customWidth="1"/>
    <col min="5" max="5" width="11.00390625" style="6" bestFit="1" customWidth="1"/>
    <col min="6" max="6" width="9.8515625" style="6" customWidth="1"/>
    <col min="7" max="7" width="12.00390625" style="6" bestFit="1" customWidth="1"/>
    <col min="8" max="16384" width="9.8515625" style="6" customWidth="1"/>
  </cols>
  <sheetData>
    <row r="1" spans="2:5" ht="16.5">
      <c r="B1" s="2" t="s">
        <v>0</v>
      </c>
      <c r="C1" s="3"/>
      <c r="D1" s="4"/>
      <c r="E1" s="5">
        <f ca="1">NOW()</f>
        <v>42101.74606493056</v>
      </c>
    </row>
    <row r="2" spans="2:4" ht="13.5">
      <c r="B2" s="6" t="str">
        <f>'[17]Input Sheet'!B1</f>
        <v>July 2014 ACTUAL</v>
      </c>
      <c r="D2" s="7"/>
    </row>
    <row r="3" spans="2:4" ht="13.5">
      <c r="B3" s="8" t="s">
        <v>1</v>
      </c>
      <c r="D3" s="9"/>
    </row>
    <row r="4" ht="13.5">
      <c r="B4" s="8" t="s">
        <v>2</v>
      </c>
    </row>
    <row r="5" spans="2:4" ht="13.5">
      <c r="B5" s="3"/>
      <c r="D5" s="8"/>
    </row>
    <row r="6" spans="2:5" ht="13.5">
      <c r="B6" s="8" t="s">
        <v>3</v>
      </c>
      <c r="D6" s="10"/>
      <c r="E6" s="11" t="s">
        <v>4</v>
      </c>
    </row>
    <row r="7" ht="13.5">
      <c r="B7" s="3"/>
    </row>
    <row r="8" spans="2:6" ht="13.5">
      <c r="B8" s="12" t="s">
        <v>5</v>
      </c>
      <c r="C8" s="12" t="s">
        <v>6</v>
      </c>
      <c r="D8" s="83" t="s">
        <v>7</v>
      </c>
      <c r="E8" s="81" t="s">
        <v>8</v>
      </c>
      <c r="F8" s="82"/>
    </row>
    <row r="9" spans="2:5" ht="13.5">
      <c r="B9" s="12"/>
      <c r="C9" s="14"/>
      <c r="D9" s="15" t="s">
        <v>9</v>
      </c>
      <c r="E9" s="14"/>
    </row>
    <row r="10" spans="1:2" ht="13.5">
      <c r="A10" s="16" t="s">
        <v>10</v>
      </c>
      <c r="B10" s="17" t="s">
        <v>11</v>
      </c>
    </row>
    <row r="11" spans="2:5" ht="13.5">
      <c r="B11" s="18" t="s">
        <v>98</v>
      </c>
      <c r="C11" s="19">
        <f>'[17]Input Sheet'!C20</f>
        <v>465645</v>
      </c>
      <c r="D11" s="19">
        <f>'[17]Input Sheet'!C150</f>
        <v>13851169.559999999</v>
      </c>
      <c r="E11" s="20">
        <f>IF((D11=0),0,(IF((C11=0),0,(D11/C11))))</f>
        <v>29.746200560512833</v>
      </c>
    </row>
    <row r="12" spans="2:8" ht="13.5">
      <c r="B12" s="8" t="s">
        <v>41</v>
      </c>
      <c r="C12" s="19">
        <v>432602</v>
      </c>
      <c r="D12" s="19">
        <v>11034901.933142398</v>
      </c>
      <c r="E12" s="20">
        <f>IF((D12=0),0,(IF((C12=0),0,(D12/C12))))</f>
        <v>25.508208314206588</v>
      </c>
      <c r="G12" s="35"/>
      <c r="H12" s="35"/>
    </row>
    <row r="13" spans="2:8" ht="13.5">
      <c r="B13" s="8" t="s">
        <v>42</v>
      </c>
      <c r="C13" s="19">
        <v>202669.0499999998</v>
      </c>
      <c r="D13" s="19">
        <v>5131807.280999996</v>
      </c>
      <c r="E13" s="20">
        <f>IF((D13=0),0,(IF((C13=0),0,(D13/C13))))</f>
        <v>25.32111973189789</v>
      </c>
      <c r="G13" s="35"/>
      <c r="H13" s="35"/>
    </row>
    <row r="14" spans="2:5" ht="13.5">
      <c r="B14" s="23" t="s">
        <v>12</v>
      </c>
      <c r="C14" s="24">
        <f>SUM(C11:C13)</f>
        <v>1100916.0499999998</v>
      </c>
      <c r="D14" s="24">
        <f>SUM(D11:D13)</f>
        <v>30017878.774142392</v>
      </c>
      <c r="E14" s="25">
        <f>IF((D14=0),0,(IF((C14=0),0,(D14/C14))))</f>
        <v>27.26627409432572</v>
      </c>
    </row>
    <row r="15" spans="2:5" ht="13.5">
      <c r="B15" s="3"/>
      <c r="C15" s="19"/>
      <c r="D15" s="19"/>
      <c r="E15" s="20"/>
    </row>
    <row r="16" spans="1:5" ht="13.5">
      <c r="A16" s="16" t="s">
        <v>13</v>
      </c>
      <c r="B16" s="17" t="s">
        <v>14</v>
      </c>
      <c r="C16" s="19"/>
      <c r="D16" s="19"/>
      <c r="E16" s="20"/>
    </row>
    <row r="17" spans="2:5" ht="13.5">
      <c r="B17" s="8" t="s">
        <v>15</v>
      </c>
      <c r="C17" s="21">
        <f>'[17]Input Sheet'!C56</f>
        <v>89330.635</v>
      </c>
      <c r="D17" s="21">
        <f>'[17]Input Sheet'!C58</f>
        <v>3079256.54</v>
      </c>
      <c r="E17" s="22">
        <f>IF((D17=0),0,(IF((C17=0),0,(D17/C17))))</f>
        <v>34.470330810925056</v>
      </c>
    </row>
    <row r="18" spans="2:5" ht="13.5">
      <c r="B18" s="23" t="s">
        <v>12</v>
      </c>
      <c r="C18" s="24">
        <f>SUM(C17:C17)</f>
        <v>89330.635</v>
      </c>
      <c r="D18" s="24">
        <f>SUM(D17:D17)</f>
        <v>3079256.54</v>
      </c>
      <c r="E18" s="25">
        <f>IF((D18=0),0,(IF((C18=0),0,(D18/C18))))</f>
        <v>34.470330810925056</v>
      </c>
    </row>
    <row r="19" spans="2:5" ht="13.5">
      <c r="B19" s="3"/>
      <c r="C19" s="19"/>
      <c r="D19" s="19"/>
      <c r="E19" s="20"/>
    </row>
    <row r="20" spans="1:5" ht="13.5">
      <c r="A20" s="16" t="s">
        <v>16</v>
      </c>
      <c r="B20" s="17" t="s">
        <v>17</v>
      </c>
      <c r="C20" s="24">
        <f>C14+C18</f>
        <v>1190246.6849999998</v>
      </c>
      <c r="D20" s="24">
        <f>D14+D18</f>
        <v>33097135.31414239</v>
      </c>
      <c r="E20" s="25">
        <f>IF((D20=0),0,(IF((C20=0),0,(D20/C20))))</f>
        <v>27.80695441646401</v>
      </c>
    </row>
    <row r="21" spans="2:5" ht="13.5">
      <c r="B21" s="3"/>
      <c r="C21" s="19"/>
      <c r="D21" s="19"/>
      <c r="E21" s="20"/>
    </row>
    <row r="22" spans="2:5" ht="13.5">
      <c r="B22" s="12" t="s">
        <v>18</v>
      </c>
      <c r="C22" s="19"/>
      <c r="D22" s="19"/>
      <c r="E22" s="20"/>
    </row>
    <row r="23" spans="2:5" ht="13.5">
      <c r="B23" s="12"/>
      <c r="C23" s="19"/>
      <c r="D23" s="19"/>
      <c r="E23" s="20"/>
    </row>
    <row r="24" spans="1:4" ht="13.5">
      <c r="A24" s="16" t="s">
        <v>19</v>
      </c>
      <c r="B24" s="17" t="s">
        <v>20</v>
      </c>
      <c r="D24" s="19"/>
    </row>
    <row r="25" spans="2:5" ht="13.5">
      <c r="B25" s="8" t="s">
        <v>21</v>
      </c>
      <c r="C25" s="26">
        <f>'[17]Input Sheet'!C83</f>
        <v>245957.70500000013</v>
      </c>
      <c r="D25" s="26">
        <f>'[17]Input Sheet'!C84</f>
        <v>5538335.943000003</v>
      </c>
      <c r="E25" s="27">
        <f>IF((D25=0),0,(IF((C25=0),0,(D25/C25))))</f>
        <v>22.517432186155744</v>
      </c>
    </row>
    <row r="26" spans="2:8" ht="13.5">
      <c r="B26" s="8" t="s">
        <v>41</v>
      </c>
      <c r="C26" s="26">
        <v>202953.1329999999</v>
      </c>
      <c r="D26" s="26">
        <v>3989923.049999999</v>
      </c>
      <c r="E26" s="27">
        <f>IF((D26=0),0,(IF((C26=0),0,(D26/C26))))</f>
        <v>19.65933213753345</v>
      </c>
      <c r="G26" s="35"/>
      <c r="H26" s="35"/>
    </row>
    <row r="27" spans="2:8" ht="13.5">
      <c r="B27" s="8" t="s">
        <v>42</v>
      </c>
      <c r="C27" s="19">
        <v>103118.50800000002</v>
      </c>
      <c r="D27" s="19">
        <v>2280461.8709999984</v>
      </c>
      <c r="E27" s="133">
        <f>IF((D27=0),0,(IF((C27=0),0,(D27/C27))))</f>
        <v>22.114961855344127</v>
      </c>
      <c r="G27" s="35"/>
      <c r="H27" s="35"/>
    </row>
    <row r="28" spans="2:5" ht="13.5">
      <c r="B28" s="18" t="s">
        <v>22</v>
      </c>
      <c r="C28" s="21">
        <v>86357.735</v>
      </c>
      <c r="D28" s="21">
        <v>3035862.65</v>
      </c>
      <c r="E28" s="22">
        <v>35.154496004324336</v>
      </c>
    </row>
    <row r="29" spans="2:5" ht="13.5">
      <c r="B29" s="23" t="s">
        <v>12</v>
      </c>
      <c r="C29" s="24">
        <f>SUM(C25:C28)</f>
        <v>638387.081</v>
      </c>
      <c r="D29" s="24">
        <f>SUM(D25:D28)</f>
        <v>14844583.514</v>
      </c>
      <c r="E29" s="25">
        <f>IF((D29=0),0,(IF((C29=0),0,(D29/C29))))</f>
        <v>23.25326429029036</v>
      </c>
    </row>
    <row r="30" spans="2:5" ht="13.5">
      <c r="B30" s="3"/>
      <c r="C30" s="19"/>
      <c r="D30" s="19"/>
      <c r="E30" s="20"/>
    </row>
    <row r="31" spans="1:5" ht="13.5">
      <c r="A31" s="16" t="s">
        <v>23</v>
      </c>
      <c r="B31" s="17" t="s">
        <v>24</v>
      </c>
      <c r="C31" s="24">
        <f>C20-C29</f>
        <v>551859.6039999998</v>
      </c>
      <c r="D31" s="24">
        <f>D20-D29</f>
        <v>18252551.800142393</v>
      </c>
      <c r="E31" s="25">
        <f>IF((D31=0),0,(IF((C31=0),0,(D31/C31))))</f>
        <v>33.07462924962052</v>
      </c>
    </row>
    <row r="32" spans="2:5" ht="13.5">
      <c r="B32" s="3"/>
      <c r="C32" s="19"/>
      <c r="D32" s="19"/>
      <c r="E32" s="20"/>
    </row>
    <row r="33" spans="1:5" ht="13.5">
      <c r="A33" s="16" t="s">
        <v>25</v>
      </c>
      <c r="B33" s="17" t="s">
        <v>26</v>
      </c>
      <c r="C33" s="24">
        <f>+C29+C31</f>
        <v>1190246.6849999998</v>
      </c>
      <c r="D33" s="24">
        <f>+D29+D31</f>
        <v>33097135.31414239</v>
      </c>
      <c r="E33" s="25">
        <f>IF((D33=0),0,(IF((C33=0),0,(D33/C33))))</f>
        <v>27.80695441646401</v>
      </c>
    </row>
    <row r="34" spans="1:5" ht="13.5">
      <c r="A34" s="16"/>
      <c r="B34" s="8"/>
      <c r="C34" s="19"/>
      <c r="D34" s="19"/>
      <c r="E34" s="20"/>
    </row>
    <row r="35" spans="1:5" ht="13.5">
      <c r="A35" s="16"/>
      <c r="B35" s="8"/>
      <c r="C35" s="19"/>
      <c r="D35" s="19"/>
      <c r="E35" s="20"/>
    </row>
    <row r="36" spans="3:5" ht="13.5">
      <c r="C36" s="19"/>
      <c r="D36" s="19"/>
      <c r="E36" s="20"/>
    </row>
    <row r="37" spans="1:13" ht="13.5">
      <c r="A37" s="16" t="s">
        <v>27</v>
      </c>
      <c r="B37" s="8" t="s">
        <v>28</v>
      </c>
      <c r="C37" s="19">
        <f>C31</f>
        <v>551859.6039999998</v>
      </c>
      <c r="D37" s="19">
        <f>D31</f>
        <v>18252551.800142393</v>
      </c>
      <c r="E37" s="20">
        <f aca="true" t="shared" si="0" ref="E37:E43">IF((D37=0),0,(IF((C37=0),0,(D37/C37))))</f>
        <v>33.07462924962052</v>
      </c>
      <c r="G37" s="44"/>
      <c r="K37" s="35"/>
      <c r="L37" s="35"/>
      <c r="M37" s="35"/>
    </row>
    <row r="38" spans="1:13" ht="14.25" thickBot="1">
      <c r="A38" s="16" t="s">
        <v>29</v>
      </c>
      <c r="B38" s="18" t="s">
        <v>30</v>
      </c>
      <c r="C38" s="26">
        <v>0</v>
      </c>
      <c r="D38" s="19">
        <v>0</v>
      </c>
      <c r="E38" s="20">
        <f t="shared" si="0"/>
        <v>0</v>
      </c>
      <c r="K38" s="35"/>
      <c r="L38" s="35"/>
      <c r="M38" s="35"/>
    </row>
    <row r="39" spans="1:13" ht="14.25" thickBot="1">
      <c r="A39" s="28" t="s">
        <v>31</v>
      </c>
      <c r="B39" s="29" t="s">
        <v>32</v>
      </c>
      <c r="C39" s="30">
        <f>SUM(C37:C38)</f>
        <v>551859.6039999998</v>
      </c>
      <c r="D39" s="30">
        <f>(SUM(D37))+D38</f>
        <v>18252551.800142393</v>
      </c>
      <c r="E39" s="31">
        <f t="shared" si="0"/>
        <v>33.07462924962052</v>
      </c>
      <c r="K39" s="35"/>
      <c r="L39" s="35"/>
      <c r="M39" s="35"/>
    </row>
    <row r="40" spans="1:13" ht="13.5">
      <c r="A40" s="16" t="s">
        <v>33</v>
      </c>
      <c r="B40" s="18" t="s">
        <v>45</v>
      </c>
      <c r="C40" s="26">
        <v>-813.63</v>
      </c>
      <c r="D40" s="19">
        <v>-39083.27</v>
      </c>
      <c r="E40" s="20">
        <v>48.03567960866733</v>
      </c>
      <c r="K40" s="35"/>
      <c r="L40" s="35"/>
      <c r="M40" s="35"/>
    </row>
    <row r="41" spans="1:13" ht="13.5">
      <c r="A41" s="16" t="s">
        <v>35</v>
      </c>
      <c r="B41" s="18" t="s">
        <v>46</v>
      </c>
      <c r="C41" s="26">
        <v>0</v>
      </c>
      <c r="D41" s="19">
        <v>0</v>
      </c>
      <c r="E41" s="20">
        <f t="shared" si="0"/>
        <v>0</v>
      </c>
      <c r="K41" s="35"/>
      <c r="L41" s="35"/>
      <c r="M41" s="35"/>
    </row>
    <row r="42" spans="1:13" ht="14.25" thickBot="1">
      <c r="A42" s="16" t="s">
        <v>37</v>
      </c>
      <c r="B42" s="8" t="s">
        <v>38</v>
      </c>
      <c r="C42" s="32">
        <v>0</v>
      </c>
      <c r="D42" s="26">
        <v>0</v>
      </c>
      <c r="E42" s="27">
        <f t="shared" si="0"/>
        <v>0</v>
      </c>
      <c r="K42" s="35"/>
      <c r="L42" s="35"/>
      <c r="M42" s="35"/>
    </row>
    <row r="43" spans="1:13" ht="14.25" thickBot="1">
      <c r="A43" s="28" t="s">
        <v>39</v>
      </c>
      <c r="B43" s="29" t="s">
        <v>40</v>
      </c>
      <c r="C43" s="33">
        <f>C37+C38+C40+C41</f>
        <v>551045.9739999998</v>
      </c>
      <c r="D43" s="33">
        <f>D37+D38+D40+D41</f>
        <v>18213468.530142393</v>
      </c>
      <c r="E43" s="34">
        <f t="shared" si="0"/>
        <v>33.052538970446044</v>
      </c>
      <c r="K43" s="35"/>
      <c r="L43" s="35"/>
      <c r="M43" s="35"/>
    </row>
    <row r="44" spans="1:5" ht="14.25">
      <c r="A44" s="36" t="s">
        <v>4</v>
      </c>
      <c r="B44" s="37" t="s">
        <v>4</v>
      </c>
      <c r="C44" s="37"/>
      <c r="D44" s="37"/>
      <c r="E44" s="37"/>
    </row>
    <row r="45" spans="1:5" ht="15.75">
      <c r="A45"/>
      <c r="B45" s="38" t="s">
        <v>4</v>
      </c>
      <c r="C45"/>
      <c r="D45"/>
      <c r="E45"/>
    </row>
    <row r="46" spans="2:5" ht="13.5">
      <c r="B46" s="3"/>
      <c r="C46" s="19"/>
      <c r="D46" s="19"/>
      <c r="E46" s="39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3.28125" style="1" bestFit="1" customWidth="1"/>
    <col min="2" max="2" width="56.140625" style="6" customWidth="1"/>
    <col min="3" max="3" width="9.421875" style="6" bestFit="1" customWidth="1"/>
    <col min="4" max="4" width="10.8515625" style="6" bestFit="1" customWidth="1"/>
    <col min="5" max="5" width="11.00390625" style="6" bestFit="1" customWidth="1"/>
    <col min="6" max="6" width="9.8515625" style="6" customWidth="1"/>
    <col min="7" max="7" width="12.00390625" style="6" bestFit="1" customWidth="1"/>
    <col min="8" max="16384" width="9.8515625" style="6" customWidth="1"/>
  </cols>
  <sheetData>
    <row r="1" spans="2:5" ht="16.5">
      <c r="B1" s="2" t="s">
        <v>0</v>
      </c>
      <c r="C1" s="3"/>
      <c r="D1" s="4"/>
      <c r="E1" s="5">
        <f ca="1">NOW()</f>
        <v>42101.74606493056</v>
      </c>
    </row>
    <row r="2" spans="2:4" ht="13.5">
      <c r="B2" s="6" t="str">
        <f>'[18]Input Sheet'!B1</f>
        <v>August 2014 ACTUAL</v>
      </c>
      <c r="D2" s="7"/>
    </row>
    <row r="3" spans="2:4" ht="13.5">
      <c r="B3" s="8" t="s">
        <v>1</v>
      </c>
      <c r="D3" s="9"/>
    </row>
    <row r="4" ht="13.5">
      <c r="B4" s="8" t="s">
        <v>2</v>
      </c>
    </row>
    <row r="5" spans="2:4" ht="13.5">
      <c r="B5" s="3"/>
      <c r="D5" s="8"/>
    </row>
    <row r="6" spans="2:5" ht="13.5">
      <c r="B6" s="8" t="s">
        <v>3</v>
      </c>
      <c r="D6" s="10"/>
      <c r="E6" s="11" t="s">
        <v>4</v>
      </c>
    </row>
    <row r="7" ht="13.5">
      <c r="B7" s="3"/>
    </row>
    <row r="8" spans="2:5" ht="13.5">
      <c r="B8" s="12" t="s">
        <v>5</v>
      </c>
      <c r="C8" s="12" t="s">
        <v>6</v>
      </c>
      <c r="D8" s="13" t="s">
        <v>7</v>
      </c>
      <c r="E8" s="81" t="s">
        <v>8</v>
      </c>
    </row>
    <row r="9" spans="2:5" ht="13.5">
      <c r="B9" s="12"/>
      <c r="C9" s="14"/>
      <c r="D9" s="15" t="s">
        <v>9</v>
      </c>
      <c r="E9" s="14"/>
    </row>
    <row r="10" spans="1:2" ht="13.5">
      <c r="A10" s="16" t="s">
        <v>10</v>
      </c>
      <c r="B10" s="17" t="s">
        <v>11</v>
      </c>
    </row>
    <row r="11" spans="2:5" ht="13.5">
      <c r="B11" s="18" t="s">
        <v>98</v>
      </c>
      <c r="C11" s="19">
        <v>585732</v>
      </c>
      <c r="D11" s="19">
        <v>16752912.01</v>
      </c>
      <c r="E11" s="20">
        <v>28.601667673953276</v>
      </c>
    </row>
    <row r="12" spans="2:9" ht="13.5">
      <c r="B12" s="8" t="s">
        <v>41</v>
      </c>
      <c r="C12" s="19">
        <v>378408</v>
      </c>
      <c r="D12" s="19">
        <v>9922315.778611</v>
      </c>
      <c r="E12" s="20">
        <v>52.3952679280259</v>
      </c>
      <c r="G12" s="35"/>
      <c r="H12" s="35"/>
      <c r="I12" s="35"/>
    </row>
    <row r="13" spans="2:9" ht="13.5">
      <c r="B13" s="8" t="s">
        <v>42</v>
      </c>
      <c r="C13" s="19">
        <v>215726.10000000015</v>
      </c>
      <c r="D13" s="19">
        <v>5500419.330000002</v>
      </c>
      <c r="E13" s="20">
        <v>51.045736487214</v>
      </c>
      <c r="G13" s="35"/>
      <c r="H13" s="35"/>
      <c r="I13" s="35"/>
    </row>
    <row r="14" spans="2:5" ht="13.5">
      <c r="B14" s="23" t="s">
        <v>12</v>
      </c>
      <c r="C14" s="24">
        <f>SUM(C11:C13)</f>
        <v>1179866.1</v>
      </c>
      <c r="D14" s="24">
        <f>SUM(D11:D13)</f>
        <v>32175647.118611004</v>
      </c>
      <c r="E14" s="25">
        <f>IF((D14=0),0,(IF((C14=0),0,(D14/C14))))</f>
        <v>27.270592077025523</v>
      </c>
    </row>
    <row r="15" spans="2:5" ht="13.5">
      <c r="B15" s="3"/>
      <c r="C15" s="19"/>
      <c r="D15" s="19"/>
      <c r="E15" s="20"/>
    </row>
    <row r="16" spans="1:5" ht="13.5">
      <c r="A16" s="16" t="s">
        <v>13</v>
      </c>
      <c r="B16" s="17" t="s">
        <v>14</v>
      </c>
      <c r="C16" s="19"/>
      <c r="D16" s="19"/>
      <c r="E16" s="20"/>
    </row>
    <row r="17" spans="2:5" ht="13.5">
      <c r="B17" s="8" t="s">
        <v>15</v>
      </c>
      <c r="C17" s="21">
        <v>85871.148</v>
      </c>
      <c r="D17" s="21">
        <v>2828326.5</v>
      </c>
      <c r="E17" s="22">
        <v>32.93686605890025</v>
      </c>
    </row>
    <row r="18" spans="2:5" ht="13.5">
      <c r="B18" s="23" t="s">
        <v>12</v>
      </c>
      <c r="C18" s="24">
        <f>SUM(C17:C17)</f>
        <v>85871.148</v>
      </c>
      <c r="D18" s="24">
        <f>SUM(D17:D17)</f>
        <v>2828326.5</v>
      </c>
      <c r="E18" s="25">
        <f>IF((D18=0),0,(IF((C18=0),0,(D18/C18))))</f>
        <v>32.93686605890025</v>
      </c>
    </row>
    <row r="19" spans="2:5" ht="13.5">
      <c r="B19" s="3"/>
      <c r="C19" s="19"/>
      <c r="D19" s="19"/>
      <c r="E19" s="20"/>
    </row>
    <row r="20" spans="1:5" ht="13.5">
      <c r="A20" s="16" t="s">
        <v>16</v>
      </c>
      <c r="B20" s="17" t="s">
        <v>17</v>
      </c>
      <c r="C20" s="24">
        <f>C14+C18</f>
        <v>1265737.2480000001</v>
      </c>
      <c r="D20" s="24">
        <f>D14+D18</f>
        <v>35003973.61861101</v>
      </c>
      <c r="E20" s="25">
        <f>IF((D20=0),0,(IF((C20=0),0,(D20/C20))))</f>
        <v>27.65500792042031</v>
      </c>
    </row>
    <row r="21" spans="2:5" ht="13.5">
      <c r="B21" s="3"/>
      <c r="C21" s="19"/>
      <c r="D21" s="19"/>
      <c r="E21" s="20"/>
    </row>
    <row r="22" spans="2:5" ht="13.5">
      <c r="B22" s="12" t="s">
        <v>18</v>
      </c>
      <c r="C22" s="19"/>
      <c r="D22" s="19"/>
      <c r="E22" s="20"/>
    </row>
    <row r="23" spans="2:5" ht="13.5">
      <c r="B23" s="12"/>
      <c r="C23" s="19"/>
      <c r="D23" s="19"/>
      <c r="E23" s="20"/>
    </row>
    <row r="24" spans="1:4" ht="13.5">
      <c r="A24" s="16" t="s">
        <v>19</v>
      </c>
      <c r="B24" s="17" t="s">
        <v>20</v>
      </c>
      <c r="D24" s="19"/>
    </row>
    <row r="25" spans="2:5" ht="13.5">
      <c r="B25" s="8" t="s">
        <v>21</v>
      </c>
      <c r="C25" s="26">
        <v>311854.9870000002</v>
      </c>
      <c r="D25" s="26">
        <v>7201447.073999995</v>
      </c>
      <c r="E25" s="27">
        <v>23.092294092446213</v>
      </c>
    </row>
    <row r="26" spans="2:9" ht="13.5">
      <c r="B26" s="8" t="s">
        <v>41</v>
      </c>
      <c r="C26" s="26">
        <v>187098.828</v>
      </c>
      <c r="D26" s="26">
        <v>3638980.4889999973</v>
      </c>
      <c r="E26" s="27">
        <f>IF((D26=0),0,(IF((C26=0),0,(D26/C26))))</f>
        <v>19.449509801312047</v>
      </c>
      <c r="G26" s="35"/>
      <c r="H26" s="35"/>
      <c r="I26" s="35"/>
    </row>
    <row r="27" spans="2:5" ht="13.5">
      <c r="B27" s="8" t="s">
        <v>42</v>
      </c>
      <c r="C27" s="19">
        <v>127555.59399999995</v>
      </c>
      <c r="D27" s="19">
        <v>2867130.3419999974</v>
      </c>
      <c r="E27" s="20">
        <f>IF((D27=0),0,(IF((C27=0),0,(D27/C27))))</f>
        <v>22.477495906608365</v>
      </c>
    </row>
    <row r="28" spans="2:8" ht="13.5">
      <c r="B28" s="18" t="s">
        <v>22</v>
      </c>
      <c r="C28" s="21">
        <v>84320.438</v>
      </c>
      <c r="D28" s="21">
        <v>2808642.08</v>
      </c>
      <c r="E28" s="22">
        <v>33.3091495563626</v>
      </c>
      <c r="G28" s="35"/>
      <c r="H28" s="35"/>
    </row>
    <row r="29" spans="2:5" ht="13.5">
      <c r="B29" s="23" t="s">
        <v>12</v>
      </c>
      <c r="C29" s="24">
        <f>SUM(C25:C28)</f>
        <v>710829.8470000001</v>
      </c>
      <c r="D29" s="24">
        <f>SUM(D25:D28)</f>
        <v>16516199.98499999</v>
      </c>
      <c r="E29" s="25">
        <f>IF((D29=0),0,(IF((C29=0),0,(D29/C29))))</f>
        <v>23.235096352109128</v>
      </c>
    </row>
    <row r="30" spans="2:5" ht="13.5">
      <c r="B30" s="3"/>
      <c r="C30" s="19"/>
      <c r="D30" s="19"/>
      <c r="E30" s="20"/>
    </row>
    <row r="31" spans="1:5" ht="13.5">
      <c r="A31" s="16" t="s">
        <v>23</v>
      </c>
      <c r="B31" s="17" t="s">
        <v>24</v>
      </c>
      <c r="C31" s="24">
        <f>C20-C29</f>
        <v>554907.4010000001</v>
      </c>
      <c r="D31" s="24">
        <f>D20-D29</f>
        <v>18487773.633611016</v>
      </c>
      <c r="E31" s="25">
        <f>IF((D31=0),0,(IF((C31=0),0,(D31/C31))))</f>
        <v>33.316862597785054</v>
      </c>
    </row>
    <row r="32" spans="2:5" ht="13.5">
      <c r="B32" s="3"/>
      <c r="C32" s="19"/>
      <c r="D32" s="19"/>
      <c r="E32" s="20"/>
    </row>
    <row r="33" spans="1:5" ht="13.5">
      <c r="A33" s="16" t="s">
        <v>25</v>
      </c>
      <c r="B33" s="17" t="s">
        <v>26</v>
      </c>
      <c r="C33" s="24">
        <f>+C29+C31</f>
        <v>1265737.2480000001</v>
      </c>
      <c r="D33" s="24">
        <f>+D29+D31</f>
        <v>35003973.61861101</v>
      </c>
      <c r="E33" s="25">
        <f>IF((D33=0),0,(IF((C33=0),0,(D33/C33))))</f>
        <v>27.65500792042031</v>
      </c>
    </row>
    <row r="34" spans="1:5" ht="13.5">
      <c r="A34" s="16"/>
      <c r="B34" s="8"/>
      <c r="C34" s="19"/>
      <c r="D34" s="19"/>
      <c r="E34" s="20"/>
    </row>
    <row r="35" spans="1:5" ht="13.5">
      <c r="A35" s="16" t="s">
        <v>27</v>
      </c>
      <c r="B35" s="8"/>
      <c r="C35" s="19"/>
      <c r="D35" s="19"/>
      <c r="E35" s="20"/>
    </row>
    <row r="36" spans="1:5" ht="14.25" thickBot="1">
      <c r="A36" s="16" t="s">
        <v>29</v>
      </c>
      <c r="C36" s="19"/>
      <c r="D36" s="19"/>
      <c r="E36" s="20"/>
    </row>
    <row r="37" spans="1:5" ht="14.25" thickBot="1">
      <c r="A37" s="28" t="s">
        <v>31</v>
      </c>
      <c r="B37" s="8" t="s">
        <v>28</v>
      </c>
      <c r="C37" s="19">
        <f>C31</f>
        <v>554907.4010000001</v>
      </c>
      <c r="D37" s="19">
        <f>D31</f>
        <v>18487773.633611016</v>
      </c>
      <c r="E37" s="20">
        <f aca="true" t="shared" si="0" ref="E37:E43">IF((D37=0),0,(IF((C37=0),0,(D37/C37))))</f>
        <v>33.316862597785054</v>
      </c>
    </row>
    <row r="38" spans="1:5" ht="14.25" thickBot="1">
      <c r="A38" s="16" t="s">
        <v>33</v>
      </c>
      <c r="B38" s="18" t="s">
        <v>30</v>
      </c>
      <c r="C38" s="26">
        <v>0</v>
      </c>
      <c r="D38" s="19">
        <v>0</v>
      </c>
      <c r="E38" s="20">
        <f t="shared" si="0"/>
        <v>0</v>
      </c>
    </row>
    <row r="39" spans="1:13" ht="14.25" thickBot="1">
      <c r="A39" s="16" t="s">
        <v>35</v>
      </c>
      <c r="B39" s="29" t="s">
        <v>32</v>
      </c>
      <c r="C39" s="30">
        <f>SUM(C37:C38)</f>
        <v>554907.4010000001</v>
      </c>
      <c r="D39" s="30">
        <f>(SUM(D37))+D38</f>
        <v>18487773.633611016</v>
      </c>
      <c r="E39" s="31">
        <f t="shared" si="0"/>
        <v>33.316862597785054</v>
      </c>
      <c r="G39" s="44"/>
      <c r="K39" s="35"/>
      <c r="L39" s="35"/>
      <c r="M39" s="35"/>
    </row>
    <row r="40" spans="1:13" ht="14.25" thickBot="1">
      <c r="A40" s="16" t="s">
        <v>37</v>
      </c>
      <c r="B40" s="18" t="s">
        <v>45</v>
      </c>
      <c r="C40" s="26">
        <v>-1793.925706393</v>
      </c>
      <c r="D40" s="19">
        <v>-97015.2529</v>
      </c>
      <c r="E40" s="20">
        <v>54.079861030068</v>
      </c>
      <c r="K40" s="35"/>
      <c r="L40" s="35"/>
      <c r="M40" s="35"/>
    </row>
    <row r="41" spans="1:13" ht="14.25" thickBot="1">
      <c r="A41" s="28" t="s">
        <v>39</v>
      </c>
      <c r="B41" s="18" t="s">
        <v>46</v>
      </c>
      <c r="C41" s="26">
        <v>0</v>
      </c>
      <c r="D41" s="19">
        <v>0</v>
      </c>
      <c r="E41" s="20">
        <f t="shared" si="0"/>
        <v>0</v>
      </c>
      <c r="K41" s="35"/>
      <c r="L41" s="35"/>
      <c r="M41" s="35"/>
    </row>
    <row r="42" spans="1:13" ht="15" thickBot="1">
      <c r="A42" s="36" t="s">
        <v>4</v>
      </c>
      <c r="B42" s="8" t="s">
        <v>38</v>
      </c>
      <c r="C42" s="32">
        <v>0</v>
      </c>
      <c r="D42" s="26">
        <v>0</v>
      </c>
      <c r="E42" s="27">
        <f t="shared" si="0"/>
        <v>0</v>
      </c>
      <c r="K42" s="35"/>
      <c r="L42" s="35"/>
      <c r="M42" s="35"/>
    </row>
    <row r="43" spans="1:13" ht="16.5" thickBot="1">
      <c r="A43"/>
      <c r="B43" s="29" t="s">
        <v>40</v>
      </c>
      <c r="C43" s="33">
        <f>C37+C38+C40+C41</f>
        <v>553113.4752936071</v>
      </c>
      <c r="D43" s="33">
        <f>D37+D38+D40+D41</f>
        <v>18390758.380711015</v>
      </c>
      <c r="E43" s="34">
        <f t="shared" si="0"/>
        <v>33.24952148553011</v>
      </c>
      <c r="K43" s="35"/>
      <c r="L43" s="35"/>
      <c r="M43" s="35"/>
    </row>
    <row r="44" spans="2:13" ht="14.25">
      <c r="B44" s="37" t="s">
        <v>4</v>
      </c>
      <c r="C44" s="37"/>
      <c r="D44" s="37"/>
      <c r="E44" s="37"/>
      <c r="K44" s="35"/>
      <c r="L44" s="35"/>
      <c r="M44" s="35"/>
    </row>
    <row r="45" spans="2:13" ht="15.75">
      <c r="B45" s="38" t="s">
        <v>4</v>
      </c>
      <c r="C45"/>
      <c r="D45"/>
      <c r="E45"/>
      <c r="K45" s="35"/>
      <c r="L45" s="35"/>
      <c r="M45" s="35"/>
    </row>
    <row r="46" spans="2:5" ht="13.5">
      <c r="B46" s="3"/>
      <c r="C46" s="19"/>
      <c r="D46" s="19"/>
      <c r="E46" s="39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3.28125" style="1" bestFit="1" customWidth="1"/>
    <col min="2" max="2" width="56.140625" style="6" customWidth="1"/>
    <col min="3" max="3" width="9.421875" style="6" bestFit="1" customWidth="1"/>
    <col min="4" max="4" width="10.8515625" style="6" bestFit="1" customWidth="1"/>
    <col min="5" max="5" width="11.00390625" style="6" bestFit="1" customWidth="1"/>
    <col min="6" max="6" width="9.8515625" style="6" customWidth="1"/>
    <col min="7" max="7" width="12.00390625" style="6" bestFit="1" customWidth="1"/>
    <col min="8" max="16384" width="9.8515625" style="6" customWidth="1"/>
  </cols>
  <sheetData>
    <row r="1" spans="2:5" ht="16.5">
      <c r="B1" s="2" t="s">
        <v>0</v>
      </c>
      <c r="C1" s="3"/>
      <c r="D1" s="4"/>
      <c r="E1" s="5">
        <f ca="1">NOW()</f>
        <v>42101.74606493056</v>
      </c>
    </row>
    <row r="2" spans="2:4" ht="13.5">
      <c r="B2" s="6" t="str">
        <f>'[19]Input Sheet'!B1</f>
        <v>September 2014 ACTUAL</v>
      </c>
      <c r="D2" s="7"/>
    </row>
    <row r="3" spans="2:4" ht="13.5">
      <c r="B3" s="8" t="s">
        <v>1</v>
      </c>
      <c r="D3" s="9"/>
    </row>
    <row r="4" ht="13.5">
      <c r="B4" s="8" t="s">
        <v>2</v>
      </c>
    </row>
    <row r="5" spans="2:4" ht="13.5">
      <c r="B5" s="3"/>
      <c r="D5" s="8"/>
    </row>
    <row r="6" spans="2:5" ht="13.5">
      <c r="B6" s="8" t="s">
        <v>3</v>
      </c>
      <c r="D6" s="10"/>
      <c r="E6" s="11" t="s">
        <v>4</v>
      </c>
    </row>
    <row r="7" ht="13.5">
      <c r="B7" s="3"/>
    </row>
    <row r="8" spans="2:5" ht="13.5">
      <c r="B8" s="12" t="s">
        <v>5</v>
      </c>
      <c r="C8" s="12" t="s">
        <v>6</v>
      </c>
      <c r="D8" s="13" t="s">
        <v>7</v>
      </c>
      <c r="E8" s="81" t="s">
        <v>8</v>
      </c>
    </row>
    <row r="9" spans="2:5" ht="13.5">
      <c r="B9" s="12"/>
      <c r="C9" s="14"/>
      <c r="D9" s="15" t="s">
        <v>9</v>
      </c>
      <c r="E9" s="14"/>
    </row>
    <row r="10" spans="1:2" ht="13.5">
      <c r="A10" s="16" t="s">
        <v>10</v>
      </c>
      <c r="B10" s="17" t="s">
        <v>11</v>
      </c>
    </row>
    <row r="11" spans="2:5" ht="13.5">
      <c r="B11" s="18" t="s">
        <v>98</v>
      </c>
      <c r="C11" s="19">
        <v>210517</v>
      </c>
      <c r="D11" s="19">
        <v>5643959.499999999</v>
      </c>
      <c r="E11" s="20">
        <v>26.809993967233044</v>
      </c>
    </row>
    <row r="12" spans="2:9" ht="13.5">
      <c r="B12" s="8" t="s">
        <v>41</v>
      </c>
      <c r="C12" s="19">
        <v>419768</v>
      </c>
      <c r="D12" s="19">
        <v>11388378.0500587</v>
      </c>
      <c r="E12" s="20">
        <v>54.143751945049985</v>
      </c>
      <c r="G12" s="35"/>
      <c r="H12" s="35"/>
      <c r="I12" s="35"/>
    </row>
    <row r="13" spans="2:9" ht="13.5">
      <c r="B13" s="8" t="s">
        <v>42</v>
      </c>
      <c r="C13" s="19">
        <v>229325.39999999985</v>
      </c>
      <c r="D13" s="19">
        <v>4664969.173499998</v>
      </c>
      <c r="E13" s="20">
        <v>40.685393064329496</v>
      </c>
      <c r="G13" s="35"/>
      <c r="H13" s="35"/>
      <c r="I13" s="35"/>
    </row>
    <row r="14" spans="2:5" ht="13.5">
      <c r="B14" s="23" t="s">
        <v>12</v>
      </c>
      <c r="C14" s="24">
        <f>SUM(C11:C13)</f>
        <v>859610.3999999999</v>
      </c>
      <c r="D14" s="24">
        <f>SUM(D11:D13)</f>
        <v>21697306.723558698</v>
      </c>
      <c r="E14" s="25">
        <f>IF((D14=0),0,(IF((C14=0),0,(D14/C14))))</f>
        <v>25.240861119826725</v>
      </c>
    </row>
    <row r="15" spans="2:5" ht="13.5">
      <c r="B15" s="3"/>
      <c r="C15" s="19"/>
      <c r="D15" s="19"/>
      <c r="E15" s="20"/>
    </row>
    <row r="16" spans="1:5" ht="13.5">
      <c r="A16" s="16" t="s">
        <v>13</v>
      </c>
      <c r="B16" s="17" t="s">
        <v>14</v>
      </c>
      <c r="C16" s="19"/>
      <c r="D16" s="19"/>
      <c r="E16" s="20"/>
    </row>
    <row r="17" spans="2:5" ht="13.5">
      <c r="B17" s="8" t="s">
        <v>15</v>
      </c>
      <c r="C17" s="21">
        <v>43761.142</v>
      </c>
      <c r="D17" s="21">
        <v>1585860.99</v>
      </c>
      <c r="E17" s="22">
        <v>36.23902205294368</v>
      </c>
    </row>
    <row r="18" spans="2:5" ht="13.5">
      <c r="B18" s="23" t="s">
        <v>12</v>
      </c>
      <c r="C18" s="24">
        <f>SUM(C17:C17)</f>
        <v>43761.142</v>
      </c>
      <c r="D18" s="24">
        <f>SUM(D17:D17)</f>
        <v>1585860.99</v>
      </c>
      <c r="E18" s="25">
        <f>IF((D18=0),0,(IF((C18=0),0,(D18/C18))))</f>
        <v>36.23902205294368</v>
      </c>
    </row>
    <row r="19" spans="2:5" ht="13.5">
      <c r="B19" s="3"/>
      <c r="C19" s="19"/>
      <c r="D19" s="19"/>
      <c r="E19" s="20"/>
    </row>
    <row r="20" spans="1:5" ht="13.5">
      <c r="A20" s="16" t="s">
        <v>16</v>
      </c>
      <c r="B20" s="17" t="s">
        <v>17</v>
      </c>
      <c r="C20" s="24">
        <f>C14+C18</f>
        <v>903371.5419999999</v>
      </c>
      <c r="D20" s="24">
        <f>D14+D18</f>
        <v>23283167.713558696</v>
      </c>
      <c r="E20" s="25">
        <f>IF((D20=0),0,(IF((C20=0),0,(D20/C20))))</f>
        <v>25.773634247998814</v>
      </c>
    </row>
    <row r="21" spans="2:5" ht="13.5">
      <c r="B21" s="3"/>
      <c r="C21" s="19"/>
      <c r="D21" s="19"/>
      <c r="E21" s="20"/>
    </row>
    <row r="22" spans="2:5" ht="13.5">
      <c r="B22" s="12" t="s">
        <v>18</v>
      </c>
      <c r="C22" s="19"/>
      <c r="D22" s="19"/>
      <c r="E22" s="20"/>
    </row>
    <row r="23" spans="2:5" ht="13.5">
      <c r="B23" s="12"/>
      <c r="C23" s="19"/>
      <c r="D23" s="19"/>
      <c r="E23" s="20"/>
    </row>
    <row r="24" spans="1:4" ht="13.5">
      <c r="A24" s="16" t="s">
        <v>19</v>
      </c>
      <c r="B24" s="17" t="s">
        <v>20</v>
      </c>
      <c r="D24" s="19"/>
    </row>
    <row r="25" spans="2:5" ht="13.5">
      <c r="B25" s="8" t="s">
        <v>21</v>
      </c>
      <c r="C25" s="26">
        <v>118998.195</v>
      </c>
      <c r="D25" s="26">
        <v>2667905.3789999997</v>
      </c>
      <c r="E25" s="27">
        <v>22.419712996487043</v>
      </c>
    </row>
    <row r="26" spans="2:9" ht="13.5">
      <c r="B26" s="8" t="s">
        <v>41</v>
      </c>
      <c r="C26" s="26">
        <v>163982.67299999986</v>
      </c>
      <c r="D26" s="26">
        <v>3319801.760000001</v>
      </c>
      <c r="E26" s="27">
        <v>40.46073586834313</v>
      </c>
      <c r="G26" s="35"/>
      <c r="H26" s="35"/>
      <c r="I26" s="35"/>
    </row>
    <row r="27" spans="2:9" ht="13.5">
      <c r="B27" s="8" t="s">
        <v>42</v>
      </c>
      <c r="C27" s="19">
        <v>99998.36700000003</v>
      </c>
      <c r="D27" s="19">
        <v>2090219.6309999991</v>
      </c>
      <c r="E27" s="20">
        <v>41.80094881910455</v>
      </c>
      <c r="G27" s="35"/>
      <c r="H27" s="35"/>
      <c r="I27" s="35"/>
    </row>
    <row r="28" spans="2:5" ht="13.5">
      <c r="B28" s="18" t="s">
        <v>22</v>
      </c>
      <c r="C28" s="21">
        <v>41317.39</v>
      </c>
      <c r="D28" s="21">
        <v>1532162.05</v>
      </c>
      <c r="E28" s="22">
        <v>37.082740463519116</v>
      </c>
    </row>
    <row r="29" spans="2:5" ht="13.5">
      <c r="B29" s="23" t="s">
        <v>12</v>
      </c>
      <c r="C29" s="24">
        <f>SUM(C25:C28)</f>
        <v>424296.62499999994</v>
      </c>
      <c r="D29" s="24">
        <f>SUM(D25:D28)</f>
        <v>9610088.82</v>
      </c>
      <c r="E29" s="25">
        <f>IF((D29=0),0,(IF((C29=0),0,(D29/C29))))</f>
        <v>22.649458548014614</v>
      </c>
    </row>
    <row r="30" spans="2:5" ht="13.5">
      <c r="B30" s="3"/>
      <c r="C30" s="19"/>
      <c r="D30" s="19"/>
      <c r="E30" s="20"/>
    </row>
    <row r="31" spans="1:5" ht="13.5">
      <c r="A31" s="16" t="s">
        <v>23</v>
      </c>
      <c r="B31" s="17" t="s">
        <v>24</v>
      </c>
      <c r="C31" s="24">
        <f>C20-C29</f>
        <v>479074.91699999996</v>
      </c>
      <c r="D31" s="24">
        <f>D20-D29</f>
        <v>13673078.893558696</v>
      </c>
      <c r="E31" s="25">
        <f>IF((D31=0),0,(IF((C31=0),0,(D31/C31))))</f>
        <v>28.540586051092916</v>
      </c>
    </row>
    <row r="32" spans="2:5" ht="13.5">
      <c r="B32" s="3"/>
      <c r="C32" s="19"/>
      <c r="D32" s="19"/>
      <c r="E32" s="20"/>
    </row>
    <row r="33" spans="1:5" ht="13.5">
      <c r="A33" s="16" t="s">
        <v>25</v>
      </c>
      <c r="B33" s="17" t="s">
        <v>26</v>
      </c>
      <c r="C33" s="24">
        <f>+C29+C31</f>
        <v>903371.5419999999</v>
      </c>
      <c r="D33" s="24">
        <f>+D29+D31</f>
        <v>23283167.713558696</v>
      </c>
      <c r="E33" s="25">
        <f>IF((D33=0),0,(IF((C33=0),0,(D33/C33))))</f>
        <v>25.773634247998814</v>
      </c>
    </row>
    <row r="34" spans="1:5" ht="13.5">
      <c r="A34" s="16"/>
      <c r="B34" s="8"/>
      <c r="C34" s="19"/>
      <c r="D34" s="19"/>
      <c r="E34" s="20"/>
    </row>
    <row r="35" spans="1:5" ht="13.5">
      <c r="A35" s="16"/>
      <c r="B35" s="8"/>
      <c r="C35" s="19"/>
      <c r="D35" s="19"/>
      <c r="E35" s="20"/>
    </row>
    <row r="36" spans="3:5" ht="13.5">
      <c r="C36" s="19"/>
      <c r="D36" s="19"/>
      <c r="E36" s="20"/>
    </row>
    <row r="37" spans="1:13" ht="13.5">
      <c r="A37" s="16" t="s">
        <v>27</v>
      </c>
      <c r="B37" s="8" t="s">
        <v>28</v>
      </c>
      <c r="C37" s="19">
        <f>C31</f>
        <v>479074.91699999996</v>
      </c>
      <c r="D37" s="19">
        <f>D31</f>
        <v>13673078.893558696</v>
      </c>
      <c r="E37" s="20">
        <f aca="true" t="shared" si="0" ref="E37:E43">IF((D37=0),0,(IF((C37=0),0,(D37/C37))))</f>
        <v>28.540586051092916</v>
      </c>
      <c r="G37" s="44"/>
      <c r="K37" s="35"/>
      <c r="L37" s="35"/>
      <c r="M37" s="35"/>
    </row>
    <row r="38" spans="1:13" ht="14.25" thickBot="1">
      <c r="A38" s="16" t="s">
        <v>29</v>
      </c>
      <c r="B38" s="18" t="s">
        <v>30</v>
      </c>
      <c r="C38" s="26">
        <v>0</v>
      </c>
      <c r="D38" s="19">
        <v>0</v>
      </c>
      <c r="E38" s="20">
        <f t="shared" si="0"/>
        <v>0</v>
      </c>
      <c r="K38" s="35"/>
      <c r="L38" s="35"/>
      <c r="M38" s="35"/>
    </row>
    <row r="39" spans="1:13" ht="14.25" thickBot="1">
      <c r="A39" s="28" t="s">
        <v>31</v>
      </c>
      <c r="B39" s="29" t="s">
        <v>32</v>
      </c>
      <c r="C39" s="30">
        <f>SUM(C37:C38)</f>
        <v>479074.91699999996</v>
      </c>
      <c r="D39" s="30">
        <f>SUM(D37:D38)</f>
        <v>13673078.893558696</v>
      </c>
      <c r="E39" s="31">
        <f t="shared" si="0"/>
        <v>28.540586051092916</v>
      </c>
      <c r="K39" s="35"/>
      <c r="L39" s="35"/>
      <c r="M39" s="35"/>
    </row>
    <row r="40" spans="1:13" ht="13.5">
      <c r="A40" s="16" t="s">
        <v>33</v>
      </c>
      <c r="B40" s="18" t="s">
        <v>45</v>
      </c>
      <c r="C40" s="26">
        <v>-1494.158944384</v>
      </c>
      <c r="D40" s="19">
        <v>-63835.6632</v>
      </c>
      <c r="E40" s="20">
        <f t="shared" si="0"/>
        <v>42.72347559805136</v>
      </c>
      <c r="K40" s="35"/>
      <c r="L40" s="35"/>
      <c r="M40" s="35"/>
    </row>
    <row r="41" spans="1:13" ht="13.5">
      <c r="A41" s="16" t="s">
        <v>35</v>
      </c>
      <c r="B41" s="18" t="s">
        <v>46</v>
      </c>
      <c r="C41" s="26">
        <v>0</v>
      </c>
      <c r="D41" s="19">
        <v>0</v>
      </c>
      <c r="E41" s="20">
        <f t="shared" si="0"/>
        <v>0</v>
      </c>
      <c r="K41" s="35"/>
      <c r="L41" s="35"/>
      <c r="M41" s="35"/>
    </row>
    <row r="42" spans="1:13" ht="14.25" thickBot="1">
      <c r="A42" s="16" t="s">
        <v>37</v>
      </c>
      <c r="B42" s="8" t="s">
        <v>38</v>
      </c>
      <c r="C42" s="32">
        <v>0</v>
      </c>
      <c r="D42" s="26">
        <v>0</v>
      </c>
      <c r="E42" s="27">
        <f t="shared" si="0"/>
        <v>0</v>
      </c>
      <c r="K42" s="35"/>
      <c r="L42" s="35"/>
      <c r="M42" s="35"/>
    </row>
    <row r="43" spans="1:13" ht="14.25" thickBot="1">
      <c r="A43" s="28" t="s">
        <v>39</v>
      </c>
      <c r="B43" s="29" t="s">
        <v>40</v>
      </c>
      <c r="C43" s="33">
        <f>C37+C38+C40+C41</f>
        <v>477580.75805561594</v>
      </c>
      <c r="D43" s="33">
        <f>D37+D38+D40+D41</f>
        <v>13609243.230358696</v>
      </c>
      <c r="E43" s="34">
        <f t="shared" si="0"/>
        <v>28.49621346924922</v>
      </c>
      <c r="K43" s="35"/>
      <c r="L43" s="35"/>
      <c r="M43" s="35"/>
    </row>
    <row r="44" spans="1:5" ht="14.25">
      <c r="A44" s="36" t="s">
        <v>4</v>
      </c>
      <c r="B44" s="37" t="s">
        <v>4</v>
      </c>
      <c r="C44" s="37"/>
      <c r="D44" s="37"/>
      <c r="E44" s="37"/>
    </row>
    <row r="45" spans="1:5" ht="15.75">
      <c r="A45"/>
      <c r="B45" s="38" t="s">
        <v>4</v>
      </c>
      <c r="C45"/>
      <c r="D45"/>
      <c r="E45"/>
    </row>
    <row r="46" spans="2:5" ht="13.5">
      <c r="B46" s="3"/>
      <c r="C46" s="19"/>
      <c r="D46" s="19"/>
      <c r="E46" s="3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3:P24"/>
  <sheetViews>
    <sheetView zoomScalePageLayoutView="0" workbookViewId="0" topLeftCell="A1">
      <selection activeCell="M31" sqref="M31"/>
    </sheetView>
  </sheetViews>
  <sheetFormatPr defaultColWidth="9.140625" defaultRowHeight="15"/>
  <cols>
    <col min="1" max="2" width="3.8515625" style="0" customWidth="1"/>
    <col min="3" max="3" width="39.421875" style="0" customWidth="1"/>
    <col min="4" max="4" width="12.28125" style="129" customWidth="1"/>
    <col min="5" max="6" width="12.28125" style="129" hidden="1" customWidth="1"/>
    <col min="7" max="7" width="12.28125" style="129" customWidth="1"/>
    <col min="8" max="9" width="12.28125" style="129" hidden="1" customWidth="1"/>
    <col min="10" max="10" width="12.28125" style="129" customWidth="1"/>
    <col min="11" max="11" width="12.28125" style="0" hidden="1" customWidth="1"/>
    <col min="12" max="12" width="12.28125" style="129" hidden="1" customWidth="1"/>
    <col min="13" max="13" width="12.28125" style="0" customWidth="1"/>
    <col min="14" max="14" width="3.421875" style="0" customWidth="1"/>
    <col min="15" max="15" width="19.28125" style="134" customWidth="1"/>
    <col min="16" max="16" width="3.421875" style="0" customWidth="1"/>
  </cols>
  <sheetData>
    <row r="3" spans="4:13" ht="15"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4:13" ht="15.75" thickBot="1"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2:16" ht="19.5" customHeight="1">
      <c r="B5" s="159" t="s">
        <v>0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</row>
    <row r="6" spans="2:16" ht="15">
      <c r="B6" s="162" t="s">
        <v>152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</row>
    <row r="7" spans="2:16" ht="15">
      <c r="B7" s="162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4"/>
    </row>
    <row r="8" spans="2:16" ht="42" customHeight="1">
      <c r="B8" s="137"/>
      <c r="C8" s="141"/>
      <c r="D8" s="151">
        <v>41640</v>
      </c>
      <c r="E8" s="151">
        <v>41671</v>
      </c>
      <c r="F8" s="151">
        <v>41699</v>
      </c>
      <c r="G8" s="151">
        <v>41730</v>
      </c>
      <c r="H8" s="151">
        <v>41760</v>
      </c>
      <c r="I8" s="151">
        <v>41791</v>
      </c>
      <c r="J8" s="151">
        <v>41821</v>
      </c>
      <c r="K8" s="151">
        <v>41852</v>
      </c>
      <c r="L8" s="151">
        <v>41883</v>
      </c>
      <c r="M8" s="151">
        <v>41913</v>
      </c>
      <c r="N8" s="139"/>
      <c r="O8" s="151" t="s">
        <v>151</v>
      </c>
      <c r="P8" s="140"/>
    </row>
    <row r="9" spans="2:16" ht="15">
      <c r="B9" s="137"/>
      <c r="C9" s="136" t="s">
        <v>43</v>
      </c>
      <c r="D9" s="138"/>
      <c r="E9" s="138"/>
      <c r="F9" s="138"/>
      <c r="G9" s="138"/>
      <c r="H9" s="138"/>
      <c r="I9" s="138"/>
      <c r="J9" s="138"/>
      <c r="K9" s="138"/>
      <c r="L9" s="138"/>
      <c r="M9" s="139"/>
      <c r="N9" s="139"/>
      <c r="O9" s="139"/>
      <c r="P9" s="140"/>
    </row>
    <row r="10" spans="2:16" ht="15">
      <c r="B10" s="137"/>
      <c r="C10" s="141" t="s">
        <v>150</v>
      </c>
      <c r="D10" s="142">
        <f>'Jan 2014 - Oct 2014 (short)'!C79</f>
        <v>31.177527611879245</v>
      </c>
      <c r="E10" s="142">
        <f>'Jan 2014 - Oct 2014 (short)'!D79</f>
        <v>29.53512100725992</v>
      </c>
      <c r="F10" s="142">
        <f>'Jan 2014 - Oct 2014 (short)'!E79</f>
        <v>31.379423501377364</v>
      </c>
      <c r="G10" s="142">
        <f>'Jan 2014 - Oct 2014 (short)'!F79</f>
        <v>30.221675157903544</v>
      </c>
      <c r="H10" s="142">
        <f>'Jan 2014 - Oct 2014 (short)'!G79</f>
        <v>32.60556780752503</v>
      </c>
      <c r="I10" s="142">
        <f>'Jan 2014 - Oct 2014 (short)'!H79</f>
        <v>30.316068129088894</v>
      </c>
      <c r="J10" s="142">
        <f>'Jan 2014 - Oct 2014 (short)'!I79</f>
        <v>29.746200560512833</v>
      </c>
      <c r="K10" s="142">
        <f>'Jan 2014 - Oct 2014 (short)'!J79</f>
        <v>28.601667673953276</v>
      </c>
      <c r="L10" s="142">
        <f>'Jan 2014 - Oct 2014 (short)'!K79</f>
        <v>26.809993967233044</v>
      </c>
      <c r="M10" s="142">
        <f>'Jan 2014 - Oct 2014 (short)'!L79</f>
        <v>0</v>
      </c>
      <c r="N10" s="142"/>
      <c r="O10" s="143">
        <f>'Jan 2014 - Oct 2014 (short)'!N79</f>
        <v>30.125283662581488</v>
      </c>
      <c r="P10" s="140"/>
    </row>
    <row r="11" spans="2:16" ht="15">
      <c r="B11" s="137"/>
      <c r="C11" s="141" t="s">
        <v>148</v>
      </c>
      <c r="D11" s="142">
        <f>'Jan 2014 - Oct 2014 (short)'!C93</f>
        <v>25.587880495788326</v>
      </c>
      <c r="E11" s="142">
        <f>'Jan 2014 - Oct 2014 (short)'!D93</f>
        <v>26.79493750712063</v>
      </c>
      <c r="F11" s="142">
        <f>'Jan 2014 - Oct 2014 (short)'!E93</f>
        <v>26.218676326067474</v>
      </c>
      <c r="G11" s="142">
        <f>'Jan 2014 - Oct 2014 (short)'!F93</f>
        <v>24.75372181599499</v>
      </c>
      <c r="H11" s="142">
        <f>'Jan 2014 - Oct 2014 (short)'!G93</f>
        <v>24.937622992922158</v>
      </c>
      <c r="I11" s="142">
        <f>'Jan 2014 - Oct 2014 (short)'!H93</f>
        <v>24.141535234106993</v>
      </c>
      <c r="J11" s="142">
        <f>'Jan 2014 - Oct 2014 (short)'!I93</f>
        <v>22.517432186155744</v>
      </c>
      <c r="K11" s="142">
        <f>'Jan 2014 - Oct 2014 (short)'!J93</f>
        <v>23.092294092446213</v>
      </c>
      <c r="L11" s="142">
        <f>'Jan 2014 - Oct 2014 (short)'!K93</f>
        <v>22.419712996487043</v>
      </c>
      <c r="M11" s="142">
        <f>'Jan 2014 - Oct 2014 (short)'!L93</f>
        <v>0</v>
      </c>
      <c r="N11" s="142"/>
      <c r="O11" s="143">
        <f>'Jan 2014 - Oct 2014 (short)'!N93</f>
        <v>24.5333838977219</v>
      </c>
      <c r="P11" s="140"/>
    </row>
    <row r="12" spans="2:16" ht="15">
      <c r="B12" s="137"/>
      <c r="C12" s="141" t="s">
        <v>149</v>
      </c>
      <c r="D12" s="142">
        <f>'Jan 2014 - Oct 2014 (short)'!C100</f>
        <v>35.293158923497664</v>
      </c>
      <c r="E12" s="142">
        <f>'Jan 2014 - Oct 2014 (short)'!D100</f>
        <v>32.53604565794055</v>
      </c>
      <c r="F12" s="142">
        <f>'Jan 2014 - Oct 2014 (short)'!E100</f>
        <v>36.25367038374968</v>
      </c>
      <c r="G12" s="142">
        <f>'Jan 2014 - Oct 2014 (short)'!F100</f>
        <v>38.26510121062126</v>
      </c>
      <c r="H12" s="142">
        <f>'Jan 2014 - Oct 2014 (short)'!G100</f>
        <v>37.374678948439104</v>
      </c>
      <c r="I12" s="142">
        <f>'Jan 2014 - Oct 2014 (short)'!H100</f>
        <v>38.24522753939764</v>
      </c>
      <c r="J12" s="142">
        <f>'Jan 2014 - Oct 2014 (short)'!I100</f>
        <v>37.83939174543526</v>
      </c>
      <c r="K12" s="142">
        <f>'Jan 2014 - Oct 2014 (short)'!J100</f>
        <v>34.87501499806415</v>
      </c>
      <c r="L12" s="142">
        <f>'Jan 2014 - Oct 2014 (short)'!K100</f>
        <v>32.51849847689772</v>
      </c>
      <c r="M12" s="142">
        <f>'Jan 2014 - Oct 2014 (short)'!L100</f>
        <v>0</v>
      </c>
      <c r="N12" s="142"/>
      <c r="O12" s="143">
        <f>'Jan 2014 - Oct 2014 (short)'!N100</f>
        <v>35.96626702908669</v>
      </c>
      <c r="P12" s="140"/>
    </row>
    <row r="13" spans="2:16" ht="15">
      <c r="B13" s="137"/>
      <c r="C13" s="141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P13" s="140"/>
    </row>
    <row r="14" spans="2:16" ht="15">
      <c r="B14" s="137"/>
      <c r="C14" s="136" t="s">
        <v>41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5"/>
      <c r="P14" s="140"/>
    </row>
    <row r="15" spans="2:16" ht="15">
      <c r="B15" s="137"/>
      <c r="C15" s="141" t="s">
        <v>150</v>
      </c>
      <c r="D15" s="142">
        <f>'Jan 2014 - Oct 2014 (short)'!C80</f>
        <v>30.231846920870122</v>
      </c>
      <c r="E15" s="142">
        <f>'Jan 2014 - Oct 2014 (short)'!D80</f>
        <v>30.878556376005974</v>
      </c>
      <c r="F15" s="142">
        <f>'Jan 2014 - Oct 2014 (short)'!E80</f>
        <v>27.561334302305333</v>
      </c>
      <c r="G15" s="142">
        <f>'Jan 2014 - Oct 2014 (short)'!F80</f>
        <v>25.888296459337408</v>
      </c>
      <c r="H15" s="142">
        <f>'Jan 2014 - Oct 2014 (short)'!G80</f>
        <v>25.052977399614836</v>
      </c>
      <c r="I15" s="142">
        <f>'Jan 2014 - Oct 2014 (short)'!H80</f>
        <v>25.804729835806732</v>
      </c>
      <c r="J15" s="142">
        <f>'Jan 2014 - Oct 2014 (short)'!I80</f>
        <v>25.508208314206588</v>
      </c>
      <c r="K15" s="142">
        <f>'Jan 2014 - Oct 2014 (short)'!J80</f>
        <v>26.221210383001946</v>
      </c>
      <c r="L15" s="142">
        <f>'Jan 2014 - Oct 2014 (short)'!K80</f>
        <v>27.130172023733824</v>
      </c>
      <c r="M15" s="142">
        <f>'Jan 2014 - Oct 2014 (short)'!L80</f>
        <v>25.689795298651497</v>
      </c>
      <c r="N15" s="142"/>
      <c r="O15" s="143">
        <f>'Jan 2014 - Oct 2014 (short)'!N80</f>
        <v>26.97838998426053</v>
      </c>
      <c r="P15" s="140"/>
    </row>
    <row r="16" spans="2:16" ht="15">
      <c r="B16" s="137"/>
      <c r="C16" s="141" t="s">
        <v>148</v>
      </c>
      <c r="D16" s="142">
        <f>'Jan 2014 - Oct 2014 (short)'!C94</f>
        <v>23.79623561381074</v>
      </c>
      <c r="E16" s="142">
        <f>'Jan 2014 - Oct 2014 (short)'!D94</f>
        <v>24.914981787467667</v>
      </c>
      <c r="F16" s="142">
        <f>'Jan 2014 - Oct 2014 (short)'!E94</f>
        <v>24.081561183906476</v>
      </c>
      <c r="G16" s="142">
        <f>'Jan 2014 - Oct 2014 (short)'!F94</f>
        <v>18.095757767468015</v>
      </c>
      <c r="H16" s="142">
        <f>'Jan 2014 - Oct 2014 (short)'!G94</f>
        <v>22.808512811998977</v>
      </c>
      <c r="I16" s="142">
        <f>'Jan 2014 - Oct 2014 (short)'!H94</f>
        <v>18.536622821381588</v>
      </c>
      <c r="J16" s="142">
        <f>'Jan 2014 - Oct 2014 (short)'!I94</f>
        <v>19.65933213753345</v>
      </c>
      <c r="K16" s="142">
        <f>'Jan 2014 - Oct 2014 (short)'!J94</f>
        <v>19.449509801312047</v>
      </c>
      <c r="L16" s="142">
        <f>'Jan 2014 - Oct 2014 (short)'!K94</f>
        <v>20.244832574475744</v>
      </c>
      <c r="M16" s="142">
        <f>'Jan 2014 - Oct 2014 (short)'!L94</f>
        <v>23.023625389483826</v>
      </c>
      <c r="N16" s="142"/>
      <c r="O16" s="143">
        <f>'Jan 2014 - Oct 2014 (short)'!N94</f>
        <v>20.750471185148495</v>
      </c>
      <c r="P16" s="140"/>
    </row>
    <row r="17" spans="2:16" ht="15">
      <c r="B17" s="137"/>
      <c r="C17" s="141" t="s">
        <v>149</v>
      </c>
      <c r="D17" s="142">
        <f>'Jan 2014 - Oct 2014 (short)'!C101</f>
        <v>31.93327534353672</v>
      </c>
      <c r="E17" s="142">
        <f>'Jan 2014 - Oct 2014 (short)'!D101</f>
        <v>31.736196994370612</v>
      </c>
      <c r="F17" s="142">
        <f>'Jan 2014 - Oct 2014 (short)'!E101</f>
        <v>29.490764066842313</v>
      </c>
      <c r="G17" s="142">
        <f>'Jan 2014 - Oct 2014 (short)'!F101</f>
        <v>32.60003430843281</v>
      </c>
      <c r="H17" s="142">
        <f>'Jan 2014 - Oct 2014 (short)'!G101</f>
        <v>28.199750653244763</v>
      </c>
      <c r="I17" s="142">
        <f>'Jan 2014 - Oct 2014 (short)'!H101</f>
        <v>31.960465350543863</v>
      </c>
      <c r="J17" s="142">
        <f>'Jan 2014 - Oct 2014 (short)'!I101</f>
        <v>30.677176748894635</v>
      </c>
      <c r="K17" s="142">
        <f>'Jan 2014 - Oct 2014 (short)'!J101</f>
        <v>32.84387896264066</v>
      </c>
      <c r="L17" s="142">
        <f>'Jan 2014 - Oct 2014 (short)'!K101</f>
        <v>31.54432814693352</v>
      </c>
      <c r="M17" s="142">
        <f>'Jan 2014 - Oct 2014 (short)'!L101</f>
        <v>26.119392780096106</v>
      </c>
      <c r="N17" s="142"/>
      <c r="O17" s="143">
        <f>'Jan 2014 - Oct 2014 (short)'!N101</f>
        <v>30.806539027293677</v>
      </c>
      <c r="P17" s="140"/>
    </row>
    <row r="18" spans="2:16" ht="15">
      <c r="B18" s="137"/>
      <c r="C18" s="141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3"/>
      <c r="P18" s="140"/>
    </row>
    <row r="19" spans="2:16" ht="15">
      <c r="B19" s="137"/>
      <c r="C19" s="136" t="s">
        <v>42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3"/>
      <c r="P19" s="140"/>
    </row>
    <row r="20" spans="2:16" ht="15">
      <c r="B20" s="137"/>
      <c r="C20" s="141" t="s">
        <v>150</v>
      </c>
      <c r="D20" s="142">
        <f>'Jan 2014 - Oct 2014 (short)'!C81</f>
        <v>24.079647157786248</v>
      </c>
      <c r="E20" s="142">
        <f>'Jan 2014 - Oct 2014 (short)'!D81</f>
        <v>26.309738612318803</v>
      </c>
      <c r="F20" s="142">
        <f>'Jan 2014 - Oct 2014 (short)'!E81</f>
        <v>22.21151864716442</v>
      </c>
      <c r="G20" s="142">
        <f>'Jan 2014 - Oct 2014 (short)'!F81</f>
        <v>25.717751372760823</v>
      </c>
      <c r="H20" s="142">
        <f>'Jan 2014 - Oct 2014 (short)'!G81</f>
        <v>26.396555259053144</v>
      </c>
      <c r="I20" s="142">
        <f>'Jan 2014 - Oct 2014 (short)'!H81</f>
        <v>26.278542469848112</v>
      </c>
      <c r="J20" s="142">
        <f>'Jan 2014 - Oct 2014 (short)'!I81</f>
        <v>25.32111973189789</v>
      </c>
      <c r="K20" s="142">
        <f>'Jan 2014 - Oct 2014 (short)'!J81</f>
        <v>25.497236217592576</v>
      </c>
      <c r="L20" s="142">
        <f>'Jan 2014 - Oct 2014 (short)'!K81</f>
        <v>20.342139045653035</v>
      </c>
      <c r="M20" s="142">
        <f>'Jan 2014 - Oct 2014 (short)'!L81</f>
        <v>24.493379911621407</v>
      </c>
      <c r="N20" s="142"/>
      <c r="O20" s="143">
        <f>'Jan 2014 - Oct 2014 (short)'!N81</f>
        <v>24.455160508581734</v>
      </c>
      <c r="P20" s="140"/>
    </row>
    <row r="21" spans="2:16" ht="15">
      <c r="B21" s="137"/>
      <c r="C21" s="141" t="s">
        <v>148</v>
      </c>
      <c r="D21" s="142">
        <f>'Jan 2014 - Oct 2014 (short)'!C95</f>
        <v>22.029014137253068</v>
      </c>
      <c r="E21" s="142">
        <f>'Jan 2014 - Oct 2014 (short)'!D95</f>
        <v>23.462628514238922</v>
      </c>
      <c r="F21" s="142">
        <f>'Jan 2014 - Oct 2014 (short)'!E95</f>
        <v>22.20947402348865</v>
      </c>
      <c r="G21" s="142">
        <f>'Jan 2014 - Oct 2014 (short)'!F95</f>
        <v>22.770378318507493</v>
      </c>
      <c r="H21" s="142">
        <f>'Jan 2014 - Oct 2014 (short)'!G95</f>
        <v>29.770187312412126</v>
      </c>
      <c r="I21" s="142">
        <f>'Jan 2014 - Oct 2014 (short)'!H95</f>
        <v>23.179728443219034</v>
      </c>
      <c r="J21" s="142">
        <f>'Jan 2014 - Oct 2014 (short)'!I95</f>
        <v>22.114961855344127</v>
      </c>
      <c r="K21" s="142">
        <f>'Jan 2014 - Oct 2014 (short)'!J95</f>
        <v>22.477495906608365</v>
      </c>
      <c r="L21" s="142">
        <f>'Jan 2014 - Oct 2014 (short)'!K95</f>
        <v>20.902537648439786</v>
      </c>
      <c r="M21" s="142">
        <f>'Jan 2014 - Oct 2014 (short)'!L95</f>
        <v>22.778990111004987</v>
      </c>
      <c r="N21" s="142"/>
      <c r="O21" s="143">
        <f>'Jan 2014 - Oct 2014 (short)'!N95</f>
        <v>22.48607088279711</v>
      </c>
      <c r="P21" s="140"/>
    </row>
    <row r="22" spans="2:16" ht="15">
      <c r="B22" s="137"/>
      <c r="C22" s="141" t="s">
        <v>149</v>
      </c>
      <c r="D22" s="142">
        <f>'Jan 2014 - Oct 2014 (short)'!C102</f>
        <v>25.473807159588553</v>
      </c>
      <c r="E22" s="142">
        <f>'Jan 2014 - Oct 2014 (short)'!D102</f>
        <v>28.762664367320543</v>
      </c>
      <c r="F22" s="142">
        <f>'Jan 2014 - Oct 2014 (short)'!E102</f>
        <v>22.212627015457528</v>
      </c>
      <c r="G22" s="142">
        <f>'Jan 2014 - Oct 2014 (short)'!F102</f>
        <v>29.75351311642456</v>
      </c>
      <c r="H22" s="142">
        <f>'Jan 2014 - Oct 2014 (short)'!G102</f>
        <v>26.14271173496608</v>
      </c>
      <c r="I22" s="142">
        <f>'Jan 2014 - Oct 2014 (short)'!H102</f>
        <v>30.075018942280312</v>
      </c>
      <c r="J22" s="142">
        <f>'Jan 2014 - Oct 2014 (short)'!I102</f>
        <v>28.642188708525598</v>
      </c>
      <c r="K22" s="142">
        <f>'Jan 2014 - Oct 2014 (short)'!J102</f>
        <v>29.865871337973253</v>
      </c>
      <c r="L22" s="142">
        <f>'Jan 2014 - Oct 2014 (short)'!K102</f>
        <v>19.90882712433372</v>
      </c>
      <c r="M22" s="142">
        <f>'Jan 2014 - Oct 2014 (short)'!L102</f>
        <v>24.55468154047797</v>
      </c>
      <c r="N22" s="142"/>
      <c r="O22" s="143">
        <f>'Jan 2014 - Oct 2014 (short)'!N102</f>
        <v>25.77454219611917</v>
      </c>
      <c r="P22" s="140"/>
    </row>
    <row r="23" spans="2:16" ht="15.75" thickBot="1">
      <c r="B23" s="146"/>
      <c r="C23" s="147"/>
      <c r="D23" s="148"/>
      <c r="E23" s="148"/>
      <c r="F23" s="148"/>
      <c r="G23" s="148"/>
      <c r="H23" s="148"/>
      <c r="I23" s="148"/>
      <c r="J23" s="148"/>
      <c r="K23" s="147"/>
      <c r="L23" s="148"/>
      <c r="M23" s="147"/>
      <c r="N23" s="147"/>
      <c r="O23" s="149"/>
      <c r="P23" s="150"/>
    </row>
    <row r="24" spans="4:15" ht="15">
      <c r="D24"/>
      <c r="E24"/>
      <c r="F24"/>
      <c r="G24"/>
      <c r="H24"/>
      <c r="I24"/>
      <c r="J24"/>
      <c r="L24"/>
      <c r="O24"/>
    </row>
  </sheetData>
  <sheetProtection/>
  <mergeCells count="2">
    <mergeCell ref="B5:P5"/>
    <mergeCell ref="B6:P7"/>
  </mergeCells>
  <printOptions/>
  <pageMargins left="0.7" right="0.7" top="0.75" bottom="0.75" header="0.3" footer="0.3"/>
  <pageSetup fitToHeight="1" fitToWidth="1" horizontalDpi="600" verticalDpi="600" orientation="landscape" r:id="rId1"/>
  <headerFooter>
    <oddFooter>&amp;C&amp;F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3.28125" style="1" bestFit="1" customWidth="1"/>
    <col min="2" max="2" width="56.140625" style="6" customWidth="1"/>
    <col min="3" max="3" width="9.421875" style="6" bestFit="1" customWidth="1"/>
    <col min="4" max="4" width="10.8515625" style="6" bestFit="1" customWidth="1"/>
    <col min="5" max="5" width="11.00390625" style="6" bestFit="1" customWidth="1"/>
    <col min="6" max="6" width="9.8515625" style="6" customWidth="1"/>
    <col min="7" max="7" width="12.00390625" style="6" bestFit="1" customWidth="1"/>
    <col min="8" max="16384" width="9.8515625" style="6" customWidth="1"/>
  </cols>
  <sheetData>
    <row r="1" spans="2:5" ht="16.5">
      <c r="B1" s="2" t="s">
        <v>0</v>
      </c>
      <c r="C1" s="3"/>
      <c r="D1" s="4"/>
      <c r="E1" s="5">
        <f ca="1">NOW()</f>
        <v>42101.74606493056</v>
      </c>
    </row>
    <row r="2" spans="2:4" ht="13.5">
      <c r="B2" s="6" t="str">
        <f>'[21]Input Sheet'!B1</f>
        <v>October 2014 ACTUAL</v>
      </c>
      <c r="D2" s="7"/>
    </row>
    <row r="3" spans="2:4" ht="13.5">
      <c r="B3" s="8" t="s">
        <v>1</v>
      </c>
      <c r="D3" s="9"/>
    </row>
    <row r="4" ht="13.5">
      <c r="B4" s="8" t="s">
        <v>2</v>
      </c>
    </row>
    <row r="5" spans="2:4" ht="13.5">
      <c r="B5" s="3"/>
      <c r="D5" s="8"/>
    </row>
    <row r="6" spans="2:5" ht="13.5">
      <c r="B6" s="8" t="s">
        <v>3</v>
      </c>
      <c r="D6" s="10"/>
      <c r="E6" s="11" t="s">
        <v>4</v>
      </c>
    </row>
    <row r="7" ht="13.5">
      <c r="B7" s="3"/>
    </row>
    <row r="8" spans="2:5" ht="13.5">
      <c r="B8" s="12" t="s">
        <v>5</v>
      </c>
      <c r="C8" s="12" t="s">
        <v>6</v>
      </c>
      <c r="D8" s="13" t="s">
        <v>7</v>
      </c>
      <c r="E8" s="81" t="s">
        <v>8</v>
      </c>
    </row>
    <row r="9" spans="2:5" ht="13.5">
      <c r="B9" s="12"/>
      <c r="C9" s="14"/>
      <c r="D9" s="15" t="s">
        <v>9</v>
      </c>
      <c r="E9" s="14"/>
    </row>
    <row r="10" spans="1:2" ht="13.5">
      <c r="A10" s="16" t="s">
        <v>10</v>
      </c>
      <c r="B10" s="17" t="s">
        <v>11</v>
      </c>
    </row>
    <row r="11" spans="2:5" ht="13.5">
      <c r="B11" s="18" t="s">
        <v>43</v>
      </c>
      <c r="C11" s="19">
        <v>0</v>
      </c>
      <c r="D11" s="19">
        <v>0</v>
      </c>
      <c r="E11" s="20">
        <v>0</v>
      </c>
    </row>
    <row r="12" spans="2:9" ht="13.5">
      <c r="B12" s="8" t="s">
        <v>41</v>
      </c>
      <c r="C12" s="19">
        <v>242417</v>
      </c>
      <c r="D12" s="19">
        <v>6227643.1069132</v>
      </c>
      <c r="E12" s="20">
        <v>59.160916176145065</v>
      </c>
      <c r="G12" s="35"/>
      <c r="H12" s="35"/>
      <c r="I12" s="35"/>
    </row>
    <row r="13" spans="2:9" ht="13.5">
      <c r="B13" s="8" t="s">
        <v>42</v>
      </c>
      <c r="C13" s="19">
        <v>248849.84999999992</v>
      </c>
      <c r="D13" s="19">
        <v>6095173.9169999985</v>
      </c>
      <c r="E13" s="20">
        <v>48.98573524542282</v>
      </c>
      <c r="G13" s="35"/>
      <c r="H13" s="35"/>
      <c r="I13" s="35"/>
    </row>
    <row r="14" spans="2:5" ht="13.5">
      <c r="B14" s="23" t="s">
        <v>12</v>
      </c>
      <c r="C14" s="24">
        <f>SUM(C11:C13)</f>
        <v>491266.8499999999</v>
      </c>
      <c r="D14" s="24">
        <f>SUM(D11:D13)</f>
        <v>12322817.023913197</v>
      </c>
      <c r="E14" s="25">
        <f>IF((D14=0),0,(IF((C14=0),0,(D14/C14))))</f>
        <v>25.08375442778848</v>
      </c>
    </row>
    <row r="15" spans="2:5" ht="13.5">
      <c r="B15" s="3"/>
      <c r="C15" s="19"/>
      <c r="D15" s="19"/>
      <c r="E15" s="20"/>
    </row>
    <row r="16" spans="1:5" ht="13.5">
      <c r="A16" s="16" t="s">
        <v>13</v>
      </c>
      <c r="B16" s="17" t="s">
        <v>14</v>
      </c>
      <c r="C16" s="19"/>
      <c r="D16" s="19"/>
      <c r="E16" s="20"/>
    </row>
    <row r="17" spans="2:5" ht="13.5">
      <c r="B17" s="8" t="s">
        <v>15</v>
      </c>
      <c r="C17" s="21">
        <v>61187.967000000004</v>
      </c>
      <c r="D17" s="21">
        <v>2110218.26</v>
      </c>
      <c r="E17" s="22">
        <v>34.48747136834926</v>
      </c>
    </row>
    <row r="18" spans="2:5" ht="13.5">
      <c r="B18" s="23" t="s">
        <v>12</v>
      </c>
      <c r="C18" s="24">
        <f>SUM(C17:C17)</f>
        <v>61187.967000000004</v>
      </c>
      <c r="D18" s="24">
        <f>SUM(D17:D17)</f>
        <v>2110218.26</v>
      </c>
      <c r="E18" s="25">
        <f>IF((D18=0),0,(IF((C18=0),0,(D18/C18))))</f>
        <v>34.48747136834926</v>
      </c>
    </row>
    <row r="19" spans="2:5" ht="13.5">
      <c r="B19" s="3"/>
      <c r="C19" s="19"/>
      <c r="D19" s="19"/>
      <c r="E19" s="20"/>
    </row>
    <row r="20" spans="1:5" ht="13.5">
      <c r="A20" s="16" t="s">
        <v>16</v>
      </c>
      <c r="B20" s="17" t="s">
        <v>17</v>
      </c>
      <c r="C20" s="24">
        <f>C14+C18</f>
        <v>552454.8169999999</v>
      </c>
      <c r="D20" s="24">
        <f>D14+D18</f>
        <v>14433035.283913197</v>
      </c>
      <c r="E20" s="25">
        <f>IF((D20=0),0,(IF((C20=0),0,(D20/C20))))</f>
        <v>26.125277289261465</v>
      </c>
    </row>
    <row r="21" spans="2:5" ht="13.5">
      <c r="B21" s="3"/>
      <c r="C21" s="19"/>
      <c r="D21" s="19"/>
      <c r="E21" s="20"/>
    </row>
    <row r="22" spans="2:5" ht="13.5">
      <c r="B22" s="12" t="s">
        <v>18</v>
      </c>
      <c r="C22" s="19"/>
      <c r="D22" s="19"/>
      <c r="E22" s="20"/>
    </row>
    <row r="23" spans="2:5" ht="13.5">
      <c r="B23" s="12"/>
      <c r="C23" s="19"/>
      <c r="D23" s="19"/>
      <c r="E23" s="20"/>
    </row>
    <row r="24" spans="1:4" ht="13.5">
      <c r="A24" s="16" t="s">
        <v>19</v>
      </c>
      <c r="B24" s="17" t="s">
        <v>20</v>
      </c>
      <c r="D24" s="19"/>
    </row>
    <row r="25" spans="2:5" ht="13.5">
      <c r="B25" s="8" t="s">
        <v>21</v>
      </c>
      <c r="C25" s="26">
        <v>0</v>
      </c>
      <c r="D25" s="26">
        <v>0</v>
      </c>
      <c r="E25" s="27">
        <v>0</v>
      </c>
    </row>
    <row r="26" spans="2:9" ht="13.5">
      <c r="B26" s="8" t="s">
        <v>41</v>
      </c>
      <c r="C26" s="26">
        <v>33640.03799999999</v>
      </c>
      <c r="D26" s="26">
        <v>774515.6330000005</v>
      </c>
      <c r="E26" s="27">
        <v>41.641587699649776</v>
      </c>
      <c r="G26" s="35"/>
      <c r="H26" s="35"/>
      <c r="I26" s="35"/>
    </row>
    <row r="27" spans="2:9" ht="13.5">
      <c r="B27" s="8" t="s">
        <v>42</v>
      </c>
      <c r="C27" s="19">
        <v>8590.964000000004</v>
      </c>
      <c r="D27" s="19">
        <v>195693.48399999994</v>
      </c>
      <c r="E27" s="20">
        <v>45.41924450312956</v>
      </c>
      <c r="G27" s="35"/>
      <c r="H27" s="35"/>
      <c r="I27" s="35"/>
    </row>
    <row r="28" spans="2:5" ht="13.5">
      <c r="B28" s="18" t="s">
        <v>22</v>
      </c>
      <c r="C28" s="21">
        <v>34855.195</v>
      </c>
      <c r="D28" s="21">
        <v>1260145.1</v>
      </c>
      <c r="E28" s="22">
        <v>36.1537240001096</v>
      </c>
    </row>
    <row r="29" spans="2:5" ht="13.5">
      <c r="B29" s="23" t="s">
        <v>12</v>
      </c>
      <c r="C29" s="24">
        <f>SUM(C25:C28)</f>
        <v>77086.19699999999</v>
      </c>
      <c r="D29" s="24">
        <f>SUM(D25:D28)</f>
        <v>2230354.2170000006</v>
      </c>
      <c r="E29" s="25">
        <f>IF((D29=0),0,(IF((C29=0),0,(D29/C29))))</f>
        <v>28.93325009923633</v>
      </c>
    </row>
    <row r="30" spans="2:5" ht="13.5">
      <c r="B30" s="3"/>
      <c r="C30" s="19"/>
      <c r="D30" s="19"/>
      <c r="E30" s="20"/>
    </row>
    <row r="31" spans="1:5" ht="13.5">
      <c r="A31" s="16" t="s">
        <v>23</v>
      </c>
      <c r="B31" s="17" t="s">
        <v>24</v>
      </c>
      <c r="C31" s="24">
        <f>C20-C29</f>
        <v>475368.61999999994</v>
      </c>
      <c r="D31" s="24">
        <f>D20-D29</f>
        <v>12202681.066913197</v>
      </c>
      <c r="E31" s="25">
        <f>IF((D31=0),0,(IF((C31=0),0,(D31/C31))))</f>
        <v>25.669933928144435</v>
      </c>
    </row>
    <row r="32" spans="2:5" ht="13.5">
      <c r="B32" s="3"/>
      <c r="C32" s="19"/>
      <c r="D32" s="19"/>
      <c r="E32" s="20"/>
    </row>
    <row r="33" spans="1:5" ht="13.5">
      <c r="A33" s="16" t="s">
        <v>25</v>
      </c>
      <c r="B33" s="17" t="s">
        <v>26</v>
      </c>
      <c r="C33" s="24">
        <f>+C29+C31</f>
        <v>552454.8169999999</v>
      </c>
      <c r="D33" s="24">
        <f>+D29+D31</f>
        <v>14433035.283913197</v>
      </c>
      <c r="E33" s="25">
        <f>IF((D33=0),0,(IF((C33=0),0,(D33/C33))))</f>
        <v>26.125277289261465</v>
      </c>
    </row>
    <row r="34" spans="1:5" ht="13.5">
      <c r="A34" s="16"/>
      <c r="B34" s="8"/>
      <c r="C34" s="19"/>
      <c r="D34" s="19"/>
      <c r="E34" s="20"/>
    </row>
    <row r="35" spans="1:5" ht="13.5">
      <c r="A35" s="16"/>
      <c r="B35" s="8"/>
      <c r="C35" s="19"/>
      <c r="D35" s="19"/>
      <c r="E35" s="20"/>
    </row>
    <row r="36" spans="3:5" ht="13.5">
      <c r="C36" s="19"/>
      <c r="D36" s="19"/>
      <c r="E36" s="20"/>
    </row>
    <row r="37" spans="1:13" ht="13.5">
      <c r="A37" s="16" t="s">
        <v>27</v>
      </c>
      <c r="B37" s="8" t="s">
        <v>28</v>
      </c>
      <c r="C37" s="19">
        <f>C31</f>
        <v>475368.61999999994</v>
      </c>
      <c r="D37" s="19">
        <f>D31</f>
        <v>12202681.066913197</v>
      </c>
      <c r="E37" s="20">
        <f aca="true" t="shared" si="0" ref="E37:E43">IF((D37=0),0,(IF((C37=0),0,(D37/C37))))</f>
        <v>25.669933928144435</v>
      </c>
      <c r="G37" s="44"/>
      <c r="K37" s="35"/>
      <c r="L37" s="35"/>
      <c r="M37" s="35"/>
    </row>
    <row r="38" spans="1:13" ht="14.25" thickBot="1">
      <c r="A38" s="16" t="s">
        <v>29</v>
      </c>
      <c r="B38" s="18" t="s">
        <v>30</v>
      </c>
      <c r="C38" s="26">
        <v>0</v>
      </c>
      <c r="D38" s="19">
        <v>0</v>
      </c>
      <c r="E38" s="20">
        <f t="shared" si="0"/>
        <v>0</v>
      </c>
      <c r="K38" s="35"/>
      <c r="L38" s="35"/>
      <c r="M38" s="35"/>
    </row>
    <row r="39" spans="1:13" ht="14.25" thickBot="1">
      <c r="A39" s="28" t="s">
        <v>31</v>
      </c>
      <c r="B39" s="29" t="s">
        <v>32</v>
      </c>
      <c r="C39" s="30">
        <f>SUM(C37:C38)</f>
        <v>475368.61999999994</v>
      </c>
      <c r="D39" s="30">
        <f>SUM(D37:D38)</f>
        <v>12202681.066913197</v>
      </c>
      <c r="E39" s="31">
        <f t="shared" si="0"/>
        <v>25.669933928144435</v>
      </c>
      <c r="K39" s="35"/>
      <c r="L39" s="35"/>
      <c r="M39" s="35"/>
    </row>
    <row r="40" spans="1:13" ht="13.5">
      <c r="A40" s="16" t="s">
        <v>33</v>
      </c>
      <c r="B40" s="18" t="s">
        <v>45</v>
      </c>
      <c r="C40" s="26">
        <v>-235.29</v>
      </c>
      <c r="D40" s="19">
        <v>-6248.83</v>
      </c>
      <c r="E40" s="20">
        <f t="shared" si="0"/>
        <v>26.557992264864637</v>
      </c>
      <c r="K40" s="35"/>
      <c r="L40" s="35"/>
      <c r="M40" s="35"/>
    </row>
    <row r="41" spans="1:13" ht="13.5">
      <c r="A41" s="16" t="s">
        <v>35</v>
      </c>
      <c r="B41" s="18" t="s">
        <v>46</v>
      </c>
      <c r="C41" s="26">
        <v>0</v>
      </c>
      <c r="D41" s="19">
        <v>0</v>
      </c>
      <c r="E41" s="20">
        <f t="shared" si="0"/>
        <v>0</v>
      </c>
      <c r="K41" s="35"/>
      <c r="L41" s="35"/>
      <c r="M41" s="35"/>
    </row>
    <row r="42" spans="1:13" ht="14.25" thickBot="1">
      <c r="A42" s="16" t="s">
        <v>37</v>
      </c>
      <c r="B42" s="8" t="s">
        <v>38</v>
      </c>
      <c r="C42" s="32">
        <v>0</v>
      </c>
      <c r="D42" s="26">
        <v>0</v>
      </c>
      <c r="E42" s="27">
        <f t="shared" si="0"/>
        <v>0</v>
      </c>
      <c r="K42" s="35"/>
      <c r="L42" s="35"/>
      <c r="M42" s="35"/>
    </row>
    <row r="43" spans="1:13" ht="14.25" thickBot="1">
      <c r="A43" s="28" t="s">
        <v>39</v>
      </c>
      <c r="B43" s="29" t="s">
        <v>40</v>
      </c>
      <c r="C43" s="33">
        <f>SUM(C39:C42)</f>
        <v>475133.32999999996</v>
      </c>
      <c r="D43" s="33">
        <f>SUM(D39:D42)</f>
        <v>12196432.236913197</v>
      </c>
      <c r="E43" s="34">
        <f t="shared" si="0"/>
        <v>25.66949415422656</v>
      </c>
      <c r="K43" s="35"/>
      <c r="L43" s="35"/>
      <c r="M43" s="35"/>
    </row>
    <row r="44" spans="1:5" ht="14.25">
      <c r="A44" s="36" t="s">
        <v>4</v>
      </c>
      <c r="B44" s="37" t="s">
        <v>4</v>
      </c>
      <c r="C44" s="37"/>
      <c r="D44" s="37"/>
      <c r="E44" s="37"/>
    </row>
    <row r="45" spans="1:5" ht="15.75">
      <c r="A45"/>
      <c r="B45" s="38" t="s">
        <v>4</v>
      </c>
      <c r="C45"/>
      <c r="D45"/>
      <c r="E45"/>
    </row>
    <row r="46" spans="2:5" ht="13.5">
      <c r="B46" s="3"/>
      <c r="C46" s="19"/>
      <c r="D46" s="19"/>
      <c r="E46" s="3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108"/>
  <sheetViews>
    <sheetView tabSelected="1" zoomScalePageLayoutView="0" workbookViewId="0" topLeftCell="E1">
      <selection activeCell="N30" sqref="N30"/>
    </sheetView>
  </sheetViews>
  <sheetFormatPr defaultColWidth="9.140625" defaultRowHeight="15"/>
  <cols>
    <col min="1" max="1" width="3.28125" style="1" bestFit="1" customWidth="1"/>
    <col min="2" max="2" width="51.7109375" style="6" bestFit="1" customWidth="1"/>
    <col min="3" max="12" width="16.28125" style="6" customWidth="1"/>
    <col min="14" max="14" width="16.28125" style="6" customWidth="1"/>
    <col min="15" max="15" width="18.8515625" style="0" customWidth="1"/>
    <col min="19" max="19" width="10.8515625" style="0" customWidth="1"/>
    <col min="20" max="22" width="13.57421875" style="84" customWidth="1"/>
  </cols>
  <sheetData>
    <row r="1" spans="2:14" ht="16.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N1" s="3"/>
    </row>
    <row r="3" ht="15.75">
      <c r="B3" s="8" t="s">
        <v>1</v>
      </c>
    </row>
    <row r="4" ht="15.75">
      <c r="B4" s="8" t="s">
        <v>2</v>
      </c>
    </row>
    <row r="5" ht="15.75">
      <c r="B5" s="3"/>
    </row>
    <row r="6" spans="2:14" ht="26.25">
      <c r="B6" s="8" t="s">
        <v>3</v>
      </c>
      <c r="C6" s="131">
        <v>41640</v>
      </c>
      <c r="D6" s="132" t="s">
        <v>44</v>
      </c>
      <c r="E6" s="132" t="s">
        <v>115</v>
      </c>
      <c r="F6" s="132" t="s">
        <v>116</v>
      </c>
      <c r="G6" s="132" t="s">
        <v>117</v>
      </c>
      <c r="H6" s="132" t="s">
        <v>118</v>
      </c>
      <c r="I6" s="132" t="s">
        <v>119</v>
      </c>
      <c r="J6" s="132" t="s">
        <v>120</v>
      </c>
      <c r="K6" s="132" t="s">
        <v>121</v>
      </c>
      <c r="L6" s="132" t="s">
        <v>122</v>
      </c>
      <c r="N6" s="6" t="s">
        <v>123</v>
      </c>
    </row>
    <row r="7" ht="15.75">
      <c r="B7" s="3"/>
    </row>
    <row r="8" spans="1:22" s="90" customFormat="1" ht="15">
      <c r="A8" s="88"/>
      <c r="B8" s="89" t="s">
        <v>5</v>
      </c>
      <c r="C8" s="89" t="s">
        <v>6</v>
      </c>
      <c r="D8" s="89" t="s">
        <v>6</v>
      </c>
      <c r="E8" s="89" t="s">
        <v>6</v>
      </c>
      <c r="F8" s="89" t="s">
        <v>6</v>
      </c>
      <c r="G8" s="89" t="s">
        <v>6</v>
      </c>
      <c r="H8" s="89" t="s">
        <v>6</v>
      </c>
      <c r="I8" s="89" t="s">
        <v>6</v>
      </c>
      <c r="J8" s="89" t="s">
        <v>6</v>
      </c>
      <c r="K8" s="89" t="s">
        <v>6</v>
      </c>
      <c r="L8" s="89" t="s">
        <v>6</v>
      </c>
      <c r="N8" s="89"/>
      <c r="T8" s="125"/>
      <c r="U8" s="125"/>
      <c r="V8" s="125"/>
    </row>
    <row r="9" spans="1:22" s="90" customFormat="1" ht="15.75">
      <c r="A9" s="88"/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N9" s="91"/>
      <c r="T9" s="125"/>
      <c r="U9" s="125"/>
      <c r="V9" s="125"/>
    </row>
    <row r="10" spans="1:22" s="90" customFormat="1" ht="15.75">
      <c r="A10" s="92" t="s">
        <v>10</v>
      </c>
      <c r="B10" s="93" t="s">
        <v>11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N10" s="94"/>
      <c r="T10" s="125"/>
      <c r="U10" s="125"/>
      <c r="V10" s="125"/>
    </row>
    <row r="11" spans="1:22" s="90" customFormat="1" ht="15.75">
      <c r="A11" s="88"/>
      <c r="B11" s="95" t="s">
        <v>43</v>
      </c>
      <c r="C11" s="96">
        <v>611150</v>
      </c>
      <c r="D11" s="96">
        <v>580585</v>
      </c>
      <c r="E11" s="96">
        <v>295855</v>
      </c>
      <c r="F11" s="96">
        <v>478140</v>
      </c>
      <c r="G11" s="96">
        <v>378896</v>
      </c>
      <c r="H11" s="96">
        <v>574116</v>
      </c>
      <c r="I11" s="96">
        <v>465645</v>
      </c>
      <c r="J11" s="96">
        <v>585732</v>
      </c>
      <c r="K11" s="96">
        <v>210517</v>
      </c>
      <c r="L11" s="96">
        <v>0</v>
      </c>
      <c r="N11" s="96">
        <f>SUM(C11:L11)</f>
        <v>4180636</v>
      </c>
      <c r="O11" s="95" t="s">
        <v>43</v>
      </c>
      <c r="T11" s="125"/>
      <c r="U11" s="125"/>
      <c r="V11" s="125"/>
    </row>
    <row r="12" spans="1:22" s="90" customFormat="1" ht="15.75">
      <c r="A12" s="88"/>
      <c r="B12" s="97" t="s">
        <v>41</v>
      </c>
      <c r="C12" s="96">
        <v>359030</v>
      </c>
      <c r="D12" s="96">
        <v>301325</v>
      </c>
      <c r="E12" s="96">
        <v>430697</v>
      </c>
      <c r="F12" s="96">
        <v>368914</v>
      </c>
      <c r="G12" s="96">
        <v>317266</v>
      </c>
      <c r="H12" s="96">
        <v>349479</v>
      </c>
      <c r="I12" s="96">
        <v>432602</v>
      </c>
      <c r="J12" s="96">
        <v>378408</v>
      </c>
      <c r="K12" s="96">
        <v>419768</v>
      </c>
      <c r="L12" s="96">
        <v>242417</v>
      </c>
      <c r="N12" s="96">
        <f aca="true" t="shared" si="0" ref="N12:N40">SUM(C12:L12)</f>
        <v>3599906</v>
      </c>
      <c r="O12" s="97" t="s">
        <v>41</v>
      </c>
      <c r="T12" s="125"/>
      <c r="U12" s="125"/>
      <c r="V12" s="125"/>
    </row>
    <row r="13" spans="1:22" s="90" customFormat="1" ht="15.75">
      <c r="A13" s="88"/>
      <c r="B13" s="98" t="s">
        <v>42</v>
      </c>
      <c r="C13" s="96">
        <v>263914</v>
      </c>
      <c r="D13" s="96">
        <v>189986</v>
      </c>
      <c r="E13" s="96">
        <v>282429</v>
      </c>
      <c r="F13" s="96">
        <v>199962</v>
      </c>
      <c r="G13" s="96">
        <v>137997.74999999988</v>
      </c>
      <c r="H13" s="96">
        <v>215782.50000000017</v>
      </c>
      <c r="I13" s="96">
        <v>202669.0499999998</v>
      </c>
      <c r="J13" s="96">
        <v>215726.10000000015</v>
      </c>
      <c r="K13" s="96">
        <v>229325.39999999985</v>
      </c>
      <c r="L13" s="96">
        <v>248849.84999999992</v>
      </c>
      <c r="N13" s="96">
        <f t="shared" si="0"/>
        <v>2186641.65</v>
      </c>
      <c r="O13" s="98" t="s">
        <v>42</v>
      </c>
      <c r="T13" s="125"/>
      <c r="U13" s="125"/>
      <c r="V13" s="125"/>
    </row>
    <row r="14" spans="1:22" s="90" customFormat="1" ht="15">
      <c r="A14" s="88"/>
      <c r="B14" s="99" t="s">
        <v>12</v>
      </c>
      <c r="C14" s="100">
        <v>1234094</v>
      </c>
      <c r="D14" s="100">
        <v>1071896</v>
      </c>
      <c r="E14" s="100">
        <v>1008981</v>
      </c>
      <c r="F14" s="100">
        <v>1047016</v>
      </c>
      <c r="G14" s="100">
        <v>834159.7499999999</v>
      </c>
      <c r="H14" s="100">
        <v>1139377.5000000002</v>
      </c>
      <c r="I14" s="100">
        <v>1100916.0499999998</v>
      </c>
      <c r="J14" s="100">
        <v>1179866.1</v>
      </c>
      <c r="K14" s="100">
        <v>859610.3999999999</v>
      </c>
      <c r="L14" s="100">
        <v>491266.8499999999</v>
      </c>
      <c r="N14" s="100">
        <f t="shared" si="0"/>
        <v>9967183.65</v>
      </c>
      <c r="T14" s="125"/>
      <c r="U14" s="125"/>
      <c r="V14" s="125"/>
    </row>
    <row r="15" spans="1:22" s="90" customFormat="1" ht="15.75">
      <c r="A15" s="88"/>
      <c r="B15" s="101"/>
      <c r="C15" s="96"/>
      <c r="D15" s="96"/>
      <c r="E15" s="96"/>
      <c r="F15" s="96"/>
      <c r="G15" s="96"/>
      <c r="H15" s="96"/>
      <c r="I15" s="96"/>
      <c r="J15" s="96"/>
      <c r="K15" s="96"/>
      <c r="L15" s="96"/>
      <c r="N15" s="96">
        <f t="shared" si="0"/>
        <v>0</v>
      </c>
      <c r="T15" s="125"/>
      <c r="U15" s="125"/>
      <c r="V15" s="125"/>
    </row>
    <row r="16" spans="1:22" s="90" customFormat="1" ht="15.75">
      <c r="A16" s="92" t="s">
        <v>13</v>
      </c>
      <c r="B16" s="93" t="s">
        <v>14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N16" s="96">
        <f t="shared" si="0"/>
        <v>0</v>
      </c>
      <c r="T16" s="125"/>
      <c r="U16" s="125"/>
      <c r="V16" s="125"/>
    </row>
    <row r="17" spans="1:22" s="90" customFormat="1" ht="15.75">
      <c r="A17" s="88"/>
      <c r="B17" s="98" t="s">
        <v>15</v>
      </c>
      <c r="C17" s="102">
        <v>75823.807</v>
      </c>
      <c r="D17" s="102">
        <v>57851.082</v>
      </c>
      <c r="E17" s="102">
        <v>42405.761</v>
      </c>
      <c r="F17" s="102">
        <v>55634.780999999995</v>
      </c>
      <c r="G17" s="102">
        <v>74853.971</v>
      </c>
      <c r="H17" s="102">
        <v>74632.903</v>
      </c>
      <c r="I17" s="102">
        <v>89330.635</v>
      </c>
      <c r="J17" s="102">
        <v>85871.148</v>
      </c>
      <c r="K17" s="102">
        <v>43761.142</v>
      </c>
      <c r="L17" s="102">
        <v>61187.967000000004</v>
      </c>
      <c r="N17" s="102">
        <f t="shared" si="0"/>
        <v>661353.1969999999</v>
      </c>
      <c r="T17" s="125"/>
      <c r="U17" s="125"/>
      <c r="V17" s="125"/>
    </row>
    <row r="18" spans="1:22" s="90" customFormat="1" ht="15">
      <c r="A18" s="88"/>
      <c r="B18" s="99" t="s">
        <v>12</v>
      </c>
      <c r="C18" s="100">
        <v>75823.807</v>
      </c>
      <c r="D18" s="100">
        <v>57851.082</v>
      </c>
      <c r="E18" s="100">
        <v>42405.761</v>
      </c>
      <c r="F18" s="100">
        <v>55634.780999999995</v>
      </c>
      <c r="G18" s="100">
        <v>74853.971</v>
      </c>
      <c r="H18" s="100">
        <v>74632.903</v>
      </c>
      <c r="I18" s="100">
        <v>89330.635</v>
      </c>
      <c r="J18" s="100">
        <v>85871.148</v>
      </c>
      <c r="K18" s="100">
        <v>43761.142</v>
      </c>
      <c r="L18" s="100">
        <v>61187.967000000004</v>
      </c>
      <c r="N18" s="100">
        <f t="shared" si="0"/>
        <v>661353.1969999999</v>
      </c>
      <c r="T18" s="125"/>
      <c r="U18" s="125"/>
      <c r="V18" s="125"/>
    </row>
    <row r="19" spans="1:22" s="90" customFormat="1" ht="15.75">
      <c r="A19" s="88"/>
      <c r="B19" s="101"/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6">
        <f t="shared" si="0"/>
        <v>0</v>
      </c>
      <c r="T19" s="125"/>
      <c r="U19" s="125"/>
      <c r="V19" s="125"/>
    </row>
    <row r="20" spans="1:22" s="90" customFormat="1" ht="15">
      <c r="A20" s="92" t="s">
        <v>16</v>
      </c>
      <c r="B20" s="93" t="s">
        <v>17</v>
      </c>
      <c r="C20" s="100">
        <v>1309917.807</v>
      </c>
      <c r="D20" s="100">
        <v>1129747.082</v>
      </c>
      <c r="E20" s="100">
        <v>1051386.761</v>
      </c>
      <c r="F20" s="100">
        <v>1102650.781</v>
      </c>
      <c r="G20" s="100">
        <v>909013.7209999999</v>
      </c>
      <c r="H20" s="100">
        <v>1214010.4030000002</v>
      </c>
      <c r="I20" s="100">
        <v>1190246.6849999998</v>
      </c>
      <c r="J20" s="100">
        <v>1265737.2480000001</v>
      </c>
      <c r="K20" s="100">
        <v>903371.5419999999</v>
      </c>
      <c r="L20" s="100">
        <v>552454.8169999999</v>
      </c>
      <c r="N20" s="100">
        <f t="shared" si="0"/>
        <v>10628536.847</v>
      </c>
      <c r="T20" s="125"/>
      <c r="U20" s="125"/>
      <c r="V20" s="125"/>
    </row>
    <row r="21" spans="1:22" s="90" customFormat="1" ht="15.75">
      <c r="A21" s="88"/>
      <c r="B21" s="101"/>
      <c r="C21" s="96"/>
      <c r="D21" s="96"/>
      <c r="E21" s="96"/>
      <c r="F21" s="96"/>
      <c r="G21" s="96"/>
      <c r="H21" s="96"/>
      <c r="I21" s="96"/>
      <c r="J21" s="96"/>
      <c r="K21" s="96"/>
      <c r="L21" s="96"/>
      <c r="N21" s="96">
        <f t="shared" si="0"/>
        <v>0</v>
      </c>
      <c r="T21" s="125"/>
      <c r="U21" s="125"/>
      <c r="V21" s="125"/>
    </row>
    <row r="22" spans="1:22" s="90" customFormat="1" ht="15.75">
      <c r="A22" s="88"/>
      <c r="B22" s="89" t="s">
        <v>18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N22" s="96">
        <f t="shared" si="0"/>
        <v>0</v>
      </c>
      <c r="T22" s="125"/>
      <c r="U22" s="125"/>
      <c r="V22" s="125"/>
    </row>
    <row r="23" spans="1:22" s="90" customFormat="1" ht="15.75">
      <c r="A23" s="88"/>
      <c r="B23" s="89"/>
      <c r="C23" s="96"/>
      <c r="D23" s="96"/>
      <c r="E23" s="96"/>
      <c r="F23" s="96"/>
      <c r="G23" s="96"/>
      <c r="H23" s="96"/>
      <c r="I23" s="96"/>
      <c r="J23" s="96"/>
      <c r="K23" s="96"/>
      <c r="L23" s="96"/>
      <c r="N23" s="96">
        <f t="shared" si="0"/>
        <v>0</v>
      </c>
      <c r="P23" s="165" t="s">
        <v>147</v>
      </c>
      <c r="Q23" s="165"/>
      <c r="S23" s="165" t="s">
        <v>155</v>
      </c>
      <c r="T23" s="165"/>
      <c r="U23" s="165"/>
      <c r="V23" s="165"/>
    </row>
    <row r="24" spans="1:22" s="90" customFormat="1" ht="15.75">
      <c r="A24" s="92" t="s">
        <v>19</v>
      </c>
      <c r="B24" s="93" t="s">
        <v>20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N24" s="94">
        <f t="shared" si="0"/>
        <v>0</v>
      </c>
      <c r="P24" s="125" t="s">
        <v>144</v>
      </c>
      <c r="Q24" s="125" t="s">
        <v>143</v>
      </c>
      <c r="T24" s="125" t="s">
        <v>144</v>
      </c>
      <c r="U24" s="125" t="s">
        <v>143</v>
      </c>
      <c r="V24" s="125" t="s">
        <v>154</v>
      </c>
    </row>
    <row r="25" spans="1:22" s="90" customFormat="1" ht="15.75">
      <c r="A25" s="88"/>
      <c r="B25" s="98" t="s">
        <v>21</v>
      </c>
      <c r="C25" s="103">
        <v>259164.95799999998</v>
      </c>
      <c r="D25" s="103">
        <v>303476.57499999995</v>
      </c>
      <c r="E25" s="103">
        <v>143704.15200000003</v>
      </c>
      <c r="F25" s="103">
        <v>284640.3479999999</v>
      </c>
      <c r="G25" s="103">
        <v>145291.38900000002</v>
      </c>
      <c r="H25" s="103">
        <v>322770.6040000001</v>
      </c>
      <c r="I25" s="103">
        <v>245957.70500000013</v>
      </c>
      <c r="J25" s="103">
        <v>311854.9870000002</v>
      </c>
      <c r="K25" s="103">
        <v>118998.195</v>
      </c>
      <c r="L25" s="103">
        <v>0</v>
      </c>
      <c r="N25" s="103">
        <f t="shared" si="0"/>
        <v>2135858.913</v>
      </c>
      <c r="O25" s="125" t="str">
        <f>B25</f>
        <v>  Big Sandy</v>
      </c>
      <c r="P25" s="106">
        <f>N25/N11</f>
        <v>0.5108932978140168</v>
      </c>
      <c r="Q25" s="106">
        <f>1-P25</f>
        <v>0.4891067021859832</v>
      </c>
      <c r="R25" s="106"/>
      <c r="S25" s="106" t="s">
        <v>21</v>
      </c>
      <c r="T25" s="155">
        <f>N25</f>
        <v>2135858.913</v>
      </c>
      <c r="U25" s="155">
        <f>N32</f>
        <v>2044777.0869999998</v>
      </c>
      <c r="V25" s="155">
        <f>N11</f>
        <v>4180636</v>
      </c>
    </row>
    <row r="26" spans="1:22" s="90" customFormat="1" ht="15.75">
      <c r="A26" s="88"/>
      <c r="B26" s="98" t="s">
        <v>41</v>
      </c>
      <c r="C26" s="103">
        <v>75072</v>
      </c>
      <c r="D26" s="103">
        <v>37886</v>
      </c>
      <c r="E26" s="103">
        <v>153627</v>
      </c>
      <c r="F26" s="103">
        <v>170712</v>
      </c>
      <c r="G26" s="103">
        <v>185182.73400000005</v>
      </c>
      <c r="H26" s="103">
        <v>160259.64899999992</v>
      </c>
      <c r="I26" s="103">
        <v>202953.1329999999</v>
      </c>
      <c r="J26" s="103">
        <v>187098.828</v>
      </c>
      <c r="K26" s="103">
        <v>163982.67299999986</v>
      </c>
      <c r="L26" s="103">
        <v>33640.03799999999</v>
      </c>
      <c r="N26" s="103">
        <f t="shared" si="0"/>
        <v>1370414.0549999997</v>
      </c>
      <c r="O26" s="125" t="str">
        <f>B26</f>
        <v>Mitchell</v>
      </c>
      <c r="P26" s="106">
        <f>N26/N12</f>
        <v>0.3806805108244492</v>
      </c>
      <c r="Q26" s="106">
        <f>1-P26</f>
        <v>0.6193194891755508</v>
      </c>
      <c r="R26" s="106"/>
      <c r="S26" s="106" t="s">
        <v>41</v>
      </c>
      <c r="T26" s="155">
        <f>N26</f>
        <v>1370414.0549999997</v>
      </c>
      <c r="U26" s="155">
        <f>N33</f>
        <v>2229491.9450000003</v>
      </c>
      <c r="V26" s="155">
        <f>N12</f>
        <v>3599906</v>
      </c>
    </row>
    <row r="27" spans="1:22" s="90" customFormat="1" ht="15.75">
      <c r="A27" s="88"/>
      <c r="B27" s="98" t="s">
        <v>42</v>
      </c>
      <c r="C27" s="96">
        <v>106810</v>
      </c>
      <c r="D27" s="96">
        <v>87928</v>
      </c>
      <c r="E27" s="96">
        <v>99282</v>
      </c>
      <c r="F27" s="96">
        <v>115564</v>
      </c>
      <c r="G27" s="96">
        <v>9656.808000000023</v>
      </c>
      <c r="H27" s="96">
        <v>118807.63899999998</v>
      </c>
      <c r="I27" s="96">
        <v>103118.50800000002</v>
      </c>
      <c r="J27" s="96">
        <v>127555.59399999995</v>
      </c>
      <c r="K27" s="96">
        <v>99998.36700000003</v>
      </c>
      <c r="L27" s="96">
        <v>8590.964000000004</v>
      </c>
      <c r="N27" s="96">
        <f t="shared" si="0"/>
        <v>877311.88</v>
      </c>
      <c r="O27" s="125" t="str">
        <f>B27</f>
        <v>Rockport</v>
      </c>
      <c r="P27" s="157">
        <f>N27/N13</f>
        <v>0.40121429133118364</v>
      </c>
      <c r="Q27" s="106">
        <f>1-P27</f>
        <v>0.5987857086688164</v>
      </c>
      <c r="R27" s="106"/>
      <c r="S27" s="106" t="s">
        <v>42</v>
      </c>
      <c r="T27" s="155">
        <f>N27</f>
        <v>877311.88</v>
      </c>
      <c r="U27" s="155">
        <f>N34</f>
        <v>1309329.77</v>
      </c>
      <c r="V27" s="155">
        <f>N13</f>
        <v>2186641.65</v>
      </c>
    </row>
    <row r="28" spans="1:22" s="90" customFormat="1" ht="15.75">
      <c r="A28" s="88"/>
      <c r="B28" s="97" t="s">
        <v>101</v>
      </c>
      <c r="C28" s="102">
        <v>72981.65000000001</v>
      </c>
      <c r="D28" s="102">
        <v>57174.225</v>
      </c>
      <c r="E28" s="102">
        <v>39259.809</v>
      </c>
      <c r="F28" s="102">
        <v>55581.937999999995</v>
      </c>
      <c r="G28" s="102">
        <v>60890.55499999999</v>
      </c>
      <c r="H28" s="102">
        <v>73983.855</v>
      </c>
      <c r="I28" s="102">
        <v>86357.735</v>
      </c>
      <c r="J28" s="102">
        <v>84320.438</v>
      </c>
      <c r="K28" s="102">
        <v>41317.39</v>
      </c>
      <c r="L28" s="102">
        <v>34855.195</v>
      </c>
      <c r="N28" s="102">
        <f t="shared" si="0"/>
        <v>606722.7899999999</v>
      </c>
      <c r="O28" s="125" t="s">
        <v>145</v>
      </c>
      <c r="P28" s="106">
        <f>SUM(N25:N27)/N14</f>
        <v>0.43980175362776625</v>
      </c>
      <c r="Q28" s="106">
        <f>1-P28</f>
        <v>0.5601982463722337</v>
      </c>
      <c r="S28" s="90" t="s">
        <v>145</v>
      </c>
      <c r="T28" s="155">
        <f>SUM(T25:T27)</f>
        <v>4383584.848</v>
      </c>
      <c r="U28" s="155">
        <f>SUM(U25:U27)</f>
        <v>5583598.801999999</v>
      </c>
      <c r="V28" s="155">
        <f>N14</f>
        <v>9967183.65</v>
      </c>
    </row>
    <row r="29" spans="1:22" s="90" customFormat="1" ht="15">
      <c r="A29" s="88"/>
      <c r="B29" s="99" t="s">
        <v>12</v>
      </c>
      <c r="C29" s="100">
        <v>514028.608</v>
      </c>
      <c r="D29" s="100">
        <v>486464.79999999993</v>
      </c>
      <c r="E29" s="100">
        <v>435872.961</v>
      </c>
      <c r="F29" s="100">
        <v>626498.2859999998</v>
      </c>
      <c r="G29" s="100">
        <v>401021.4860000001</v>
      </c>
      <c r="H29" s="100">
        <v>675821.747</v>
      </c>
      <c r="I29" s="100">
        <v>638387.081</v>
      </c>
      <c r="J29" s="100">
        <v>710829.8470000001</v>
      </c>
      <c r="K29" s="100">
        <v>424296.62499999994</v>
      </c>
      <c r="L29" s="100">
        <v>77086.19699999999</v>
      </c>
      <c r="N29" s="100">
        <f t="shared" si="0"/>
        <v>4990307.637999999</v>
      </c>
      <c r="T29" s="125"/>
      <c r="U29" s="125"/>
      <c r="V29" s="125"/>
    </row>
    <row r="30" spans="1:22" s="90" customFormat="1" ht="15.75">
      <c r="A30" s="88"/>
      <c r="B30" s="101"/>
      <c r="C30" s="96"/>
      <c r="D30" s="96"/>
      <c r="E30" s="96"/>
      <c r="F30" s="96"/>
      <c r="G30" s="96"/>
      <c r="H30" s="96"/>
      <c r="I30" s="96"/>
      <c r="J30" s="96"/>
      <c r="K30" s="96"/>
      <c r="L30" s="96"/>
      <c r="N30" s="96">
        <f t="shared" si="0"/>
        <v>0</v>
      </c>
      <c r="T30" s="125"/>
      <c r="U30" s="125"/>
      <c r="V30" s="125"/>
    </row>
    <row r="31" spans="1:22" s="90" customFormat="1" ht="15">
      <c r="A31" s="92" t="s">
        <v>23</v>
      </c>
      <c r="B31" s="93" t="s">
        <v>24</v>
      </c>
      <c r="C31" s="100">
        <v>795889.199</v>
      </c>
      <c r="D31" s="100">
        <v>643282.282</v>
      </c>
      <c r="E31" s="100">
        <v>615513.7999999999</v>
      </c>
      <c r="F31" s="100">
        <v>476152.4950000001</v>
      </c>
      <c r="G31" s="100">
        <v>507992.2349999998</v>
      </c>
      <c r="H31" s="100">
        <v>538188.6560000002</v>
      </c>
      <c r="I31" s="100">
        <v>551859.6039999998</v>
      </c>
      <c r="J31" s="100">
        <v>554907.4010000001</v>
      </c>
      <c r="K31" s="100">
        <v>479074.91699999996</v>
      </c>
      <c r="L31" s="100">
        <v>475368.61999999994</v>
      </c>
      <c r="N31" s="100">
        <f t="shared" si="0"/>
        <v>5638229.209000001</v>
      </c>
      <c r="T31" s="125"/>
      <c r="U31" s="125"/>
      <c r="V31" s="125"/>
    </row>
    <row r="32" spans="1:22" s="111" customFormat="1" ht="15">
      <c r="A32" s="107"/>
      <c r="B32" s="114" t="s">
        <v>21</v>
      </c>
      <c r="C32" s="113">
        <f>C11-C25</f>
        <v>351985.042</v>
      </c>
      <c r="D32" s="113">
        <f aca="true" t="shared" si="1" ref="D32:N32">D11-D25</f>
        <v>277108.42500000005</v>
      </c>
      <c r="E32" s="113">
        <f t="shared" si="1"/>
        <v>152150.84799999997</v>
      </c>
      <c r="F32" s="113">
        <f t="shared" si="1"/>
        <v>193499.65200000012</v>
      </c>
      <c r="G32" s="113">
        <f t="shared" si="1"/>
        <v>233604.61099999998</v>
      </c>
      <c r="H32" s="113">
        <f t="shared" si="1"/>
        <v>251345.3959999999</v>
      </c>
      <c r="I32" s="113">
        <f t="shared" si="1"/>
        <v>219687.29499999987</v>
      </c>
      <c r="J32" s="113">
        <f t="shared" si="1"/>
        <v>273877.0129999998</v>
      </c>
      <c r="K32" s="113">
        <f t="shared" si="1"/>
        <v>91518.805</v>
      </c>
      <c r="L32" s="113">
        <f t="shared" si="1"/>
        <v>0</v>
      </c>
      <c r="M32" s="113"/>
      <c r="N32" s="113">
        <f t="shared" si="1"/>
        <v>2044777.0869999998</v>
      </c>
      <c r="T32" s="128"/>
      <c r="U32" s="128"/>
      <c r="V32" s="128"/>
    </row>
    <row r="33" spans="1:22" s="111" customFormat="1" ht="15">
      <c r="A33" s="107"/>
      <c r="B33" s="114" t="s">
        <v>41</v>
      </c>
      <c r="C33" s="113">
        <f aca="true" t="shared" si="2" ref="C33:N34">C12-C26</f>
        <v>283958</v>
      </c>
      <c r="D33" s="113">
        <f t="shared" si="2"/>
        <v>263439</v>
      </c>
      <c r="E33" s="113">
        <f t="shared" si="2"/>
        <v>277070</v>
      </c>
      <c r="F33" s="113">
        <f t="shared" si="2"/>
        <v>198202</v>
      </c>
      <c r="G33" s="113">
        <f t="shared" si="2"/>
        <v>132083.26599999995</v>
      </c>
      <c r="H33" s="113">
        <f t="shared" si="2"/>
        <v>189219.35100000008</v>
      </c>
      <c r="I33" s="113">
        <f t="shared" si="2"/>
        <v>229648.8670000001</v>
      </c>
      <c r="J33" s="113">
        <f t="shared" si="2"/>
        <v>191309.172</v>
      </c>
      <c r="K33" s="113">
        <f t="shared" si="2"/>
        <v>255785.32700000014</v>
      </c>
      <c r="L33" s="113">
        <f t="shared" si="2"/>
        <v>208776.962</v>
      </c>
      <c r="M33" s="113"/>
      <c r="N33" s="113">
        <f t="shared" si="2"/>
        <v>2229491.9450000003</v>
      </c>
      <c r="T33" s="128"/>
      <c r="U33" s="128"/>
      <c r="V33" s="128"/>
    </row>
    <row r="34" spans="1:22" s="111" customFormat="1" ht="15">
      <c r="A34" s="107"/>
      <c r="B34" s="114" t="s">
        <v>42</v>
      </c>
      <c r="C34" s="113">
        <f t="shared" si="2"/>
        <v>157104</v>
      </c>
      <c r="D34" s="113">
        <f t="shared" si="2"/>
        <v>102058</v>
      </c>
      <c r="E34" s="113">
        <f t="shared" si="2"/>
        <v>183147</v>
      </c>
      <c r="F34" s="113">
        <f t="shared" si="2"/>
        <v>84398</v>
      </c>
      <c r="G34" s="113">
        <f t="shared" si="2"/>
        <v>128340.94199999986</v>
      </c>
      <c r="H34" s="113">
        <f t="shared" si="2"/>
        <v>96974.8610000002</v>
      </c>
      <c r="I34" s="113">
        <f t="shared" si="2"/>
        <v>99550.5419999998</v>
      </c>
      <c r="J34" s="113">
        <f t="shared" si="2"/>
        <v>88170.5060000002</v>
      </c>
      <c r="K34" s="113">
        <f t="shared" si="2"/>
        <v>129327.03299999982</v>
      </c>
      <c r="L34" s="113">
        <f t="shared" si="2"/>
        <v>240258.8859999999</v>
      </c>
      <c r="M34" s="113"/>
      <c r="N34" s="113">
        <f t="shared" si="2"/>
        <v>1309329.77</v>
      </c>
      <c r="T34" s="128"/>
      <c r="U34" s="128"/>
      <c r="V34" s="128"/>
    </row>
    <row r="35" spans="1:22" s="111" customFormat="1" ht="15">
      <c r="A35" s="107"/>
      <c r="B35" s="114" t="s">
        <v>101</v>
      </c>
      <c r="C35" s="115">
        <f>C17-C28</f>
        <v>2842.156999999992</v>
      </c>
      <c r="D35" s="115">
        <f aca="true" t="shared" si="3" ref="D35:N35">D17-D28</f>
        <v>676.8570000000036</v>
      </c>
      <c r="E35" s="115">
        <f t="shared" si="3"/>
        <v>3145.9519999999975</v>
      </c>
      <c r="F35" s="115">
        <f t="shared" si="3"/>
        <v>52.84300000000076</v>
      </c>
      <c r="G35" s="115">
        <f t="shared" si="3"/>
        <v>13963.416000000012</v>
      </c>
      <c r="H35" s="115">
        <f t="shared" si="3"/>
        <v>649.0480000000098</v>
      </c>
      <c r="I35" s="115">
        <f t="shared" si="3"/>
        <v>2972.899999999994</v>
      </c>
      <c r="J35" s="115">
        <f t="shared" si="3"/>
        <v>1550.7100000000064</v>
      </c>
      <c r="K35" s="115">
        <f t="shared" si="3"/>
        <v>2443.7520000000004</v>
      </c>
      <c r="L35" s="115">
        <f t="shared" si="3"/>
        <v>26332.772000000004</v>
      </c>
      <c r="M35" s="115"/>
      <c r="N35" s="115">
        <f t="shared" si="3"/>
        <v>54630.40700000001</v>
      </c>
      <c r="T35" s="128"/>
      <c r="U35" s="128"/>
      <c r="V35" s="128"/>
    </row>
    <row r="36" spans="1:22" s="111" customFormat="1" ht="15">
      <c r="A36" s="107"/>
      <c r="B36" s="114" t="s">
        <v>12</v>
      </c>
      <c r="C36" s="113">
        <f>SUM(C32:C35)</f>
        <v>795889.199</v>
      </c>
      <c r="D36" s="113">
        <f aca="true" t="shared" si="4" ref="D36:N36">SUM(D32:D35)</f>
        <v>643282.282</v>
      </c>
      <c r="E36" s="113">
        <f t="shared" si="4"/>
        <v>615513.8</v>
      </c>
      <c r="F36" s="113">
        <f t="shared" si="4"/>
        <v>476152.4950000001</v>
      </c>
      <c r="G36" s="113">
        <f t="shared" si="4"/>
        <v>507992.2349999998</v>
      </c>
      <c r="H36" s="113">
        <f t="shared" si="4"/>
        <v>538188.6560000002</v>
      </c>
      <c r="I36" s="113">
        <f t="shared" si="4"/>
        <v>551859.6039999998</v>
      </c>
      <c r="J36" s="113">
        <f t="shared" si="4"/>
        <v>554907.401</v>
      </c>
      <c r="K36" s="113">
        <f t="shared" si="4"/>
        <v>479074.9169999999</v>
      </c>
      <c r="L36" s="113">
        <f t="shared" si="4"/>
        <v>475368.6199999999</v>
      </c>
      <c r="M36" s="113"/>
      <c r="N36" s="113">
        <f t="shared" si="4"/>
        <v>5638229.208999999</v>
      </c>
      <c r="T36" s="128"/>
      <c r="U36" s="128"/>
      <c r="V36" s="128"/>
    </row>
    <row r="37" spans="1:22" s="111" customFormat="1" ht="15">
      <c r="A37" s="107"/>
      <c r="B37" s="108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N37" s="113"/>
      <c r="T37" s="128"/>
      <c r="U37" s="128"/>
      <c r="V37" s="128"/>
    </row>
    <row r="38" spans="1:22" s="90" customFormat="1" ht="15.75">
      <c r="A38" s="88"/>
      <c r="B38" s="101"/>
      <c r="C38" s="96"/>
      <c r="D38" s="96"/>
      <c r="E38" s="96"/>
      <c r="F38" s="96"/>
      <c r="G38" s="96"/>
      <c r="H38" s="96"/>
      <c r="I38" s="96"/>
      <c r="J38" s="96"/>
      <c r="K38" s="96"/>
      <c r="L38" s="96"/>
      <c r="N38" s="96">
        <f t="shared" si="0"/>
        <v>0</v>
      </c>
      <c r="T38" s="125"/>
      <c r="U38" s="125"/>
      <c r="V38" s="125"/>
    </row>
    <row r="39" spans="1:22" s="90" customFormat="1" ht="15">
      <c r="A39" s="92" t="s">
        <v>25</v>
      </c>
      <c r="B39" s="93" t="s">
        <v>26</v>
      </c>
      <c r="C39" s="100">
        <v>1309917.807</v>
      </c>
      <c r="D39" s="100">
        <v>1129747.082</v>
      </c>
      <c r="E39" s="100">
        <v>1051386.761</v>
      </c>
      <c r="F39" s="100">
        <v>1102650.781</v>
      </c>
      <c r="G39" s="100">
        <v>909013.7209999999</v>
      </c>
      <c r="H39" s="100">
        <v>1214010.4030000002</v>
      </c>
      <c r="I39" s="100">
        <v>1190246.6849999998</v>
      </c>
      <c r="J39" s="100">
        <v>1265737.2480000001</v>
      </c>
      <c r="K39" s="100">
        <v>903371.5419999999</v>
      </c>
      <c r="L39" s="100">
        <v>552454.8169999999</v>
      </c>
      <c r="N39" s="100">
        <f t="shared" si="0"/>
        <v>10628536.847</v>
      </c>
      <c r="T39" s="125"/>
      <c r="U39" s="125"/>
      <c r="V39" s="125"/>
    </row>
    <row r="40" spans="1:22" s="90" customFormat="1" ht="15.75">
      <c r="A40" s="92"/>
      <c r="B40" s="98"/>
      <c r="C40" s="96"/>
      <c r="D40" s="96"/>
      <c r="E40" s="96"/>
      <c r="F40" s="96"/>
      <c r="G40" s="96"/>
      <c r="H40" s="96"/>
      <c r="I40" s="96"/>
      <c r="J40" s="96"/>
      <c r="K40" s="96"/>
      <c r="L40" s="96"/>
      <c r="N40" s="96">
        <f t="shared" si="0"/>
        <v>0</v>
      </c>
      <c r="T40" s="125"/>
      <c r="U40" s="125"/>
      <c r="V40" s="125"/>
    </row>
    <row r="41" spans="1:14" ht="15.75">
      <c r="A41" s="16"/>
      <c r="B41" s="8"/>
      <c r="C41" s="19"/>
      <c r="D41" s="19"/>
      <c r="E41" s="19"/>
      <c r="F41" s="19"/>
      <c r="G41" s="19"/>
      <c r="H41" s="19"/>
      <c r="I41" s="19"/>
      <c r="J41" s="19"/>
      <c r="K41" s="19"/>
      <c r="L41" s="19"/>
      <c r="N41" s="19"/>
    </row>
    <row r="42" spans="1:22" s="90" customFormat="1" ht="15.75">
      <c r="A42" s="88"/>
      <c r="B42" s="94"/>
      <c r="C42" s="104" t="s">
        <v>7</v>
      </c>
      <c r="D42" s="104" t="s">
        <v>7</v>
      </c>
      <c r="E42" s="104" t="s">
        <v>7</v>
      </c>
      <c r="F42" s="104" t="s">
        <v>7</v>
      </c>
      <c r="G42" s="104" t="s">
        <v>7</v>
      </c>
      <c r="H42" s="104" t="s">
        <v>7</v>
      </c>
      <c r="I42" s="104" t="s">
        <v>7</v>
      </c>
      <c r="J42" s="104" t="s">
        <v>7</v>
      </c>
      <c r="K42" s="104" t="s">
        <v>7</v>
      </c>
      <c r="L42" s="104" t="s">
        <v>7</v>
      </c>
      <c r="M42" s="104"/>
      <c r="N42" s="104"/>
      <c r="O42" s="94"/>
      <c r="T42" s="125"/>
      <c r="U42" s="125"/>
      <c r="V42" s="125"/>
    </row>
    <row r="43" spans="1:22" s="90" customFormat="1" ht="15.75">
      <c r="A43" s="88"/>
      <c r="B43" s="94"/>
      <c r="C43" s="104" t="s">
        <v>9</v>
      </c>
      <c r="D43" s="104" t="s">
        <v>9</v>
      </c>
      <c r="E43" s="104" t="s">
        <v>9</v>
      </c>
      <c r="F43" s="104" t="s">
        <v>9</v>
      </c>
      <c r="G43" s="104" t="s">
        <v>9</v>
      </c>
      <c r="H43" s="104" t="s">
        <v>9</v>
      </c>
      <c r="I43" s="104" t="s">
        <v>9</v>
      </c>
      <c r="J43" s="104" t="s">
        <v>9</v>
      </c>
      <c r="K43" s="104" t="s">
        <v>9</v>
      </c>
      <c r="L43" s="104" t="s">
        <v>9</v>
      </c>
      <c r="M43" s="104"/>
      <c r="N43" s="104"/>
      <c r="O43" s="94"/>
      <c r="T43" s="125"/>
      <c r="U43" s="125"/>
      <c r="V43" s="125"/>
    </row>
    <row r="44" spans="1:22" s="90" customFormat="1" ht="15.75">
      <c r="A44" s="92" t="s">
        <v>10</v>
      </c>
      <c r="B44" s="93" t="s">
        <v>11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94"/>
      <c r="T44" s="125"/>
      <c r="U44" s="125"/>
      <c r="V44" s="125"/>
    </row>
    <row r="45" spans="1:22" s="90" customFormat="1" ht="15.75">
      <c r="A45" s="88"/>
      <c r="B45" s="95" t="s">
        <v>43</v>
      </c>
      <c r="C45" s="104">
        <v>19054146</v>
      </c>
      <c r="D45" s="104">
        <v>17147648.23</v>
      </c>
      <c r="E45" s="104">
        <v>9283759.34</v>
      </c>
      <c r="F45" s="104">
        <v>14450191.76</v>
      </c>
      <c r="G45" s="104">
        <v>12354119.220000003</v>
      </c>
      <c r="H45" s="104">
        <v>17404939.77</v>
      </c>
      <c r="I45" s="104">
        <v>13851169.559999999</v>
      </c>
      <c r="J45" s="104">
        <v>16752912.01</v>
      </c>
      <c r="K45" s="104">
        <v>5643959.499999999</v>
      </c>
      <c r="L45" s="104">
        <v>0</v>
      </c>
      <c r="M45" s="104"/>
      <c r="N45" s="104">
        <f aca="true" t="shared" si="5" ref="N45:N73">SUM(C45:L45)</f>
        <v>125942845.39000002</v>
      </c>
      <c r="O45" s="94"/>
      <c r="T45" s="125"/>
      <c r="U45" s="125"/>
      <c r="V45" s="125"/>
    </row>
    <row r="46" spans="1:22" s="90" customFormat="1" ht="15.75">
      <c r="A46" s="88"/>
      <c r="B46" s="97" t="s">
        <v>41</v>
      </c>
      <c r="C46" s="104">
        <v>10854140</v>
      </c>
      <c r="D46" s="104">
        <v>9304481</v>
      </c>
      <c r="E46" s="104">
        <v>11870584</v>
      </c>
      <c r="F46" s="104">
        <v>9550555</v>
      </c>
      <c r="G46" s="104">
        <v>7948457.9276662</v>
      </c>
      <c r="H46" s="104">
        <v>9018211.178287901</v>
      </c>
      <c r="I46" s="104">
        <v>11034901.933142398</v>
      </c>
      <c r="J46" s="104">
        <v>9922315.778611</v>
      </c>
      <c r="K46" s="104">
        <v>11388378.0500587</v>
      </c>
      <c r="L46" s="104">
        <v>6227643.1069132</v>
      </c>
      <c r="M46" s="104"/>
      <c r="N46" s="104">
        <f t="shared" si="5"/>
        <v>97119667.9746794</v>
      </c>
      <c r="O46" s="94"/>
      <c r="T46" s="125"/>
      <c r="U46" s="125"/>
      <c r="V46" s="125"/>
    </row>
    <row r="47" spans="1:22" s="90" customFormat="1" ht="15.75">
      <c r="A47" s="88"/>
      <c r="B47" s="98" t="s">
        <v>42</v>
      </c>
      <c r="C47" s="104">
        <v>6354956</v>
      </c>
      <c r="D47" s="104">
        <v>4998482</v>
      </c>
      <c r="E47" s="104">
        <v>6273177</v>
      </c>
      <c r="F47" s="104">
        <v>5142573</v>
      </c>
      <c r="G47" s="104">
        <v>3642665.233499998</v>
      </c>
      <c r="H47" s="104">
        <v>5670449.590500005</v>
      </c>
      <c r="I47" s="104">
        <v>5131807.280999996</v>
      </c>
      <c r="J47" s="104">
        <v>5500419.330000002</v>
      </c>
      <c r="K47" s="104">
        <v>4664969.173499998</v>
      </c>
      <c r="L47" s="104">
        <v>6095173.9169999985</v>
      </c>
      <c r="M47" s="104"/>
      <c r="N47" s="104">
        <f t="shared" si="5"/>
        <v>53474672.5255</v>
      </c>
      <c r="O47" s="94"/>
      <c r="T47" s="125"/>
      <c r="U47" s="125"/>
      <c r="V47" s="125"/>
    </row>
    <row r="48" spans="1:22" s="90" customFormat="1" ht="15.75">
      <c r="A48" s="88"/>
      <c r="B48" s="99" t="s">
        <v>12</v>
      </c>
      <c r="C48" s="104">
        <v>36263242</v>
      </c>
      <c r="D48" s="104">
        <v>31450611.23</v>
      </c>
      <c r="E48" s="104">
        <v>27427520.34</v>
      </c>
      <c r="F48" s="104">
        <v>29143319.759999998</v>
      </c>
      <c r="G48" s="104">
        <v>23945242.381166197</v>
      </c>
      <c r="H48" s="104">
        <v>32093600.538787905</v>
      </c>
      <c r="I48" s="104">
        <v>30017878.774142392</v>
      </c>
      <c r="J48" s="104">
        <v>32175647.118611004</v>
      </c>
      <c r="K48" s="104">
        <v>21697306.723558698</v>
      </c>
      <c r="L48" s="104">
        <v>12322817.023913197</v>
      </c>
      <c r="M48" s="104"/>
      <c r="N48" s="104">
        <f t="shared" si="5"/>
        <v>276537185.8901794</v>
      </c>
      <c r="O48" s="94"/>
      <c r="T48" s="125"/>
      <c r="U48" s="125"/>
      <c r="V48" s="125"/>
    </row>
    <row r="49" spans="1:22" s="90" customFormat="1" ht="15.75">
      <c r="A49" s="88"/>
      <c r="B49" s="101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/>
      <c r="T49" s="125"/>
      <c r="U49" s="125"/>
      <c r="V49" s="125"/>
    </row>
    <row r="50" spans="1:22" s="90" customFormat="1" ht="15.75">
      <c r="A50" s="92" t="s">
        <v>13</v>
      </c>
      <c r="B50" s="93" t="s">
        <v>14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94"/>
      <c r="T50" s="125"/>
      <c r="U50" s="125"/>
      <c r="V50" s="125"/>
    </row>
    <row r="51" spans="1:22" s="90" customFormat="1" ht="15.75">
      <c r="A51" s="88"/>
      <c r="B51" s="98" t="s">
        <v>15</v>
      </c>
      <c r="C51" s="104">
        <v>7100284.53</v>
      </c>
      <c r="D51" s="104">
        <v>3210163</v>
      </c>
      <c r="E51" s="104">
        <v>2740091.89</v>
      </c>
      <c r="F51" s="104">
        <v>2042947.33</v>
      </c>
      <c r="G51" s="104">
        <v>3958473.4800000004</v>
      </c>
      <c r="H51" s="104">
        <v>3301338</v>
      </c>
      <c r="I51" s="104">
        <v>3079256.54</v>
      </c>
      <c r="J51" s="104">
        <v>2828326.5</v>
      </c>
      <c r="K51" s="104">
        <v>1585860.99</v>
      </c>
      <c r="L51" s="104">
        <v>2110218.26</v>
      </c>
      <c r="M51" s="104"/>
      <c r="N51" s="104">
        <f t="shared" si="5"/>
        <v>31956960.520000003</v>
      </c>
      <c r="O51" s="94"/>
      <c r="T51" s="125"/>
      <c r="U51" s="125"/>
      <c r="V51" s="125"/>
    </row>
    <row r="52" spans="1:22" s="90" customFormat="1" ht="15.75">
      <c r="A52" s="88"/>
      <c r="B52" s="99" t="s">
        <v>12</v>
      </c>
      <c r="C52" s="104">
        <v>7100284.53</v>
      </c>
      <c r="D52" s="104">
        <v>3210163</v>
      </c>
      <c r="E52" s="104">
        <v>2740091.89</v>
      </c>
      <c r="F52" s="104">
        <v>2042947.33</v>
      </c>
      <c r="G52" s="104">
        <v>3958473.4800000004</v>
      </c>
      <c r="H52" s="104">
        <v>3301338</v>
      </c>
      <c r="I52" s="104">
        <v>3079256.54</v>
      </c>
      <c r="J52" s="104">
        <v>2828326.5</v>
      </c>
      <c r="K52" s="104">
        <v>1585860.99</v>
      </c>
      <c r="L52" s="104">
        <v>2110218.26</v>
      </c>
      <c r="M52" s="104"/>
      <c r="N52" s="104">
        <f t="shared" si="5"/>
        <v>31956960.520000003</v>
      </c>
      <c r="O52" s="94"/>
      <c r="T52" s="125"/>
      <c r="U52" s="125"/>
      <c r="V52" s="125"/>
    </row>
    <row r="53" spans="1:22" s="90" customFormat="1" ht="15.75">
      <c r="A53" s="88"/>
      <c r="B53" s="101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94"/>
      <c r="T53" s="125"/>
      <c r="U53" s="125"/>
      <c r="V53" s="125"/>
    </row>
    <row r="54" spans="1:22" s="90" customFormat="1" ht="15.75">
      <c r="A54" s="92" t="s">
        <v>16</v>
      </c>
      <c r="B54" s="93" t="s">
        <v>17</v>
      </c>
      <c r="C54" s="104">
        <v>43363526.53</v>
      </c>
      <c r="D54" s="104">
        <v>34660774.230000004</v>
      </c>
      <c r="E54" s="104">
        <v>30167612.23</v>
      </c>
      <c r="F54" s="104">
        <v>31186267.089999996</v>
      </c>
      <c r="G54" s="104">
        <v>27903715.861166198</v>
      </c>
      <c r="H54" s="104">
        <v>35394938.5387879</v>
      </c>
      <c r="I54" s="104">
        <v>33097135.31414239</v>
      </c>
      <c r="J54" s="104">
        <v>35003973.61861101</v>
      </c>
      <c r="K54" s="104">
        <v>23283167.713558696</v>
      </c>
      <c r="L54" s="104">
        <v>14433035.283913197</v>
      </c>
      <c r="M54" s="104"/>
      <c r="N54" s="104">
        <f t="shared" si="5"/>
        <v>308494146.41017944</v>
      </c>
      <c r="O54" s="94"/>
      <c r="T54" s="125"/>
      <c r="U54" s="125"/>
      <c r="V54" s="125"/>
    </row>
    <row r="55" spans="1:22" s="90" customFormat="1" ht="15.75">
      <c r="A55" s="88"/>
      <c r="B55" s="101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94"/>
      <c r="T55" s="125"/>
      <c r="U55" s="125"/>
      <c r="V55" s="125"/>
    </row>
    <row r="56" spans="1:22" s="90" customFormat="1" ht="15.75">
      <c r="A56" s="88"/>
      <c r="B56" s="89" t="s">
        <v>18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94"/>
      <c r="T56" s="125"/>
      <c r="U56" s="125"/>
      <c r="V56" s="125"/>
    </row>
    <row r="57" spans="1:22" s="90" customFormat="1" ht="15.75">
      <c r="A57" s="88"/>
      <c r="B57" s="89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P57" s="165" t="s">
        <v>147</v>
      </c>
      <c r="Q57" s="165"/>
      <c r="S57" s="165" t="s">
        <v>156</v>
      </c>
      <c r="T57" s="165"/>
      <c r="U57" s="165"/>
      <c r="V57" s="165"/>
    </row>
    <row r="58" spans="1:22" s="90" customFormat="1" ht="15.75">
      <c r="A58" s="92" t="s">
        <v>19</v>
      </c>
      <c r="B58" s="93" t="s">
        <v>20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P58" s="125" t="s">
        <v>144</v>
      </c>
      <c r="Q58" s="125" t="s">
        <v>143</v>
      </c>
      <c r="T58" s="125" t="s">
        <v>144</v>
      </c>
      <c r="U58" s="125" t="s">
        <v>143</v>
      </c>
      <c r="V58" s="125" t="s">
        <v>154</v>
      </c>
    </row>
    <row r="59" spans="1:22" s="90" customFormat="1" ht="15.75">
      <c r="A59" s="88"/>
      <c r="B59" s="98" t="s">
        <v>21</v>
      </c>
      <c r="C59" s="104">
        <v>6631481.974</v>
      </c>
      <c r="D59" s="104">
        <v>8131635.862000005</v>
      </c>
      <c r="E59" s="104">
        <v>3767732.6480000024</v>
      </c>
      <c r="F59" s="104">
        <v>7045907.992000002</v>
      </c>
      <c r="G59" s="104">
        <v>3623221.882999998</v>
      </c>
      <c r="H59" s="104">
        <v>7792177.908999998</v>
      </c>
      <c r="I59" s="104">
        <v>5538335.943000003</v>
      </c>
      <c r="J59" s="104">
        <v>7201447.073999995</v>
      </c>
      <c r="K59" s="104">
        <v>2667905.3789999997</v>
      </c>
      <c r="L59" s="104">
        <v>0</v>
      </c>
      <c r="M59" s="104"/>
      <c r="N59" s="104">
        <f t="shared" si="5"/>
        <v>52399846.664000005</v>
      </c>
      <c r="O59" s="125" t="str">
        <f>B59</f>
        <v>  Big Sandy</v>
      </c>
      <c r="P59" s="106">
        <f>N59/N45</f>
        <v>0.4160605273109115</v>
      </c>
      <c r="Q59" s="106">
        <f>1-P59</f>
        <v>0.5839394726890885</v>
      </c>
      <c r="S59" s="106" t="s">
        <v>21</v>
      </c>
      <c r="T59" s="155">
        <f>N59</f>
        <v>52399846.664000005</v>
      </c>
      <c r="U59" s="155">
        <f>N66</f>
        <v>73542998.72600001</v>
      </c>
      <c r="V59" s="155">
        <f>N45</f>
        <v>125942845.39000002</v>
      </c>
    </row>
    <row r="60" spans="1:22" s="90" customFormat="1" ht="15.75">
      <c r="A60" s="88"/>
      <c r="B60" s="98" t="s">
        <v>41</v>
      </c>
      <c r="C60" s="104">
        <v>1786431</v>
      </c>
      <c r="D60" s="104">
        <v>943929</v>
      </c>
      <c r="E60" s="104">
        <v>3699578</v>
      </c>
      <c r="F60" s="104">
        <v>3089163</v>
      </c>
      <c r="G60" s="104">
        <v>4223742.761</v>
      </c>
      <c r="H60" s="104">
        <v>2970672.6670000013</v>
      </c>
      <c r="I60" s="104">
        <v>3989923.049999999</v>
      </c>
      <c r="J60" s="104">
        <v>3638980.4889999973</v>
      </c>
      <c r="K60" s="104">
        <v>3319801.760000001</v>
      </c>
      <c r="L60" s="104">
        <v>774515.6330000005</v>
      </c>
      <c r="M60" s="104"/>
      <c r="N60" s="104">
        <f t="shared" si="5"/>
        <v>28436737.36</v>
      </c>
      <c r="O60" s="125" t="str">
        <f>B60</f>
        <v>Mitchell</v>
      </c>
      <c r="P60" s="106">
        <f>N60/N46</f>
        <v>0.2928010150056722</v>
      </c>
      <c r="Q60" s="106">
        <f>1-P60</f>
        <v>0.7071989849943279</v>
      </c>
      <c r="S60" s="106" t="s">
        <v>41</v>
      </c>
      <c r="T60" s="155">
        <f>N60</f>
        <v>28436737.36</v>
      </c>
      <c r="U60" s="155">
        <f>N67</f>
        <v>68682930.6146794</v>
      </c>
      <c r="V60" s="155">
        <f>N46</f>
        <v>97119667.9746794</v>
      </c>
    </row>
    <row r="61" spans="1:22" s="90" customFormat="1" ht="15.75">
      <c r="A61" s="88"/>
      <c r="B61" s="98" t="s">
        <v>42</v>
      </c>
      <c r="C61" s="104">
        <v>2352919</v>
      </c>
      <c r="D61" s="104">
        <v>2063022</v>
      </c>
      <c r="E61" s="104">
        <v>2205001</v>
      </c>
      <c r="F61" s="104">
        <v>2631436</v>
      </c>
      <c r="G61" s="104">
        <v>287484.9830000006</v>
      </c>
      <c r="H61" s="104">
        <v>2753928.8089999985</v>
      </c>
      <c r="I61" s="104">
        <v>2280461.8709999984</v>
      </c>
      <c r="J61" s="104">
        <v>2867130.3419999974</v>
      </c>
      <c r="K61" s="104">
        <v>2090219.6309999991</v>
      </c>
      <c r="L61" s="104">
        <v>195693.48399999994</v>
      </c>
      <c r="M61" s="104"/>
      <c r="N61" s="104">
        <f t="shared" si="5"/>
        <v>19727297.119999994</v>
      </c>
      <c r="O61" s="125" t="str">
        <f>B61</f>
        <v>Rockport</v>
      </c>
      <c r="P61" s="106">
        <f>N61/N47</f>
        <v>0.3689091711705726</v>
      </c>
      <c r="Q61" s="106">
        <f>1-P61</f>
        <v>0.6310908288294275</v>
      </c>
      <c r="S61" s="106" t="s">
        <v>42</v>
      </c>
      <c r="T61" s="155">
        <f>N61</f>
        <v>19727297.119999994</v>
      </c>
      <c r="U61" s="155">
        <f>N68</f>
        <v>33747375.40550001</v>
      </c>
      <c r="V61" s="155">
        <f>N47</f>
        <v>53474672.5255</v>
      </c>
    </row>
    <row r="62" spans="1:22" s="90" customFormat="1" ht="15.75">
      <c r="A62" s="88"/>
      <c r="B62" s="97" t="s">
        <v>101</v>
      </c>
      <c r="C62" s="104">
        <v>6971596.6899999995</v>
      </c>
      <c r="D62" s="104">
        <v>3162603.21</v>
      </c>
      <c r="E62" s="104">
        <v>2524811.29</v>
      </c>
      <c r="F62" s="104">
        <v>2042072.77</v>
      </c>
      <c r="G62" s="104">
        <v>3360256.9599999995</v>
      </c>
      <c r="H62" s="104">
        <v>3293074.88</v>
      </c>
      <c r="I62" s="104">
        <v>3035862.65</v>
      </c>
      <c r="J62" s="104">
        <v>2808642.08</v>
      </c>
      <c r="K62" s="104">
        <v>1532162.05</v>
      </c>
      <c r="L62" s="104">
        <v>1260145.1</v>
      </c>
      <c r="M62" s="104"/>
      <c r="N62" s="104">
        <f t="shared" si="5"/>
        <v>29991227.679999996</v>
      </c>
      <c r="O62" s="125" t="s">
        <v>145</v>
      </c>
      <c r="P62" s="106">
        <f>SUM(N59:N61)/N48</f>
        <v>0.3636540988883018</v>
      </c>
      <c r="Q62" s="106">
        <f>1-P62</f>
        <v>0.6363459011116982</v>
      </c>
      <c r="S62" s="90" t="s">
        <v>145</v>
      </c>
      <c r="T62" s="155">
        <f>SUM(T59:T61)</f>
        <v>100563881.144</v>
      </c>
      <c r="U62" s="155">
        <f>SUM(U59:U61)</f>
        <v>175973304.7461794</v>
      </c>
      <c r="V62" s="155">
        <f>N48</f>
        <v>276537185.8901794</v>
      </c>
    </row>
    <row r="63" spans="1:22" s="90" customFormat="1" ht="15.75">
      <c r="A63" s="88"/>
      <c r="B63" s="99" t="s">
        <v>12</v>
      </c>
      <c r="C63" s="104">
        <v>17742428.663999997</v>
      </c>
      <c r="D63" s="104">
        <v>14301190.072000004</v>
      </c>
      <c r="E63" s="104">
        <v>12197122.938000001</v>
      </c>
      <c r="F63" s="104">
        <v>14808579.762000002</v>
      </c>
      <c r="G63" s="104">
        <v>11494706.586999997</v>
      </c>
      <c r="H63" s="104">
        <v>16809854.264999997</v>
      </c>
      <c r="I63" s="104">
        <v>14844583.514</v>
      </c>
      <c r="J63" s="104">
        <v>16516199.98499999</v>
      </c>
      <c r="K63" s="104">
        <v>9610088.82</v>
      </c>
      <c r="L63" s="104">
        <v>2230354.2170000006</v>
      </c>
      <c r="M63" s="104"/>
      <c r="N63" s="104">
        <f t="shared" si="5"/>
        <v>130555108.824</v>
      </c>
      <c r="O63" s="94"/>
      <c r="T63" s="125"/>
      <c r="U63" s="125"/>
      <c r="V63" s="125"/>
    </row>
    <row r="64" spans="1:22" s="90" customFormat="1" ht="15.75">
      <c r="A64" s="88"/>
      <c r="B64" s="101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94"/>
      <c r="T64" s="125"/>
      <c r="U64" s="125"/>
      <c r="V64" s="125"/>
    </row>
    <row r="65" spans="1:22" s="90" customFormat="1" ht="15.75">
      <c r="A65" s="92" t="s">
        <v>23</v>
      </c>
      <c r="B65" s="93" t="s">
        <v>24</v>
      </c>
      <c r="C65" s="104">
        <v>25621097.866000004</v>
      </c>
      <c r="D65" s="104">
        <v>20359584.158</v>
      </c>
      <c r="E65" s="104">
        <v>17970489.292</v>
      </c>
      <c r="F65" s="104">
        <v>16377687.327999994</v>
      </c>
      <c r="G65" s="104">
        <v>16409009.2741662</v>
      </c>
      <c r="H65" s="104">
        <v>18585084.273787905</v>
      </c>
      <c r="I65" s="104">
        <v>18252551.800142393</v>
      </c>
      <c r="J65" s="104">
        <v>18487773.633611016</v>
      </c>
      <c r="K65" s="104">
        <v>13673078.893558696</v>
      </c>
      <c r="L65" s="104">
        <v>12202681.066913197</v>
      </c>
      <c r="M65" s="104"/>
      <c r="N65" s="104">
        <f t="shared" si="5"/>
        <v>177939037.58617938</v>
      </c>
      <c r="O65" s="94"/>
      <c r="T65" s="125"/>
      <c r="U65" s="125"/>
      <c r="V65" s="125"/>
    </row>
    <row r="66" spans="1:22" s="111" customFormat="1" ht="15.75">
      <c r="A66" s="107"/>
      <c r="B66" s="114" t="s">
        <v>21</v>
      </c>
      <c r="C66" s="113">
        <f>C45-C59</f>
        <v>12422664.026</v>
      </c>
      <c r="D66" s="113">
        <f aca="true" t="shared" si="6" ref="D66:N66">D45-D59</f>
        <v>9016012.367999995</v>
      </c>
      <c r="E66" s="113">
        <f t="shared" si="6"/>
        <v>5516026.691999998</v>
      </c>
      <c r="F66" s="113">
        <f t="shared" si="6"/>
        <v>7404283.767999997</v>
      </c>
      <c r="G66" s="113">
        <f t="shared" si="6"/>
        <v>8730897.337000005</v>
      </c>
      <c r="H66" s="113">
        <f t="shared" si="6"/>
        <v>9612761.861000001</v>
      </c>
      <c r="I66" s="113">
        <f t="shared" si="6"/>
        <v>8312833.616999996</v>
      </c>
      <c r="J66" s="113">
        <f t="shared" si="6"/>
        <v>9551464.936000004</v>
      </c>
      <c r="K66" s="113">
        <f t="shared" si="6"/>
        <v>2976054.1209999993</v>
      </c>
      <c r="L66" s="113">
        <f t="shared" si="6"/>
        <v>0</v>
      </c>
      <c r="M66" s="113"/>
      <c r="N66" s="113">
        <f t="shared" si="6"/>
        <v>73542998.72600001</v>
      </c>
      <c r="O66" s="110"/>
      <c r="T66" s="128"/>
      <c r="U66" s="128"/>
      <c r="V66" s="128"/>
    </row>
    <row r="67" spans="1:22" s="111" customFormat="1" ht="15.75">
      <c r="A67" s="107"/>
      <c r="B67" s="114" t="s">
        <v>41</v>
      </c>
      <c r="C67" s="113">
        <f aca="true" t="shared" si="7" ref="C67:N67">C46-C60</f>
        <v>9067709</v>
      </c>
      <c r="D67" s="113">
        <f t="shared" si="7"/>
        <v>8360552</v>
      </c>
      <c r="E67" s="113">
        <f t="shared" si="7"/>
        <v>8171006</v>
      </c>
      <c r="F67" s="113">
        <f t="shared" si="7"/>
        <v>6461392</v>
      </c>
      <c r="G67" s="113">
        <f t="shared" si="7"/>
        <v>3724715.1666662004</v>
      </c>
      <c r="H67" s="113">
        <f t="shared" si="7"/>
        <v>6047538.5112879</v>
      </c>
      <c r="I67" s="113">
        <f t="shared" si="7"/>
        <v>7044978.883142399</v>
      </c>
      <c r="J67" s="113">
        <f t="shared" si="7"/>
        <v>6283335.289611003</v>
      </c>
      <c r="K67" s="113">
        <f t="shared" si="7"/>
        <v>8068576.2900586985</v>
      </c>
      <c r="L67" s="113">
        <f t="shared" si="7"/>
        <v>5453127.473913199</v>
      </c>
      <c r="M67" s="113"/>
      <c r="N67" s="113">
        <f t="shared" si="7"/>
        <v>68682930.6146794</v>
      </c>
      <c r="O67" s="110"/>
      <c r="T67" s="128"/>
      <c r="U67" s="128"/>
      <c r="V67" s="128"/>
    </row>
    <row r="68" spans="1:22" s="111" customFormat="1" ht="15.75">
      <c r="A68" s="107"/>
      <c r="B68" s="114" t="s">
        <v>42</v>
      </c>
      <c r="C68" s="113">
        <f aca="true" t="shared" si="8" ref="C68:N68">C47-C61</f>
        <v>4002037</v>
      </c>
      <c r="D68" s="113">
        <f t="shared" si="8"/>
        <v>2935460</v>
      </c>
      <c r="E68" s="113">
        <f t="shared" si="8"/>
        <v>4068176</v>
      </c>
      <c r="F68" s="113">
        <f t="shared" si="8"/>
        <v>2511137</v>
      </c>
      <c r="G68" s="113">
        <f t="shared" si="8"/>
        <v>3355180.2504999978</v>
      </c>
      <c r="H68" s="113">
        <f t="shared" si="8"/>
        <v>2916520.781500006</v>
      </c>
      <c r="I68" s="113">
        <f t="shared" si="8"/>
        <v>2851345.4099999974</v>
      </c>
      <c r="J68" s="113">
        <f t="shared" si="8"/>
        <v>2633288.9880000046</v>
      </c>
      <c r="K68" s="113">
        <f t="shared" si="8"/>
        <v>2574749.5424999986</v>
      </c>
      <c r="L68" s="113">
        <f t="shared" si="8"/>
        <v>5899480.432999998</v>
      </c>
      <c r="M68" s="113"/>
      <c r="N68" s="113">
        <f t="shared" si="8"/>
        <v>33747375.40550001</v>
      </c>
      <c r="O68" s="110"/>
      <c r="T68" s="128"/>
      <c r="U68" s="128"/>
      <c r="V68" s="128"/>
    </row>
    <row r="69" spans="1:22" s="111" customFormat="1" ht="15.75">
      <c r="A69" s="107"/>
      <c r="B69" s="114" t="s">
        <v>101</v>
      </c>
      <c r="C69" s="115">
        <f>C51-C62</f>
        <v>128687.84000000078</v>
      </c>
      <c r="D69" s="115">
        <f aca="true" t="shared" si="9" ref="D69:N69">D51-D62</f>
        <v>47559.79000000004</v>
      </c>
      <c r="E69" s="115">
        <f t="shared" si="9"/>
        <v>215280.6000000001</v>
      </c>
      <c r="F69" s="115">
        <f t="shared" si="9"/>
        <v>874.5600000000559</v>
      </c>
      <c r="G69" s="115">
        <f t="shared" si="9"/>
        <v>598216.520000001</v>
      </c>
      <c r="H69" s="115">
        <f t="shared" si="9"/>
        <v>8263.120000000112</v>
      </c>
      <c r="I69" s="115">
        <f t="shared" si="9"/>
        <v>43393.89000000013</v>
      </c>
      <c r="J69" s="115">
        <f t="shared" si="9"/>
        <v>19684.419999999925</v>
      </c>
      <c r="K69" s="115">
        <f t="shared" si="9"/>
        <v>53698.939999999944</v>
      </c>
      <c r="L69" s="115">
        <f t="shared" si="9"/>
        <v>850073.1599999997</v>
      </c>
      <c r="M69" s="115"/>
      <c r="N69" s="115">
        <f t="shared" si="9"/>
        <v>1965732.8400000073</v>
      </c>
      <c r="O69" s="110"/>
      <c r="T69" s="128"/>
      <c r="U69" s="128"/>
      <c r="V69" s="128"/>
    </row>
    <row r="70" spans="1:22" s="111" customFormat="1" ht="15.75">
      <c r="A70" s="107"/>
      <c r="B70" s="114" t="s">
        <v>12</v>
      </c>
      <c r="C70" s="113">
        <f aca="true" t="shared" si="10" ref="C70:L70">SUM(C66:C69)</f>
        <v>25621097.866</v>
      </c>
      <c r="D70" s="113">
        <f t="shared" si="10"/>
        <v>20359584.157999992</v>
      </c>
      <c r="E70" s="113">
        <f t="shared" si="10"/>
        <v>17970489.292</v>
      </c>
      <c r="F70" s="113">
        <f t="shared" si="10"/>
        <v>16377687.327999998</v>
      </c>
      <c r="G70" s="113">
        <f t="shared" si="10"/>
        <v>16409009.274166204</v>
      </c>
      <c r="H70" s="113">
        <f t="shared" si="10"/>
        <v>18585084.27378791</v>
      </c>
      <c r="I70" s="113">
        <f t="shared" si="10"/>
        <v>18252551.800142393</v>
      </c>
      <c r="J70" s="113">
        <f t="shared" si="10"/>
        <v>18487773.633611016</v>
      </c>
      <c r="K70" s="113">
        <f t="shared" si="10"/>
        <v>13673078.893558696</v>
      </c>
      <c r="L70" s="113">
        <f t="shared" si="10"/>
        <v>12202681.066913199</v>
      </c>
      <c r="M70" s="113"/>
      <c r="N70" s="113">
        <f>SUM(N66:N69)</f>
        <v>177939037.5861794</v>
      </c>
      <c r="O70" s="110"/>
      <c r="T70" s="128"/>
      <c r="U70" s="128"/>
      <c r="V70" s="128"/>
    </row>
    <row r="71" spans="1:22" s="111" customFormat="1" ht="15.75">
      <c r="A71" s="107"/>
      <c r="B71" s="108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0"/>
      <c r="T71" s="128"/>
      <c r="U71" s="128"/>
      <c r="V71" s="128"/>
    </row>
    <row r="72" spans="1:22" s="90" customFormat="1" ht="15.75">
      <c r="A72" s="88"/>
      <c r="B72" s="101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94"/>
      <c r="T72" s="125"/>
      <c r="U72" s="125"/>
      <c r="V72" s="125"/>
    </row>
    <row r="73" spans="1:22" s="90" customFormat="1" ht="15.75">
      <c r="A73" s="92" t="s">
        <v>25</v>
      </c>
      <c r="B73" s="93" t="s">
        <v>26</v>
      </c>
      <c r="C73" s="104">
        <v>43363526.53</v>
      </c>
      <c r="D73" s="104">
        <v>34660774.230000004</v>
      </c>
      <c r="E73" s="104">
        <v>30167612.23</v>
      </c>
      <c r="F73" s="104">
        <v>31186267.089999996</v>
      </c>
      <c r="G73" s="104">
        <v>27903715.861166198</v>
      </c>
      <c r="H73" s="104">
        <v>35394938.5387879</v>
      </c>
      <c r="I73" s="104">
        <v>33097135.31414239</v>
      </c>
      <c r="J73" s="104">
        <v>35003973.61861101</v>
      </c>
      <c r="K73" s="104">
        <v>23283167.713558696</v>
      </c>
      <c r="L73" s="104">
        <v>14433035.283913197</v>
      </c>
      <c r="M73" s="104"/>
      <c r="N73" s="104">
        <f t="shared" si="5"/>
        <v>308494146.41017944</v>
      </c>
      <c r="O73" s="94"/>
      <c r="T73" s="125"/>
      <c r="U73" s="125"/>
      <c r="V73" s="125"/>
    </row>
    <row r="74" spans="3:15" ht="15.75"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6"/>
    </row>
    <row r="75" spans="3:15" ht="15.75"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6"/>
    </row>
    <row r="76" spans="3:15" ht="15.75">
      <c r="C76" s="86" t="s">
        <v>8</v>
      </c>
      <c r="D76" s="86" t="s">
        <v>8</v>
      </c>
      <c r="E76" s="86" t="s">
        <v>8</v>
      </c>
      <c r="F76" s="86" t="s">
        <v>8</v>
      </c>
      <c r="G76" s="86" t="s">
        <v>8</v>
      </c>
      <c r="H76" s="86" t="s">
        <v>8</v>
      </c>
      <c r="I76" s="86" t="s">
        <v>8</v>
      </c>
      <c r="J76" s="86" t="s">
        <v>8</v>
      </c>
      <c r="K76" s="86" t="s">
        <v>8</v>
      </c>
      <c r="L76" s="86" t="s">
        <v>8</v>
      </c>
      <c r="M76" s="86"/>
      <c r="N76" s="86"/>
      <c r="O76" s="6"/>
    </row>
    <row r="77" spans="1:22" s="90" customFormat="1" ht="15.75">
      <c r="A77" s="88"/>
      <c r="B77" s="94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94"/>
      <c r="T77" s="125"/>
      <c r="U77" s="125"/>
      <c r="V77" s="125"/>
    </row>
    <row r="78" spans="1:22" s="90" customFormat="1" ht="15.75">
      <c r="A78" s="92" t="s">
        <v>10</v>
      </c>
      <c r="B78" s="93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94"/>
      <c r="T78" s="125"/>
      <c r="U78" s="125"/>
      <c r="V78" s="125"/>
    </row>
    <row r="79" spans="1:22" s="90" customFormat="1" ht="15.75">
      <c r="A79" s="88"/>
      <c r="B79" s="95" t="s">
        <v>43</v>
      </c>
      <c r="C79" s="105">
        <f aca="true" t="shared" si="11" ref="C79:K79">C45/C11</f>
        <v>31.177527611879245</v>
      </c>
      <c r="D79" s="105">
        <f t="shared" si="11"/>
        <v>29.53512100725992</v>
      </c>
      <c r="E79" s="105">
        <f t="shared" si="11"/>
        <v>31.379423501377364</v>
      </c>
      <c r="F79" s="105">
        <f t="shared" si="11"/>
        <v>30.221675157903544</v>
      </c>
      <c r="G79" s="105">
        <f t="shared" si="11"/>
        <v>32.60556780752503</v>
      </c>
      <c r="H79" s="105">
        <f t="shared" si="11"/>
        <v>30.316068129088894</v>
      </c>
      <c r="I79" s="105">
        <f t="shared" si="11"/>
        <v>29.746200560512833</v>
      </c>
      <c r="J79" s="105">
        <f t="shared" si="11"/>
        <v>28.601667673953276</v>
      </c>
      <c r="K79" s="105">
        <f t="shared" si="11"/>
        <v>26.809993967233044</v>
      </c>
      <c r="L79" s="105"/>
      <c r="M79" s="105"/>
      <c r="N79" s="105">
        <f>N45/N11</f>
        <v>30.125283662581488</v>
      </c>
      <c r="O79" s="94"/>
      <c r="T79" s="125"/>
      <c r="U79" s="125"/>
      <c r="V79" s="125"/>
    </row>
    <row r="80" spans="1:22" s="90" customFormat="1" ht="15.75">
      <c r="A80" s="88"/>
      <c r="B80" s="97" t="s">
        <v>41</v>
      </c>
      <c r="C80" s="105">
        <f aca="true" t="shared" si="12" ref="C80:L80">C46/C12</f>
        <v>30.231846920870122</v>
      </c>
      <c r="D80" s="105">
        <f t="shared" si="12"/>
        <v>30.878556376005974</v>
      </c>
      <c r="E80" s="105">
        <f t="shared" si="12"/>
        <v>27.561334302305333</v>
      </c>
      <c r="F80" s="105">
        <f t="shared" si="12"/>
        <v>25.888296459337408</v>
      </c>
      <c r="G80" s="105">
        <f t="shared" si="12"/>
        <v>25.052977399614836</v>
      </c>
      <c r="H80" s="105">
        <f t="shared" si="12"/>
        <v>25.804729835806732</v>
      </c>
      <c r="I80" s="105">
        <f t="shared" si="12"/>
        <v>25.508208314206588</v>
      </c>
      <c r="J80" s="105">
        <f t="shared" si="12"/>
        <v>26.221210383001946</v>
      </c>
      <c r="K80" s="105">
        <f t="shared" si="12"/>
        <v>27.130172023733824</v>
      </c>
      <c r="L80" s="105">
        <f t="shared" si="12"/>
        <v>25.689795298651497</v>
      </c>
      <c r="M80" s="105"/>
      <c r="N80" s="105">
        <f>N46/N12</f>
        <v>26.97838998426053</v>
      </c>
      <c r="O80" s="94"/>
      <c r="T80" s="125"/>
      <c r="U80" s="125"/>
      <c r="V80" s="125"/>
    </row>
    <row r="81" spans="1:22" s="90" customFormat="1" ht="15.75">
      <c r="A81" s="88"/>
      <c r="B81" s="98" t="s">
        <v>42</v>
      </c>
      <c r="C81" s="105">
        <f aca="true" t="shared" si="13" ref="C81:L81">C47/C13</f>
        <v>24.079647157786248</v>
      </c>
      <c r="D81" s="105">
        <f t="shared" si="13"/>
        <v>26.309738612318803</v>
      </c>
      <c r="E81" s="105">
        <f t="shared" si="13"/>
        <v>22.21151864716442</v>
      </c>
      <c r="F81" s="105">
        <f t="shared" si="13"/>
        <v>25.717751372760823</v>
      </c>
      <c r="G81" s="105">
        <f t="shared" si="13"/>
        <v>26.396555259053144</v>
      </c>
      <c r="H81" s="105">
        <f t="shared" si="13"/>
        <v>26.278542469848112</v>
      </c>
      <c r="I81" s="105">
        <f t="shared" si="13"/>
        <v>25.32111973189789</v>
      </c>
      <c r="J81" s="105">
        <f t="shared" si="13"/>
        <v>25.497236217592576</v>
      </c>
      <c r="K81" s="105">
        <f t="shared" si="13"/>
        <v>20.342139045653035</v>
      </c>
      <c r="L81" s="105">
        <f t="shared" si="13"/>
        <v>24.493379911621407</v>
      </c>
      <c r="M81" s="105"/>
      <c r="N81" s="105">
        <f>N47/N13</f>
        <v>24.455160508581734</v>
      </c>
      <c r="O81" s="94"/>
      <c r="T81" s="125"/>
      <c r="U81" s="125"/>
      <c r="V81" s="125"/>
    </row>
    <row r="82" spans="1:22" s="90" customFormat="1" ht="15.75">
      <c r="A82" s="88"/>
      <c r="B82" s="99" t="s">
        <v>12</v>
      </c>
      <c r="C82" s="105">
        <f aca="true" t="shared" si="14" ref="C82:L82">C48/C14</f>
        <v>29.38450555630284</v>
      </c>
      <c r="D82" s="105">
        <f t="shared" si="14"/>
        <v>29.341103269347027</v>
      </c>
      <c r="E82" s="105">
        <f t="shared" si="14"/>
        <v>27.183386347215656</v>
      </c>
      <c r="F82" s="105">
        <f t="shared" si="14"/>
        <v>27.834646041703277</v>
      </c>
      <c r="G82" s="105">
        <f t="shared" si="14"/>
        <v>28.70582329244033</v>
      </c>
      <c r="H82" s="105">
        <f t="shared" si="14"/>
        <v>28.167662200445328</v>
      </c>
      <c r="I82" s="105">
        <f t="shared" si="14"/>
        <v>27.26627409432572</v>
      </c>
      <c r="J82" s="105">
        <f t="shared" si="14"/>
        <v>27.270592077025523</v>
      </c>
      <c r="K82" s="105">
        <f t="shared" si="14"/>
        <v>25.240861119826725</v>
      </c>
      <c r="L82" s="105">
        <f t="shared" si="14"/>
        <v>25.08375442778848</v>
      </c>
      <c r="M82" s="105"/>
      <c r="N82" s="105">
        <f>N48/N14</f>
        <v>27.74476678677225</v>
      </c>
      <c r="O82" s="94"/>
      <c r="T82" s="125"/>
      <c r="U82" s="125"/>
      <c r="V82" s="125"/>
    </row>
    <row r="83" spans="1:22" s="90" customFormat="1" ht="15.75">
      <c r="A83" s="88"/>
      <c r="B83" s="101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94"/>
      <c r="T83" s="125"/>
      <c r="U83" s="125"/>
      <c r="V83" s="125"/>
    </row>
    <row r="84" spans="1:22" s="90" customFormat="1" ht="15.75">
      <c r="A84" s="92" t="s">
        <v>13</v>
      </c>
      <c r="B84" s="93" t="s">
        <v>14</v>
      </c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94"/>
      <c r="T84" s="125"/>
      <c r="U84" s="125"/>
      <c r="V84" s="125"/>
    </row>
    <row r="85" spans="1:22" s="90" customFormat="1" ht="15.75">
      <c r="A85" s="88"/>
      <c r="B85" s="98" t="s">
        <v>15</v>
      </c>
      <c r="C85" s="105">
        <f aca="true" t="shared" si="15" ref="C85:L85">C51/C17</f>
        <v>93.64188914967036</v>
      </c>
      <c r="D85" s="105">
        <f t="shared" si="15"/>
        <v>55.49011166290718</v>
      </c>
      <c r="E85" s="105">
        <f t="shared" si="15"/>
        <v>64.61602917584713</v>
      </c>
      <c r="F85" s="105">
        <f t="shared" si="15"/>
        <v>36.720686111804774</v>
      </c>
      <c r="G85" s="105">
        <f t="shared" si="15"/>
        <v>52.882611665318336</v>
      </c>
      <c r="H85" s="105">
        <f t="shared" si="15"/>
        <v>44.23435063218698</v>
      </c>
      <c r="I85" s="105">
        <f t="shared" si="15"/>
        <v>34.470330810925056</v>
      </c>
      <c r="J85" s="105">
        <f t="shared" si="15"/>
        <v>32.93686605890025</v>
      </c>
      <c r="K85" s="105">
        <f t="shared" si="15"/>
        <v>36.23902205294368</v>
      </c>
      <c r="L85" s="105">
        <f t="shared" si="15"/>
        <v>34.48747136834926</v>
      </c>
      <c r="M85" s="105"/>
      <c r="N85" s="105">
        <f>N51/N17</f>
        <v>48.32056556914173</v>
      </c>
      <c r="O85" s="94"/>
      <c r="T85" s="125"/>
      <c r="U85" s="125"/>
      <c r="V85" s="125"/>
    </row>
    <row r="86" spans="1:22" s="90" customFormat="1" ht="15.75">
      <c r="A86" s="88"/>
      <c r="B86" s="99" t="s">
        <v>12</v>
      </c>
      <c r="C86" s="105">
        <f aca="true" t="shared" si="16" ref="C86:L86">C52/C18</f>
        <v>93.64188914967036</v>
      </c>
      <c r="D86" s="105">
        <f t="shared" si="16"/>
        <v>55.49011166290718</v>
      </c>
      <c r="E86" s="105">
        <f t="shared" si="16"/>
        <v>64.61602917584713</v>
      </c>
      <c r="F86" s="105">
        <f t="shared" si="16"/>
        <v>36.720686111804774</v>
      </c>
      <c r="G86" s="105">
        <f t="shared" si="16"/>
        <v>52.882611665318336</v>
      </c>
      <c r="H86" s="105">
        <f t="shared" si="16"/>
        <v>44.23435063218698</v>
      </c>
      <c r="I86" s="105">
        <f t="shared" si="16"/>
        <v>34.470330810925056</v>
      </c>
      <c r="J86" s="105">
        <f t="shared" si="16"/>
        <v>32.93686605890025</v>
      </c>
      <c r="K86" s="105">
        <f t="shared" si="16"/>
        <v>36.23902205294368</v>
      </c>
      <c r="L86" s="105">
        <f t="shared" si="16"/>
        <v>34.48747136834926</v>
      </c>
      <c r="M86" s="105"/>
      <c r="N86" s="105">
        <f>N52/N18</f>
        <v>48.32056556914173</v>
      </c>
      <c r="O86" s="94"/>
      <c r="T86" s="125"/>
      <c r="U86" s="125"/>
      <c r="V86" s="125"/>
    </row>
    <row r="87" spans="1:22" s="90" customFormat="1" ht="15.75">
      <c r="A87" s="88"/>
      <c r="B87" s="101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94"/>
      <c r="T87" s="125"/>
      <c r="U87" s="125"/>
      <c r="V87" s="125"/>
    </row>
    <row r="88" spans="1:22" s="90" customFormat="1" ht="15.75">
      <c r="A88" s="92" t="s">
        <v>16</v>
      </c>
      <c r="B88" s="93" t="s">
        <v>17</v>
      </c>
      <c r="C88" s="105">
        <f aca="true" t="shared" si="17" ref="C88:L88">C54/C20</f>
        <v>33.104005685144486</v>
      </c>
      <c r="D88" s="105">
        <f t="shared" si="17"/>
        <v>30.680118393082964</v>
      </c>
      <c r="E88" s="105">
        <f t="shared" si="17"/>
        <v>28.693163495141253</v>
      </c>
      <c r="F88" s="105">
        <f t="shared" si="17"/>
        <v>28.28299551170408</v>
      </c>
      <c r="G88" s="105">
        <f t="shared" si="17"/>
        <v>30.69669380839434</v>
      </c>
      <c r="H88" s="105">
        <f t="shared" si="17"/>
        <v>29.155383225153383</v>
      </c>
      <c r="I88" s="105">
        <f t="shared" si="17"/>
        <v>27.80695441646401</v>
      </c>
      <c r="J88" s="105">
        <f t="shared" si="17"/>
        <v>27.65500792042031</v>
      </c>
      <c r="K88" s="105">
        <f t="shared" si="17"/>
        <v>25.773634247998814</v>
      </c>
      <c r="L88" s="105">
        <f t="shared" si="17"/>
        <v>26.125277289261465</v>
      </c>
      <c r="M88" s="105"/>
      <c r="N88" s="105">
        <f>N54/N20</f>
        <v>29.025081330668268</v>
      </c>
      <c r="O88" s="94"/>
      <c r="T88" s="125"/>
      <c r="U88" s="125"/>
      <c r="V88" s="125"/>
    </row>
    <row r="89" spans="1:22" s="90" customFormat="1" ht="15.75">
      <c r="A89" s="88"/>
      <c r="B89" s="101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94"/>
      <c r="T89" s="125"/>
      <c r="U89" s="125"/>
      <c r="V89" s="125"/>
    </row>
    <row r="90" spans="1:22" s="90" customFormat="1" ht="15.75">
      <c r="A90" s="88"/>
      <c r="B90" s="89" t="s">
        <v>18</v>
      </c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94"/>
      <c r="T90" s="125"/>
      <c r="U90" s="125"/>
      <c r="V90" s="125"/>
    </row>
    <row r="91" spans="1:22" s="90" customFormat="1" ht="15.75">
      <c r="A91" s="88"/>
      <c r="B91" s="89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P91" s="165"/>
      <c r="Q91" s="165"/>
      <c r="S91" s="165" t="s">
        <v>157</v>
      </c>
      <c r="T91" s="165"/>
      <c r="U91" s="165"/>
      <c r="V91" s="165"/>
    </row>
    <row r="92" spans="1:22" s="90" customFormat="1" ht="15.75">
      <c r="A92" s="92" t="s">
        <v>19</v>
      </c>
      <c r="B92" s="93" t="s">
        <v>20</v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P92" s="125"/>
      <c r="Q92" s="125"/>
      <c r="T92" s="125" t="s">
        <v>144</v>
      </c>
      <c r="U92" s="125" t="s">
        <v>143</v>
      </c>
      <c r="V92" s="125" t="s">
        <v>154</v>
      </c>
    </row>
    <row r="93" spans="1:22" s="90" customFormat="1" ht="15.75">
      <c r="A93" s="88"/>
      <c r="B93" s="98" t="s">
        <v>21</v>
      </c>
      <c r="C93" s="105">
        <f aca="true" t="shared" si="18" ref="C93:K93">C59/C25</f>
        <v>25.587880495788326</v>
      </c>
      <c r="D93" s="105">
        <f t="shared" si="18"/>
        <v>26.79493750712063</v>
      </c>
      <c r="E93" s="105">
        <f t="shared" si="18"/>
        <v>26.218676326067474</v>
      </c>
      <c r="F93" s="105">
        <f t="shared" si="18"/>
        <v>24.75372181599499</v>
      </c>
      <c r="G93" s="105">
        <f t="shared" si="18"/>
        <v>24.937622992922158</v>
      </c>
      <c r="H93" s="105">
        <f t="shared" si="18"/>
        <v>24.141535234106993</v>
      </c>
      <c r="I93" s="105">
        <f t="shared" si="18"/>
        <v>22.517432186155744</v>
      </c>
      <c r="J93" s="105">
        <f t="shared" si="18"/>
        <v>23.092294092446213</v>
      </c>
      <c r="K93" s="105">
        <f t="shared" si="18"/>
        <v>22.419712996487043</v>
      </c>
      <c r="L93" s="105"/>
      <c r="M93" s="105"/>
      <c r="N93" s="105">
        <f>N59/N25</f>
        <v>24.5333838977219</v>
      </c>
      <c r="O93" s="125"/>
      <c r="P93" s="106"/>
      <c r="Q93" s="106"/>
      <c r="S93" s="106" t="s">
        <v>21</v>
      </c>
      <c r="T93" s="156">
        <f>N93</f>
        <v>24.5333838977219</v>
      </c>
      <c r="U93" s="156">
        <f>N100</f>
        <v>35.96626702908669</v>
      </c>
      <c r="V93" s="156">
        <f>N79</f>
        <v>30.125283662581488</v>
      </c>
    </row>
    <row r="94" spans="1:22" s="90" customFormat="1" ht="15.75">
      <c r="A94" s="88"/>
      <c r="B94" s="98" t="s">
        <v>41</v>
      </c>
      <c r="C94" s="105">
        <f aca="true" t="shared" si="19" ref="C94:L94">C60/C26</f>
        <v>23.79623561381074</v>
      </c>
      <c r="D94" s="105">
        <f t="shared" si="19"/>
        <v>24.914981787467667</v>
      </c>
      <c r="E94" s="105">
        <f t="shared" si="19"/>
        <v>24.081561183906476</v>
      </c>
      <c r="F94" s="105">
        <f t="shared" si="19"/>
        <v>18.095757767468015</v>
      </c>
      <c r="G94" s="105">
        <f t="shared" si="19"/>
        <v>22.808512811998977</v>
      </c>
      <c r="H94" s="105">
        <f t="shared" si="19"/>
        <v>18.536622821381588</v>
      </c>
      <c r="I94" s="105">
        <f t="shared" si="19"/>
        <v>19.65933213753345</v>
      </c>
      <c r="J94" s="105">
        <f t="shared" si="19"/>
        <v>19.449509801312047</v>
      </c>
      <c r="K94" s="105">
        <f t="shared" si="19"/>
        <v>20.244832574475744</v>
      </c>
      <c r="L94" s="105">
        <f t="shared" si="19"/>
        <v>23.023625389483826</v>
      </c>
      <c r="M94" s="105"/>
      <c r="N94" s="105">
        <f>N60/N26</f>
        <v>20.750471185148495</v>
      </c>
      <c r="O94" s="125"/>
      <c r="P94" s="106"/>
      <c r="Q94" s="106"/>
      <c r="S94" s="106" t="s">
        <v>41</v>
      </c>
      <c r="T94" s="156">
        <f>N94</f>
        <v>20.750471185148495</v>
      </c>
      <c r="U94" s="156">
        <f>N101</f>
        <v>30.806539027293677</v>
      </c>
      <c r="V94" s="156">
        <f>N80</f>
        <v>26.97838998426053</v>
      </c>
    </row>
    <row r="95" spans="1:22" s="90" customFormat="1" ht="15.75">
      <c r="A95" s="88"/>
      <c r="B95" s="98" t="s">
        <v>42</v>
      </c>
      <c r="C95" s="105">
        <f aca="true" t="shared" si="20" ref="C95:L95">C61/C27</f>
        <v>22.029014137253068</v>
      </c>
      <c r="D95" s="105">
        <f t="shared" si="20"/>
        <v>23.462628514238922</v>
      </c>
      <c r="E95" s="105">
        <f t="shared" si="20"/>
        <v>22.20947402348865</v>
      </c>
      <c r="F95" s="105">
        <f t="shared" si="20"/>
        <v>22.770378318507493</v>
      </c>
      <c r="G95" s="105">
        <f t="shared" si="20"/>
        <v>29.770187312412126</v>
      </c>
      <c r="H95" s="105">
        <f t="shared" si="20"/>
        <v>23.179728443219034</v>
      </c>
      <c r="I95" s="105">
        <f t="shared" si="20"/>
        <v>22.114961855344127</v>
      </c>
      <c r="J95" s="105">
        <f t="shared" si="20"/>
        <v>22.477495906608365</v>
      </c>
      <c r="K95" s="105">
        <f t="shared" si="20"/>
        <v>20.902537648439786</v>
      </c>
      <c r="L95" s="105">
        <f t="shared" si="20"/>
        <v>22.778990111004987</v>
      </c>
      <c r="M95" s="105"/>
      <c r="N95" s="105">
        <f>N61/N27</f>
        <v>22.48607088279711</v>
      </c>
      <c r="O95" s="125"/>
      <c r="P95" s="106"/>
      <c r="Q95" s="106"/>
      <c r="S95" s="106" t="s">
        <v>42</v>
      </c>
      <c r="T95" s="156">
        <f>N95</f>
        <v>22.48607088279711</v>
      </c>
      <c r="U95" s="156">
        <f>N102</f>
        <v>25.77454219611917</v>
      </c>
      <c r="V95" s="156">
        <f>N81</f>
        <v>24.455160508581734</v>
      </c>
    </row>
    <row r="96" spans="1:22" s="90" customFormat="1" ht="15.75">
      <c r="A96" s="88"/>
      <c r="B96" s="97" t="s">
        <v>101</v>
      </c>
      <c r="C96" s="105">
        <f aca="true" t="shared" si="21" ref="C96:L96">C62/C28</f>
        <v>95.5253367113514</v>
      </c>
      <c r="D96" s="105">
        <f t="shared" si="21"/>
        <v>55.31519159201546</v>
      </c>
      <c r="E96" s="105">
        <f t="shared" si="21"/>
        <v>64.31033044506151</v>
      </c>
      <c r="F96" s="105">
        <f t="shared" si="21"/>
        <v>36.739862687047726</v>
      </c>
      <c r="G96" s="105">
        <f t="shared" si="21"/>
        <v>55.185191857751995</v>
      </c>
      <c r="H96" s="105">
        <f t="shared" si="21"/>
        <v>44.51072304896791</v>
      </c>
      <c r="I96" s="105">
        <f t="shared" si="21"/>
        <v>35.154496004324336</v>
      </c>
      <c r="J96" s="105">
        <f t="shared" si="21"/>
        <v>33.3091495563626</v>
      </c>
      <c r="K96" s="105">
        <f t="shared" si="21"/>
        <v>37.082740463519116</v>
      </c>
      <c r="L96" s="105">
        <f t="shared" si="21"/>
        <v>36.1537240001096</v>
      </c>
      <c r="M96" s="105"/>
      <c r="N96" s="105">
        <f>N62/N28</f>
        <v>49.43151662392639</v>
      </c>
      <c r="O96" s="125"/>
      <c r="P96" s="106"/>
      <c r="Q96" s="106"/>
      <c r="S96" s="90" t="s">
        <v>145</v>
      </c>
      <c r="T96" s="156">
        <f>SUM(T93:T95)</f>
        <v>67.76992596566751</v>
      </c>
      <c r="U96" s="156">
        <f>SUM(U93:U95)</f>
        <v>92.54734825249953</v>
      </c>
      <c r="V96" s="156">
        <f>N82</f>
        <v>27.74476678677225</v>
      </c>
    </row>
    <row r="97" spans="1:22" s="90" customFormat="1" ht="15.75">
      <c r="A97" s="88"/>
      <c r="B97" s="99" t="s">
        <v>12</v>
      </c>
      <c r="C97" s="105">
        <f aca="true" t="shared" si="22" ref="C97:L97">C63/C29</f>
        <v>34.516422603467234</v>
      </c>
      <c r="D97" s="105">
        <f t="shared" si="22"/>
        <v>29.398201210036177</v>
      </c>
      <c r="E97" s="105">
        <f t="shared" si="22"/>
        <v>27.98320618470298</v>
      </c>
      <c r="F97" s="105">
        <f t="shared" si="22"/>
        <v>23.63706348910906</v>
      </c>
      <c r="G97" s="105">
        <f t="shared" si="22"/>
        <v>28.663567884240486</v>
      </c>
      <c r="H97" s="105">
        <f t="shared" si="22"/>
        <v>24.873207083997546</v>
      </c>
      <c r="I97" s="105">
        <f t="shared" si="22"/>
        <v>23.25326429029036</v>
      </c>
      <c r="J97" s="105">
        <f t="shared" si="22"/>
        <v>23.235096352109128</v>
      </c>
      <c r="K97" s="105">
        <f t="shared" si="22"/>
        <v>22.649458548014614</v>
      </c>
      <c r="L97" s="105">
        <f t="shared" si="22"/>
        <v>28.93325009923633</v>
      </c>
      <c r="M97" s="105"/>
      <c r="N97" s="105">
        <f>N63/N29</f>
        <v>26.16173556713299</v>
      </c>
      <c r="O97" s="94"/>
      <c r="T97" s="125"/>
      <c r="U97" s="125"/>
      <c r="V97" s="125"/>
    </row>
    <row r="98" spans="1:22" s="90" customFormat="1" ht="15.75">
      <c r="A98" s="88"/>
      <c r="B98" s="101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94"/>
      <c r="T98" s="125"/>
      <c r="U98" s="125"/>
      <c r="V98" s="125"/>
    </row>
    <row r="99" spans="1:22" s="90" customFormat="1" ht="15.75">
      <c r="A99" s="92" t="s">
        <v>23</v>
      </c>
      <c r="B99" s="93" t="s">
        <v>24</v>
      </c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94"/>
      <c r="T99" s="125"/>
      <c r="U99" s="125"/>
      <c r="V99" s="125"/>
    </row>
    <row r="100" spans="1:22" s="111" customFormat="1" ht="15.75">
      <c r="A100" s="107"/>
      <c r="B100" s="114" t="s">
        <v>21</v>
      </c>
      <c r="C100" s="109">
        <f aca="true" t="shared" si="23" ref="C100:K100">C66/C32</f>
        <v>35.293158923497664</v>
      </c>
      <c r="D100" s="109">
        <f t="shared" si="23"/>
        <v>32.53604565794055</v>
      </c>
      <c r="E100" s="109">
        <f t="shared" si="23"/>
        <v>36.25367038374968</v>
      </c>
      <c r="F100" s="109">
        <f t="shared" si="23"/>
        <v>38.26510121062126</v>
      </c>
      <c r="G100" s="109">
        <f t="shared" si="23"/>
        <v>37.374678948439104</v>
      </c>
      <c r="H100" s="109">
        <f t="shared" si="23"/>
        <v>38.24522753939764</v>
      </c>
      <c r="I100" s="109">
        <f t="shared" si="23"/>
        <v>37.83939174543526</v>
      </c>
      <c r="J100" s="109">
        <f t="shared" si="23"/>
        <v>34.87501499806415</v>
      </c>
      <c r="K100" s="109">
        <f t="shared" si="23"/>
        <v>32.51849847689772</v>
      </c>
      <c r="L100" s="109"/>
      <c r="M100" s="109"/>
      <c r="N100" s="109">
        <f>N66/N32</f>
        <v>35.96626702908669</v>
      </c>
      <c r="O100" s="109"/>
      <c r="T100" s="128"/>
      <c r="U100" s="128"/>
      <c r="V100" s="128"/>
    </row>
    <row r="101" spans="1:22" s="111" customFormat="1" ht="15.75">
      <c r="A101" s="107"/>
      <c r="B101" s="114" t="s">
        <v>41</v>
      </c>
      <c r="C101" s="109">
        <f aca="true" t="shared" si="24" ref="C101:L101">C67/C33</f>
        <v>31.93327534353672</v>
      </c>
      <c r="D101" s="109">
        <f t="shared" si="24"/>
        <v>31.736196994370612</v>
      </c>
      <c r="E101" s="109">
        <f t="shared" si="24"/>
        <v>29.490764066842313</v>
      </c>
      <c r="F101" s="109">
        <f t="shared" si="24"/>
        <v>32.60003430843281</v>
      </c>
      <c r="G101" s="109">
        <f t="shared" si="24"/>
        <v>28.199750653244763</v>
      </c>
      <c r="H101" s="109">
        <f t="shared" si="24"/>
        <v>31.960465350543863</v>
      </c>
      <c r="I101" s="109">
        <f t="shared" si="24"/>
        <v>30.677176748894635</v>
      </c>
      <c r="J101" s="109">
        <f t="shared" si="24"/>
        <v>32.84387896264066</v>
      </c>
      <c r="K101" s="109">
        <f t="shared" si="24"/>
        <v>31.54432814693352</v>
      </c>
      <c r="L101" s="109">
        <f t="shared" si="24"/>
        <v>26.119392780096106</v>
      </c>
      <c r="M101" s="109"/>
      <c r="N101" s="109">
        <f>N67/N33</f>
        <v>30.806539027293677</v>
      </c>
      <c r="O101" s="109"/>
      <c r="T101" s="128"/>
      <c r="U101" s="128"/>
      <c r="V101" s="128"/>
    </row>
    <row r="102" spans="1:22" s="111" customFormat="1" ht="15.75">
      <c r="A102" s="107"/>
      <c r="B102" s="114" t="s">
        <v>42</v>
      </c>
      <c r="C102" s="109">
        <f aca="true" t="shared" si="25" ref="C102:L102">C68/C34</f>
        <v>25.473807159588553</v>
      </c>
      <c r="D102" s="109">
        <f t="shared" si="25"/>
        <v>28.762664367320543</v>
      </c>
      <c r="E102" s="109">
        <f t="shared" si="25"/>
        <v>22.212627015457528</v>
      </c>
      <c r="F102" s="109">
        <f t="shared" si="25"/>
        <v>29.75351311642456</v>
      </c>
      <c r="G102" s="109">
        <f t="shared" si="25"/>
        <v>26.14271173496608</v>
      </c>
      <c r="H102" s="109">
        <f t="shared" si="25"/>
        <v>30.075018942280312</v>
      </c>
      <c r="I102" s="109">
        <f t="shared" si="25"/>
        <v>28.642188708525598</v>
      </c>
      <c r="J102" s="109">
        <f t="shared" si="25"/>
        <v>29.865871337973253</v>
      </c>
      <c r="K102" s="109">
        <f t="shared" si="25"/>
        <v>19.90882712433372</v>
      </c>
      <c r="L102" s="109">
        <f t="shared" si="25"/>
        <v>24.55468154047797</v>
      </c>
      <c r="M102" s="109"/>
      <c r="N102" s="109">
        <f>N68/N34</f>
        <v>25.77454219611917</v>
      </c>
      <c r="O102" s="109"/>
      <c r="T102" s="128"/>
      <c r="U102" s="128"/>
      <c r="V102" s="128"/>
    </row>
    <row r="103" spans="1:22" s="111" customFormat="1" ht="15.75">
      <c r="A103" s="107"/>
      <c r="B103" s="114" t="s">
        <v>101</v>
      </c>
      <c r="C103" s="109">
        <f aca="true" t="shared" si="26" ref="C103:L103">C69/C35</f>
        <v>45.27823058332145</v>
      </c>
      <c r="D103" s="109">
        <f t="shared" si="26"/>
        <v>70.26563956640736</v>
      </c>
      <c r="E103" s="109">
        <f t="shared" si="26"/>
        <v>68.43098686820404</v>
      </c>
      <c r="F103" s="109">
        <f t="shared" si="26"/>
        <v>16.55015801525355</v>
      </c>
      <c r="G103" s="109">
        <f t="shared" si="26"/>
        <v>42.84170291854088</v>
      </c>
      <c r="H103" s="109">
        <f t="shared" si="26"/>
        <v>12.731138529045598</v>
      </c>
      <c r="I103" s="109">
        <f t="shared" si="26"/>
        <v>14.596484913720682</v>
      </c>
      <c r="J103" s="109">
        <f t="shared" si="26"/>
        <v>12.693811221956294</v>
      </c>
      <c r="K103" s="109">
        <f t="shared" si="26"/>
        <v>21.973972809024783</v>
      </c>
      <c r="L103" s="109">
        <f t="shared" si="26"/>
        <v>32.281947377207366</v>
      </c>
      <c r="M103" s="109"/>
      <c r="N103" s="109">
        <f>N69/N35</f>
        <v>35.982394200358186</v>
      </c>
      <c r="O103" s="109"/>
      <c r="T103" s="128"/>
      <c r="U103" s="128"/>
      <c r="V103" s="128"/>
    </row>
    <row r="104" spans="1:22" s="111" customFormat="1" ht="15.75">
      <c r="A104" s="107"/>
      <c r="B104" s="114" t="s">
        <v>12</v>
      </c>
      <c r="C104" s="109">
        <f aca="true" t="shared" si="27" ref="C104:L104">C70/C36</f>
        <v>32.19178988506414</v>
      </c>
      <c r="D104" s="109">
        <f t="shared" si="27"/>
        <v>31.649533537129184</v>
      </c>
      <c r="E104" s="109">
        <f t="shared" si="27"/>
        <v>29.19591614680288</v>
      </c>
      <c r="F104" s="109">
        <f t="shared" si="27"/>
        <v>34.39588682193085</v>
      </c>
      <c r="G104" s="109">
        <f t="shared" si="27"/>
        <v>32.30169310396292</v>
      </c>
      <c r="H104" s="109">
        <f t="shared" si="27"/>
        <v>34.53265702759053</v>
      </c>
      <c r="I104" s="109">
        <f t="shared" si="27"/>
        <v>33.07462924962052</v>
      </c>
      <c r="J104" s="109">
        <f t="shared" si="27"/>
        <v>33.31686259778506</v>
      </c>
      <c r="K104" s="109">
        <f t="shared" si="27"/>
        <v>28.54058605109292</v>
      </c>
      <c r="L104" s="109">
        <f t="shared" si="27"/>
        <v>25.66993392814444</v>
      </c>
      <c r="M104" s="109"/>
      <c r="N104" s="109">
        <f>N70/N36</f>
        <v>31.55938345006354</v>
      </c>
      <c r="O104" s="109"/>
      <c r="T104" s="128"/>
      <c r="U104" s="128"/>
      <c r="V104" s="128"/>
    </row>
    <row r="105" spans="1:22" s="111" customFormat="1" ht="15.75">
      <c r="A105" s="107"/>
      <c r="B105" s="108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10"/>
      <c r="T105" s="128"/>
      <c r="U105" s="128"/>
      <c r="V105" s="128"/>
    </row>
    <row r="106" spans="1:22" s="90" customFormat="1" ht="15.75">
      <c r="A106" s="88"/>
      <c r="B106" s="101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94"/>
      <c r="T106" s="125"/>
      <c r="U106" s="125"/>
      <c r="V106" s="125"/>
    </row>
    <row r="107" spans="1:22" s="90" customFormat="1" ht="15.75">
      <c r="A107" s="92" t="s">
        <v>25</v>
      </c>
      <c r="B107" s="93" t="s">
        <v>26</v>
      </c>
      <c r="C107" s="105">
        <f aca="true" t="shared" si="28" ref="C107:L107">C73/C39</f>
        <v>33.104005685144486</v>
      </c>
      <c r="D107" s="105">
        <f t="shared" si="28"/>
        <v>30.680118393082964</v>
      </c>
      <c r="E107" s="105">
        <f t="shared" si="28"/>
        <v>28.693163495141253</v>
      </c>
      <c r="F107" s="105">
        <f t="shared" si="28"/>
        <v>28.28299551170408</v>
      </c>
      <c r="G107" s="105">
        <f t="shared" si="28"/>
        <v>30.69669380839434</v>
      </c>
      <c r="H107" s="105">
        <f t="shared" si="28"/>
        <v>29.155383225153383</v>
      </c>
      <c r="I107" s="105">
        <f t="shared" si="28"/>
        <v>27.80695441646401</v>
      </c>
      <c r="J107" s="105">
        <f t="shared" si="28"/>
        <v>27.65500792042031</v>
      </c>
      <c r="K107" s="105">
        <f t="shared" si="28"/>
        <v>25.773634247998814</v>
      </c>
      <c r="L107" s="105">
        <f t="shared" si="28"/>
        <v>26.125277289261465</v>
      </c>
      <c r="M107" s="105"/>
      <c r="N107" s="105">
        <f>N73/N39</f>
        <v>29.025081330668268</v>
      </c>
      <c r="O107" s="94"/>
      <c r="T107" s="125"/>
      <c r="U107" s="125"/>
      <c r="V107" s="125"/>
    </row>
    <row r="108" ht="15.75">
      <c r="C108" s="86"/>
    </row>
  </sheetData>
  <sheetProtection/>
  <mergeCells count="6">
    <mergeCell ref="P23:Q23"/>
    <mergeCell ref="S23:V23"/>
    <mergeCell ref="S57:V57"/>
    <mergeCell ref="S91:V91"/>
    <mergeCell ref="P57:Q57"/>
    <mergeCell ref="P91:Q91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108"/>
  <sheetViews>
    <sheetView zoomScalePageLayoutView="0" workbookViewId="0" topLeftCell="A28">
      <selection activeCell="H26" sqref="H26"/>
    </sheetView>
  </sheetViews>
  <sheetFormatPr defaultColWidth="9.140625" defaultRowHeight="15"/>
  <cols>
    <col min="1" max="1" width="3.28125" style="1" bestFit="1" customWidth="1"/>
    <col min="2" max="2" width="44.00390625" style="6" customWidth="1"/>
    <col min="3" max="14" width="16.28125" style="6" customWidth="1"/>
    <col min="16" max="16" width="16.28125" style="6" customWidth="1"/>
    <col min="17" max="17" width="23.28125" style="0" customWidth="1"/>
    <col min="18" max="19" width="9.140625" style="84" customWidth="1"/>
  </cols>
  <sheetData>
    <row r="1" spans="2:16" ht="16.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3"/>
    </row>
    <row r="3" ht="15.75">
      <c r="B3" s="8" t="s">
        <v>1</v>
      </c>
    </row>
    <row r="4" ht="15.75">
      <c r="B4" s="8" t="s">
        <v>2</v>
      </c>
    </row>
    <row r="5" ht="15.75">
      <c r="B5" s="3"/>
    </row>
    <row r="6" spans="2:16" ht="15.75">
      <c r="B6" s="8" t="s">
        <v>3</v>
      </c>
      <c r="C6" s="85">
        <v>41640</v>
      </c>
      <c r="D6" s="6" t="s">
        <v>44</v>
      </c>
      <c r="E6" s="6" t="s">
        <v>115</v>
      </c>
      <c r="F6" s="6" t="s">
        <v>116</v>
      </c>
      <c r="G6" s="6" t="s">
        <v>117</v>
      </c>
      <c r="H6" s="6" t="s">
        <v>118</v>
      </c>
      <c r="I6" s="6" t="s">
        <v>119</v>
      </c>
      <c r="J6" s="6" t="s">
        <v>120</v>
      </c>
      <c r="K6" s="6" t="s">
        <v>121</v>
      </c>
      <c r="L6" s="6" t="s">
        <v>122</v>
      </c>
      <c r="M6" s="85" t="s">
        <v>142</v>
      </c>
      <c r="N6" s="85" t="s">
        <v>141</v>
      </c>
      <c r="P6" s="6">
        <v>2014</v>
      </c>
    </row>
    <row r="7" ht="15.75">
      <c r="B7" s="3"/>
    </row>
    <row r="8" spans="1:19" s="90" customFormat="1" ht="15">
      <c r="A8" s="88"/>
      <c r="B8" s="89" t="s">
        <v>5</v>
      </c>
      <c r="C8" s="89" t="s">
        <v>6</v>
      </c>
      <c r="D8" s="89" t="s">
        <v>6</v>
      </c>
      <c r="E8" s="89" t="s">
        <v>6</v>
      </c>
      <c r="F8" s="89" t="s">
        <v>6</v>
      </c>
      <c r="G8" s="89" t="s">
        <v>6</v>
      </c>
      <c r="H8" s="89" t="s">
        <v>6</v>
      </c>
      <c r="I8" s="89" t="s">
        <v>6</v>
      </c>
      <c r="J8" s="89" t="s">
        <v>6</v>
      </c>
      <c r="K8" s="89" t="s">
        <v>6</v>
      </c>
      <c r="L8" s="89" t="s">
        <v>6</v>
      </c>
      <c r="M8" s="89" t="s">
        <v>6</v>
      </c>
      <c r="N8" s="89" t="s">
        <v>6</v>
      </c>
      <c r="P8" s="89"/>
      <c r="R8" s="125"/>
      <c r="S8" s="125"/>
    </row>
    <row r="9" spans="1:19" s="90" customFormat="1" ht="15.75">
      <c r="A9" s="88"/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P9" s="91"/>
      <c r="R9" s="125"/>
      <c r="S9" s="125"/>
    </row>
    <row r="10" spans="1:19" s="90" customFormat="1" ht="15.75">
      <c r="A10" s="92" t="s">
        <v>10</v>
      </c>
      <c r="B10" s="93" t="s">
        <v>11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P10" s="94"/>
      <c r="R10" s="125"/>
      <c r="S10" s="125"/>
    </row>
    <row r="11" spans="1:19" s="90" customFormat="1" ht="15.75">
      <c r="A11" s="88"/>
      <c r="B11" s="95" t="s">
        <v>43</v>
      </c>
      <c r="C11" s="96">
        <v>611150</v>
      </c>
      <c r="D11" s="96">
        <v>580585</v>
      </c>
      <c r="E11" s="96">
        <v>295855</v>
      </c>
      <c r="F11" s="96">
        <v>478140</v>
      </c>
      <c r="G11" s="96">
        <v>378896</v>
      </c>
      <c r="H11" s="96">
        <v>574116</v>
      </c>
      <c r="I11" s="96">
        <v>465645</v>
      </c>
      <c r="J11" s="96">
        <v>585732</v>
      </c>
      <c r="K11" s="96">
        <v>210517</v>
      </c>
      <c r="L11" s="96">
        <v>0</v>
      </c>
      <c r="M11" s="96">
        <v>74991</v>
      </c>
      <c r="N11" s="96">
        <v>452846</v>
      </c>
      <c r="P11" s="96">
        <f>SUM(C11:N11)</f>
        <v>4708473</v>
      </c>
      <c r="R11" s="125"/>
      <c r="S11" s="125"/>
    </row>
    <row r="12" spans="1:19" s="90" customFormat="1" ht="15.75">
      <c r="A12" s="88"/>
      <c r="B12" s="97" t="s">
        <v>41</v>
      </c>
      <c r="C12" s="96">
        <v>359030</v>
      </c>
      <c r="D12" s="96">
        <v>301325</v>
      </c>
      <c r="E12" s="96">
        <v>430697</v>
      </c>
      <c r="F12" s="96">
        <v>368914</v>
      </c>
      <c r="G12" s="96">
        <v>317266</v>
      </c>
      <c r="H12" s="96">
        <v>349479</v>
      </c>
      <c r="I12" s="96">
        <v>432602</v>
      </c>
      <c r="J12" s="96">
        <v>378408</v>
      </c>
      <c r="K12" s="96">
        <v>419768</v>
      </c>
      <c r="L12" s="96">
        <v>242417</v>
      </c>
      <c r="M12" s="96">
        <v>391854</v>
      </c>
      <c r="N12" s="96">
        <v>244164</v>
      </c>
      <c r="P12" s="96">
        <f aca="true" t="shared" si="0" ref="P12:P73">SUM(C12:N12)</f>
        <v>4235924</v>
      </c>
      <c r="R12" s="125"/>
      <c r="S12" s="125"/>
    </row>
    <row r="13" spans="1:19" s="90" customFormat="1" ht="15.75">
      <c r="A13" s="88"/>
      <c r="B13" s="98" t="s">
        <v>42</v>
      </c>
      <c r="C13" s="96">
        <v>263914</v>
      </c>
      <c r="D13" s="96">
        <v>189986</v>
      </c>
      <c r="E13" s="96">
        <v>282429</v>
      </c>
      <c r="F13" s="96">
        <v>199962</v>
      </c>
      <c r="G13" s="96">
        <v>137997.74999999988</v>
      </c>
      <c r="H13" s="96">
        <v>215782.50000000017</v>
      </c>
      <c r="I13" s="96">
        <v>202669.0499999998</v>
      </c>
      <c r="J13" s="96">
        <v>215726.10000000015</v>
      </c>
      <c r="K13" s="96">
        <v>229325.39999999985</v>
      </c>
      <c r="L13" s="96">
        <v>248849.84999999992</v>
      </c>
      <c r="M13" s="96">
        <v>132662.39999999997</v>
      </c>
      <c r="N13" s="96">
        <v>188259.30000000002</v>
      </c>
      <c r="P13" s="96">
        <f t="shared" si="0"/>
        <v>2507563.3499999996</v>
      </c>
      <c r="R13" s="125"/>
      <c r="S13" s="125"/>
    </row>
    <row r="14" spans="1:19" s="90" customFormat="1" ht="15.75">
      <c r="A14" s="88"/>
      <c r="B14" s="99" t="s">
        <v>12</v>
      </c>
      <c r="C14" s="100">
        <v>1234094</v>
      </c>
      <c r="D14" s="100">
        <v>1071896</v>
      </c>
      <c r="E14" s="100">
        <v>1008981</v>
      </c>
      <c r="F14" s="100">
        <v>1047016</v>
      </c>
      <c r="G14" s="100">
        <v>834159.7499999999</v>
      </c>
      <c r="H14" s="100">
        <v>1139377.5000000002</v>
      </c>
      <c r="I14" s="100">
        <v>1100916.0499999998</v>
      </c>
      <c r="J14" s="100">
        <v>1179866.1</v>
      </c>
      <c r="K14" s="100">
        <v>859610.3999999999</v>
      </c>
      <c r="L14" s="100">
        <v>491266.8499999999</v>
      </c>
      <c r="M14" s="100">
        <v>599507.3999999999</v>
      </c>
      <c r="N14" s="100">
        <v>885269.3</v>
      </c>
      <c r="P14" s="96">
        <f t="shared" si="0"/>
        <v>11451960.350000001</v>
      </c>
      <c r="R14" s="125"/>
      <c r="S14" s="125"/>
    </row>
    <row r="15" spans="1:19" s="90" customFormat="1" ht="15.75">
      <c r="A15" s="88"/>
      <c r="B15" s="101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P15" s="96">
        <f t="shared" si="0"/>
        <v>0</v>
      </c>
      <c r="R15" s="125"/>
      <c r="S15" s="125"/>
    </row>
    <row r="16" spans="1:19" s="90" customFormat="1" ht="15.75">
      <c r="A16" s="92" t="s">
        <v>13</v>
      </c>
      <c r="B16" s="93" t="s">
        <v>14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P16" s="96">
        <f t="shared" si="0"/>
        <v>0</v>
      </c>
      <c r="R16" s="125"/>
      <c r="S16" s="125"/>
    </row>
    <row r="17" spans="1:19" s="90" customFormat="1" ht="15.75">
      <c r="A17" s="88"/>
      <c r="B17" s="98" t="s">
        <v>15</v>
      </c>
      <c r="C17" s="102">
        <v>75823.807</v>
      </c>
      <c r="D17" s="102">
        <v>57851.082</v>
      </c>
      <c r="E17" s="102">
        <v>42405.761</v>
      </c>
      <c r="F17" s="102">
        <v>55634.780999999995</v>
      </c>
      <c r="G17" s="102">
        <v>74853.971</v>
      </c>
      <c r="H17" s="102">
        <v>74632.903</v>
      </c>
      <c r="I17" s="102">
        <v>89330.635</v>
      </c>
      <c r="J17" s="102">
        <v>85871.148</v>
      </c>
      <c r="K17" s="102">
        <v>43761.142</v>
      </c>
      <c r="L17" s="102">
        <v>61187.967000000004</v>
      </c>
      <c r="M17" s="102">
        <v>103257.493</v>
      </c>
      <c r="N17" s="102">
        <v>118224.469</v>
      </c>
      <c r="P17" s="96">
        <f t="shared" si="0"/>
        <v>882835.159</v>
      </c>
      <c r="R17" s="125"/>
      <c r="S17" s="125"/>
    </row>
    <row r="18" spans="1:19" s="90" customFormat="1" ht="15.75">
      <c r="A18" s="88"/>
      <c r="B18" s="99" t="s">
        <v>12</v>
      </c>
      <c r="C18" s="100">
        <v>75823.807</v>
      </c>
      <c r="D18" s="100">
        <v>57851.082</v>
      </c>
      <c r="E18" s="100">
        <v>42405.761</v>
      </c>
      <c r="F18" s="100">
        <v>55634.780999999995</v>
      </c>
      <c r="G18" s="100">
        <v>74853.971</v>
      </c>
      <c r="H18" s="100">
        <v>74632.903</v>
      </c>
      <c r="I18" s="100">
        <v>89330.635</v>
      </c>
      <c r="J18" s="100">
        <v>85871.148</v>
      </c>
      <c r="K18" s="100">
        <v>43761.142</v>
      </c>
      <c r="L18" s="100">
        <v>61187.967000000004</v>
      </c>
      <c r="M18" s="100">
        <v>103257.493</v>
      </c>
      <c r="N18" s="100">
        <v>118224.469</v>
      </c>
      <c r="P18" s="96">
        <f t="shared" si="0"/>
        <v>882835.159</v>
      </c>
      <c r="R18" s="125"/>
      <c r="S18" s="125"/>
    </row>
    <row r="19" spans="1:19" s="90" customFormat="1" ht="15.75">
      <c r="A19" s="88"/>
      <c r="B19" s="101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P19" s="96">
        <f t="shared" si="0"/>
        <v>0</v>
      </c>
      <c r="R19" s="125"/>
      <c r="S19" s="125"/>
    </row>
    <row r="20" spans="1:19" s="90" customFormat="1" ht="15.75">
      <c r="A20" s="92" t="s">
        <v>16</v>
      </c>
      <c r="B20" s="93" t="s">
        <v>17</v>
      </c>
      <c r="C20" s="100">
        <v>1309917.807</v>
      </c>
      <c r="D20" s="100">
        <v>1129747.082</v>
      </c>
      <c r="E20" s="100">
        <v>1051386.761</v>
      </c>
      <c r="F20" s="100">
        <v>1102650.781</v>
      </c>
      <c r="G20" s="100">
        <v>909013.7209999999</v>
      </c>
      <c r="H20" s="100">
        <v>1214010.4030000002</v>
      </c>
      <c r="I20" s="100">
        <v>1190246.6849999998</v>
      </c>
      <c r="J20" s="100">
        <v>1265737.2480000001</v>
      </c>
      <c r="K20" s="100">
        <v>903371.5419999999</v>
      </c>
      <c r="L20" s="100">
        <v>552454.8169999999</v>
      </c>
      <c r="M20" s="100">
        <v>702764.8929999999</v>
      </c>
      <c r="N20" s="100">
        <v>1003493.7690000001</v>
      </c>
      <c r="P20" s="96">
        <f t="shared" si="0"/>
        <v>12334795.508999998</v>
      </c>
      <c r="R20" s="125"/>
      <c r="S20" s="125"/>
    </row>
    <row r="21" spans="1:19" s="90" customFormat="1" ht="15.75">
      <c r="A21" s="88"/>
      <c r="B21" s="101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P21" s="96">
        <f t="shared" si="0"/>
        <v>0</v>
      </c>
      <c r="R21" s="125"/>
      <c r="S21" s="125"/>
    </row>
    <row r="22" spans="1:19" s="90" customFormat="1" ht="15.75">
      <c r="A22" s="88"/>
      <c r="B22" s="89" t="s">
        <v>18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P22" s="96">
        <f t="shared" si="0"/>
        <v>0</v>
      </c>
      <c r="R22" s="165" t="s">
        <v>146</v>
      </c>
      <c r="S22" s="165"/>
    </row>
    <row r="23" spans="1:19" s="90" customFormat="1" ht="15.75">
      <c r="A23" s="88"/>
      <c r="B23" s="89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P23" s="96">
        <f t="shared" si="0"/>
        <v>0</v>
      </c>
      <c r="R23" s="125"/>
      <c r="S23" s="125"/>
    </row>
    <row r="24" spans="1:19" s="90" customFormat="1" ht="15.75">
      <c r="A24" s="92" t="s">
        <v>19</v>
      </c>
      <c r="B24" s="93" t="s">
        <v>20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P24" s="96">
        <f t="shared" si="0"/>
        <v>0</v>
      </c>
      <c r="R24" s="125" t="s">
        <v>144</v>
      </c>
      <c r="S24" s="125" t="s">
        <v>143</v>
      </c>
    </row>
    <row r="25" spans="1:21" s="90" customFormat="1" ht="15.75">
      <c r="A25" s="88"/>
      <c r="B25" s="98" t="s">
        <v>21</v>
      </c>
      <c r="C25" s="103">
        <v>259164.95799999998</v>
      </c>
      <c r="D25" s="103">
        <v>303476.57499999995</v>
      </c>
      <c r="E25" s="103">
        <v>143704.15200000003</v>
      </c>
      <c r="F25" s="103">
        <v>284640.3479999999</v>
      </c>
      <c r="G25" s="103">
        <v>145291.38900000002</v>
      </c>
      <c r="H25" s="103">
        <v>322770.6040000001</v>
      </c>
      <c r="I25" s="103">
        <v>245957.70500000013</v>
      </c>
      <c r="J25" s="103">
        <v>311854.9870000002</v>
      </c>
      <c r="K25" s="103">
        <v>118998.195</v>
      </c>
      <c r="L25" s="103">
        <v>0</v>
      </c>
      <c r="M25" s="103">
        <v>25109.118999999995</v>
      </c>
      <c r="N25" s="103">
        <v>186293.2589999999</v>
      </c>
      <c r="P25" s="96">
        <f t="shared" si="0"/>
        <v>2347261.291</v>
      </c>
      <c r="Q25" s="125" t="str">
        <f>B25</f>
        <v>  Big Sandy</v>
      </c>
      <c r="R25" s="126">
        <f>P25/P11</f>
        <v>0.49851858362573176</v>
      </c>
      <c r="S25" s="126">
        <f>1-R25</f>
        <v>0.5014814163742682</v>
      </c>
      <c r="T25" s="106"/>
      <c r="U25" s="106"/>
    </row>
    <row r="26" spans="1:21" s="90" customFormat="1" ht="15.75">
      <c r="A26" s="88"/>
      <c r="B26" s="98" t="s">
        <v>41</v>
      </c>
      <c r="C26" s="103">
        <v>75072</v>
      </c>
      <c r="D26" s="103">
        <v>37886</v>
      </c>
      <c r="E26" s="103">
        <v>153627</v>
      </c>
      <c r="F26" s="103">
        <v>170712</v>
      </c>
      <c r="G26" s="103">
        <v>185182.73400000005</v>
      </c>
      <c r="H26" s="103">
        <v>160259.64899999992</v>
      </c>
      <c r="I26" s="103">
        <v>202953.1329999999</v>
      </c>
      <c r="J26" s="103">
        <v>187098.828</v>
      </c>
      <c r="K26" s="103">
        <v>163982.67299999986</v>
      </c>
      <c r="L26" s="103">
        <v>33640.03799999999</v>
      </c>
      <c r="M26" s="103">
        <v>32212.30900000001</v>
      </c>
      <c r="N26" s="103">
        <v>60437.666</v>
      </c>
      <c r="P26" s="96">
        <f t="shared" si="0"/>
        <v>1463064.0299999996</v>
      </c>
      <c r="Q26" s="125" t="str">
        <f>B26</f>
        <v>Mitchell</v>
      </c>
      <c r="R26" s="126">
        <f>P26/P12</f>
        <v>0.3453943059412774</v>
      </c>
      <c r="S26" s="127">
        <f>1-R26</f>
        <v>0.6546056940587226</v>
      </c>
      <c r="T26" s="106"/>
      <c r="U26" s="106"/>
    </row>
    <row r="27" spans="1:21" s="90" customFormat="1" ht="15.75">
      <c r="A27" s="88"/>
      <c r="B27" s="98" t="s">
        <v>42</v>
      </c>
      <c r="C27" s="96">
        <v>106810</v>
      </c>
      <c r="D27" s="96">
        <v>87928</v>
      </c>
      <c r="E27" s="96">
        <v>99282</v>
      </c>
      <c r="F27" s="96">
        <v>115564</v>
      </c>
      <c r="G27" s="96">
        <v>9656.808000000023</v>
      </c>
      <c r="H27" s="96">
        <v>118807.63899999998</v>
      </c>
      <c r="I27" s="96">
        <v>103118.50800000002</v>
      </c>
      <c r="J27" s="96">
        <v>127555.59399999995</v>
      </c>
      <c r="K27" s="96">
        <v>99998.36700000003</v>
      </c>
      <c r="L27" s="96">
        <v>8590.964000000004</v>
      </c>
      <c r="M27" s="96">
        <v>12377.641000000009</v>
      </c>
      <c r="N27" s="96">
        <v>69917.99800000002</v>
      </c>
      <c r="P27" s="96">
        <f t="shared" si="0"/>
        <v>959607.5190000001</v>
      </c>
      <c r="Q27" s="125" t="str">
        <f>B27</f>
        <v>Rockport</v>
      </c>
      <c r="R27" s="126">
        <f>P27/P13</f>
        <v>0.38268525459187314</v>
      </c>
      <c r="S27" s="126">
        <f>1-R27</f>
        <v>0.6173147454081269</v>
      </c>
      <c r="T27" s="106"/>
      <c r="U27" s="106"/>
    </row>
    <row r="28" spans="1:19" s="90" customFormat="1" ht="15.75">
      <c r="A28" s="88"/>
      <c r="B28" s="97" t="s">
        <v>101</v>
      </c>
      <c r="C28" s="102">
        <v>72981.65000000001</v>
      </c>
      <c r="D28" s="102">
        <v>57174.225</v>
      </c>
      <c r="E28" s="102">
        <v>39259.809</v>
      </c>
      <c r="F28" s="102">
        <v>55581.937999999995</v>
      </c>
      <c r="G28" s="102">
        <v>60890.55499999999</v>
      </c>
      <c r="H28" s="102">
        <v>73983.855</v>
      </c>
      <c r="I28" s="102">
        <v>86357.735</v>
      </c>
      <c r="J28" s="102">
        <v>84320.438</v>
      </c>
      <c r="K28" s="102">
        <v>41317.39</v>
      </c>
      <c r="L28" s="102">
        <v>34855.195</v>
      </c>
      <c r="M28" s="102">
        <v>37437.293000000005</v>
      </c>
      <c r="N28" s="102">
        <v>57471.735</v>
      </c>
      <c r="P28" s="96">
        <f t="shared" si="0"/>
        <v>701631.8179999999</v>
      </c>
      <c r="Q28" s="125" t="s">
        <v>145</v>
      </c>
      <c r="R28" s="126">
        <f>SUM(P25:P27)/P14</f>
        <v>0.41651670929859613</v>
      </c>
      <c r="S28" s="126">
        <f>1-R28</f>
        <v>0.5834832907014038</v>
      </c>
    </row>
    <row r="29" spans="1:19" s="90" customFormat="1" ht="15.75">
      <c r="A29" s="88"/>
      <c r="B29" s="99" t="s">
        <v>12</v>
      </c>
      <c r="C29" s="100">
        <v>514028.608</v>
      </c>
      <c r="D29" s="100">
        <v>486464.79999999993</v>
      </c>
      <c r="E29" s="100">
        <v>435872.961</v>
      </c>
      <c r="F29" s="100">
        <v>626498.2859999998</v>
      </c>
      <c r="G29" s="100">
        <v>401021.4860000001</v>
      </c>
      <c r="H29" s="100">
        <v>675821.747</v>
      </c>
      <c r="I29" s="100">
        <v>638387.081</v>
      </c>
      <c r="J29" s="100">
        <v>710829.8470000001</v>
      </c>
      <c r="K29" s="100">
        <v>424296.62499999994</v>
      </c>
      <c r="L29" s="100">
        <v>77086.19699999999</v>
      </c>
      <c r="M29" s="100">
        <v>107136.36200000001</v>
      </c>
      <c r="N29" s="100">
        <v>374120.65799999994</v>
      </c>
      <c r="P29" s="96">
        <f t="shared" si="0"/>
        <v>5471564.657999999</v>
      </c>
      <c r="R29" s="125"/>
      <c r="S29" s="125"/>
    </row>
    <row r="30" spans="1:19" s="90" customFormat="1" ht="15.75">
      <c r="A30" s="88"/>
      <c r="B30" s="101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P30" s="96">
        <f t="shared" si="0"/>
        <v>0</v>
      </c>
      <c r="R30" s="125"/>
      <c r="S30" s="125"/>
    </row>
    <row r="31" spans="1:19" s="90" customFormat="1" ht="15.75">
      <c r="A31" s="92" t="s">
        <v>23</v>
      </c>
      <c r="B31" s="93" t="s">
        <v>24</v>
      </c>
      <c r="C31" s="100">
        <v>795889.199</v>
      </c>
      <c r="D31" s="100">
        <v>643282.282</v>
      </c>
      <c r="E31" s="100">
        <v>615513.7999999999</v>
      </c>
      <c r="F31" s="100">
        <v>476152.4950000001</v>
      </c>
      <c r="G31" s="100">
        <v>507992.2349999998</v>
      </c>
      <c r="H31" s="100">
        <v>538188.6560000002</v>
      </c>
      <c r="I31" s="100">
        <v>551859.6039999998</v>
      </c>
      <c r="J31" s="100">
        <v>554907.4010000001</v>
      </c>
      <c r="K31" s="100">
        <v>479074.91699999996</v>
      </c>
      <c r="L31" s="100">
        <v>475368.61999999994</v>
      </c>
      <c r="M31" s="100"/>
      <c r="N31" s="100"/>
      <c r="P31" s="96">
        <f t="shared" si="0"/>
        <v>5638229.209000001</v>
      </c>
      <c r="R31" s="125"/>
      <c r="S31" s="125"/>
    </row>
    <row r="32" spans="1:19" s="111" customFormat="1" ht="15.75">
      <c r="A32" s="107"/>
      <c r="B32" s="114" t="s">
        <v>21</v>
      </c>
      <c r="C32" s="113">
        <f>C11-C25</f>
        <v>351985.042</v>
      </c>
      <c r="D32" s="113">
        <f aca="true" t="shared" si="1" ref="D32:L32">D11-D25</f>
        <v>277108.42500000005</v>
      </c>
      <c r="E32" s="113">
        <f t="shared" si="1"/>
        <v>152150.84799999997</v>
      </c>
      <c r="F32" s="113">
        <f t="shared" si="1"/>
        <v>193499.65200000012</v>
      </c>
      <c r="G32" s="113">
        <f t="shared" si="1"/>
        <v>233604.61099999998</v>
      </c>
      <c r="H32" s="113">
        <f t="shared" si="1"/>
        <v>251345.3959999999</v>
      </c>
      <c r="I32" s="113">
        <f t="shared" si="1"/>
        <v>219687.29499999987</v>
      </c>
      <c r="J32" s="113">
        <f t="shared" si="1"/>
        <v>273877.0129999998</v>
      </c>
      <c r="K32" s="113">
        <f t="shared" si="1"/>
        <v>91518.805</v>
      </c>
      <c r="L32" s="113">
        <f t="shared" si="1"/>
        <v>0</v>
      </c>
      <c r="M32" s="113">
        <v>49881.88100000001</v>
      </c>
      <c r="N32" s="113">
        <v>266552.7410000001</v>
      </c>
      <c r="O32" s="113"/>
      <c r="P32" s="96">
        <f t="shared" si="0"/>
        <v>2361211.709</v>
      </c>
      <c r="R32" s="128"/>
      <c r="S32" s="128"/>
    </row>
    <row r="33" spans="1:19" s="111" customFormat="1" ht="15.75">
      <c r="A33" s="107"/>
      <c r="B33" s="114" t="s">
        <v>41</v>
      </c>
      <c r="C33" s="113">
        <f aca="true" t="shared" si="2" ref="C33:L34">C12-C26</f>
        <v>283958</v>
      </c>
      <c r="D33" s="113">
        <f t="shared" si="2"/>
        <v>263439</v>
      </c>
      <c r="E33" s="113">
        <f t="shared" si="2"/>
        <v>277070</v>
      </c>
      <c r="F33" s="113">
        <f t="shared" si="2"/>
        <v>198202</v>
      </c>
      <c r="G33" s="113">
        <f t="shared" si="2"/>
        <v>132083.26599999995</v>
      </c>
      <c r="H33" s="113">
        <f t="shared" si="2"/>
        <v>189219.35100000008</v>
      </c>
      <c r="I33" s="113">
        <f t="shared" si="2"/>
        <v>229648.8670000001</v>
      </c>
      <c r="J33" s="113">
        <f t="shared" si="2"/>
        <v>191309.172</v>
      </c>
      <c r="K33" s="113">
        <f t="shared" si="2"/>
        <v>255785.32700000014</v>
      </c>
      <c r="L33" s="113">
        <f t="shared" si="2"/>
        <v>208776.962</v>
      </c>
      <c r="M33" s="113">
        <v>359641.691</v>
      </c>
      <c r="N33" s="113">
        <v>183726.334</v>
      </c>
      <c r="O33" s="113"/>
      <c r="P33" s="96">
        <f t="shared" si="0"/>
        <v>2772859.9699999997</v>
      </c>
      <c r="R33" s="128"/>
      <c r="S33" s="128"/>
    </row>
    <row r="34" spans="1:19" s="111" customFormat="1" ht="15.75">
      <c r="A34" s="107"/>
      <c r="B34" s="114" t="s">
        <v>42</v>
      </c>
      <c r="C34" s="113">
        <f t="shared" si="2"/>
        <v>157104</v>
      </c>
      <c r="D34" s="113">
        <f t="shared" si="2"/>
        <v>102058</v>
      </c>
      <c r="E34" s="113">
        <f t="shared" si="2"/>
        <v>183147</v>
      </c>
      <c r="F34" s="113">
        <f t="shared" si="2"/>
        <v>84398</v>
      </c>
      <c r="G34" s="113">
        <f t="shared" si="2"/>
        <v>128340.94199999986</v>
      </c>
      <c r="H34" s="113">
        <f t="shared" si="2"/>
        <v>96974.8610000002</v>
      </c>
      <c r="I34" s="113">
        <f t="shared" si="2"/>
        <v>99550.5419999998</v>
      </c>
      <c r="J34" s="113">
        <f t="shared" si="2"/>
        <v>88170.5060000002</v>
      </c>
      <c r="K34" s="113">
        <f t="shared" si="2"/>
        <v>129327.03299999982</v>
      </c>
      <c r="L34" s="113">
        <f t="shared" si="2"/>
        <v>240258.8859999999</v>
      </c>
      <c r="M34" s="113">
        <v>120284.75899999996</v>
      </c>
      <c r="N34" s="113">
        <v>118341.302</v>
      </c>
      <c r="O34" s="113"/>
      <c r="P34" s="96">
        <f t="shared" si="0"/>
        <v>1547955.8309999995</v>
      </c>
      <c r="R34" s="128"/>
      <c r="S34" s="128"/>
    </row>
    <row r="35" spans="1:19" s="111" customFormat="1" ht="15.75">
      <c r="A35" s="107"/>
      <c r="B35" s="114" t="s">
        <v>101</v>
      </c>
      <c r="C35" s="115">
        <f>C17-C28</f>
        <v>2842.156999999992</v>
      </c>
      <c r="D35" s="115">
        <f aca="true" t="shared" si="3" ref="D35:L35">D17-D28</f>
        <v>676.8570000000036</v>
      </c>
      <c r="E35" s="115">
        <f t="shared" si="3"/>
        <v>3145.9519999999975</v>
      </c>
      <c r="F35" s="115">
        <f t="shared" si="3"/>
        <v>52.84300000000076</v>
      </c>
      <c r="G35" s="115">
        <f t="shared" si="3"/>
        <v>13963.416000000012</v>
      </c>
      <c r="H35" s="115">
        <f t="shared" si="3"/>
        <v>649.0480000000098</v>
      </c>
      <c r="I35" s="115">
        <f t="shared" si="3"/>
        <v>2972.899999999994</v>
      </c>
      <c r="J35" s="115">
        <f t="shared" si="3"/>
        <v>1550.7100000000064</v>
      </c>
      <c r="K35" s="115">
        <f t="shared" si="3"/>
        <v>2443.7520000000004</v>
      </c>
      <c r="L35" s="115">
        <f t="shared" si="3"/>
        <v>26332.772000000004</v>
      </c>
      <c r="M35" s="115">
        <v>65820.2</v>
      </c>
      <c r="N35" s="115">
        <v>60752.734</v>
      </c>
      <c r="O35" s="115"/>
      <c r="P35" s="96">
        <f t="shared" si="0"/>
        <v>181203.34100000001</v>
      </c>
      <c r="R35" s="128"/>
      <c r="S35" s="128"/>
    </row>
    <row r="36" spans="1:19" s="111" customFormat="1" ht="15.75">
      <c r="A36" s="107"/>
      <c r="B36" s="114" t="s">
        <v>12</v>
      </c>
      <c r="C36" s="113">
        <f>SUM(C32:C35)</f>
        <v>795889.199</v>
      </c>
      <c r="D36" s="113">
        <f aca="true" t="shared" si="4" ref="D36:L36">SUM(D32:D35)</f>
        <v>643282.282</v>
      </c>
      <c r="E36" s="113">
        <f t="shared" si="4"/>
        <v>615513.8</v>
      </c>
      <c r="F36" s="113">
        <f t="shared" si="4"/>
        <v>476152.4950000001</v>
      </c>
      <c r="G36" s="113">
        <f t="shared" si="4"/>
        <v>507992.2349999998</v>
      </c>
      <c r="H36" s="113">
        <f t="shared" si="4"/>
        <v>538188.6560000002</v>
      </c>
      <c r="I36" s="113">
        <f t="shared" si="4"/>
        <v>551859.6039999998</v>
      </c>
      <c r="J36" s="113">
        <f t="shared" si="4"/>
        <v>554907.401</v>
      </c>
      <c r="K36" s="113">
        <f t="shared" si="4"/>
        <v>479074.9169999999</v>
      </c>
      <c r="L36" s="113">
        <f t="shared" si="4"/>
        <v>475368.6199999999</v>
      </c>
      <c r="M36" s="113">
        <v>595628.531</v>
      </c>
      <c r="N36" s="113">
        <v>629373.111</v>
      </c>
      <c r="O36" s="113"/>
      <c r="P36" s="96">
        <f t="shared" si="0"/>
        <v>6863230.851</v>
      </c>
      <c r="R36" s="128"/>
      <c r="S36" s="128"/>
    </row>
    <row r="37" spans="1:19" s="111" customFormat="1" ht="15.75">
      <c r="A37" s="107"/>
      <c r="B37" s="108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P37" s="96">
        <f t="shared" si="0"/>
        <v>0</v>
      </c>
      <c r="R37" s="128"/>
      <c r="S37" s="128"/>
    </row>
    <row r="38" spans="1:19" s="90" customFormat="1" ht="15.75">
      <c r="A38" s="88"/>
      <c r="B38" s="101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P38" s="96">
        <f t="shared" si="0"/>
        <v>0</v>
      </c>
      <c r="R38" s="125"/>
      <c r="S38" s="125"/>
    </row>
    <row r="39" spans="1:19" s="90" customFormat="1" ht="15.75">
      <c r="A39" s="92" t="s">
        <v>25</v>
      </c>
      <c r="B39" s="93" t="s">
        <v>26</v>
      </c>
      <c r="C39" s="100">
        <v>1309917.807</v>
      </c>
      <c r="D39" s="100">
        <v>1129747.082</v>
      </c>
      <c r="E39" s="100">
        <v>1051386.761</v>
      </c>
      <c r="F39" s="100">
        <v>1102650.781</v>
      </c>
      <c r="G39" s="100">
        <v>909013.7209999999</v>
      </c>
      <c r="H39" s="100">
        <v>1214010.4030000002</v>
      </c>
      <c r="I39" s="100">
        <v>1190246.6849999998</v>
      </c>
      <c r="J39" s="100">
        <v>1265737.2480000001</v>
      </c>
      <c r="K39" s="100">
        <v>903371.5419999999</v>
      </c>
      <c r="L39" s="100">
        <v>552454.8169999999</v>
      </c>
      <c r="M39" s="100">
        <v>702764.8929999999</v>
      </c>
      <c r="N39" s="100">
        <v>1003493.769</v>
      </c>
      <c r="P39" s="96">
        <f t="shared" si="0"/>
        <v>12334795.508999998</v>
      </c>
      <c r="R39" s="125"/>
      <c r="S39" s="125"/>
    </row>
    <row r="40" spans="1:19" s="90" customFormat="1" ht="15.75">
      <c r="A40" s="92"/>
      <c r="B40" s="98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P40" s="96">
        <f t="shared" si="0"/>
        <v>0</v>
      </c>
      <c r="R40" s="125"/>
      <c r="S40" s="125"/>
    </row>
    <row r="41" spans="1:16" ht="15.75">
      <c r="A41" s="16"/>
      <c r="B41" s="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P41" s="96">
        <f t="shared" si="0"/>
        <v>0</v>
      </c>
    </row>
    <row r="42" spans="1:19" s="90" customFormat="1" ht="15.75">
      <c r="A42" s="88"/>
      <c r="B42" s="94"/>
      <c r="C42" s="104" t="s">
        <v>7</v>
      </c>
      <c r="D42" s="104" t="s">
        <v>7</v>
      </c>
      <c r="E42" s="104" t="s">
        <v>7</v>
      </c>
      <c r="F42" s="104" t="s">
        <v>7</v>
      </c>
      <c r="G42" s="104" t="s">
        <v>7</v>
      </c>
      <c r="H42" s="104" t="s">
        <v>7</v>
      </c>
      <c r="I42" s="104" t="s">
        <v>7</v>
      </c>
      <c r="J42" s="104" t="s">
        <v>7</v>
      </c>
      <c r="K42" s="104" t="s">
        <v>7</v>
      </c>
      <c r="L42" s="104" t="s">
        <v>7</v>
      </c>
      <c r="M42" s="89" t="s">
        <v>7</v>
      </c>
      <c r="N42" s="89" t="s">
        <v>7</v>
      </c>
      <c r="O42" s="104"/>
      <c r="P42" s="96">
        <f t="shared" si="0"/>
        <v>0</v>
      </c>
      <c r="Q42" s="94"/>
      <c r="R42" s="125"/>
      <c r="S42" s="125"/>
    </row>
    <row r="43" spans="1:19" s="90" customFormat="1" ht="15.75">
      <c r="A43" s="88"/>
      <c r="B43" s="94"/>
      <c r="C43" s="104" t="s">
        <v>9</v>
      </c>
      <c r="D43" s="104" t="s">
        <v>9</v>
      </c>
      <c r="E43" s="104" t="s">
        <v>9</v>
      </c>
      <c r="F43" s="104" t="s">
        <v>9</v>
      </c>
      <c r="G43" s="104" t="s">
        <v>9</v>
      </c>
      <c r="H43" s="104" t="s">
        <v>9</v>
      </c>
      <c r="I43" s="104" t="s">
        <v>9</v>
      </c>
      <c r="J43" s="104" t="s">
        <v>9</v>
      </c>
      <c r="K43" s="104" t="s">
        <v>9</v>
      </c>
      <c r="L43" s="104" t="s">
        <v>9</v>
      </c>
      <c r="M43" s="91"/>
      <c r="N43" s="91"/>
      <c r="O43" s="104"/>
      <c r="P43" s="96">
        <f t="shared" si="0"/>
        <v>0</v>
      </c>
      <c r="Q43" s="94"/>
      <c r="R43" s="125"/>
      <c r="S43" s="125"/>
    </row>
    <row r="44" spans="1:19" s="90" customFormat="1" ht="15.75">
      <c r="A44" s="92" t="s">
        <v>10</v>
      </c>
      <c r="B44" s="93" t="s">
        <v>11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94"/>
      <c r="N44" s="94"/>
      <c r="O44" s="104"/>
      <c r="P44" s="96">
        <f t="shared" si="0"/>
        <v>0</v>
      </c>
      <c r="Q44" s="94"/>
      <c r="R44" s="125"/>
      <c r="S44" s="125"/>
    </row>
    <row r="45" spans="1:19" s="90" customFormat="1" ht="15.75">
      <c r="A45" s="88"/>
      <c r="B45" s="95" t="s">
        <v>43</v>
      </c>
      <c r="C45" s="104">
        <v>19054146</v>
      </c>
      <c r="D45" s="104">
        <v>17147648.23</v>
      </c>
      <c r="E45" s="104">
        <v>9283759.34</v>
      </c>
      <c r="F45" s="104">
        <v>14450191.76</v>
      </c>
      <c r="G45" s="104">
        <v>12354119.220000003</v>
      </c>
      <c r="H45" s="104">
        <v>17404939.77</v>
      </c>
      <c r="I45" s="104">
        <v>13851169.559999999</v>
      </c>
      <c r="J45" s="104">
        <v>16752912.01</v>
      </c>
      <c r="K45" s="104">
        <v>5643959.499999999</v>
      </c>
      <c r="L45" s="104">
        <v>0</v>
      </c>
      <c r="M45" s="96">
        <v>2395470.33</v>
      </c>
      <c r="N45" s="96">
        <v>13862145.82</v>
      </c>
      <c r="O45" s="104"/>
      <c r="P45" s="96">
        <f t="shared" si="0"/>
        <v>142200461.54000002</v>
      </c>
      <c r="Q45" s="94"/>
      <c r="R45" s="125"/>
      <c r="S45" s="125"/>
    </row>
    <row r="46" spans="1:19" s="90" customFormat="1" ht="15.75">
      <c r="A46" s="88"/>
      <c r="B46" s="97" t="s">
        <v>41</v>
      </c>
      <c r="C46" s="104">
        <v>10854140</v>
      </c>
      <c r="D46" s="104">
        <v>9304481</v>
      </c>
      <c r="E46" s="104">
        <v>11870584</v>
      </c>
      <c r="F46" s="104">
        <v>9550555</v>
      </c>
      <c r="G46" s="104">
        <v>7948457.9276662</v>
      </c>
      <c r="H46" s="104">
        <v>9018211.178287901</v>
      </c>
      <c r="I46" s="104">
        <v>11034901.933142398</v>
      </c>
      <c r="J46" s="104">
        <v>9922315.778611</v>
      </c>
      <c r="K46" s="104">
        <v>11388378.0500587</v>
      </c>
      <c r="L46" s="104">
        <v>6227643.1069132</v>
      </c>
      <c r="M46" s="96">
        <v>9756483.0417534</v>
      </c>
      <c r="N46" s="96">
        <v>6249835.8253114</v>
      </c>
      <c r="O46" s="104"/>
      <c r="P46" s="96">
        <f t="shared" si="0"/>
        <v>113125986.84174418</v>
      </c>
      <c r="Q46" s="94"/>
      <c r="R46" s="125"/>
      <c r="S46" s="125"/>
    </row>
    <row r="47" spans="1:19" s="90" customFormat="1" ht="15.75">
      <c r="A47" s="88"/>
      <c r="B47" s="98" t="s">
        <v>42</v>
      </c>
      <c r="C47" s="104">
        <v>6354956</v>
      </c>
      <c r="D47" s="104">
        <v>4998482</v>
      </c>
      <c r="E47" s="104">
        <v>6273177</v>
      </c>
      <c r="F47" s="104">
        <v>5142573</v>
      </c>
      <c r="G47" s="104">
        <v>3642665.233499998</v>
      </c>
      <c r="H47" s="104">
        <v>5670449.590500005</v>
      </c>
      <c r="I47" s="104">
        <v>5131807.280999996</v>
      </c>
      <c r="J47" s="104">
        <v>5500419.330000002</v>
      </c>
      <c r="K47" s="104">
        <v>4664969.173499998</v>
      </c>
      <c r="L47" s="104">
        <v>6095173.9169999985</v>
      </c>
      <c r="M47" s="96">
        <v>3216174.951000001</v>
      </c>
      <c r="N47" s="96">
        <v>4621712.866500001</v>
      </c>
      <c r="O47" s="104"/>
      <c r="P47" s="96">
        <f t="shared" si="0"/>
        <v>61312560.342999995</v>
      </c>
      <c r="Q47" s="94"/>
      <c r="R47" s="125"/>
      <c r="S47" s="125"/>
    </row>
    <row r="48" spans="1:19" s="90" customFormat="1" ht="15.75">
      <c r="A48" s="88"/>
      <c r="B48" s="99" t="s">
        <v>12</v>
      </c>
      <c r="C48" s="104">
        <v>36263242</v>
      </c>
      <c r="D48" s="104">
        <v>31450611.23</v>
      </c>
      <c r="E48" s="104">
        <v>27427520.34</v>
      </c>
      <c r="F48" s="104">
        <v>29143319.759999998</v>
      </c>
      <c r="G48" s="104">
        <v>23945242.381166197</v>
      </c>
      <c r="H48" s="104">
        <v>32093600.538787905</v>
      </c>
      <c r="I48" s="104">
        <v>30017878.774142392</v>
      </c>
      <c r="J48" s="104">
        <v>32175647.118611004</v>
      </c>
      <c r="K48" s="104">
        <v>21697306.723558698</v>
      </c>
      <c r="L48" s="104">
        <v>12322817.023913197</v>
      </c>
      <c r="M48" s="100">
        <v>15368128.322753401</v>
      </c>
      <c r="N48" s="100">
        <v>24733694.5118114</v>
      </c>
      <c r="O48" s="104"/>
      <c r="P48" s="96">
        <f t="shared" si="0"/>
        <v>316639008.7247442</v>
      </c>
      <c r="Q48" s="94"/>
      <c r="R48" s="125"/>
      <c r="S48" s="125"/>
    </row>
    <row r="49" spans="1:19" s="90" customFormat="1" ht="15.75">
      <c r="A49" s="88"/>
      <c r="B49" s="101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96"/>
      <c r="N49" s="96"/>
      <c r="O49" s="104"/>
      <c r="P49" s="96">
        <f t="shared" si="0"/>
        <v>0</v>
      </c>
      <c r="Q49" s="94"/>
      <c r="R49" s="125"/>
      <c r="S49" s="125"/>
    </row>
    <row r="50" spans="1:19" s="90" customFormat="1" ht="15.75">
      <c r="A50" s="92" t="s">
        <v>13</v>
      </c>
      <c r="B50" s="93" t="s">
        <v>14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96"/>
      <c r="N50" s="96"/>
      <c r="O50" s="104"/>
      <c r="P50" s="96">
        <f t="shared" si="0"/>
        <v>0</v>
      </c>
      <c r="Q50" s="94"/>
      <c r="R50" s="125"/>
      <c r="S50" s="125"/>
    </row>
    <row r="51" spans="1:19" s="90" customFormat="1" ht="15.75">
      <c r="A51" s="88"/>
      <c r="B51" s="98" t="s">
        <v>15</v>
      </c>
      <c r="C51" s="104">
        <v>7100284.53</v>
      </c>
      <c r="D51" s="104">
        <v>3210163</v>
      </c>
      <c r="E51" s="104">
        <v>2740091.89</v>
      </c>
      <c r="F51" s="104">
        <v>2042947.33</v>
      </c>
      <c r="G51" s="104">
        <v>3958473.4800000004</v>
      </c>
      <c r="H51" s="104">
        <v>3301338</v>
      </c>
      <c r="I51" s="104">
        <v>3079256.54</v>
      </c>
      <c r="J51" s="104">
        <v>2828326.5</v>
      </c>
      <c r="K51" s="104">
        <v>1585860.99</v>
      </c>
      <c r="L51" s="104">
        <v>2110218.26</v>
      </c>
      <c r="M51" s="102">
        <v>3930213.41</v>
      </c>
      <c r="N51" s="102">
        <v>3963940.23</v>
      </c>
      <c r="O51" s="104"/>
      <c r="P51" s="96">
        <f t="shared" si="0"/>
        <v>39851114.160000004</v>
      </c>
      <c r="Q51" s="94"/>
      <c r="R51" s="125"/>
      <c r="S51" s="125"/>
    </row>
    <row r="52" spans="1:19" s="90" customFormat="1" ht="15.75">
      <c r="A52" s="88"/>
      <c r="B52" s="99" t="s">
        <v>12</v>
      </c>
      <c r="C52" s="104">
        <v>7100284.53</v>
      </c>
      <c r="D52" s="104">
        <v>3210163</v>
      </c>
      <c r="E52" s="104">
        <v>2740091.89</v>
      </c>
      <c r="F52" s="104">
        <v>2042947.33</v>
      </c>
      <c r="G52" s="104">
        <v>3958473.4800000004</v>
      </c>
      <c r="H52" s="104">
        <v>3301338</v>
      </c>
      <c r="I52" s="104">
        <v>3079256.54</v>
      </c>
      <c r="J52" s="104">
        <v>2828326.5</v>
      </c>
      <c r="K52" s="104">
        <v>1585860.99</v>
      </c>
      <c r="L52" s="104">
        <v>2110218.26</v>
      </c>
      <c r="M52" s="100">
        <v>3930213.41</v>
      </c>
      <c r="N52" s="100">
        <v>3963940.23</v>
      </c>
      <c r="O52" s="104"/>
      <c r="P52" s="96">
        <f t="shared" si="0"/>
        <v>39851114.160000004</v>
      </c>
      <c r="Q52" s="94"/>
      <c r="R52" s="125"/>
      <c r="S52" s="125"/>
    </row>
    <row r="53" spans="1:19" s="90" customFormat="1" ht="15.75">
      <c r="A53" s="88"/>
      <c r="B53" s="101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96"/>
      <c r="N53" s="96"/>
      <c r="O53" s="104"/>
      <c r="P53" s="96">
        <f t="shared" si="0"/>
        <v>0</v>
      </c>
      <c r="Q53" s="94"/>
      <c r="R53" s="125"/>
      <c r="S53" s="125"/>
    </row>
    <row r="54" spans="1:19" s="90" customFormat="1" ht="15.75">
      <c r="A54" s="92" t="s">
        <v>16</v>
      </c>
      <c r="B54" s="93" t="s">
        <v>17</v>
      </c>
      <c r="C54" s="104">
        <v>43363526.53</v>
      </c>
      <c r="D54" s="104">
        <v>34660774.230000004</v>
      </c>
      <c r="E54" s="104">
        <v>30167612.23</v>
      </c>
      <c r="F54" s="104">
        <v>31186267.089999996</v>
      </c>
      <c r="G54" s="104">
        <v>27903715.861166198</v>
      </c>
      <c r="H54" s="104">
        <v>35394938.5387879</v>
      </c>
      <c r="I54" s="104">
        <v>33097135.31414239</v>
      </c>
      <c r="J54" s="104">
        <v>35003973.61861101</v>
      </c>
      <c r="K54" s="104">
        <v>23283167.713558696</v>
      </c>
      <c r="L54" s="104">
        <v>14433035.283913197</v>
      </c>
      <c r="M54" s="100">
        <v>19298341.732753403</v>
      </c>
      <c r="N54" s="100">
        <v>28697634.741811402</v>
      </c>
      <c r="O54" s="104"/>
      <c r="P54" s="96">
        <f t="shared" si="0"/>
        <v>356490122.8847442</v>
      </c>
      <c r="Q54" s="94"/>
      <c r="R54" s="125"/>
      <c r="S54" s="125"/>
    </row>
    <row r="55" spans="1:19" s="90" customFormat="1" ht="15.75">
      <c r="A55" s="88"/>
      <c r="B55" s="101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96"/>
      <c r="N55" s="96"/>
      <c r="O55" s="104"/>
      <c r="P55" s="96">
        <f t="shared" si="0"/>
        <v>0</v>
      </c>
      <c r="Q55" s="94"/>
      <c r="R55" s="125"/>
      <c r="S55" s="125"/>
    </row>
    <row r="56" spans="1:19" s="90" customFormat="1" ht="15.75">
      <c r="A56" s="88"/>
      <c r="B56" s="89" t="s">
        <v>18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96"/>
      <c r="N56" s="96"/>
      <c r="O56" s="104"/>
      <c r="P56" s="96">
        <f t="shared" si="0"/>
        <v>0</v>
      </c>
      <c r="Q56" s="94"/>
      <c r="R56" s="125"/>
      <c r="S56" s="125"/>
    </row>
    <row r="57" spans="1:19" s="90" customFormat="1" ht="15.75">
      <c r="A57" s="88"/>
      <c r="B57" s="89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96"/>
      <c r="N57" s="96"/>
      <c r="O57" s="104"/>
      <c r="P57" s="96">
        <f t="shared" si="0"/>
        <v>0</v>
      </c>
      <c r="Q57" s="94"/>
      <c r="R57" s="125"/>
      <c r="S57" s="125"/>
    </row>
    <row r="58" spans="1:19" s="90" customFormat="1" ht="15.75">
      <c r="A58" s="92" t="s">
        <v>19</v>
      </c>
      <c r="B58" s="93" t="s">
        <v>20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94"/>
      <c r="N58" s="94"/>
      <c r="O58" s="104"/>
      <c r="P58" s="96">
        <f t="shared" si="0"/>
        <v>0</v>
      </c>
      <c r="Q58" s="94"/>
      <c r="R58" s="125"/>
      <c r="S58" s="125"/>
    </row>
    <row r="59" spans="1:19" s="90" customFormat="1" ht="15.75">
      <c r="A59" s="88"/>
      <c r="B59" s="98" t="s">
        <v>21</v>
      </c>
      <c r="C59" s="104">
        <v>6631481.974</v>
      </c>
      <c r="D59" s="104">
        <v>8131635.862000005</v>
      </c>
      <c r="E59" s="104">
        <v>3767732.6480000024</v>
      </c>
      <c r="F59" s="104">
        <v>7045907.992000002</v>
      </c>
      <c r="G59" s="104">
        <v>3623221.882999998</v>
      </c>
      <c r="H59" s="104">
        <v>7792177.908999998</v>
      </c>
      <c r="I59" s="104">
        <v>5538335.943000003</v>
      </c>
      <c r="J59" s="104">
        <v>7201447.073999995</v>
      </c>
      <c r="K59" s="104">
        <v>2667905.3789999997</v>
      </c>
      <c r="L59" s="104">
        <v>0</v>
      </c>
      <c r="M59" s="103">
        <v>680336.484000001</v>
      </c>
      <c r="N59" s="103">
        <v>4433400.029</v>
      </c>
      <c r="O59" s="104"/>
      <c r="P59" s="96">
        <f t="shared" si="0"/>
        <v>57513583.177</v>
      </c>
      <c r="Q59" s="94"/>
      <c r="R59" s="125"/>
      <c r="S59" s="125"/>
    </row>
    <row r="60" spans="1:19" s="90" customFormat="1" ht="15.75">
      <c r="A60" s="88"/>
      <c r="B60" s="98" t="s">
        <v>41</v>
      </c>
      <c r="C60" s="104">
        <v>1786431</v>
      </c>
      <c r="D60" s="104">
        <v>943929</v>
      </c>
      <c r="E60" s="104">
        <v>3699578</v>
      </c>
      <c r="F60" s="104">
        <v>3089163</v>
      </c>
      <c r="G60" s="104">
        <v>4223742.761</v>
      </c>
      <c r="H60" s="104">
        <v>2970672.6670000013</v>
      </c>
      <c r="I60" s="104">
        <v>3989923.049999999</v>
      </c>
      <c r="J60" s="104">
        <v>3638980.4889999973</v>
      </c>
      <c r="K60" s="104">
        <v>3319801.760000001</v>
      </c>
      <c r="L60" s="104">
        <v>774515.6330000005</v>
      </c>
      <c r="M60" s="103">
        <v>728366.4020000005</v>
      </c>
      <c r="N60" s="103">
        <v>1127216.7629999982</v>
      </c>
      <c r="O60" s="104"/>
      <c r="P60" s="96">
        <f t="shared" si="0"/>
        <v>30292320.524999995</v>
      </c>
      <c r="Q60" s="94"/>
      <c r="R60" s="125"/>
      <c r="S60" s="125"/>
    </row>
    <row r="61" spans="1:19" s="90" customFormat="1" ht="15.75">
      <c r="A61" s="88"/>
      <c r="B61" s="98" t="s">
        <v>42</v>
      </c>
      <c r="C61" s="104">
        <v>2352919</v>
      </c>
      <c r="D61" s="104">
        <v>2063022</v>
      </c>
      <c r="E61" s="104">
        <v>2205001</v>
      </c>
      <c r="F61" s="104">
        <v>2631436</v>
      </c>
      <c r="G61" s="104">
        <v>287484.9830000006</v>
      </c>
      <c r="H61" s="104">
        <v>2753928.8089999985</v>
      </c>
      <c r="I61" s="104">
        <v>2280461.8709999984</v>
      </c>
      <c r="J61" s="104">
        <v>2867130.3419999974</v>
      </c>
      <c r="K61" s="104">
        <v>2090219.6309999991</v>
      </c>
      <c r="L61" s="104">
        <v>195693.48399999994</v>
      </c>
      <c r="M61" s="96">
        <v>277067.236</v>
      </c>
      <c r="N61" s="96">
        <v>1536346.8149999992</v>
      </c>
      <c r="O61" s="104"/>
      <c r="P61" s="96">
        <f t="shared" si="0"/>
        <v>21540711.170999993</v>
      </c>
      <c r="Q61" s="94"/>
      <c r="R61" s="125"/>
      <c r="S61" s="125"/>
    </row>
    <row r="62" spans="1:19" s="90" customFormat="1" ht="15.75">
      <c r="A62" s="88"/>
      <c r="B62" s="97" t="s">
        <v>101</v>
      </c>
      <c r="C62" s="104">
        <v>6971596.6899999995</v>
      </c>
      <c r="D62" s="104">
        <v>3162603.21</v>
      </c>
      <c r="E62" s="104">
        <v>2524811.29</v>
      </c>
      <c r="F62" s="104">
        <v>2042072.77</v>
      </c>
      <c r="G62" s="104">
        <v>3360256.9599999995</v>
      </c>
      <c r="H62" s="104">
        <v>3293074.88</v>
      </c>
      <c r="I62" s="104">
        <v>3035862.65</v>
      </c>
      <c r="J62" s="104">
        <v>2808642.08</v>
      </c>
      <c r="K62" s="104">
        <v>1532162.05</v>
      </c>
      <c r="L62" s="104">
        <v>1260145.1</v>
      </c>
      <c r="M62" s="102">
        <v>1444899.76</v>
      </c>
      <c r="N62" s="102">
        <v>1834817.0899999999</v>
      </c>
      <c r="O62" s="104"/>
      <c r="P62" s="96">
        <f t="shared" si="0"/>
        <v>33270944.529999997</v>
      </c>
      <c r="Q62" s="94"/>
      <c r="R62" s="125"/>
      <c r="S62" s="125"/>
    </row>
    <row r="63" spans="1:19" s="90" customFormat="1" ht="15.75">
      <c r="A63" s="88"/>
      <c r="B63" s="99" t="s">
        <v>12</v>
      </c>
      <c r="C63" s="104">
        <v>17742428.663999997</v>
      </c>
      <c r="D63" s="104">
        <v>14301190.072000004</v>
      </c>
      <c r="E63" s="104">
        <v>12197122.938000001</v>
      </c>
      <c r="F63" s="104">
        <v>14808579.762000002</v>
      </c>
      <c r="G63" s="104">
        <v>11494706.586999997</v>
      </c>
      <c r="H63" s="104">
        <v>16809854.264999997</v>
      </c>
      <c r="I63" s="104">
        <v>14844583.514</v>
      </c>
      <c r="J63" s="104">
        <v>16516199.98499999</v>
      </c>
      <c r="K63" s="104">
        <v>9610088.82</v>
      </c>
      <c r="L63" s="104">
        <v>2230354.2170000006</v>
      </c>
      <c r="M63" s="100">
        <v>3130669.882000001</v>
      </c>
      <c r="N63" s="100">
        <v>8931780.696999997</v>
      </c>
      <c r="O63" s="104"/>
      <c r="P63" s="96">
        <f t="shared" si="0"/>
        <v>142617559.403</v>
      </c>
      <c r="Q63" s="94"/>
      <c r="R63" s="125"/>
      <c r="S63" s="125"/>
    </row>
    <row r="64" spans="1:19" s="90" customFormat="1" ht="15.75">
      <c r="A64" s="88"/>
      <c r="B64" s="101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96"/>
      <c r="N64" s="96"/>
      <c r="O64" s="104"/>
      <c r="P64" s="96">
        <f t="shared" si="0"/>
        <v>0</v>
      </c>
      <c r="Q64" s="94"/>
      <c r="R64" s="125"/>
      <c r="S64" s="125"/>
    </row>
    <row r="65" spans="1:19" s="90" customFormat="1" ht="15.75">
      <c r="A65" s="92" t="s">
        <v>23</v>
      </c>
      <c r="B65" s="93" t="s">
        <v>24</v>
      </c>
      <c r="C65" s="104">
        <v>25621097.866000004</v>
      </c>
      <c r="D65" s="104">
        <v>20359584.158</v>
      </c>
      <c r="E65" s="104">
        <v>17970489.292</v>
      </c>
      <c r="F65" s="104">
        <v>16377687.327999994</v>
      </c>
      <c r="G65" s="104">
        <v>16409009.2741662</v>
      </c>
      <c r="H65" s="104">
        <v>18585084.273787905</v>
      </c>
      <c r="I65" s="104">
        <v>18252551.800142393</v>
      </c>
      <c r="J65" s="104">
        <v>18487773.633611016</v>
      </c>
      <c r="K65" s="104">
        <v>13673078.893558696</v>
      </c>
      <c r="L65" s="104">
        <v>12202681.066913197</v>
      </c>
      <c r="M65" s="100"/>
      <c r="N65" s="100"/>
      <c r="O65" s="104"/>
      <c r="P65" s="96">
        <f t="shared" si="0"/>
        <v>177939037.58617938</v>
      </c>
      <c r="Q65" s="94"/>
      <c r="R65" s="125"/>
      <c r="S65" s="125"/>
    </row>
    <row r="66" spans="1:19" s="111" customFormat="1" ht="15.75">
      <c r="A66" s="107"/>
      <c r="B66" s="114" t="s">
        <v>21</v>
      </c>
      <c r="C66" s="113">
        <f>C45-C59</f>
        <v>12422664.026</v>
      </c>
      <c r="D66" s="113">
        <f aca="true" t="shared" si="5" ref="D66:L66">D45-D59</f>
        <v>9016012.367999995</v>
      </c>
      <c r="E66" s="113">
        <f t="shared" si="5"/>
        <v>5516026.691999998</v>
      </c>
      <c r="F66" s="113">
        <f t="shared" si="5"/>
        <v>7404283.767999997</v>
      </c>
      <c r="G66" s="113">
        <f t="shared" si="5"/>
        <v>8730897.337000005</v>
      </c>
      <c r="H66" s="113">
        <f t="shared" si="5"/>
        <v>9612761.861000001</v>
      </c>
      <c r="I66" s="113">
        <f t="shared" si="5"/>
        <v>8312833.616999996</v>
      </c>
      <c r="J66" s="113">
        <f t="shared" si="5"/>
        <v>9551464.936000004</v>
      </c>
      <c r="K66" s="113">
        <f t="shared" si="5"/>
        <v>2976054.1209999993</v>
      </c>
      <c r="L66" s="113">
        <f t="shared" si="5"/>
        <v>0</v>
      </c>
      <c r="M66" s="113">
        <v>1715133.845999999</v>
      </c>
      <c r="N66" s="113">
        <v>9428745.791000001</v>
      </c>
      <c r="O66" s="113"/>
      <c r="P66" s="96">
        <f t="shared" si="0"/>
        <v>84686878.36299998</v>
      </c>
      <c r="Q66" s="110"/>
      <c r="R66" s="128"/>
      <c r="S66" s="128"/>
    </row>
    <row r="67" spans="1:19" s="111" customFormat="1" ht="15.75">
      <c r="A67" s="107"/>
      <c r="B67" s="114" t="s">
        <v>41</v>
      </c>
      <c r="C67" s="113">
        <f aca="true" t="shared" si="6" ref="C67:L68">C46-C60</f>
        <v>9067709</v>
      </c>
      <c r="D67" s="113">
        <f t="shared" si="6"/>
        <v>8360552</v>
      </c>
      <c r="E67" s="113">
        <f t="shared" si="6"/>
        <v>8171006</v>
      </c>
      <c r="F67" s="113">
        <f t="shared" si="6"/>
        <v>6461392</v>
      </c>
      <c r="G67" s="113">
        <f t="shared" si="6"/>
        <v>3724715.1666662004</v>
      </c>
      <c r="H67" s="113">
        <f t="shared" si="6"/>
        <v>6047538.5112879</v>
      </c>
      <c r="I67" s="113">
        <f t="shared" si="6"/>
        <v>7044978.883142399</v>
      </c>
      <c r="J67" s="113">
        <f t="shared" si="6"/>
        <v>6283335.289611003</v>
      </c>
      <c r="K67" s="113">
        <f t="shared" si="6"/>
        <v>8068576.2900586985</v>
      </c>
      <c r="L67" s="113">
        <f t="shared" si="6"/>
        <v>5453127.473913199</v>
      </c>
      <c r="M67" s="113">
        <v>9028116.6397534</v>
      </c>
      <c r="N67" s="113">
        <v>5122619.062311402</v>
      </c>
      <c r="O67" s="113"/>
      <c r="P67" s="96">
        <f t="shared" si="0"/>
        <v>82833666.3167442</v>
      </c>
      <c r="Q67" s="110"/>
      <c r="R67" s="128"/>
      <c r="S67" s="128"/>
    </row>
    <row r="68" spans="1:19" s="111" customFormat="1" ht="15.75">
      <c r="A68" s="107"/>
      <c r="B68" s="114" t="s">
        <v>42</v>
      </c>
      <c r="C68" s="113">
        <f t="shared" si="6"/>
        <v>4002037</v>
      </c>
      <c r="D68" s="113">
        <f t="shared" si="6"/>
        <v>2935460</v>
      </c>
      <c r="E68" s="113">
        <f t="shared" si="6"/>
        <v>4068176</v>
      </c>
      <c r="F68" s="113">
        <f t="shared" si="6"/>
        <v>2511137</v>
      </c>
      <c r="G68" s="113">
        <f t="shared" si="6"/>
        <v>3355180.2504999978</v>
      </c>
      <c r="H68" s="113">
        <f t="shared" si="6"/>
        <v>2916520.781500006</v>
      </c>
      <c r="I68" s="113">
        <f t="shared" si="6"/>
        <v>2851345.4099999974</v>
      </c>
      <c r="J68" s="113">
        <f t="shared" si="6"/>
        <v>2633288.9880000046</v>
      </c>
      <c r="K68" s="113">
        <f t="shared" si="6"/>
        <v>2574749.5424999986</v>
      </c>
      <c r="L68" s="113">
        <f t="shared" si="6"/>
        <v>5899480.432999998</v>
      </c>
      <c r="M68" s="113">
        <v>2939107.715000001</v>
      </c>
      <c r="N68" s="113">
        <v>3085366.051500002</v>
      </c>
      <c r="O68" s="113"/>
      <c r="P68" s="96">
        <f t="shared" si="0"/>
        <v>39771849.172000006</v>
      </c>
      <c r="Q68" s="110"/>
      <c r="R68" s="128"/>
      <c r="S68" s="128"/>
    </row>
    <row r="69" spans="1:19" s="111" customFormat="1" ht="15.75">
      <c r="A69" s="107"/>
      <c r="B69" s="114" t="s">
        <v>101</v>
      </c>
      <c r="C69" s="115">
        <f>C51-C62</f>
        <v>128687.84000000078</v>
      </c>
      <c r="D69" s="115">
        <f aca="true" t="shared" si="7" ref="D69:L69">D51-D62</f>
        <v>47559.79000000004</v>
      </c>
      <c r="E69" s="115">
        <f t="shared" si="7"/>
        <v>215280.6000000001</v>
      </c>
      <c r="F69" s="115">
        <f t="shared" si="7"/>
        <v>874.5600000000559</v>
      </c>
      <c r="G69" s="115">
        <f t="shared" si="7"/>
        <v>598216.520000001</v>
      </c>
      <c r="H69" s="115">
        <f t="shared" si="7"/>
        <v>8263.120000000112</v>
      </c>
      <c r="I69" s="115">
        <f t="shared" si="7"/>
        <v>43393.89000000013</v>
      </c>
      <c r="J69" s="115">
        <f t="shared" si="7"/>
        <v>19684.419999999925</v>
      </c>
      <c r="K69" s="115">
        <f t="shared" si="7"/>
        <v>53698.939999999944</v>
      </c>
      <c r="L69" s="115">
        <f t="shared" si="7"/>
        <v>850073.1599999997</v>
      </c>
      <c r="M69" s="115">
        <v>2485313.6500000004</v>
      </c>
      <c r="N69" s="115">
        <v>2129123.14</v>
      </c>
      <c r="O69" s="115"/>
      <c r="P69" s="96">
        <f t="shared" si="0"/>
        <v>6580169.630000003</v>
      </c>
      <c r="Q69" s="110"/>
      <c r="R69" s="128"/>
      <c r="S69" s="128"/>
    </row>
    <row r="70" spans="1:19" s="111" customFormat="1" ht="15.75">
      <c r="A70" s="107"/>
      <c r="B70" s="114" t="s">
        <v>12</v>
      </c>
      <c r="C70" s="113">
        <f>SUM(C66:C69)</f>
        <v>25621097.866</v>
      </c>
      <c r="D70" s="113">
        <f aca="true" t="shared" si="8" ref="D70:L70">SUM(D66:D69)</f>
        <v>20359584.157999992</v>
      </c>
      <c r="E70" s="113">
        <f t="shared" si="8"/>
        <v>17970489.292</v>
      </c>
      <c r="F70" s="113">
        <f t="shared" si="8"/>
        <v>16377687.327999998</v>
      </c>
      <c r="G70" s="113">
        <f t="shared" si="8"/>
        <v>16409009.274166204</v>
      </c>
      <c r="H70" s="113">
        <f t="shared" si="8"/>
        <v>18585084.27378791</v>
      </c>
      <c r="I70" s="113">
        <f t="shared" si="8"/>
        <v>18252551.800142393</v>
      </c>
      <c r="J70" s="113">
        <f t="shared" si="8"/>
        <v>18487773.633611016</v>
      </c>
      <c r="K70" s="113">
        <f t="shared" si="8"/>
        <v>13673078.893558696</v>
      </c>
      <c r="L70" s="113">
        <f t="shared" si="8"/>
        <v>12202681.066913199</v>
      </c>
      <c r="M70" s="113">
        <v>16167671.850753399</v>
      </c>
      <c r="N70" s="113">
        <v>19765854.044811405</v>
      </c>
      <c r="O70" s="113"/>
      <c r="P70" s="96">
        <f t="shared" si="0"/>
        <v>213872563.48174417</v>
      </c>
      <c r="Q70" s="110"/>
      <c r="R70" s="128"/>
      <c r="S70" s="128"/>
    </row>
    <row r="71" spans="1:19" s="111" customFormat="1" ht="15.75">
      <c r="A71" s="107"/>
      <c r="B71" s="108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3"/>
      <c r="N71" s="113"/>
      <c r="O71" s="112"/>
      <c r="P71" s="96">
        <f t="shared" si="0"/>
        <v>0</v>
      </c>
      <c r="Q71" s="110"/>
      <c r="R71" s="128"/>
      <c r="S71" s="128"/>
    </row>
    <row r="72" spans="1:19" s="90" customFormat="1" ht="15.75">
      <c r="A72" s="88"/>
      <c r="B72" s="101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96"/>
      <c r="N72" s="96"/>
      <c r="O72" s="104"/>
      <c r="P72" s="96">
        <f t="shared" si="0"/>
        <v>0</v>
      </c>
      <c r="Q72" s="94"/>
      <c r="R72" s="125"/>
      <c r="S72" s="125"/>
    </row>
    <row r="73" spans="1:19" s="90" customFormat="1" ht="15.75">
      <c r="A73" s="92" t="s">
        <v>25</v>
      </c>
      <c r="B73" s="93" t="s">
        <v>26</v>
      </c>
      <c r="C73" s="104">
        <v>43363526.53</v>
      </c>
      <c r="D73" s="104">
        <v>34660774.230000004</v>
      </c>
      <c r="E73" s="104">
        <v>30167612.23</v>
      </c>
      <c r="F73" s="104">
        <v>31186267.089999996</v>
      </c>
      <c r="G73" s="104">
        <v>27903715.861166198</v>
      </c>
      <c r="H73" s="104">
        <v>35394938.5387879</v>
      </c>
      <c r="I73" s="104">
        <v>33097135.31414239</v>
      </c>
      <c r="J73" s="104">
        <v>35003973.61861101</v>
      </c>
      <c r="K73" s="104">
        <v>23283167.713558696</v>
      </c>
      <c r="L73" s="104">
        <v>14433035.283913197</v>
      </c>
      <c r="M73" s="100">
        <v>19298341.7327534</v>
      </c>
      <c r="N73" s="100">
        <v>28697634.741811402</v>
      </c>
      <c r="O73" s="104"/>
      <c r="P73" s="96">
        <f t="shared" si="0"/>
        <v>356490122.8847442</v>
      </c>
      <c r="Q73" s="94"/>
      <c r="R73" s="125"/>
      <c r="S73" s="125"/>
    </row>
    <row r="74" spans="3:17" ht="15.75"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/>
      <c r="O74" s="87"/>
      <c r="P74" s="87"/>
      <c r="Q74" s="6"/>
    </row>
    <row r="75" spans="3:17" ht="15.75"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6"/>
    </row>
    <row r="76" spans="3:17" ht="15.75">
      <c r="C76" s="86" t="s">
        <v>8</v>
      </c>
      <c r="D76" s="86" t="s">
        <v>8</v>
      </c>
      <c r="E76" s="86" t="s">
        <v>8</v>
      </c>
      <c r="F76" s="86" t="s">
        <v>8</v>
      </c>
      <c r="G76" s="86" t="s">
        <v>8</v>
      </c>
      <c r="H76" s="86" t="s">
        <v>8</v>
      </c>
      <c r="I76" s="86" t="s">
        <v>8</v>
      </c>
      <c r="J76" s="86" t="s">
        <v>8</v>
      </c>
      <c r="K76" s="86" t="s">
        <v>8</v>
      </c>
      <c r="L76" s="86" t="s">
        <v>8</v>
      </c>
      <c r="M76" s="86"/>
      <c r="N76" s="86"/>
      <c r="O76" s="86"/>
      <c r="P76" s="86"/>
      <c r="Q76" s="6"/>
    </row>
    <row r="77" spans="1:19" s="90" customFormat="1" ht="15.75">
      <c r="A77" s="88"/>
      <c r="B77" s="94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22" t="s">
        <v>8</v>
      </c>
      <c r="N77" s="89" t="s">
        <v>8</v>
      </c>
      <c r="O77" s="105"/>
      <c r="P77" s="105"/>
      <c r="Q77" s="94"/>
      <c r="R77" s="125"/>
      <c r="S77" s="125"/>
    </row>
    <row r="78" spans="1:19" s="90" customFormat="1" ht="15.75">
      <c r="A78" s="92" t="s">
        <v>10</v>
      </c>
      <c r="B78" s="93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23"/>
      <c r="N78" s="91"/>
      <c r="O78" s="105"/>
      <c r="P78" s="105"/>
      <c r="Q78" s="94"/>
      <c r="R78" s="125"/>
      <c r="S78" s="125"/>
    </row>
    <row r="79" spans="1:19" s="90" customFormat="1" ht="15.75">
      <c r="A79" s="88"/>
      <c r="B79" s="95" t="s">
        <v>43</v>
      </c>
      <c r="C79" s="105">
        <v>31.177527611879245</v>
      </c>
      <c r="D79" s="105">
        <v>29.53512100725992</v>
      </c>
      <c r="E79" s="105">
        <v>31.379423501377364</v>
      </c>
      <c r="F79" s="105">
        <v>30.221675157903544</v>
      </c>
      <c r="G79" s="105">
        <v>32.60556780752503</v>
      </c>
      <c r="H79" s="105">
        <v>30.316068129088894</v>
      </c>
      <c r="I79" s="105">
        <v>29.746200560512833</v>
      </c>
      <c r="J79" s="105">
        <v>28.601667673953276</v>
      </c>
      <c r="K79" s="105">
        <v>26.809993967233044</v>
      </c>
      <c r="L79" s="105">
        <v>0</v>
      </c>
      <c r="M79" s="124">
        <v>31.943437612513502</v>
      </c>
      <c r="N79" s="94"/>
      <c r="O79" s="105"/>
      <c r="P79" s="105">
        <f>P45/P11</f>
        <v>30.200972064616284</v>
      </c>
      <c r="Q79" s="94"/>
      <c r="R79" s="125"/>
      <c r="S79" s="125"/>
    </row>
    <row r="80" spans="1:19" s="90" customFormat="1" ht="15.75">
      <c r="A80" s="88"/>
      <c r="B80" s="97" t="s">
        <v>41</v>
      </c>
      <c r="C80" s="105">
        <v>30.231846920870122</v>
      </c>
      <c r="D80" s="105">
        <v>30.878556376005974</v>
      </c>
      <c r="E80" s="105">
        <v>27.561334302305333</v>
      </c>
      <c r="F80" s="105">
        <v>25.888296459337408</v>
      </c>
      <c r="G80" s="105">
        <v>25.052977399614836</v>
      </c>
      <c r="H80" s="105">
        <v>25.804729835806732</v>
      </c>
      <c r="I80" s="105">
        <v>25.508208314206588</v>
      </c>
      <c r="J80" s="105">
        <v>52.3952679280259</v>
      </c>
      <c r="K80" s="105">
        <v>54.143751945049985</v>
      </c>
      <c r="L80" s="105">
        <v>59.160916176145065</v>
      </c>
      <c r="M80" s="124">
        <v>24.898260683196803</v>
      </c>
      <c r="N80" s="124">
        <v>30.61116984581955</v>
      </c>
      <c r="O80" s="105"/>
      <c r="P80" s="105">
        <f>P46/P12</f>
        <v>26.706330623907366</v>
      </c>
      <c r="Q80" s="94"/>
      <c r="R80" s="125"/>
      <c r="S80" s="125"/>
    </row>
    <row r="81" spans="1:19" s="90" customFormat="1" ht="15.75">
      <c r="A81" s="88"/>
      <c r="B81" s="98" t="s">
        <v>42</v>
      </c>
      <c r="C81" s="105">
        <v>24.079647157786248</v>
      </c>
      <c r="D81" s="105">
        <v>26.309738612318803</v>
      </c>
      <c r="E81" s="105">
        <v>22.21151864716442</v>
      </c>
      <c r="F81" s="105">
        <v>25.717751372760823</v>
      </c>
      <c r="G81" s="105">
        <v>26.396555259053144</v>
      </c>
      <c r="H81" s="105">
        <v>26.278542469848112</v>
      </c>
      <c r="I81" s="105">
        <v>25.32111973189789</v>
      </c>
      <c r="J81" s="105">
        <v>51.045736487214</v>
      </c>
      <c r="K81" s="105">
        <v>40.685393064329496</v>
      </c>
      <c r="L81" s="105">
        <v>48.98573524542282</v>
      </c>
      <c r="M81" s="124">
        <v>24.24330444044433</v>
      </c>
      <c r="N81" s="124">
        <v>25.596876793103814</v>
      </c>
      <c r="O81" s="105"/>
      <c r="P81" s="105">
        <f>P47/P13</f>
        <v>24.45105139337756</v>
      </c>
      <c r="Q81" s="94"/>
      <c r="R81" s="125"/>
      <c r="S81" s="125"/>
    </row>
    <row r="82" spans="1:19" s="90" customFormat="1" ht="15.75">
      <c r="A82" s="88"/>
      <c r="B82" s="99" t="s">
        <v>12</v>
      </c>
      <c r="C82" s="105">
        <v>29.38450555630284</v>
      </c>
      <c r="D82" s="105">
        <v>29.341103269347027</v>
      </c>
      <c r="E82" s="105">
        <v>27.183386347215656</v>
      </c>
      <c r="F82" s="105">
        <v>27.834646041703277</v>
      </c>
      <c r="G82" s="105">
        <v>28.70582329244033</v>
      </c>
      <c r="H82" s="105">
        <v>28.167662200445328</v>
      </c>
      <c r="I82" s="105">
        <v>27.26627409432572</v>
      </c>
      <c r="J82" s="105">
        <v>27.270592077025523</v>
      </c>
      <c r="K82" s="105">
        <v>25.240861119826725</v>
      </c>
      <c r="L82" s="105">
        <v>25.08375442778848</v>
      </c>
      <c r="M82" s="124">
        <v>25.634593205610813</v>
      </c>
      <c r="N82" s="124">
        <v>24.549718746962306</v>
      </c>
      <c r="O82" s="105"/>
      <c r="P82" s="105">
        <f>P48/P14</f>
        <v>27.649328066765804</v>
      </c>
      <c r="Q82" s="94"/>
      <c r="R82" s="125"/>
      <c r="S82" s="125"/>
    </row>
    <row r="83" spans="1:19" s="90" customFormat="1" ht="15.75">
      <c r="A83" s="88"/>
      <c r="B83" s="101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24"/>
      <c r="N83" s="124">
        <v>27.939175696944872</v>
      </c>
      <c r="O83" s="105"/>
      <c r="P83" s="105"/>
      <c r="Q83" s="94"/>
      <c r="R83" s="125"/>
      <c r="S83" s="125"/>
    </row>
    <row r="84" spans="1:19" s="90" customFormat="1" ht="15.75">
      <c r="A84" s="92" t="s">
        <v>13</v>
      </c>
      <c r="B84" s="93" t="s">
        <v>14</v>
      </c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24"/>
      <c r="N84" s="124"/>
      <c r="O84" s="105"/>
      <c r="P84" s="105"/>
      <c r="Q84" s="94"/>
      <c r="R84" s="125"/>
      <c r="S84" s="125"/>
    </row>
    <row r="85" spans="1:19" s="90" customFormat="1" ht="15.75">
      <c r="A85" s="88"/>
      <c r="B85" s="98" t="s">
        <v>15</v>
      </c>
      <c r="C85" s="105">
        <v>93.64188914967036</v>
      </c>
      <c r="D85" s="105">
        <v>55.49011166290718</v>
      </c>
      <c r="E85" s="105">
        <v>64.61602917584713</v>
      </c>
      <c r="F85" s="105">
        <v>36.720686111804774</v>
      </c>
      <c r="G85" s="105">
        <v>52.882611665318336</v>
      </c>
      <c r="H85" s="105">
        <v>44.23435063218698</v>
      </c>
      <c r="I85" s="105">
        <v>34.470330810925056</v>
      </c>
      <c r="J85" s="105">
        <v>32.93686605890025</v>
      </c>
      <c r="K85" s="105">
        <v>36.23902205294368</v>
      </c>
      <c r="L85" s="105">
        <v>34.48747136834926</v>
      </c>
      <c r="M85" s="124">
        <v>38.06225868760924</v>
      </c>
      <c r="N85" s="124"/>
      <c r="O85" s="105"/>
      <c r="P85" s="105">
        <f>P51/P17</f>
        <v>45.13992646729196</v>
      </c>
      <c r="Q85" s="94"/>
      <c r="R85" s="125"/>
      <c r="S85" s="125"/>
    </row>
    <row r="86" spans="1:19" s="90" customFormat="1" ht="15.75">
      <c r="A86" s="88"/>
      <c r="B86" s="99" t="s">
        <v>12</v>
      </c>
      <c r="C86" s="105">
        <v>93.64188914967036</v>
      </c>
      <c r="D86" s="105">
        <v>55.49011166290718</v>
      </c>
      <c r="E86" s="105">
        <v>64.61602917584713</v>
      </c>
      <c r="F86" s="105">
        <v>36.720686111804774</v>
      </c>
      <c r="G86" s="105">
        <v>52.882611665318336</v>
      </c>
      <c r="H86" s="105">
        <v>44.23435063218698</v>
      </c>
      <c r="I86" s="105">
        <v>34.470330810925056</v>
      </c>
      <c r="J86" s="105">
        <v>32.93686605890025</v>
      </c>
      <c r="K86" s="105">
        <v>36.23902205294368</v>
      </c>
      <c r="L86" s="105">
        <v>34.48747136834926</v>
      </c>
      <c r="M86" s="124">
        <v>38.06225868760924</v>
      </c>
      <c r="N86" s="124">
        <v>33.52893240738514</v>
      </c>
      <c r="O86" s="105"/>
      <c r="P86" s="105">
        <f>P52/P18</f>
        <v>45.13992646729196</v>
      </c>
      <c r="Q86" s="94"/>
      <c r="R86" s="125"/>
      <c r="S86" s="125"/>
    </row>
    <row r="87" spans="1:19" s="90" customFormat="1" ht="15.75">
      <c r="A87" s="88"/>
      <c r="B87" s="101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24"/>
      <c r="N87" s="124">
        <v>33.52893240738514</v>
      </c>
      <c r="O87" s="105"/>
      <c r="P87" s="105"/>
      <c r="Q87" s="94"/>
      <c r="R87" s="125"/>
      <c r="S87" s="125"/>
    </row>
    <row r="88" spans="1:19" s="90" customFormat="1" ht="15.75">
      <c r="A88" s="92" t="s">
        <v>16</v>
      </c>
      <c r="B88" s="93" t="s">
        <v>17</v>
      </c>
      <c r="C88" s="105">
        <v>33.104005685144486</v>
      </c>
      <c r="D88" s="105">
        <v>30.680118393082964</v>
      </c>
      <c r="E88" s="105">
        <v>28.693163495141253</v>
      </c>
      <c r="F88" s="105">
        <v>28.28299551170408</v>
      </c>
      <c r="G88" s="105">
        <v>30.69669380839434</v>
      </c>
      <c r="H88" s="105">
        <v>29.155383225153383</v>
      </c>
      <c r="I88" s="105">
        <v>27.80695441646401</v>
      </c>
      <c r="J88" s="105">
        <v>27.65500792042031</v>
      </c>
      <c r="K88" s="105">
        <v>25.773634247998814</v>
      </c>
      <c r="L88" s="105">
        <v>26.125277289261465</v>
      </c>
      <c r="M88" s="124">
        <v>27.460594467620062</v>
      </c>
      <c r="N88" s="124"/>
      <c r="O88" s="105"/>
      <c r="P88" s="105">
        <f>P54/P20</f>
        <v>28.901178185291656</v>
      </c>
      <c r="Q88" s="94"/>
      <c r="R88" s="125"/>
      <c r="S88" s="125"/>
    </row>
    <row r="89" spans="1:19" s="90" customFormat="1" ht="15.75">
      <c r="A89" s="88"/>
      <c r="B89" s="101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24"/>
      <c r="N89" s="124">
        <v>28.59772091102182</v>
      </c>
      <c r="O89" s="105"/>
      <c r="P89" s="105"/>
      <c r="Q89" s="94"/>
      <c r="R89" s="125"/>
      <c r="S89" s="125"/>
    </row>
    <row r="90" spans="1:19" s="90" customFormat="1" ht="15.75">
      <c r="A90" s="88"/>
      <c r="B90" s="89" t="s">
        <v>18</v>
      </c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24"/>
      <c r="N90" s="124"/>
      <c r="O90" s="105"/>
      <c r="P90" s="105"/>
      <c r="Q90" s="94"/>
      <c r="R90" s="125"/>
      <c r="S90" s="125"/>
    </row>
    <row r="91" spans="1:19" s="90" customFormat="1" ht="15.75">
      <c r="A91" s="88"/>
      <c r="B91" s="89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24"/>
      <c r="N91" s="124"/>
      <c r="O91" s="105"/>
      <c r="P91" s="105"/>
      <c r="Q91" s="94"/>
      <c r="R91" s="125"/>
      <c r="S91" s="125"/>
    </row>
    <row r="92" spans="1:19" s="90" customFormat="1" ht="15.75">
      <c r="A92" s="92" t="s">
        <v>19</v>
      </c>
      <c r="B92" s="93" t="s">
        <v>20</v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24"/>
      <c r="N92" s="124"/>
      <c r="O92" s="105"/>
      <c r="P92" s="105"/>
      <c r="Q92" s="94"/>
      <c r="R92" s="125"/>
      <c r="S92" s="125"/>
    </row>
    <row r="93" spans="1:19" s="90" customFormat="1" ht="15.75">
      <c r="A93" s="88"/>
      <c r="B93" s="98" t="s">
        <v>21</v>
      </c>
      <c r="C93" s="105">
        <v>25.587880495788326</v>
      </c>
      <c r="D93" s="105">
        <v>26.79493750712063</v>
      </c>
      <c r="E93" s="105">
        <v>26.218676326067474</v>
      </c>
      <c r="F93" s="105">
        <v>24.75372181599499</v>
      </c>
      <c r="G93" s="105">
        <v>24.937622992922158</v>
      </c>
      <c r="H93" s="105">
        <v>24.141535234106993</v>
      </c>
      <c r="I93" s="105">
        <v>22.517432186155744</v>
      </c>
      <c r="J93" s="105">
        <v>23.092294092446213</v>
      </c>
      <c r="K93" s="105">
        <v>22.419712996487043</v>
      </c>
      <c r="L93" s="105">
        <v>0</v>
      </c>
      <c r="M93" s="124">
        <v>27.09519533520874</v>
      </c>
      <c r="N93" s="124"/>
      <c r="O93" s="105"/>
      <c r="P93" s="105">
        <f>P59/P25</f>
        <v>24.50242050065827</v>
      </c>
      <c r="Q93" s="94"/>
      <c r="R93" s="125"/>
      <c r="S93" s="125"/>
    </row>
    <row r="94" spans="1:19" s="90" customFormat="1" ht="15.75">
      <c r="A94" s="88"/>
      <c r="B94" s="98" t="s">
        <v>41</v>
      </c>
      <c r="C94" s="105">
        <v>23.79623561381074</v>
      </c>
      <c r="D94" s="105">
        <v>24.914981787467667</v>
      </c>
      <c r="E94" s="105">
        <v>24.081561183906476</v>
      </c>
      <c r="F94" s="105">
        <v>18.095757767468015</v>
      </c>
      <c r="G94" s="105">
        <v>22.808512811998977</v>
      </c>
      <c r="H94" s="105">
        <v>18.536622821381588</v>
      </c>
      <c r="I94" s="105">
        <v>19.65933213753345</v>
      </c>
      <c r="J94" s="105">
        <v>19.449509801312047</v>
      </c>
      <c r="K94" s="105">
        <v>40.46073586834313</v>
      </c>
      <c r="L94" s="105">
        <v>41.641587699649776</v>
      </c>
      <c r="M94" s="124">
        <v>22.611430990557064</v>
      </c>
      <c r="N94" s="124">
        <v>23.797962700303625</v>
      </c>
      <c r="O94" s="105"/>
      <c r="P94" s="105">
        <f>P60/P26</f>
        <v>20.704712783486315</v>
      </c>
      <c r="Q94" s="94"/>
      <c r="R94" s="125"/>
      <c r="S94" s="125"/>
    </row>
    <row r="95" spans="1:19" s="90" customFormat="1" ht="15.75">
      <c r="A95" s="88"/>
      <c r="B95" s="98" t="s">
        <v>42</v>
      </c>
      <c r="C95" s="105">
        <v>22.029014137253068</v>
      </c>
      <c r="D95" s="105">
        <v>23.462628514238922</v>
      </c>
      <c r="E95" s="105">
        <v>22.20947402348865</v>
      </c>
      <c r="F95" s="105">
        <v>22.770378318507493</v>
      </c>
      <c r="G95" s="105">
        <v>29.770187312412126</v>
      </c>
      <c r="H95" s="105">
        <v>23.179728443219034</v>
      </c>
      <c r="I95" s="105">
        <v>22.114961855344127</v>
      </c>
      <c r="J95" s="105">
        <v>22.477495906608365</v>
      </c>
      <c r="K95" s="105">
        <v>41.80094881910455</v>
      </c>
      <c r="L95" s="105">
        <v>45.41924450312956</v>
      </c>
      <c r="M95" s="124">
        <v>22.384494428300172</v>
      </c>
      <c r="N95" s="124">
        <v>18.65089831562983</v>
      </c>
      <c r="O95" s="105"/>
      <c r="P95" s="105">
        <f>P61/P27</f>
        <v>22.44741807926579</v>
      </c>
      <c r="Q95" s="94"/>
      <c r="R95" s="125"/>
      <c r="S95" s="125"/>
    </row>
    <row r="96" spans="1:19" s="90" customFormat="1" ht="15.75">
      <c r="A96" s="88"/>
      <c r="B96" s="97" t="s">
        <v>101</v>
      </c>
      <c r="C96" s="105">
        <v>95.5253367113514</v>
      </c>
      <c r="D96" s="105">
        <v>55.31519159201546</v>
      </c>
      <c r="E96" s="105">
        <v>64.31033044506151</v>
      </c>
      <c r="F96" s="105">
        <v>36.739862687047726</v>
      </c>
      <c r="G96" s="105">
        <v>55.185191857751995</v>
      </c>
      <c r="H96" s="105">
        <v>44.51072304896791</v>
      </c>
      <c r="I96" s="105">
        <v>35.154496004324336</v>
      </c>
      <c r="J96" s="105">
        <v>33.3091495563626</v>
      </c>
      <c r="K96" s="105">
        <v>37.082740463519116</v>
      </c>
      <c r="L96" s="105">
        <v>36.1537240001096</v>
      </c>
      <c r="M96" s="124">
        <v>38.59519864323523</v>
      </c>
      <c r="N96" s="124">
        <v>21.97355271814274</v>
      </c>
      <c r="O96" s="105"/>
      <c r="P96" s="105">
        <f>P62/P28</f>
        <v>47.4193781930226</v>
      </c>
      <c r="Q96" s="94"/>
      <c r="R96" s="125"/>
      <c r="S96" s="125"/>
    </row>
    <row r="97" spans="1:19" s="90" customFormat="1" ht="15.75">
      <c r="A97" s="88"/>
      <c r="B97" s="99" t="s">
        <v>12</v>
      </c>
      <c r="C97" s="105">
        <v>34.516422603467234</v>
      </c>
      <c r="D97" s="105">
        <v>29.398201210036177</v>
      </c>
      <c r="E97" s="105">
        <v>27.98320618470298</v>
      </c>
      <c r="F97" s="105">
        <v>23.63706348910906</v>
      </c>
      <c r="G97" s="105">
        <v>28.663567884240486</v>
      </c>
      <c r="H97" s="105">
        <v>24.873207083997546</v>
      </c>
      <c r="I97" s="105">
        <v>23.25326429029036</v>
      </c>
      <c r="J97" s="105">
        <v>23.235096352109128</v>
      </c>
      <c r="K97" s="105">
        <v>22.649458548014614</v>
      </c>
      <c r="L97" s="105">
        <v>28.93325009923633</v>
      </c>
      <c r="M97" s="124">
        <v>29.22135700295667</v>
      </c>
      <c r="N97" s="124">
        <v>31.925555927622504</v>
      </c>
      <c r="O97" s="105"/>
      <c r="P97" s="105">
        <f>P63/P29</f>
        <v>26.065224175771775</v>
      </c>
      <c r="Q97" s="94"/>
      <c r="R97" s="125"/>
      <c r="S97" s="125"/>
    </row>
    <row r="98" spans="1:19" s="90" customFormat="1" ht="15.75">
      <c r="A98" s="88"/>
      <c r="B98" s="101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24"/>
      <c r="N98" s="124">
        <v>23.874064438858113</v>
      </c>
      <c r="O98" s="105"/>
      <c r="P98" s="105"/>
      <c r="Q98" s="94"/>
      <c r="R98" s="125"/>
      <c r="S98" s="125"/>
    </row>
    <row r="99" spans="1:19" s="90" customFormat="1" ht="15.75">
      <c r="A99" s="92" t="s">
        <v>23</v>
      </c>
      <c r="B99" s="93" t="s">
        <v>24</v>
      </c>
      <c r="C99" s="105">
        <v>32.191789885064146</v>
      </c>
      <c r="D99" s="105">
        <v>31.649533537129194</v>
      </c>
      <c r="E99" s="105">
        <v>29.195916146802883</v>
      </c>
      <c r="F99" s="105">
        <v>34.39588682193084</v>
      </c>
      <c r="G99" s="105">
        <v>32.30169310396291</v>
      </c>
      <c r="H99" s="105">
        <v>34.532657027590524</v>
      </c>
      <c r="I99" s="105">
        <v>33.07462924962052</v>
      </c>
      <c r="J99" s="105">
        <v>33.316862597785054</v>
      </c>
      <c r="K99" s="105">
        <v>28.540586051092916</v>
      </c>
      <c r="L99" s="105">
        <v>25.669933928144435</v>
      </c>
      <c r="M99" s="124"/>
      <c r="N99" s="124"/>
      <c r="O99" s="105"/>
      <c r="P99" s="105">
        <f>P65/P31</f>
        <v>31.559383450063525</v>
      </c>
      <c r="Q99" s="94"/>
      <c r="R99" s="125"/>
      <c r="S99" s="125"/>
    </row>
    <row r="100" spans="1:19" s="111" customFormat="1" ht="15.75">
      <c r="A100" s="107"/>
      <c r="B100" s="114" t="s">
        <v>21</v>
      </c>
      <c r="C100" s="109">
        <f>C66/C32</f>
        <v>35.293158923497664</v>
      </c>
      <c r="D100" s="109">
        <f aca="true" t="shared" si="9" ref="D100:P100">D66/D32</f>
        <v>32.53604565794055</v>
      </c>
      <c r="E100" s="109">
        <f t="shared" si="9"/>
        <v>36.25367038374968</v>
      </c>
      <c r="F100" s="109">
        <f t="shared" si="9"/>
        <v>38.26510121062126</v>
      </c>
      <c r="G100" s="109">
        <f t="shared" si="9"/>
        <v>37.374678948439104</v>
      </c>
      <c r="H100" s="109">
        <f t="shared" si="9"/>
        <v>38.24522753939764</v>
      </c>
      <c r="I100" s="109">
        <f t="shared" si="9"/>
        <v>37.83939174543526</v>
      </c>
      <c r="J100" s="109">
        <f t="shared" si="9"/>
        <v>34.87501499806415</v>
      </c>
      <c r="K100" s="109">
        <f t="shared" si="9"/>
        <v>32.51849847689772</v>
      </c>
      <c r="L100" s="109"/>
      <c r="M100" s="124">
        <v>34.38390476894804</v>
      </c>
      <c r="N100" s="124"/>
      <c r="O100" s="109"/>
      <c r="P100" s="109">
        <f t="shared" si="9"/>
        <v>35.865855670716556</v>
      </c>
      <c r="Q100" s="109"/>
      <c r="R100" s="128"/>
      <c r="S100" s="128"/>
    </row>
    <row r="101" spans="1:19" s="111" customFormat="1" ht="15.75">
      <c r="A101" s="107"/>
      <c r="B101" s="114" t="s">
        <v>41</v>
      </c>
      <c r="C101" s="109">
        <f aca="true" t="shared" si="10" ref="C101:P104">C67/C33</f>
        <v>31.93327534353672</v>
      </c>
      <c r="D101" s="109">
        <f t="shared" si="10"/>
        <v>31.736196994370612</v>
      </c>
      <c r="E101" s="109">
        <f t="shared" si="10"/>
        <v>29.490764066842313</v>
      </c>
      <c r="F101" s="109">
        <f t="shared" si="10"/>
        <v>32.60003430843281</v>
      </c>
      <c r="G101" s="109">
        <f t="shared" si="10"/>
        <v>28.199750653244763</v>
      </c>
      <c r="H101" s="109">
        <f t="shared" si="10"/>
        <v>31.960465350543863</v>
      </c>
      <c r="I101" s="109">
        <f t="shared" si="10"/>
        <v>30.677176748894635</v>
      </c>
      <c r="J101" s="109">
        <f t="shared" si="10"/>
        <v>32.84387896264066</v>
      </c>
      <c r="K101" s="109">
        <f t="shared" si="10"/>
        <v>31.54432814693352</v>
      </c>
      <c r="L101" s="109">
        <f t="shared" si="10"/>
        <v>26.119392780096106</v>
      </c>
      <c r="M101" s="124">
        <v>25.103086949264178</v>
      </c>
      <c r="N101" s="124">
        <v>35.37290877455279</v>
      </c>
      <c r="O101" s="109"/>
      <c r="P101" s="109">
        <f t="shared" si="10"/>
        <v>29.873007368902297</v>
      </c>
      <c r="Q101" s="109"/>
      <c r="R101" s="128"/>
      <c r="S101" s="128"/>
    </row>
    <row r="102" spans="1:19" s="111" customFormat="1" ht="15.75">
      <c r="A102" s="107"/>
      <c r="B102" s="114" t="s">
        <v>42</v>
      </c>
      <c r="C102" s="109">
        <f t="shared" si="10"/>
        <v>25.473807159588553</v>
      </c>
      <c r="D102" s="109">
        <f t="shared" si="10"/>
        <v>28.762664367320543</v>
      </c>
      <c r="E102" s="109">
        <f t="shared" si="10"/>
        <v>22.212627015457528</v>
      </c>
      <c r="F102" s="109">
        <f t="shared" si="10"/>
        <v>29.75351311642456</v>
      </c>
      <c r="G102" s="109">
        <f t="shared" si="10"/>
        <v>26.14271173496608</v>
      </c>
      <c r="H102" s="109">
        <f t="shared" si="10"/>
        <v>30.075018942280312</v>
      </c>
      <c r="I102" s="109">
        <f t="shared" si="10"/>
        <v>28.642188708525598</v>
      </c>
      <c r="J102" s="109">
        <f t="shared" si="10"/>
        <v>29.865871337973253</v>
      </c>
      <c r="K102" s="109">
        <f t="shared" si="10"/>
        <v>19.90882712433372</v>
      </c>
      <c r="L102" s="109">
        <f t="shared" si="10"/>
        <v>24.55468154047797</v>
      </c>
      <c r="M102" s="124">
        <v>24.434581234019863</v>
      </c>
      <c r="N102" s="124">
        <v>27.881790001379997</v>
      </c>
      <c r="O102" s="109"/>
      <c r="P102" s="109">
        <f t="shared" si="10"/>
        <v>25.69314212686991</v>
      </c>
      <c r="Q102" s="109"/>
      <c r="R102" s="128"/>
      <c r="S102" s="128"/>
    </row>
    <row r="103" spans="1:19" s="111" customFormat="1" ht="15.75">
      <c r="A103" s="107"/>
      <c r="B103" s="114" t="s">
        <v>101</v>
      </c>
      <c r="C103" s="109">
        <f t="shared" si="10"/>
        <v>45.27823058332145</v>
      </c>
      <c r="D103" s="109">
        <f t="shared" si="10"/>
        <v>70.26563956640736</v>
      </c>
      <c r="E103" s="109">
        <f t="shared" si="10"/>
        <v>68.43098686820404</v>
      </c>
      <c r="F103" s="109">
        <f t="shared" si="10"/>
        <v>16.55015801525355</v>
      </c>
      <c r="G103" s="109">
        <f t="shared" si="10"/>
        <v>42.84170291854088</v>
      </c>
      <c r="H103" s="109">
        <f t="shared" si="10"/>
        <v>12.731138529045598</v>
      </c>
      <c r="I103" s="109">
        <f t="shared" si="10"/>
        <v>14.596484913720682</v>
      </c>
      <c r="J103" s="109">
        <f t="shared" si="10"/>
        <v>12.693811221956294</v>
      </c>
      <c r="K103" s="109">
        <f t="shared" si="10"/>
        <v>21.973972809024783</v>
      </c>
      <c r="L103" s="109">
        <f t="shared" si="10"/>
        <v>32.281947377207366</v>
      </c>
      <c r="M103" s="124">
        <v>37.759132454778324</v>
      </c>
      <c r="N103" s="124">
        <v>26.071760233802415</v>
      </c>
      <c r="O103" s="109"/>
      <c r="P103" s="109">
        <f t="shared" si="10"/>
        <v>36.31373237207587</v>
      </c>
      <c r="Q103" s="109"/>
      <c r="R103" s="128"/>
      <c r="S103" s="128"/>
    </row>
    <row r="104" spans="1:19" s="111" customFormat="1" ht="15.75">
      <c r="A104" s="107"/>
      <c r="B104" s="114" t="s">
        <v>12</v>
      </c>
      <c r="C104" s="109">
        <f t="shared" si="10"/>
        <v>32.19178988506414</v>
      </c>
      <c r="D104" s="109">
        <f t="shared" si="10"/>
        <v>31.649533537129184</v>
      </c>
      <c r="E104" s="109">
        <f t="shared" si="10"/>
        <v>29.19591614680288</v>
      </c>
      <c r="F104" s="109">
        <f t="shared" si="10"/>
        <v>34.39588682193085</v>
      </c>
      <c r="G104" s="109">
        <f t="shared" si="10"/>
        <v>32.30169310396292</v>
      </c>
      <c r="H104" s="109">
        <f t="shared" si="10"/>
        <v>34.53265702759053</v>
      </c>
      <c r="I104" s="109">
        <f t="shared" si="10"/>
        <v>33.07462924962052</v>
      </c>
      <c r="J104" s="109">
        <f t="shared" si="10"/>
        <v>33.31686259778506</v>
      </c>
      <c r="K104" s="109">
        <f t="shared" si="10"/>
        <v>28.54058605109292</v>
      </c>
      <c r="L104" s="109">
        <f t="shared" si="10"/>
        <v>25.66993392814444</v>
      </c>
      <c r="M104" s="124">
        <v>27.143884164866172</v>
      </c>
      <c r="N104" s="124">
        <v>35.04571728409787</v>
      </c>
      <c r="O104" s="109"/>
      <c r="P104" s="109">
        <f t="shared" si="10"/>
        <v>31.162082133749312</v>
      </c>
      <c r="Q104" s="109"/>
      <c r="R104" s="128"/>
      <c r="S104" s="128"/>
    </row>
    <row r="105" spans="1:19" s="111" customFormat="1" ht="15.75">
      <c r="A105" s="107"/>
      <c r="B105" s="108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24"/>
      <c r="N105" s="124">
        <v>31.405622037785793</v>
      </c>
      <c r="O105" s="109"/>
      <c r="P105" s="109"/>
      <c r="Q105" s="110"/>
      <c r="R105" s="128"/>
      <c r="S105" s="128"/>
    </row>
    <row r="106" spans="1:19" s="90" customFormat="1" ht="15.75">
      <c r="A106" s="88"/>
      <c r="B106" s="101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24"/>
      <c r="N106" s="96"/>
      <c r="O106" s="105"/>
      <c r="P106" s="105"/>
      <c r="Q106" s="94"/>
      <c r="R106" s="125"/>
      <c r="S106" s="125"/>
    </row>
    <row r="107" spans="1:19" s="90" customFormat="1" ht="15.75">
      <c r="A107" s="92" t="s">
        <v>25</v>
      </c>
      <c r="B107" s="93" t="s">
        <v>26</v>
      </c>
      <c r="C107" s="105">
        <v>33.104005685144486</v>
      </c>
      <c r="D107" s="105">
        <v>30.680118393082964</v>
      </c>
      <c r="E107" s="105">
        <v>28.693163495141253</v>
      </c>
      <c r="F107" s="105">
        <v>28.28299551170408</v>
      </c>
      <c r="G107" s="105">
        <v>30.69669380839434</v>
      </c>
      <c r="H107" s="105">
        <v>29.155383225153383</v>
      </c>
      <c r="I107" s="105">
        <v>27.80695441646401</v>
      </c>
      <c r="J107" s="105">
        <v>27.65500792042031</v>
      </c>
      <c r="K107" s="105">
        <v>25.773634247998814</v>
      </c>
      <c r="L107" s="105">
        <v>26.125277289261465</v>
      </c>
      <c r="M107" s="124">
        <v>27.46059446762006</v>
      </c>
      <c r="N107" s="96"/>
      <c r="O107" s="105"/>
      <c r="P107" s="105">
        <f>P73/P39</f>
        <v>28.901178185291656</v>
      </c>
      <c r="Q107" s="94"/>
      <c r="R107" s="125"/>
      <c r="S107" s="125"/>
    </row>
    <row r="108" spans="3:14" ht="15.75">
      <c r="C108" s="86"/>
      <c r="N108" s="96">
        <v>28.597720911021824</v>
      </c>
    </row>
  </sheetData>
  <sheetProtection/>
  <mergeCells count="1">
    <mergeCell ref="R22:S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S108"/>
  <sheetViews>
    <sheetView zoomScalePageLayoutView="0" workbookViewId="0" topLeftCell="A1">
      <selection activeCell="O17" sqref="O17"/>
    </sheetView>
  </sheetViews>
  <sheetFormatPr defaultColWidth="9.140625" defaultRowHeight="15"/>
  <cols>
    <col min="2" max="2" width="3.28125" style="0" bestFit="1" customWidth="1"/>
    <col min="3" max="3" width="38.7109375" style="0" customWidth="1"/>
    <col min="4" max="6" width="10.7109375" style="0" customWidth="1"/>
    <col min="8" max="8" width="3.28125" style="0" bestFit="1" customWidth="1"/>
    <col min="9" max="9" width="38.7109375" style="0" customWidth="1"/>
    <col min="10" max="12" width="10.7109375" style="0" customWidth="1"/>
    <col min="14" max="14" width="3.28125" style="1" bestFit="1" customWidth="1"/>
    <col min="15" max="15" width="51.7109375" style="6" bestFit="1" customWidth="1"/>
    <col min="16" max="17" width="16.28125" style="6" customWidth="1"/>
  </cols>
  <sheetData>
    <row r="1" spans="2:17" ht="16.5">
      <c r="B1" s="1"/>
      <c r="C1" s="2" t="s">
        <v>0</v>
      </c>
      <c r="D1" s="3"/>
      <c r="E1" s="4"/>
      <c r="F1" s="5"/>
      <c r="H1" s="1"/>
      <c r="I1" s="2" t="s">
        <v>0</v>
      </c>
      <c r="J1" s="3"/>
      <c r="K1" s="4"/>
      <c r="L1" s="5"/>
      <c r="O1" s="2" t="s">
        <v>0</v>
      </c>
      <c r="P1" s="3"/>
      <c r="Q1" s="3"/>
    </row>
    <row r="2" spans="2:12" ht="15.75">
      <c r="B2" s="1"/>
      <c r="C2" s="6" t="s">
        <v>124</v>
      </c>
      <c r="D2" s="6"/>
      <c r="E2" s="7"/>
      <c r="F2" s="6"/>
      <c r="H2" s="1"/>
      <c r="I2" s="6" t="s">
        <v>140</v>
      </c>
      <c r="J2" s="6"/>
      <c r="K2" s="7"/>
      <c r="L2" s="6"/>
    </row>
    <row r="3" spans="2:15" ht="15.75">
      <c r="B3" s="1"/>
      <c r="C3" s="8" t="s">
        <v>1</v>
      </c>
      <c r="D3" s="6"/>
      <c r="E3" s="9"/>
      <c r="F3" s="6"/>
      <c r="H3" s="1"/>
      <c r="I3" s="8" t="s">
        <v>1</v>
      </c>
      <c r="J3" s="6"/>
      <c r="K3" s="9"/>
      <c r="L3" s="6"/>
      <c r="O3" s="8" t="s">
        <v>1</v>
      </c>
    </row>
    <row r="4" spans="2:15" ht="15.75">
      <c r="B4" s="1"/>
      <c r="C4" s="8" t="s">
        <v>2</v>
      </c>
      <c r="D4" s="6"/>
      <c r="E4" s="6"/>
      <c r="F4" s="6"/>
      <c r="H4" s="1"/>
      <c r="I4" s="8" t="s">
        <v>2</v>
      </c>
      <c r="J4" s="6"/>
      <c r="K4" s="6"/>
      <c r="L4" s="6"/>
      <c r="O4" s="8" t="s">
        <v>2</v>
      </c>
    </row>
    <row r="5" spans="2:15" ht="15.75">
      <c r="B5" s="1"/>
      <c r="C5" s="3"/>
      <c r="D5" s="6"/>
      <c r="E5" s="8"/>
      <c r="F5" s="6"/>
      <c r="H5" s="1"/>
      <c r="I5" s="3"/>
      <c r="J5" s="6"/>
      <c r="K5" s="8"/>
      <c r="L5" s="6"/>
      <c r="O5" s="3"/>
    </row>
    <row r="6" spans="2:16" ht="15.75">
      <c r="B6" s="1"/>
      <c r="C6" s="8" t="s">
        <v>3</v>
      </c>
      <c r="D6" s="166" t="s">
        <v>125</v>
      </c>
      <c r="E6" s="166"/>
      <c r="F6" s="166"/>
      <c r="H6" s="1"/>
      <c r="I6" s="8" t="s">
        <v>3</v>
      </c>
      <c r="J6" s="166" t="s">
        <v>125</v>
      </c>
      <c r="K6" s="166"/>
      <c r="L6" s="166"/>
      <c r="O6" s="8" t="s">
        <v>3</v>
      </c>
      <c r="P6" s="85"/>
    </row>
    <row r="7" spans="2:19" ht="15.75">
      <c r="B7" s="1"/>
      <c r="C7" s="3"/>
      <c r="D7" s="6"/>
      <c r="E7" s="6"/>
      <c r="F7" s="6"/>
      <c r="H7" s="1"/>
      <c r="I7" s="3"/>
      <c r="J7" s="6"/>
      <c r="K7" s="6"/>
      <c r="L7" s="6"/>
      <c r="O7" s="3"/>
      <c r="S7" s="6"/>
    </row>
    <row r="8" spans="2:17" ht="15">
      <c r="B8" s="1"/>
      <c r="C8" s="12" t="s">
        <v>5</v>
      </c>
      <c r="D8" s="12" t="s">
        <v>6</v>
      </c>
      <c r="E8" s="13" t="s">
        <v>7</v>
      </c>
      <c r="F8" s="43" t="s">
        <v>8</v>
      </c>
      <c r="H8" s="1"/>
      <c r="I8" s="12" t="s">
        <v>5</v>
      </c>
      <c r="J8" s="12" t="s">
        <v>6</v>
      </c>
      <c r="K8" s="13" t="s">
        <v>7</v>
      </c>
      <c r="L8" s="43" t="s">
        <v>8</v>
      </c>
      <c r="N8" s="88"/>
      <c r="O8" s="89" t="s">
        <v>5</v>
      </c>
      <c r="P8" s="89" t="str">
        <f>D8</f>
        <v>MWH</v>
      </c>
      <c r="Q8" s="89" t="s">
        <v>6</v>
      </c>
    </row>
    <row r="9" spans="2:17" ht="15.75">
      <c r="B9" s="1"/>
      <c r="C9" s="12"/>
      <c r="D9" s="14"/>
      <c r="E9" s="15" t="s">
        <v>9</v>
      </c>
      <c r="F9" s="14"/>
      <c r="H9" s="1"/>
      <c r="I9" s="12"/>
      <c r="J9" s="14"/>
      <c r="K9" s="15" t="s">
        <v>9</v>
      </c>
      <c r="L9" s="14"/>
      <c r="N9" s="88"/>
      <c r="O9" s="89"/>
      <c r="P9" s="91"/>
      <c r="Q9" s="91"/>
    </row>
    <row r="10" spans="2:17" ht="15.75">
      <c r="B10" s="16" t="s">
        <v>10</v>
      </c>
      <c r="C10" s="17" t="s">
        <v>11</v>
      </c>
      <c r="D10" s="6"/>
      <c r="E10" s="6"/>
      <c r="F10" s="6"/>
      <c r="H10" s="16" t="s">
        <v>10</v>
      </c>
      <c r="I10" s="17" t="s">
        <v>11</v>
      </c>
      <c r="J10" s="6"/>
      <c r="K10" s="6"/>
      <c r="L10" s="6"/>
      <c r="N10" s="92" t="s">
        <v>10</v>
      </c>
      <c r="O10" s="93" t="s">
        <v>11</v>
      </c>
      <c r="P10" s="94"/>
      <c r="Q10" s="94"/>
    </row>
    <row r="11" spans="2:17" ht="15.75">
      <c r="B11" s="1"/>
      <c r="C11" s="18" t="s">
        <v>98</v>
      </c>
      <c r="D11" s="19">
        <v>74991</v>
      </c>
      <c r="E11" s="19">
        <v>2395470.33</v>
      </c>
      <c r="F11" s="27">
        <v>31.943437612513502</v>
      </c>
      <c r="H11" s="1"/>
      <c r="I11" s="18" t="s">
        <v>98</v>
      </c>
      <c r="J11" s="19">
        <v>452846</v>
      </c>
      <c r="K11" s="19">
        <v>13862145.82</v>
      </c>
      <c r="L11" s="27">
        <v>30.61116984581955</v>
      </c>
      <c r="N11" s="88"/>
      <c r="O11" s="95" t="s">
        <v>43</v>
      </c>
      <c r="P11" s="96">
        <f>D11</f>
        <v>74991</v>
      </c>
      <c r="Q11" s="96">
        <f>J11</f>
        <v>452846</v>
      </c>
    </row>
    <row r="12" spans="2:17" ht="15.75">
      <c r="B12" s="1"/>
      <c r="C12" s="8" t="s">
        <v>126</v>
      </c>
      <c r="D12" s="19">
        <v>133763</v>
      </c>
      <c r="E12" s="19">
        <v>3728187.7863958</v>
      </c>
      <c r="F12" s="27">
        <v>27.871592192129363</v>
      </c>
      <c r="H12" s="1"/>
      <c r="I12" s="8" t="s">
        <v>126</v>
      </c>
      <c r="J12" s="19">
        <v>47874</v>
      </c>
      <c r="K12" s="19">
        <v>1465204.8137554</v>
      </c>
      <c r="L12" s="27">
        <v>30.60543956543009</v>
      </c>
      <c r="N12" s="88"/>
      <c r="O12" s="97" t="s">
        <v>41</v>
      </c>
      <c r="P12" s="96">
        <f>D12+D13</f>
        <v>391854</v>
      </c>
      <c r="Q12" s="96">
        <f>J12+J13</f>
        <v>244164</v>
      </c>
    </row>
    <row r="13" spans="2:17" ht="15.75">
      <c r="B13" s="1"/>
      <c r="C13" s="8" t="s">
        <v>127</v>
      </c>
      <c r="D13" s="19">
        <v>258091</v>
      </c>
      <c r="E13" s="19">
        <v>6028295.255357601</v>
      </c>
      <c r="F13" s="27">
        <v>23.357247077029424</v>
      </c>
      <c r="H13" s="1"/>
      <c r="I13" s="8" t="s">
        <v>127</v>
      </c>
      <c r="J13" s="19">
        <v>196290</v>
      </c>
      <c r="K13" s="19">
        <v>4784631.0115559995</v>
      </c>
      <c r="L13" s="27">
        <v>24.37531719168577</v>
      </c>
      <c r="N13" s="88"/>
      <c r="O13" s="98" t="s">
        <v>42</v>
      </c>
      <c r="P13" s="96">
        <f>D14+D15</f>
        <v>132662.39999999997</v>
      </c>
      <c r="Q13" s="96">
        <f>J14+J15</f>
        <v>188259.30000000002</v>
      </c>
    </row>
    <row r="14" spans="2:17" ht="15.75">
      <c r="B14" s="1"/>
      <c r="C14" s="8" t="s">
        <v>128</v>
      </c>
      <c r="D14" s="19">
        <v>132439.04999999996</v>
      </c>
      <c r="E14" s="19">
        <v>3205994.701500001</v>
      </c>
      <c r="F14" s="27">
        <v>24.207321794440553</v>
      </c>
      <c r="H14" s="1"/>
      <c r="I14" s="8" t="s">
        <v>128</v>
      </c>
      <c r="J14" s="19">
        <v>127770.90000000002</v>
      </c>
      <c r="K14" s="19">
        <v>3108464.566500001</v>
      </c>
      <c r="L14" s="27">
        <v>24.32842350253462</v>
      </c>
      <c r="N14" s="88"/>
      <c r="O14" s="99" t="s">
        <v>12</v>
      </c>
      <c r="P14" s="100">
        <f>SUM(P11:P13)</f>
        <v>599507.3999999999</v>
      </c>
      <c r="Q14" s="100">
        <f>SUM(Q11:Q13)</f>
        <v>885269.3</v>
      </c>
    </row>
    <row r="15" spans="2:17" ht="15.75">
      <c r="B15" s="1"/>
      <c r="C15" s="8" t="s">
        <v>129</v>
      </c>
      <c r="D15" s="21">
        <v>223.35</v>
      </c>
      <c r="E15" s="21">
        <v>10180.2495</v>
      </c>
      <c r="F15" s="22">
        <v>45.57980523841504</v>
      </c>
      <c r="H15" s="1"/>
      <c r="I15" s="8" t="s">
        <v>129</v>
      </c>
      <c r="J15" s="21">
        <v>60488.39999999999</v>
      </c>
      <c r="K15" s="21">
        <v>1513248.3000000003</v>
      </c>
      <c r="L15" s="22">
        <v>25.017165274664244</v>
      </c>
      <c r="N15" s="88"/>
      <c r="O15" s="101"/>
      <c r="P15" s="96"/>
      <c r="Q15" s="96"/>
    </row>
    <row r="16" spans="2:17" ht="15.75">
      <c r="B16" s="1"/>
      <c r="C16" s="23" t="s">
        <v>12</v>
      </c>
      <c r="D16" s="24">
        <v>599507.3999999999</v>
      </c>
      <c r="E16" s="24">
        <v>15368128.322753401</v>
      </c>
      <c r="F16" s="116">
        <v>25.634593205610813</v>
      </c>
      <c r="H16" s="1"/>
      <c r="I16" s="23" t="s">
        <v>12</v>
      </c>
      <c r="J16" s="24">
        <v>885269.3</v>
      </c>
      <c r="K16" s="24">
        <v>24733694.5118114</v>
      </c>
      <c r="L16" s="116">
        <v>27.939175696944872</v>
      </c>
      <c r="N16" s="92" t="s">
        <v>13</v>
      </c>
      <c r="O16" s="93" t="s">
        <v>14</v>
      </c>
      <c r="P16" s="96"/>
      <c r="Q16" s="96"/>
    </row>
    <row r="17" spans="2:17" ht="15.75">
      <c r="B17" s="1"/>
      <c r="C17" s="3"/>
      <c r="D17" s="19"/>
      <c r="E17" s="19"/>
      <c r="F17" s="20"/>
      <c r="H17" s="1"/>
      <c r="I17" s="3"/>
      <c r="J17" s="19"/>
      <c r="K17" s="19"/>
      <c r="L17" s="20"/>
      <c r="N17" s="88"/>
      <c r="O17" s="98" t="s">
        <v>15</v>
      </c>
      <c r="P17" s="102">
        <f>D19</f>
        <v>103257.493</v>
      </c>
      <c r="Q17" s="102">
        <f>J19</f>
        <v>118224.469</v>
      </c>
    </row>
    <row r="18" spans="2:17" ht="15.75">
      <c r="B18" s="16" t="s">
        <v>13</v>
      </c>
      <c r="C18" s="17" t="s">
        <v>14</v>
      </c>
      <c r="D18" s="19"/>
      <c r="E18" s="19"/>
      <c r="F18" s="20"/>
      <c r="H18" s="16" t="s">
        <v>13</v>
      </c>
      <c r="I18" s="17" t="s">
        <v>14</v>
      </c>
      <c r="J18" s="19"/>
      <c r="K18" s="19"/>
      <c r="L18" s="20"/>
      <c r="N18" s="88"/>
      <c r="O18" s="99" t="s">
        <v>12</v>
      </c>
      <c r="P18" s="100">
        <f>P17</f>
        <v>103257.493</v>
      </c>
      <c r="Q18" s="100">
        <f>Q17</f>
        <v>118224.469</v>
      </c>
    </row>
    <row r="19" spans="2:17" ht="15.75">
      <c r="B19" s="1"/>
      <c r="C19" s="8" t="s">
        <v>15</v>
      </c>
      <c r="D19" s="21">
        <v>103257.493</v>
      </c>
      <c r="E19" s="21">
        <v>3930213.41</v>
      </c>
      <c r="F19" s="117">
        <v>38.06225868760924</v>
      </c>
      <c r="H19" s="1"/>
      <c r="I19" s="8" t="s">
        <v>15</v>
      </c>
      <c r="J19" s="21">
        <v>118224.469</v>
      </c>
      <c r="K19" s="21">
        <v>3963940.23</v>
      </c>
      <c r="L19" s="22">
        <v>33.52893240738514</v>
      </c>
      <c r="N19" s="88"/>
      <c r="O19" s="101"/>
      <c r="P19" s="96"/>
      <c r="Q19" s="96"/>
    </row>
    <row r="20" spans="2:17" ht="15">
      <c r="B20" s="1"/>
      <c r="C20" s="23" t="s">
        <v>12</v>
      </c>
      <c r="D20" s="24">
        <v>103257.493</v>
      </c>
      <c r="E20" s="24">
        <v>3930213.41</v>
      </c>
      <c r="F20" s="116">
        <v>38.06225868760924</v>
      </c>
      <c r="H20" s="1"/>
      <c r="I20" s="23" t="s">
        <v>12</v>
      </c>
      <c r="J20" s="24">
        <v>118224.469</v>
      </c>
      <c r="K20" s="24">
        <v>3963940.23</v>
      </c>
      <c r="L20" s="116">
        <v>33.52893240738514</v>
      </c>
      <c r="N20" s="92" t="s">
        <v>16</v>
      </c>
      <c r="O20" s="93" t="s">
        <v>17</v>
      </c>
      <c r="P20" s="100">
        <f>P18+P14</f>
        <v>702764.8929999999</v>
      </c>
      <c r="Q20" s="100">
        <f>Q18+Q14</f>
        <v>1003493.7690000001</v>
      </c>
    </row>
    <row r="21" spans="2:17" ht="15.75">
      <c r="B21" s="1"/>
      <c r="C21" s="3"/>
      <c r="D21" s="19"/>
      <c r="E21" s="19"/>
      <c r="F21" s="20"/>
      <c r="H21" s="1"/>
      <c r="I21" s="3"/>
      <c r="J21" s="19"/>
      <c r="K21" s="19"/>
      <c r="L21" s="20"/>
      <c r="N21" s="88"/>
      <c r="O21" s="101"/>
      <c r="P21" s="96"/>
      <c r="Q21" s="96"/>
    </row>
    <row r="22" spans="2:17" ht="15.75">
      <c r="B22" s="16" t="s">
        <v>16</v>
      </c>
      <c r="C22" s="17" t="s">
        <v>17</v>
      </c>
      <c r="D22" s="24">
        <v>702764.8929999999</v>
      </c>
      <c r="E22" s="24">
        <v>19298341.732753403</v>
      </c>
      <c r="F22" s="116">
        <v>27.460594467620062</v>
      </c>
      <c r="H22" s="16" t="s">
        <v>16</v>
      </c>
      <c r="I22" s="17" t="s">
        <v>17</v>
      </c>
      <c r="J22" s="24">
        <v>1003493.7690000001</v>
      </c>
      <c r="K22" s="24">
        <v>28697634.741811402</v>
      </c>
      <c r="L22" s="116">
        <v>28.59772091102182</v>
      </c>
      <c r="N22" s="88"/>
      <c r="O22" s="89" t="s">
        <v>18</v>
      </c>
      <c r="P22" s="96"/>
      <c r="Q22" s="96"/>
    </row>
    <row r="23" spans="2:17" ht="15.75">
      <c r="B23" s="1"/>
      <c r="C23" s="3"/>
      <c r="D23" s="19"/>
      <c r="E23" s="19"/>
      <c r="F23" s="20"/>
      <c r="H23" s="1"/>
      <c r="I23" s="3"/>
      <c r="J23" s="19"/>
      <c r="K23" s="19"/>
      <c r="L23" s="20"/>
      <c r="N23" s="88"/>
      <c r="O23" s="89"/>
      <c r="P23" s="96"/>
      <c r="Q23" s="96"/>
    </row>
    <row r="24" spans="2:17" ht="15.75">
      <c r="B24" s="1"/>
      <c r="C24" s="12" t="s">
        <v>18</v>
      </c>
      <c r="D24" s="19"/>
      <c r="E24" s="19"/>
      <c r="F24" s="20"/>
      <c r="H24" s="1"/>
      <c r="I24" s="12" t="s">
        <v>18</v>
      </c>
      <c r="J24" s="19"/>
      <c r="K24" s="19"/>
      <c r="L24" s="20"/>
      <c r="N24" s="92" t="s">
        <v>19</v>
      </c>
      <c r="O24" s="93" t="s">
        <v>20</v>
      </c>
      <c r="P24" s="94"/>
      <c r="Q24" s="94"/>
    </row>
    <row r="25" spans="2:17" ht="15.75">
      <c r="B25" s="1"/>
      <c r="C25" s="12"/>
      <c r="D25" s="19"/>
      <c r="E25" s="19"/>
      <c r="F25" s="20"/>
      <c r="H25" s="1"/>
      <c r="I25" s="12"/>
      <c r="J25" s="19"/>
      <c r="K25" s="19"/>
      <c r="L25" s="20"/>
      <c r="N25" s="88"/>
      <c r="O25" s="98" t="s">
        <v>21</v>
      </c>
      <c r="P25" s="103">
        <f>D27</f>
        <v>25109.118999999995</v>
      </c>
      <c r="Q25" s="103">
        <f>J27</f>
        <v>186293.2589999999</v>
      </c>
    </row>
    <row r="26" spans="2:17" ht="15.75">
      <c r="B26" s="16" t="s">
        <v>19</v>
      </c>
      <c r="C26" s="17" t="s">
        <v>20</v>
      </c>
      <c r="D26" s="6"/>
      <c r="E26" s="19"/>
      <c r="F26" s="6"/>
      <c r="H26" s="16" t="s">
        <v>19</v>
      </c>
      <c r="I26" s="17" t="s">
        <v>20</v>
      </c>
      <c r="J26" s="6"/>
      <c r="K26" s="19"/>
      <c r="L26" s="6"/>
      <c r="N26" s="88"/>
      <c r="O26" s="98" t="s">
        <v>41</v>
      </c>
      <c r="P26" s="103">
        <f>D28+D29</f>
        <v>32212.30900000001</v>
      </c>
      <c r="Q26" s="103">
        <f>J28+J29</f>
        <v>60437.666</v>
      </c>
    </row>
    <row r="27" spans="2:17" ht="15.75">
      <c r="B27" s="1"/>
      <c r="C27" s="8" t="s">
        <v>21</v>
      </c>
      <c r="D27" s="26">
        <v>25109.118999999995</v>
      </c>
      <c r="E27" s="26">
        <v>680336.484000001</v>
      </c>
      <c r="F27" s="27">
        <v>27.09519533520874</v>
      </c>
      <c r="H27" s="1"/>
      <c r="I27" s="8" t="s">
        <v>21</v>
      </c>
      <c r="J27" s="26">
        <v>186293.2589999999</v>
      </c>
      <c r="K27" s="26">
        <v>4433400.029</v>
      </c>
      <c r="L27" s="27">
        <v>23.797962700303625</v>
      </c>
      <c r="N27" s="88"/>
      <c r="O27" s="98" t="s">
        <v>42</v>
      </c>
      <c r="P27" s="96">
        <f>D30+D31</f>
        <v>12377.641000000009</v>
      </c>
      <c r="Q27" s="96">
        <f>J30+J31</f>
        <v>69917.99800000002</v>
      </c>
    </row>
    <row r="28" spans="2:17" ht="15.75">
      <c r="B28" s="1"/>
      <c r="C28" s="8" t="s">
        <v>126</v>
      </c>
      <c r="D28" s="26">
        <v>17815.00700000001</v>
      </c>
      <c r="E28" s="26">
        <v>406992.9900000002</v>
      </c>
      <c r="F28" s="27">
        <v>22.845513897356316</v>
      </c>
      <c r="H28" s="1"/>
      <c r="I28" s="8" t="s">
        <v>126</v>
      </c>
      <c r="J28" s="26">
        <v>14087.022000000003</v>
      </c>
      <c r="K28" s="26">
        <v>222499.81199999998</v>
      </c>
      <c r="L28" s="27">
        <v>15.794666324791708</v>
      </c>
      <c r="N28" s="88"/>
      <c r="O28" s="97" t="s">
        <v>101</v>
      </c>
      <c r="P28" s="102">
        <f>D32</f>
        <v>37437.293000000005</v>
      </c>
      <c r="Q28" s="102">
        <f>J32</f>
        <v>57471.735</v>
      </c>
    </row>
    <row r="29" spans="2:17" ht="15.75">
      <c r="B29" s="1"/>
      <c r="C29" s="8" t="s">
        <v>127</v>
      </c>
      <c r="D29" s="19">
        <v>14397.302</v>
      </c>
      <c r="E29" s="19">
        <v>321373.41200000024</v>
      </c>
      <c r="F29" s="27">
        <v>22.32178028911252</v>
      </c>
      <c r="H29" s="1"/>
      <c r="I29" s="8" t="s">
        <v>127</v>
      </c>
      <c r="J29" s="19">
        <v>46350.64399999999</v>
      </c>
      <c r="K29" s="19">
        <v>904716.9509999983</v>
      </c>
      <c r="L29" s="27">
        <v>19.518972616647968</v>
      </c>
      <c r="N29" s="88"/>
      <c r="O29" s="99" t="s">
        <v>12</v>
      </c>
      <c r="P29" s="100">
        <f>SUM(P25:P28)</f>
        <v>107136.36200000001</v>
      </c>
      <c r="Q29" s="100">
        <f>SUM(Q25:Q28)</f>
        <v>374120.65799999994</v>
      </c>
    </row>
    <row r="30" spans="2:17" ht="15.75">
      <c r="B30" s="1"/>
      <c r="C30" s="8" t="s">
        <v>128</v>
      </c>
      <c r="D30" s="19">
        <v>12377.641000000009</v>
      </c>
      <c r="E30" s="19">
        <v>277067.236</v>
      </c>
      <c r="F30" s="27">
        <v>22.384494428300172</v>
      </c>
      <c r="H30" s="1"/>
      <c r="I30" s="8" t="s">
        <v>128</v>
      </c>
      <c r="J30" s="19">
        <v>39446.761</v>
      </c>
      <c r="K30" s="19">
        <v>872317.6399999999</v>
      </c>
      <c r="L30" s="27">
        <v>22.113796364674908</v>
      </c>
      <c r="N30" s="88"/>
      <c r="O30" s="101"/>
      <c r="P30" s="96"/>
      <c r="Q30" s="96"/>
    </row>
    <row r="31" spans="2:17" ht="15.75">
      <c r="B31" s="1"/>
      <c r="C31" s="8" t="s">
        <v>129</v>
      </c>
      <c r="D31" s="19">
        <v>0</v>
      </c>
      <c r="E31" s="19">
        <v>0</v>
      </c>
      <c r="F31" s="118" t="s">
        <v>130</v>
      </c>
      <c r="H31" s="1"/>
      <c r="I31" s="8" t="s">
        <v>129</v>
      </c>
      <c r="J31" s="19">
        <v>30471.23700000002</v>
      </c>
      <c r="K31" s="19">
        <v>664029.1749999993</v>
      </c>
      <c r="L31" s="27">
        <v>21.791999287721694</v>
      </c>
      <c r="N31" s="92" t="s">
        <v>23</v>
      </c>
      <c r="O31" s="93" t="s">
        <v>24</v>
      </c>
      <c r="P31" s="100"/>
      <c r="Q31" s="100"/>
    </row>
    <row r="32" spans="2:17" ht="15.75">
      <c r="B32" s="1"/>
      <c r="C32" s="18" t="s">
        <v>22</v>
      </c>
      <c r="D32" s="21">
        <v>37437.293000000005</v>
      </c>
      <c r="E32" s="21">
        <v>1444899.76</v>
      </c>
      <c r="F32" s="22">
        <v>38.59519864323523</v>
      </c>
      <c r="H32" s="1"/>
      <c r="I32" s="18" t="s">
        <v>22</v>
      </c>
      <c r="J32" s="21">
        <v>57471.735</v>
      </c>
      <c r="K32" s="21">
        <v>1834817.0899999999</v>
      </c>
      <c r="L32" s="22">
        <v>31.925555927622504</v>
      </c>
      <c r="N32" s="107"/>
      <c r="O32" s="114" t="s">
        <v>21</v>
      </c>
      <c r="P32" s="113">
        <f>D36</f>
        <v>49881.88100000001</v>
      </c>
      <c r="Q32" s="113">
        <f>J36</f>
        <v>266552.7410000001</v>
      </c>
    </row>
    <row r="33" spans="2:17" ht="15">
      <c r="B33" s="1"/>
      <c r="C33" s="23" t="s">
        <v>12</v>
      </c>
      <c r="D33" s="24">
        <v>107136.36200000001</v>
      </c>
      <c r="E33" s="24">
        <v>3130669.8820000016</v>
      </c>
      <c r="F33" s="116">
        <v>29.221357002956676</v>
      </c>
      <c r="H33" s="1"/>
      <c r="I33" s="23" t="s">
        <v>12</v>
      </c>
      <c r="J33" s="24">
        <v>374120.6579999999</v>
      </c>
      <c r="K33" s="24">
        <v>8931780.696999997</v>
      </c>
      <c r="L33" s="116">
        <v>23.874064438858117</v>
      </c>
      <c r="N33" s="107"/>
      <c r="O33" s="114" t="s">
        <v>41</v>
      </c>
      <c r="P33" s="113">
        <f>D37+D38</f>
        <v>359641.691</v>
      </c>
      <c r="Q33" s="113">
        <f>J37+J38</f>
        <v>183726.334</v>
      </c>
    </row>
    <row r="34" spans="2:17" ht="15.75">
      <c r="B34" s="1"/>
      <c r="C34" s="3"/>
      <c r="D34" s="19"/>
      <c r="E34" s="19"/>
      <c r="F34" s="20"/>
      <c r="H34" s="1"/>
      <c r="I34" s="3"/>
      <c r="J34" s="19"/>
      <c r="K34" s="19"/>
      <c r="L34" s="20"/>
      <c r="N34" s="107"/>
      <c r="O34" s="114" t="s">
        <v>42</v>
      </c>
      <c r="P34" s="113">
        <f>D39+D40</f>
        <v>120284.75899999996</v>
      </c>
      <c r="Q34" s="113">
        <f>J39+J40</f>
        <v>118341.302</v>
      </c>
    </row>
    <row r="35" spans="2:17" ht="15">
      <c r="B35" s="16" t="s">
        <v>23</v>
      </c>
      <c r="C35" s="17" t="s">
        <v>24</v>
      </c>
      <c r="H35" s="16" t="s">
        <v>23</v>
      </c>
      <c r="I35" s="17" t="s">
        <v>24</v>
      </c>
      <c r="N35" s="107"/>
      <c r="O35" s="114" t="s">
        <v>101</v>
      </c>
      <c r="P35" s="115">
        <f>D41</f>
        <v>65820.2</v>
      </c>
      <c r="Q35" s="115">
        <f>J41</f>
        <v>60752.734</v>
      </c>
    </row>
    <row r="36" spans="2:17" ht="15.75">
      <c r="B36" s="16"/>
      <c r="C36" s="8" t="s">
        <v>21</v>
      </c>
      <c r="D36" s="26">
        <v>49881.88100000001</v>
      </c>
      <c r="E36" s="26">
        <v>1715133.845999999</v>
      </c>
      <c r="F36" s="27">
        <v>34.38390476894804</v>
      </c>
      <c r="H36" s="16"/>
      <c r="I36" s="8" t="s">
        <v>21</v>
      </c>
      <c r="J36" s="26">
        <v>266552.7410000001</v>
      </c>
      <c r="K36" s="26">
        <v>9428745.791000001</v>
      </c>
      <c r="L36" s="27">
        <v>35.37290877455279</v>
      </c>
      <c r="N36" s="107"/>
      <c r="O36" s="114" t="s">
        <v>12</v>
      </c>
      <c r="P36" s="113">
        <f>SUM(P32:P35)</f>
        <v>595628.531</v>
      </c>
      <c r="Q36" s="113">
        <f>SUM(Q32:Q35)</f>
        <v>629373.111</v>
      </c>
    </row>
    <row r="37" spans="2:17" ht="15.75">
      <c r="B37" s="16"/>
      <c r="C37" s="8" t="s">
        <v>126</v>
      </c>
      <c r="D37" s="26">
        <v>115947.99299999999</v>
      </c>
      <c r="E37" s="26">
        <v>3321194.7963957996</v>
      </c>
      <c r="F37" s="27">
        <v>28.64383169095303</v>
      </c>
      <c r="H37" s="16"/>
      <c r="I37" s="8" t="s">
        <v>126</v>
      </c>
      <c r="J37" s="26">
        <v>33786.977999999996</v>
      </c>
      <c r="K37" s="26">
        <v>1242705.0017554</v>
      </c>
      <c r="L37" s="27">
        <v>36.780590491265606</v>
      </c>
      <c r="N37" s="107"/>
      <c r="O37" s="108"/>
      <c r="P37" s="113"/>
      <c r="Q37" s="113"/>
    </row>
    <row r="38" spans="2:17" ht="15.75">
      <c r="B38" s="16"/>
      <c r="C38" s="8" t="s">
        <v>127</v>
      </c>
      <c r="D38" s="26">
        <v>243693.698</v>
      </c>
      <c r="E38" s="26">
        <v>5706921.8433576</v>
      </c>
      <c r="F38" s="27">
        <v>23.418421937844286</v>
      </c>
      <c r="H38" s="16"/>
      <c r="I38" s="8" t="s">
        <v>127</v>
      </c>
      <c r="J38" s="26">
        <v>149939.356</v>
      </c>
      <c r="K38" s="26">
        <v>3879914.060556001</v>
      </c>
      <c r="L38" s="27">
        <v>25.87655545590046</v>
      </c>
      <c r="N38" s="88"/>
      <c r="O38" s="101"/>
      <c r="P38" s="96"/>
      <c r="Q38" s="96"/>
    </row>
    <row r="39" spans="2:17" ht="15.75">
      <c r="B39" s="16"/>
      <c r="C39" s="8" t="s">
        <v>128</v>
      </c>
      <c r="D39" s="26">
        <v>120061.40899999996</v>
      </c>
      <c r="E39" s="26">
        <v>2928927.465500001</v>
      </c>
      <c r="F39" s="27">
        <v>24.39524481592584</v>
      </c>
      <c r="H39" s="16"/>
      <c r="I39" s="8" t="s">
        <v>128</v>
      </c>
      <c r="J39" s="26">
        <v>88324.13900000002</v>
      </c>
      <c r="K39" s="26">
        <v>2236146.926500001</v>
      </c>
      <c r="L39" s="27">
        <v>25.317506084038932</v>
      </c>
      <c r="N39" s="92" t="s">
        <v>25</v>
      </c>
      <c r="O39" s="93" t="s">
        <v>26</v>
      </c>
      <c r="P39" s="100">
        <f>P36+P29</f>
        <v>702764.8929999999</v>
      </c>
      <c r="Q39" s="100">
        <f>Q36+Q29</f>
        <v>1003493.769</v>
      </c>
    </row>
    <row r="40" spans="2:17" ht="15.75">
      <c r="B40" s="16"/>
      <c r="C40" s="8" t="s">
        <v>129</v>
      </c>
      <c r="D40" s="26">
        <v>223.35</v>
      </c>
      <c r="E40" s="26">
        <v>10180.2495</v>
      </c>
      <c r="F40" s="27">
        <v>45.57980523841504</v>
      </c>
      <c r="H40" s="16"/>
      <c r="I40" s="8" t="s">
        <v>129</v>
      </c>
      <c r="J40" s="26">
        <v>30017.162999999968</v>
      </c>
      <c r="K40" s="26">
        <v>849219.1250000009</v>
      </c>
      <c r="L40" s="27">
        <v>28.291118817591183</v>
      </c>
      <c r="N40" s="92"/>
      <c r="O40" s="98"/>
      <c r="P40" s="96"/>
      <c r="Q40" s="96"/>
    </row>
    <row r="41" spans="2:17" ht="15.75">
      <c r="B41" s="16"/>
      <c r="C41" s="18" t="s">
        <v>22</v>
      </c>
      <c r="D41" s="21">
        <v>65820.2</v>
      </c>
      <c r="E41" s="21">
        <v>2485313.6500000004</v>
      </c>
      <c r="F41" s="22">
        <v>37.759132454778324</v>
      </c>
      <c r="H41" s="16"/>
      <c r="I41" s="18" t="s">
        <v>22</v>
      </c>
      <c r="J41" s="21">
        <v>60752.734</v>
      </c>
      <c r="K41" s="21">
        <v>2129123.14</v>
      </c>
      <c r="L41" s="22">
        <v>35.04571728409787</v>
      </c>
      <c r="N41" s="16"/>
      <c r="O41" s="8"/>
      <c r="P41" s="19"/>
      <c r="Q41" s="19"/>
    </row>
    <row r="42" spans="2:17" ht="16.5" thickBot="1">
      <c r="B42" s="1"/>
      <c r="C42" s="23" t="s">
        <v>12</v>
      </c>
      <c r="D42" s="24">
        <v>595628.531</v>
      </c>
      <c r="E42" s="119">
        <v>16167671.8507534</v>
      </c>
      <c r="F42" s="116">
        <v>27.143884164866176</v>
      </c>
      <c r="H42" s="1"/>
      <c r="I42" s="23" t="s">
        <v>12</v>
      </c>
      <c r="J42" s="24">
        <v>629373.111</v>
      </c>
      <c r="K42" s="119">
        <v>19765854.0448114</v>
      </c>
      <c r="L42" s="116">
        <v>31.405622037785786</v>
      </c>
      <c r="N42" s="88"/>
      <c r="O42" s="94"/>
      <c r="P42" s="89" t="str">
        <f>E8</f>
        <v>AMOUNT</v>
      </c>
      <c r="Q42" s="89" t="s">
        <v>7</v>
      </c>
    </row>
    <row r="43" spans="2:17" ht="16.5" thickTop="1">
      <c r="B43" s="1"/>
      <c r="C43" s="23"/>
      <c r="D43" s="19"/>
      <c r="E43" s="19"/>
      <c r="F43" s="20"/>
      <c r="H43" s="1"/>
      <c r="I43" s="23"/>
      <c r="J43" s="19"/>
      <c r="K43" s="19"/>
      <c r="L43" s="20"/>
      <c r="N43" s="88"/>
      <c r="O43" s="94"/>
      <c r="P43" s="91"/>
      <c r="Q43" s="91"/>
    </row>
    <row r="44" spans="2:17" ht="15.75">
      <c r="B44" s="16" t="s">
        <v>25</v>
      </c>
      <c r="C44" s="17" t="s">
        <v>26</v>
      </c>
      <c r="D44" s="24">
        <v>702764.8929999999</v>
      </c>
      <c r="E44" s="24">
        <v>19298341.732753403</v>
      </c>
      <c r="F44" s="116">
        <v>27.460594467620062</v>
      </c>
      <c r="H44" s="16" t="s">
        <v>25</v>
      </c>
      <c r="I44" s="17" t="s">
        <v>26</v>
      </c>
      <c r="J44" s="24">
        <v>1003493.7689999999</v>
      </c>
      <c r="K44" s="24">
        <v>28697634.7418114</v>
      </c>
      <c r="L44" s="116">
        <v>28.597720911021824</v>
      </c>
      <c r="N44" s="92" t="s">
        <v>10</v>
      </c>
      <c r="O44" s="93" t="s">
        <v>11</v>
      </c>
      <c r="P44" s="94"/>
      <c r="Q44" s="94"/>
    </row>
    <row r="45" spans="2:17" ht="15.75">
      <c r="B45" s="16"/>
      <c r="C45" s="17"/>
      <c r="D45" s="24"/>
      <c r="E45" s="24"/>
      <c r="F45" s="116"/>
      <c r="H45" s="16"/>
      <c r="I45" s="17"/>
      <c r="J45" s="24"/>
      <c r="K45" s="24"/>
      <c r="L45" s="116"/>
      <c r="N45" s="88"/>
      <c r="O45" s="95" t="s">
        <v>43</v>
      </c>
      <c r="P45" s="96">
        <f>E11</f>
        <v>2395470.33</v>
      </c>
      <c r="Q45" s="96">
        <f>K11</f>
        <v>13862145.82</v>
      </c>
    </row>
    <row r="46" spans="2:17" ht="15.75">
      <c r="B46" s="16"/>
      <c r="C46" s="17" t="s">
        <v>131</v>
      </c>
      <c r="D46" s="24"/>
      <c r="E46" s="24">
        <v>848874.074</v>
      </c>
      <c r="F46" s="116"/>
      <c r="H46" s="16"/>
      <c r="I46" s="17" t="s">
        <v>131</v>
      </c>
      <c r="J46" s="24"/>
      <c r="K46" s="24">
        <v>834698.615</v>
      </c>
      <c r="L46" s="116"/>
      <c r="N46" s="88"/>
      <c r="O46" s="97" t="s">
        <v>41</v>
      </c>
      <c r="P46" s="96">
        <f>E12+E13</f>
        <v>9756483.0417534</v>
      </c>
      <c r="Q46" s="96">
        <f>K12+K13</f>
        <v>6249835.8253114</v>
      </c>
    </row>
    <row r="47" spans="2:17" ht="15.75">
      <c r="B47" s="16"/>
      <c r="C47" s="17"/>
      <c r="D47" s="24"/>
      <c r="E47" s="24"/>
      <c r="F47" s="116"/>
      <c r="H47" s="16"/>
      <c r="I47" s="17"/>
      <c r="J47" s="24"/>
      <c r="K47" s="24"/>
      <c r="L47" s="116"/>
      <c r="N47" s="88"/>
      <c r="O47" s="98" t="s">
        <v>42</v>
      </c>
      <c r="P47" s="96">
        <f>E14+E15</f>
        <v>3216174.951000001</v>
      </c>
      <c r="Q47" s="96">
        <f>K14+K15</f>
        <v>4621712.866500001</v>
      </c>
    </row>
    <row r="48" spans="14:17" ht="15">
      <c r="N48" s="88"/>
      <c r="O48" s="99" t="s">
        <v>12</v>
      </c>
      <c r="P48" s="100">
        <f>SUM(P45:P47)</f>
        <v>15368128.322753401</v>
      </c>
      <c r="Q48" s="100">
        <f>SUM(Q45:Q47)</f>
        <v>24733694.5118114</v>
      </c>
    </row>
    <row r="49" spans="2:17" ht="15.75">
      <c r="B49" s="120" t="s">
        <v>132</v>
      </c>
      <c r="C49" s="6"/>
      <c r="H49" s="120" t="s">
        <v>132</v>
      </c>
      <c r="I49" s="6"/>
      <c r="N49" s="88"/>
      <c r="O49" s="101"/>
      <c r="P49" s="96"/>
      <c r="Q49" s="96"/>
    </row>
    <row r="50" spans="2:17" ht="15.75">
      <c r="B50" s="121" t="s">
        <v>27</v>
      </c>
      <c r="C50" s="18" t="s">
        <v>133</v>
      </c>
      <c r="H50" s="121" t="s">
        <v>27</v>
      </c>
      <c r="I50" s="18" t="s">
        <v>133</v>
      </c>
      <c r="N50" s="92" t="s">
        <v>13</v>
      </c>
      <c r="O50" s="93" t="s">
        <v>14</v>
      </c>
      <c r="P50" s="96"/>
      <c r="Q50" s="96"/>
    </row>
    <row r="51" spans="2:17" ht="15.75">
      <c r="B51" s="121" t="s">
        <v>29</v>
      </c>
      <c r="C51" s="18" t="s">
        <v>134</v>
      </c>
      <c r="H51" s="121" t="s">
        <v>29</v>
      </c>
      <c r="I51" s="18" t="s">
        <v>134</v>
      </c>
      <c r="N51" s="88"/>
      <c r="O51" s="98" t="s">
        <v>15</v>
      </c>
      <c r="P51" s="102">
        <f>E19</f>
        <v>3930213.41</v>
      </c>
      <c r="Q51" s="102">
        <f>K19</f>
        <v>3963940.23</v>
      </c>
    </row>
    <row r="52" spans="2:17" ht="15.75">
      <c r="B52" s="121" t="s">
        <v>31</v>
      </c>
      <c r="C52" s="18" t="s">
        <v>135</v>
      </c>
      <c r="H52" s="121" t="s">
        <v>31</v>
      </c>
      <c r="I52" s="18" t="s">
        <v>135</v>
      </c>
      <c r="N52" s="88"/>
      <c r="O52" s="99" t="s">
        <v>12</v>
      </c>
      <c r="P52" s="100">
        <f>P51</f>
        <v>3930213.41</v>
      </c>
      <c r="Q52" s="100">
        <f>Q51</f>
        <v>3963940.23</v>
      </c>
    </row>
    <row r="53" spans="2:17" ht="15.75">
      <c r="B53" s="121" t="s">
        <v>33</v>
      </c>
      <c r="C53" s="18" t="s">
        <v>136</v>
      </c>
      <c r="H53" s="121" t="s">
        <v>33</v>
      </c>
      <c r="I53" s="18" t="s">
        <v>136</v>
      </c>
      <c r="N53" s="88"/>
      <c r="O53" s="101"/>
      <c r="P53" s="96"/>
      <c r="Q53" s="96"/>
    </row>
    <row r="54" spans="2:17" ht="15.75">
      <c r="B54" s="121" t="s">
        <v>35</v>
      </c>
      <c r="C54" s="18" t="s">
        <v>137</v>
      </c>
      <c r="H54" s="121" t="s">
        <v>35</v>
      </c>
      <c r="I54" s="18" t="s">
        <v>137</v>
      </c>
      <c r="N54" s="92" t="s">
        <v>16</v>
      </c>
      <c r="O54" s="93" t="s">
        <v>17</v>
      </c>
      <c r="P54" s="100">
        <f>P52+P48</f>
        <v>19298341.732753403</v>
      </c>
      <c r="Q54" s="100">
        <f>Q52+Q48</f>
        <v>28697634.741811402</v>
      </c>
    </row>
    <row r="55" spans="2:17" ht="15.75">
      <c r="B55" s="121" t="s">
        <v>37</v>
      </c>
      <c r="C55" s="18" t="s">
        <v>138</v>
      </c>
      <c r="H55" s="121" t="s">
        <v>37</v>
      </c>
      <c r="I55" s="18" t="s">
        <v>138</v>
      </c>
      <c r="N55" s="88"/>
      <c r="O55" s="101"/>
      <c r="P55" s="96"/>
      <c r="Q55" s="96"/>
    </row>
    <row r="56" spans="2:17" ht="15.75">
      <c r="B56" s="121" t="s">
        <v>39</v>
      </c>
      <c r="C56" s="18" t="s">
        <v>139</v>
      </c>
      <c r="H56" s="121" t="s">
        <v>39</v>
      </c>
      <c r="I56" s="18" t="s">
        <v>139</v>
      </c>
      <c r="N56" s="88"/>
      <c r="O56" s="89" t="s">
        <v>18</v>
      </c>
      <c r="P56" s="96"/>
      <c r="Q56" s="96"/>
    </row>
    <row r="57" spans="14:17" ht="15.75">
      <c r="N57" s="88"/>
      <c r="O57" s="89"/>
      <c r="P57" s="96"/>
      <c r="Q57" s="96"/>
    </row>
    <row r="58" spans="14:17" ht="15.75">
      <c r="N58" s="92" t="s">
        <v>19</v>
      </c>
      <c r="O58" s="93" t="s">
        <v>20</v>
      </c>
      <c r="P58" s="94"/>
      <c r="Q58" s="94"/>
    </row>
    <row r="59" spans="14:17" ht="15.75">
      <c r="N59" s="88"/>
      <c r="O59" s="98" t="s">
        <v>21</v>
      </c>
      <c r="P59" s="103">
        <f>E27</f>
        <v>680336.484000001</v>
      </c>
      <c r="Q59" s="103">
        <f>K27</f>
        <v>4433400.029</v>
      </c>
    </row>
    <row r="60" spans="14:17" ht="15.75">
      <c r="N60" s="88"/>
      <c r="O60" s="98" t="s">
        <v>41</v>
      </c>
      <c r="P60" s="103">
        <f>E28+E29</f>
        <v>728366.4020000005</v>
      </c>
      <c r="Q60" s="103">
        <f>K28+K29</f>
        <v>1127216.7629999982</v>
      </c>
    </row>
    <row r="61" spans="14:17" ht="15.75">
      <c r="N61" s="88"/>
      <c r="O61" s="98" t="s">
        <v>42</v>
      </c>
      <c r="P61" s="96">
        <f>E30+E31</f>
        <v>277067.236</v>
      </c>
      <c r="Q61" s="96">
        <f>K30+K31</f>
        <v>1536346.8149999992</v>
      </c>
    </row>
    <row r="62" spans="14:17" ht="15.75">
      <c r="N62" s="88"/>
      <c r="O62" s="97" t="s">
        <v>101</v>
      </c>
      <c r="P62" s="102">
        <f>E32</f>
        <v>1444899.76</v>
      </c>
      <c r="Q62" s="102">
        <f>K32</f>
        <v>1834817.0899999999</v>
      </c>
    </row>
    <row r="63" spans="14:17" ht="15">
      <c r="N63" s="88"/>
      <c r="O63" s="99" t="s">
        <v>12</v>
      </c>
      <c r="P63" s="100">
        <f>SUM(P59:P62)</f>
        <v>3130669.882000001</v>
      </c>
      <c r="Q63" s="100">
        <f>SUM(Q59:Q62)</f>
        <v>8931780.696999997</v>
      </c>
    </row>
    <row r="64" spans="14:17" ht="15.75">
      <c r="N64" s="88"/>
      <c r="O64" s="101"/>
      <c r="P64" s="96"/>
      <c r="Q64" s="96"/>
    </row>
    <row r="65" spans="14:17" ht="15">
      <c r="N65" s="92" t="s">
        <v>23</v>
      </c>
      <c r="O65" s="93" t="s">
        <v>24</v>
      </c>
      <c r="P65" s="100"/>
      <c r="Q65" s="100"/>
    </row>
    <row r="66" spans="14:17" ht="15">
      <c r="N66" s="107"/>
      <c r="O66" s="114" t="s">
        <v>21</v>
      </c>
      <c r="P66" s="113">
        <f>E36</f>
        <v>1715133.845999999</v>
      </c>
      <c r="Q66" s="113">
        <f>K36</f>
        <v>9428745.791000001</v>
      </c>
    </row>
    <row r="67" spans="14:17" ht="15">
      <c r="N67" s="107"/>
      <c r="O67" s="114" t="s">
        <v>41</v>
      </c>
      <c r="P67" s="113">
        <f>E37+E38</f>
        <v>9028116.6397534</v>
      </c>
      <c r="Q67" s="113">
        <f>K37+K38</f>
        <v>5122619.062311402</v>
      </c>
    </row>
    <row r="68" spans="14:17" ht="15">
      <c r="N68" s="107"/>
      <c r="O68" s="114" t="s">
        <v>42</v>
      </c>
      <c r="P68" s="113">
        <f>E39+E40</f>
        <v>2939107.715000001</v>
      </c>
      <c r="Q68" s="113">
        <f>K39+K40</f>
        <v>3085366.051500002</v>
      </c>
    </row>
    <row r="69" spans="14:17" ht="15">
      <c r="N69" s="107"/>
      <c r="O69" s="114" t="s">
        <v>101</v>
      </c>
      <c r="P69" s="115">
        <f>E41</f>
        <v>2485313.6500000004</v>
      </c>
      <c r="Q69" s="115">
        <f>K41</f>
        <v>2129123.14</v>
      </c>
    </row>
    <row r="70" spans="14:17" ht="15">
      <c r="N70" s="107"/>
      <c r="O70" s="114" t="s">
        <v>12</v>
      </c>
      <c r="P70" s="113">
        <f>SUM(P66:P69)</f>
        <v>16167671.850753399</v>
      </c>
      <c r="Q70" s="113">
        <f>SUM(Q66:Q69)</f>
        <v>19765854.044811405</v>
      </c>
    </row>
    <row r="71" spans="14:17" ht="15">
      <c r="N71" s="107"/>
      <c r="O71" s="108"/>
      <c r="P71" s="113"/>
      <c r="Q71" s="113"/>
    </row>
    <row r="72" spans="14:17" ht="15.75">
      <c r="N72" s="88"/>
      <c r="O72" s="101"/>
      <c r="P72" s="96"/>
      <c r="Q72" s="96"/>
    </row>
    <row r="73" spans="14:17" ht="15">
      <c r="N73" s="92" t="s">
        <v>25</v>
      </c>
      <c r="O73" s="93" t="s">
        <v>26</v>
      </c>
      <c r="P73" s="100">
        <f>P70+P63</f>
        <v>19298341.7327534</v>
      </c>
      <c r="Q73" s="100">
        <f>Q70+Q63</f>
        <v>28697634.741811402</v>
      </c>
    </row>
    <row r="74" spans="16:17" ht="15.75">
      <c r="P74" s="87"/>
      <c r="Q74"/>
    </row>
    <row r="75" spans="16:17" ht="15.75">
      <c r="P75" s="87"/>
      <c r="Q75" s="87"/>
    </row>
    <row r="76" spans="16:17" ht="15.75">
      <c r="P76" s="86"/>
      <c r="Q76" s="86"/>
    </row>
    <row r="77" spans="14:17" ht="15.75">
      <c r="N77" s="88"/>
      <c r="O77" s="94"/>
      <c r="P77" s="122" t="str">
        <f>F8</f>
        <v>$ / MWH</v>
      </c>
      <c r="Q77" s="89" t="s">
        <v>8</v>
      </c>
    </row>
    <row r="78" spans="14:17" ht="15.75">
      <c r="N78" s="92" t="s">
        <v>10</v>
      </c>
      <c r="O78" s="93"/>
      <c r="P78" s="123"/>
      <c r="Q78" s="91"/>
    </row>
    <row r="79" spans="14:17" ht="15.75">
      <c r="N79" s="88"/>
      <c r="O79" s="95" t="s">
        <v>43</v>
      </c>
      <c r="P79" s="124">
        <f>P45/P11</f>
        <v>31.943437612513502</v>
      </c>
      <c r="Q79" s="94"/>
    </row>
    <row r="80" spans="14:17" ht="15.75">
      <c r="N80" s="88"/>
      <c r="O80" s="97" t="s">
        <v>41</v>
      </c>
      <c r="P80" s="124">
        <f>P46/P12</f>
        <v>24.898260683196803</v>
      </c>
      <c r="Q80" s="124">
        <f>Q45/Q11</f>
        <v>30.61116984581955</v>
      </c>
    </row>
    <row r="81" spans="14:17" ht="15.75">
      <c r="N81" s="88"/>
      <c r="O81" s="98" t="s">
        <v>42</v>
      </c>
      <c r="P81" s="124">
        <f>P47/P13</f>
        <v>24.24330444044433</v>
      </c>
      <c r="Q81" s="124">
        <f>Q46/Q12</f>
        <v>25.596876793103814</v>
      </c>
    </row>
    <row r="82" spans="14:17" ht="15.75">
      <c r="N82" s="88"/>
      <c r="O82" s="99" t="s">
        <v>12</v>
      </c>
      <c r="P82" s="124">
        <f>P48/P14</f>
        <v>25.634593205610813</v>
      </c>
      <c r="Q82" s="124">
        <f>Q47/Q13</f>
        <v>24.549718746962306</v>
      </c>
    </row>
    <row r="83" spans="14:17" ht="15.75">
      <c r="N83" s="88"/>
      <c r="O83" s="101"/>
      <c r="P83" s="124"/>
      <c r="Q83" s="124">
        <f>Q48/Q14</f>
        <v>27.939175696944872</v>
      </c>
    </row>
    <row r="84" spans="14:17" ht="15.75">
      <c r="N84" s="92" t="s">
        <v>13</v>
      </c>
      <c r="O84" s="93" t="s">
        <v>14</v>
      </c>
      <c r="P84" s="124"/>
      <c r="Q84" s="124"/>
    </row>
    <row r="85" spans="14:17" ht="15.75">
      <c r="N85" s="88"/>
      <c r="O85" s="98" t="s">
        <v>15</v>
      </c>
      <c r="P85" s="124">
        <f>P51/P17</f>
        <v>38.06225868760924</v>
      </c>
      <c r="Q85" s="124"/>
    </row>
    <row r="86" spans="14:17" ht="15.75">
      <c r="N86" s="88"/>
      <c r="O86" s="99" t="s">
        <v>12</v>
      </c>
      <c r="P86" s="124">
        <f>P52/P18</f>
        <v>38.06225868760924</v>
      </c>
      <c r="Q86" s="124">
        <f>Q51/Q17</f>
        <v>33.52893240738514</v>
      </c>
    </row>
    <row r="87" spans="14:17" ht="15.75">
      <c r="N87" s="88"/>
      <c r="O87" s="101"/>
      <c r="P87" s="124"/>
      <c r="Q87" s="124">
        <f>Q52/Q18</f>
        <v>33.52893240738514</v>
      </c>
    </row>
    <row r="88" spans="14:17" ht="15.75">
      <c r="N88" s="92" t="s">
        <v>16</v>
      </c>
      <c r="O88" s="93" t="s">
        <v>17</v>
      </c>
      <c r="P88" s="124">
        <f>P54/P20</f>
        <v>27.460594467620062</v>
      </c>
      <c r="Q88" s="124"/>
    </row>
    <row r="89" spans="14:17" ht="15.75">
      <c r="N89" s="88"/>
      <c r="O89" s="101"/>
      <c r="P89" s="124"/>
      <c r="Q89" s="124">
        <f>Q54/Q20</f>
        <v>28.59772091102182</v>
      </c>
    </row>
    <row r="90" spans="14:17" ht="15.75">
      <c r="N90" s="88"/>
      <c r="O90" s="89" t="s">
        <v>18</v>
      </c>
      <c r="P90" s="124"/>
      <c r="Q90" s="124"/>
    </row>
    <row r="91" spans="14:17" ht="15.75">
      <c r="N91" s="88"/>
      <c r="O91" s="89"/>
      <c r="P91" s="124"/>
      <c r="Q91" s="124"/>
    </row>
    <row r="92" spans="14:17" ht="15.75">
      <c r="N92" s="92" t="s">
        <v>19</v>
      </c>
      <c r="O92" s="93" t="s">
        <v>20</v>
      </c>
      <c r="P92" s="124"/>
      <c r="Q92" s="124"/>
    </row>
    <row r="93" spans="14:17" ht="15.75">
      <c r="N93" s="88"/>
      <c r="O93" s="98" t="s">
        <v>21</v>
      </c>
      <c r="P93" s="124">
        <f>P59/P25</f>
        <v>27.09519533520874</v>
      </c>
      <c r="Q93" s="124"/>
    </row>
    <row r="94" spans="14:17" ht="15.75">
      <c r="N94" s="88"/>
      <c r="O94" s="98" t="s">
        <v>41</v>
      </c>
      <c r="P94" s="124">
        <f>P60/P26</f>
        <v>22.611430990557064</v>
      </c>
      <c r="Q94" s="124">
        <f>Q59/Q25</f>
        <v>23.797962700303625</v>
      </c>
    </row>
    <row r="95" spans="14:17" ht="15.75">
      <c r="N95" s="88"/>
      <c r="O95" s="98" t="s">
        <v>42</v>
      </c>
      <c r="P95" s="124">
        <f>P61/P27</f>
        <v>22.384494428300172</v>
      </c>
      <c r="Q95" s="124">
        <f>Q60/Q26</f>
        <v>18.65089831562983</v>
      </c>
    </row>
    <row r="96" spans="14:17" ht="15.75">
      <c r="N96" s="88"/>
      <c r="O96" s="97" t="s">
        <v>101</v>
      </c>
      <c r="P96" s="124">
        <f>P62/P28</f>
        <v>38.59519864323523</v>
      </c>
      <c r="Q96" s="124">
        <f>Q61/Q27</f>
        <v>21.97355271814274</v>
      </c>
    </row>
    <row r="97" spans="14:17" ht="15.75">
      <c r="N97" s="88"/>
      <c r="O97" s="99" t="s">
        <v>12</v>
      </c>
      <c r="P97" s="124">
        <f>P63/P29</f>
        <v>29.22135700295667</v>
      </c>
      <c r="Q97" s="124">
        <f>Q62/Q28</f>
        <v>31.925555927622504</v>
      </c>
    </row>
    <row r="98" spans="14:17" ht="15.75">
      <c r="N98" s="88"/>
      <c r="O98" s="101"/>
      <c r="P98" s="124"/>
      <c r="Q98" s="124">
        <f>Q63/Q29</f>
        <v>23.874064438858113</v>
      </c>
    </row>
    <row r="99" spans="14:17" ht="15.75">
      <c r="N99" s="92" t="s">
        <v>23</v>
      </c>
      <c r="O99" s="93" t="s">
        <v>24</v>
      </c>
      <c r="P99" s="124"/>
      <c r="Q99" s="124"/>
    </row>
    <row r="100" spans="14:17" ht="15.75">
      <c r="N100" s="107"/>
      <c r="O100" s="114" t="s">
        <v>21</v>
      </c>
      <c r="P100" s="124">
        <f>P66/P32</f>
        <v>34.38390476894804</v>
      </c>
      <c r="Q100" s="124"/>
    </row>
    <row r="101" spans="14:17" ht="15.75">
      <c r="N101" s="107"/>
      <c r="O101" s="114" t="s">
        <v>41</v>
      </c>
      <c r="P101" s="124">
        <f>P67/P33</f>
        <v>25.103086949264178</v>
      </c>
      <c r="Q101" s="124">
        <f>Q66/Q32</f>
        <v>35.37290877455279</v>
      </c>
    </row>
    <row r="102" spans="14:17" ht="15.75">
      <c r="N102" s="107"/>
      <c r="O102" s="114" t="s">
        <v>42</v>
      </c>
      <c r="P102" s="124">
        <f>P68/P34</f>
        <v>24.434581234019863</v>
      </c>
      <c r="Q102" s="124">
        <f>Q67/Q33</f>
        <v>27.881790001379997</v>
      </c>
    </row>
    <row r="103" spans="14:17" ht="15.75">
      <c r="N103" s="107"/>
      <c r="O103" s="114" t="s">
        <v>101</v>
      </c>
      <c r="P103" s="124">
        <f>P69/P35</f>
        <v>37.759132454778324</v>
      </c>
      <c r="Q103" s="124">
        <f>Q68/Q34</f>
        <v>26.071760233802415</v>
      </c>
    </row>
    <row r="104" spans="14:17" ht="15.75">
      <c r="N104" s="107"/>
      <c r="O104" s="114" t="s">
        <v>12</v>
      </c>
      <c r="P104" s="124">
        <f>P70/P36</f>
        <v>27.143884164866172</v>
      </c>
      <c r="Q104" s="124">
        <f>Q69/Q35</f>
        <v>35.04571728409787</v>
      </c>
    </row>
    <row r="105" spans="14:17" ht="15.75">
      <c r="N105" s="107"/>
      <c r="O105" s="108"/>
      <c r="P105" s="124"/>
      <c r="Q105" s="124">
        <f>Q70/Q36</f>
        <v>31.405622037785793</v>
      </c>
    </row>
    <row r="106" spans="14:17" ht="15.75">
      <c r="N106" s="88"/>
      <c r="O106" s="101"/>
      <c r="P106" s="124"/>
      <c r="Q106" s="96"/>
    </row>
    <row r="107" spans="14:17" ht="15.75">
      <c r="N107" s="92" t="s">
        <v>25</v>
      </c>
      <c r="O107" s="93" t="s">
        <v>26</v>
      </c>
      <c r="P107" s="124">
        <f>P73/P39</f>
        <v>27.46059446762006</v>
      </c>
      <c r="Q107" s="96"/>
    </row>
    <row r="108" ht="15.75">
      <c r="Q108" s="96">
        <f>Q73/Q39</f>
        <v>28.597720911021824</v>
      </c>
    </row>
  </sheetData>
  <sheetProtection/>
  <mergeCells count="2">
    <mergeCell ref="D6:F6"/>
    <mergeCell ref="J6:L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2.8515625" style="1" bestFit="1" customWidth="1"/>
    <col min="2" max="2" width="51.710937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>
        <f ca="1">NOW()</f>
        <v>42101.74606493056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E6</f>
        <v>November 2012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3.5">
      <c r="B6" s="8" t="s">
        <v>3</v>
      </c>
      <c r="C6" s="46"/>
      <c r="E6" s="51" t="str">
        <f>+'[15]INPUT SHEET'!B1</f>
        <v>November 2012 ACTUAL</v>
      </c>
      <c r="F6" s="11" t="s">
        <v>4</v>
      </c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52</v>
      </c>
      <c r="C11" s="55" t="s">
        <v>53</v>
      </c>
      <c r="D11" s="24">
        <v>21774</v>
      </c>
      <c r="E11" s="19">
        <v>-511961.61999999994</v>
      </c>
      <c r="F11" s="20">
        <f>IF((E11=0),0,(IF((D11=0),0,(E11/D11))))</f>
        <v>-23.512520437218697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20" ht="13.5">
      <c r="B12" s="8" t="s">
        <v>42</v>
      </c>
      <c r="C12" s="55" t="s">
        <v>54</v>
      </c>
      <c r="D12" s="19">
        <v>230953</v>
      </c>
      <c r="E12" s="56">
        <v>4768738.568509182</v>
      </c>
      <c r="F12" s="20">
        <v>41.315596002259454</v>
      </c>
      <c r="G12" s="57" t="s">
        <v>10</v>
      </c>
      <c r="H12" s="47" t="s">
        <v>11</v>
      </c>
      <c r="I12" s="47"/>
      <c r="J12" s="47"/>
      <c r="K12" s="47"/>
      <c r="L12" s="47"/>
      <c r="M12" s="47"/>
      <c r="N12" s="47"/>
      <c r="O12" s="47"/>
      <c r="R12" s="35"/>
      <c r="S12" s="35"/>
      <c r="T12" s="35"/>
    </row>
    <row r="13" spans="2:15" ht="13.5">
      <c r="B13" s="23" t="s">
        <v>12</v>
      </c>
      <c r="C13" s="46"/>
      <c r="D13" s="19">
        <f>SUM(D11:D12)</f>
        <v>252727</v>
      </c>
      <c r="E13" s="19">
        <f>SUM(E11:E12)</f>
        <v>4256776.948509182</v>
      </c>
      <c r="F13" s="20">
        <f>IF((E13=0),0,(IF((D13=0),0,(E13/D13))))</f>
        <v>16.84338020278475</v>
      </c>
      <c r="G13" s="47"/>
      <c r="H13" s="47"/>
      <c r="I13" s="47" t="s">
        <v>55</v>
      </c>
      <c r="J13" s="47"/>
      <c r="K13" s="47"/>
      <c r="L13" s="47"/>
      <c r="M13" s="47"/>
      <c r="N13" s="47"/>
      <c r="O13" s="19">
        <v>21774</v>
      </c>
    </row>
    <row r="14" spans="2:15" ht="13.5">
      <c r="B14" s="3"/>
      <c r="C14" s="46"/>
      <c r="D14" s="19"/>
      <c r="E14" s="19"/>
      <c r="F14" s="20"/>
      <c r="G14" s="47"/>
      <c r="H14" s="47"/>
      <c r="I14" s="47"/>
      <c r="J14" s="47"/>
      <c r="K14" s="47"/>
      <c r="L14" s="47"/>
      <c r="M14" s="47"/>
      <c r="N14" s="47"/>
      <c r="O14" s="58"/>
    </row>
    <row r="15" spans="2:15" ht="13.5">
      <c r="B15" s="17" t="s">
        <v>14</v>
      </c>
      <c r="C15" s="46"/>
      <c r="D15" s="19"/>
      <c r="E15" s="19"/>
      <c r="F15" s="20"/>
      <c r="G15" s="57" t="s">
        <v>13</v>
      </c>
      <c r="H15" s="47" t="s">
        <v>56</v>
      </c>
      <c r="I15" s="47"/>
      <c r="J15" s="47"/>
      <c r="K15" s="47"/>
      <c r="L15" s="47"/>
      <c r="M15" s="47"/>
      <c r="N15" s="47"/>
      <c r="O15" s="58"/>
    </row>
    <row r="16" spans="1:15" ht="13.5">
      <c r="A16" s="16" t="s">
        <v>13</v>
      </c>
      <c r="B16" s="8" t="s">
        <v>59</v>
      </c>
      <c r="C16" s="55" t="s">
        <v>60</v>
      </c>
      <c r="D16" s="19">
        <v>358488.954</v>
      </c>
      <c r="E16" s="19">
        <v>7375439.425</v>
      </c>
      <c r="F16" s="20">
        <f>IF((E16=0),0,(IF((D16=0),0,(E16/D16))))</f>
        <v>20.573686699981277</v>
      </c>
      <c r="G16" s="47"/>
      <c r="H16" s="47" t="s">
        <v>57</v>
      </c>
      <c r="I16" s="47" t="s">
        <v>58</v>
      </c>
      <c r="J16" s="47"/>
      <c r="K16" s="47"/>
      <c r="L16" s="47"/>
      <c r="M16" s="47"/>
      <c r="N16" s="47"/>
      <c r="O16" s="58" t="s">
        <v>4</v>
      </c>
    </row>
    <row r="17" spans="1:15" ht="13.5">
      <c r="A17" s="6"/>
      <c r="B17" s="8" t="s">
        <v>62</v>
      </c>
      <c r="C17" s="55" t="s">
        <v>63</v>
      </c>
      <c r="D17" s="19">
        <v>21575.684</v>
      </c>
      <c r="E17" s="19">
        <v>855939.8999999999</v>
      </c>
      <c r="F17" s="20">
        <f>IF((E17=0),0,(IF((D17=0),0,(E17/D17))))</f>
        <v>39.671507053959445</v>
      </c>
      <c r="G17" s="47"/>
      <c r="H17" s="47"/>
      <c r="I17" s="57" t="s">
        <v>10</v>
      </c>
      <c r="J17" s="47" t="s">
        <v>61</v>
      </c>
      <c r="K17" s="47"/>
      <c r="L17" s="47"/>
      <c r="M17" s="47"/>
      <c r="N17" s="47"/>
      <c r="O17" s="19">
        <v>230953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f>IF((E18=0),0,(IF((D18=0),0,(E18/D18))))</f>
        <v>0</v>
      </c>
      <c r="G18" s="47"/>
      <c r="H18" s="47"/>
      <c r="I18" s="57" t="s">
        <v>13</v>
      </c>
      <c r="J18" s="47" t="s">
        <v>64</v>
      </c>
      <c r="K18" s="47"/>
      <c r="L18" s="47"/>
      <c r="M18" s="47"/>
      <c r="N18" s="47"/>
      <c r="O18" s="19">
        <v>21575.684</v>
      </c>
    </row>
    <row r="19" spans="2:15" ht="13.5">
      <c r="B19" s="23" t="s">
        <v>12</v>
      </c>
      <c r="C19" s="46"/>
      <c r="D19" s="19">
        <f>SUM(D16:D18)</f>
        <v>380064.63800000004</v>
      </c>
      <c r="E19" s="24">
        <f>SUM(E16:E18)</f>
        <v>8231379.324999999</v>
      </c>
      <c r="F19" s="20">
        <f>IF((E19=0),0,(IF((D19=0),0,(E19/D19))))</f>
        <v>21.65784054079769</v>
      </c>
      <c r="G19" s="47"/>
      <c r="H19" s="47" t="s">
        <v>67</v>
      </c>
      <c r="I19" s="47" t="s">
        <v>68</v>
      </c>
      <c r="J19" s="47"/>
      <c r="K19" s="47"/>
      <c r="L19" s="47"/>
      <c r="M19" s="47"/>
      <c r="N19" s="47"/>
      <c r="O19" s="58">
        <v>0</v>
      </c>
    </row>
    <row r="20" spans="2:15" ht="13.5">
      <c r="B20" s="3"/>
      <c r="C20" s="46"/>
      <c r="D20" s="19"/>
      <c r="E20" s="19"/>
      <c r="F20" s="20"/>
      <c r="G20" s="47"/>
      <c r="H20" s="47" t="s">
        <v>69</v>
      </c>
      <c r="I20" s="47" t="s">
        <v>70</v>
      </c>
      <c r="J20" s="47"/>
      <c r="K20" s="47"/>
      <c r="L20" s="47"/>
      <c r="M20" s="47"/>
      <c r="N20" s="47"/>
      <c r="O20" s="19">
        <v>476830.231</v>
      </c>
    </row>
    <row r="21" spans="2:15" ht="13.5">
      <c r="B21" s="17" t="s">
        <v>17</v>
      </c>
      <c r="C21" s="46"/>
      <c r="D21" s="19">
        <f>D13+D19</f>
        <v>632791.638</v>
      </c>
      <c r="E21" s="19">
        <f>E13+E19</f>
        <v>12488156.273509182</v>
      </c>
      <c r="F21" s="20">
        <f>IF((E21=0),0,(IF((D21=0),0,(E21/D21))))</f>
        <v>19.735021014151236</v>
      </c>
      <c r="G21" s="47"/>
      <c r="H21" s="47" t="s">
        <v>71</v>
      </c>
      <c r="I21" s="47" t="s">
        <v>72</v>
      </c>
      <c r="J21" s="47"/>
      <c r="K21" s="47"/>
      <c r="L21" s="47"/>
      <c r="M21" s="47"/>
      <c r="N21" s="47"/>
      <c r="O21" s="19">
        <v>0</v>
      </c>
    </row>
    <row r="22" spans="1:15" ht="13.5">
      <c r="A22" s="16" t="s">
        <v>16</v>
      </c>
      <c r="B22" s="3"/>
      <c r="C22" s="46"/>
      <c r="D22" s="19"/>
      <c r="E22" s="19"/>
      <c r="F22" s="20"/>
      <c r="G22" s="47"/>
      <c r="H22" s="47"/>
      <c r="I22" s="47"/>
      <c r="J22" s="49" t="s">
        <v>73</v>
      </c>
      <c r="K22" s="47"/>
      <c r="L22" s="47"/>
      <c r="M22" s="47"/>
      <c r="N22" s="47"/>
      <c r="O22" s="58">
        <f>SUM(O17:O21)</f>
        <v>729358.915</v>
      </c>
    </row>
    <row r="23" spans="2:15" ht="13.5">
      <c r="B23" s="12" t="s">
        <v>18</v>
      </c>
      <c r="C23" s="52"/>
      <c r="D23" s="19"/>
      <c r="E23" s="24">
        <f>E12+E19</f>
        <v>13000117.893509181</v>
      </c>
      <c r="F23" s="20"/>
      <c r="G23" s="47"/>
      <c r="H23" s="47"/>
      <c r="I23" s="47"/>
      <c r="J23" s="47"/>
      <c r="K23" s="47"/>
      <c r="L23" s="47"/>
      <c r="M23" s="47"/>
      <c r="N23" s="47"/>
      <c r="O23" s="58"/>
    </row>
    <row r="24" spans="2:15" ht="13.5">
      <c r="B24" s="12"/>
      <c r="C24" s="52"/>
      <c r="D24" s="19"/>
      <c r="E24" s="19"/>
      <c r="F24" s="20"/>
      <c r="G24" s="57" t="s">
        <v>16</v>
      </c>
      <c r="H24" s="47" t="s">
        <v>74</v>
      </c>
      <c r="I24" s="47"/>
      <c r="J24" s="47"/>
      <c r="K24" s="47"/>
      <c r="L24" s="47"/>
      <c r="M24" s="47"/>
      <c r="N24" s="47"/>
      <c r="O24" s="58">
        <f>+O13+O22</f>
        <v>751132.915</v>
      </c>
    </row>
    <row r="25" spans="2:15" ht="13.5"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1:15" ht="13.5">
      <c r="A26" s="16" t="s">
        <v>19</v>
      </c>
      <c r="B26" s="8" t="s">
        <v>59</v>
      </c>
      <c r="C26" s="55" t="s">
        <v>60</v>
      </c>
      <c r="D26" s="19">
        <v>0</v>
      </c>
      <c r="E26" s="19">
        <v>0</v>
      </c>
      <c r="F26" s="20">
        <f aca="true" t="shared" si="0" ref="F26:F31">IF((E26=0),0,(IF((D26=0),0,(E26/D26))))</f>
        <v>0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42</v>
      </c>
      <c r="C27" s="55" t="s">
        <v>76</v>
      </c>
      <c r="D27" s="19">
        <v>12105.203000000005</v>
      </c>
      <c r="E27" s="19">
        <v>230878.995</v>
      </c>
      <c r="F27" s="20">
        <v>38.05169391190574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9" ht="13.5">
      <c r="B28" s="8" t="s">
        <v>62</v>
      </c>
      <c r="C28" s="55" t="s">
        <v>63</v>
      </c>
      <c r="D28" s="19">
        <v>20453.790999999997</v>
      </c>
      <c r="E28" s="19">
        <v>825850.8600000001</v>
      </c>
      <c r="F28" s="20">
        <f t="shared" si="0"/>
        <v>40.3764201951609</v>
      </c>
      <c r="G28" s="47"/>
      <c r="H28" s="47"/>
      <c r="I28" s="47"/>
      <c r="J28" s="47"/>
      <c r="K28" s="47"/>
      <c r="L28" s="47"/>
      <c r="M28" s="47"/>
      <c r="N28" s="47"/>
      <c r="O28" s="58"/>
      <c r="Q28" s="35"/>
      <c r="R28" s="35"/>
      <c r="S28" s="35"/>
    </row>
    <row r="29" spans="2:15" ht="13.5">
      <c r="B29" s="8" t="s">
        <v>78</v>
      </c>
      <c r="C29" s="55" t="s">
        <v>76</v>
      </c>
      <c r="D29" s="19">
        <v>0</v>
      </c>
      <c r="E29" s="19">
        <v>0</v>
      </c>
      <c r="F29" s="20">
        <f t="shared" si="0"/>
        <v>0</v>
      </c>
      <c r="G29" s="57" t="s">
        <v>19</v>
      </c>
      <c r="H29" s="47" t="s">
        <v>77</v>
      </c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1.232</v>
      </c>
      <c r="E30" s="19">
        <v>251.898</v>
      </c>
      <c r="F30" s="20">
        <f t="shared" si="0"/>
        <v>204.46266233766235</v>
      </c>
      <c r="G30" s="47"/>
      <c r="H30" s="47" t="s">
        <v>57</v>
      </c>
      <c r="I30" s="47" t="s">
        <v>68</v>
      </c>
      <c r="J30" s="47"/>
      <c r="K30" s="47"/>
      <c r="L30" s="47"/>
      <c r="M30" s="47"/>
      <c r="N30" s="47"/>
      <c r="O30" s="58">
        <v>0</v>
      </c>
    </row>
    <row r="31" spans="2:15" ht="13.5">
      <c r="B31" s="23" t="s">
        <v>12</v>
      </c>
      <c r="C31" s="46"/>
      <c r="D31" s="19">
        <f>SUM(D26:D30)</f>
        <v>32560.226000000002</v>
      </c>
      <c r="E31" s="19">
        <f>SUM(E26:E30)</f>
        <v>1056981.753</v>
      </c>
      <c r="F31" s="20">
        <f t="shared" si="0"/>
        <v>32.46235922932476</v>
      </c>
      <c r="G31" s="47"/>
      <c r="H31" s="47" t="s">
        <v>67</v>
      </c>
      <c r="I31" s="47" t="s">
        <v>70</v>
      </c>
      <c r="J31" s="47"/>
      <c r="K31" s="47"/>
      <c r="L31" s="47"/>
      <c r="M31" s="47"/>
      <c r="N31" s="47"/>
      <c r="O31" s="19">
        <v>11369.993999999999</v>
      </c>
    </row>
    <row r="32" spans="2:15" ht="13.5">
      <c r="B32" s="3"/>
      <c r="C32" s="46"/>
      <c r="D32" s="19"/>
      <c r="E32" s="19"/>
      <c r="F32" s="20"/>
      <c r="G32" s="47"/>
      <c r="H32" s="47" t="s">
        <v>69</v>
      </c>
      <c r="I32" s="47" t="s">
        <v>79</v>
      </c>
      <c r="J32" s="47"/>
      <c r="K32" s="47"/>
      <c r="L32" s="47"/>
      <c r="M32" s="47"/>
      <c r="N32" s="47"/>
      <c r="O32" s="59">
        <v>139526.997</v>
      </c>
    </row>
    <row r="33" spans="2:15" ht="13.5">
      <c r="B33" s="17" t="s">
        <v>24</v>
      </c>
      <c r="C33" s="46"/>
      <c r="D33" s="19">
        <f>D21-D31</f>
        <v>600231.412</v>
      </c>
      <c r="E33" s="19">
        <f>E21-E31</f>
        <v>11431174.520509182</v>
      </c>
      <c r="F33" s="20">
        <f>IF((E33=0),0,(IF((D33=0),0,(E33/D33))))</f>
        <v>19.04461228115329</v>
      </c>
      <c r="G33" s="47"/>
      <c r="H33" s="47" t="s">
        <v>71</v>
      </c>
      <c r="I33" s="47" t="s">
        <v>72</v>
      </c>
      <c r="J33" s="47"/>
      <c r="K33" s="47"/>
      <c r="L33" s="47"/>
      <c r="M33" s="47"/>
      <c r="N33" s="47"/>
      <c r="O33" s="19">
        <v>1.232</v>
      </c>
    </row>
    <row r="34" spans="2:15" ht="13.5">
      <c r="B34" s="3"/>
      <c r="C34" s="46"/>
      <c r="D34" s="19"/>
      <c r="E34" s="19"/>
      <c r="F34" s="20"/>
      <c r="G34" s="47"/>
      <c r="H34" s="47"/>
      <c r="I34" s="47"/>
      <c r="J34" s="49" t="s">
        <v>80</v>
      </c>
      <c r="K34" s="47"/>
      <c r="L34" s="47"/>
      <c r="M34" s="47"/>
      <c r="N34" s="47"/>
      <c r="O34" s="58">
        <f>SUM(O30:O33)</f>
        <v>150898.223</v>
      </c>
    </row>
    <row r="35" spans="1:15" ht="13.5">
      <c r="A35" s="16" t="s">
        <v>23</v>
      </c>
      <c r="B35" s="17" t="s">
        <v>26</v>
      </c>
      <c r="C35" s="46"/>
      <c r="D35" s="19">
        <f>+D31+D33</f>
        <v>632791.638</v>
      </c>
      <c r="E35" s="19">
        <f>+E31+E33</f>
        <v>12488156.273509182</v>
      </c>
      <c r="F35" s="20">
        <f>IF((E35=0),0,(IF((D35=0),0,(E35/D35))))</f>
        <v>19.735021014151236</v>
      </c>
      <c r="G35" s="47"/>
      <c r="H35" s="47"/>
      <c r="I35" s="47"/>
      <c r="J35" s="47"/>
      <c r="K35" s="47"/>
      <c r="L35" s="47"/>
      <c r="M35" s="47"/>
      <c r="N35" s="47"/>
      <c r="O35" s="58"/>
    </row>
    <row r="36" spans="2:15" ht="13.5">
      <c r="B36" s="8"/>
      <c r="C36" s="46"/>
      <c r="D36" s="19"/>
      <c r="E36" s="19"/>
      <c r="F36" s="20"/>
      <c r="G36" s="57" t="s">
        <v>23</v>
      </c>
      <c r="H36" s="47" t="s">
        <v>81</v>
      </c>
      <c r="I36" s="47"/>
      <c r="J36" s="47"/>
      <c r="K36" s="47"/>
      <c r="L36" s="47"/>
      <c r="M36" s="47"/>
      <c r="N36" s="47"/>
      <c r="O36" s="58">
        <f>+O24-O34</f>
        <v>600234.692</v>
      </c>
    </row>
    <row r="37" spans="1:15" ht="13.5">
      <c r="A37" s="16" t="s">
        <v>25</v>
      </c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5">
      <c r="A38" s="16"/>
      <c r="D38" s="19"/>
      <c r="E38" s="19"/>
      <c r="F38" s="20"/>
      <c r="G38" s="57" t="s">
        <v>82</v>
      </c>
      <c r="H38" s="47" t="s">
        <v>83</v>
      </c>
      <c r="I38" s="47"/>
      <c r="J38" s="47"/>
      <c r="K38" s="47"/>
      <c r="L38" s="47"/>
      <c r="M38" s="47"/>
      <c r="N38" s="47" t="s">
        <v>4</v>
      </c>
      <c r="O38" s="58">
        <f>O34+O36</f>
        <v>751132.915</v>
      </c>
    </row>
    <row r="39" spans="1:15" ht="13.5">
      <c r="A39" s="16"/>
      <c r="B39" s="8" t="s">
        <v>28</v>
      </c>
      <c r="C39" s="46"/>
      <c r="D39" s="63">
        <f>D21-D31</f>
        <v>600231.412</v>
      </c>
      <c r="E39" s="63">
        <f>E21-E31</f>
        <v>11431174.520509182</v>
      </c>
      <c r="F39" s="64">
        <f aca="true" t="shared" si="1" ref="F39:F45">IF((E39=0),0,(IF((D39=0),0,(E39/D39))))</f>
        <v>19.04461228115329</v>
      </c>
      <c r="G39" s="47"/>
      <c r="H39" s="47"/>
      <c r="I39" s="47"/>
      <c r="J39" s="47"/>
      <c r="K39" s="47"/>
      <c r="L39" s="47"/>
      <c r="M39" s="47"/>
      <c r="N39" s="60" t="s">
        <v>4</v>
      </c>
      <c r="O39" s="61" t="s">
        <v>4</v>
      </c>
    </row>
    <row r="40" spans="2:15" ht="13.5">
      <c r="B40" s="8" t="s">
        <v>86</v>
      </c>
      <c r="C40" s="46"/>
      <c r="D40" s="19">
        <f>D41-D39</f>
        <v>3.2800000000279397</v>
      </c>
      <c r="E40" s="19">
        <v>0</v>
      </c>
      <c r="F40" s="20">
        <f t="shared" si="1"/>
        <v>0</v>
      </c>
      <c r="G40" s="47" t="s">
        <v>84</v>
      </c>
      <c r="H40" s="62" t="s">
        <v>85</v>
      </c>
      <c r="I40" s="47"/>
      <c r="J40" s="47"/>
      <c r="K40" s="47"/>
      <c r="L40" s="47"/>
      <c r="M40" s="47"/>
      <c r="N40" s="61" t="s">
        <v>4</v>
      </c>
      <c r="O40" s="58" t="s">
        <v>4</v>
      </c>
    </row>
    <row r="41" spans="1:6" ht="13.5">
      <c r="A41" s="16" t="s">
        <v>27</v>
      </c>
      <c r="B41" s="8" t="s">
        <v>32</v>
      </c>
      <c r="C41" s="46"/>
      <c r="D41" s="19">
        <f>D45-D44</f>
        <v>600234.692</v>
      </c>
      <c r="E41" s="19">
        <f>(SUM(E39))+E40</f>
        <v>11431174.520509182</v>
      </c>
      <c r="F41" s="20">
        <f t="shared" si="1"/>
        <v>19.044508211313417</v>
      </c>
    </row>
    <row r="42" spans="1:6" ht="13.5">
      <c r="A42" s="16" t="s">
        <v>29</v>
      </c>
      <c r="B42" s="72" t="s">
        <v>34</v>
      </c>
      <c r="C42" s="73"/>
      <c r="D42" s="74">
        <v>-442</v>
      </c>
      <c r="E42" s="74">
        <v>-11003</v>
      </c>
      <c r="F42" s="20">
        <f t="shared" si="1"/>
        <v>24.89366515837104</v>
      </c>
    </row>
    <row r="43" spans="1:6" ht="13.5">
      <c r="A43" s="16" t="s">
        <v>31</v>
      </c>
      <c r="B43" s="72" t="s">
        <v>36</v>
      </c>
      <c r="C43" s="73"/>
      <c r="D43" s="74">
        <v>442</v>
      </c>
      <c r="E43" s="74">
        <v>11003</v>
      </c>
      <c r="F43" s="20">
        <f t="shared" si="1"/>
        <v>24.89366515837104</v>
      </c>
    </row>
    <row r="44" spans="1:6" ht="13.5">
      <c r="A44" s="71" t="s">
        <v>33</v>
      </c>
      <c r="B44" s="8" t="s">
        <v>38</v>
      </c>
      <c r="C44" s="46"/>
      <c r="D44" s="19">
        <v>0</v>
      </c>
      <c r="E44" s="19">
        <v>0</v>
      </c>
      <c r="F44" s="20">
        <f t="shared" si="1"/>
        <v>0</v>
      </c>
    </row>
    <row r="45" spans="1:6" ht="13.5">
      <c r="A45" s="71" t="s">
        <v>35</v>
      </c>
      <c r="B45" s="8" t="s">
        <v>40</v>
      </c>
      <c r="C45" s="55" t="s">
        <v>87</v>
      </c>
      <c r="D45" s="19">
        <v>600234.692</v>
      </c>
      <c r="E45" s="26">
        <f>SUM(E41:E44)</f>
        <v>11431174.520509182</v>
      </c>
      <c r="F45" s="65">
        <f t="shared" si="1"/>
        <v>19.044508211313417</v>
      </c>
    </row>
    <row r="46" spans="1:6" ht="13.5">
      <c r="A46" s="16" t="s">
        <v>37</v>
      </c>
      <c r="B46" s="37" t="s">
        <v>4</v>
      </c>
      <c r="C46" s="37"/>
      <c r="D46" s="37"/>
      <c r="E46" s="37"/>
      <c r="F46" s="37"/>
    </row>
    <row r="47" spans="1:11" ht="15">
      <c r="A47" s="16" t="s">
        <v>39</v>
      </c>
      <c r="B47" s="38" t="s">
        <v>4</v>
      </c>
      <c r="C47"/>
      <c r="D47"/>
      <c r="E47"/>
      <c r="F47"/>
      <c r="G47" s="37"/>
      <c r="H47" s="37"/>
      <c r="I47" s="37"/>
      <c r="J47" s="37"/>
      <c r="K47" s="37"/>
    </row>
    <row r="48" spans="1:11" ht="15">
      <c r="A48" s="36" t="s">
        <v>4</v>
      </c>
      <c r="B48" s="3"/>
      <c r="C48" s="46"/>
      <c r="D48" s="19"/>
      <c r="E48" s="19"/>
      <c r="F48" s="39"/>
      <c r="G48" s="66" t="s">
        <v>4</v>
      </c>
      <c r="H48" s="67"/>
      <c r="I48" s="67" t="s">
        <v>4</v>
      </c>
      <c r="J48" s="67"/>
      <c r="K48"/>
    </row>
    <row r="49" ht="15">
      <c r="A49"/>
    </row>
    <row r="50" ht="13.5"/>
    <row r="51" ht="13.5"/>
    <row r="52" ht="13.5"/>
    <row r="53" ht="13.5"/>
    <row r="54" spans="2:6" ht="13.5">
      <c r="B54" s="8" t="s">
        <v>95</v>
      </c>
      <c r="C54" s="46"/>
      <c r="D54" s="19"/>
      <c r="E54" s="19"/>
      <c r="F54" s="39"/>
    </row>
    <row r="55" spans="2:6" ht="13.5">
      <c r="B55" s="8"/>
      <c r="C55" s="46"/>
      <c r="F55" s="69"/>
    </row>
    <row r="56" spans="2:3" ht="13.5">
      <c r="B56" s="8" t="s">
        <v>96</v>
      </c>
      <c r="C56" s="46"/>
    </row>
    <row r="57" spans="3:6" ht="13.5">
      <c r="C57" s="68" t="s">
        <v>97</v>
      </c>
      <c r="D57" s="19">
        <f>D13</f>
        <v>252727</v>
      </c>
      <c r="E57" s="70">
        <v>4256776.948509182</v>
      </c>
      <c r="F57" s="20">
        <f>IF((E57=0),0,(IF((D57=0),0,(E57/D57))))</f>
        <v>16.84338020278475</v>
      </c>
    </row>
    <row r="58" ht="13.5">
      <c r="B58" s="6" t="s">
        <v>4</v>
      </c>
    </row>
    <row r="59" ht="13.5">
      <c r="B59" s="6" t="s">
        <v>4</v>
      </c>
    </row>
    <row r="60" ht="13.5">
      <c r="B60" s="6" t="s">
        <v>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>
        <f ca="1">NOW()</f>
        <v>42101.74606493056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E6</f>
        <v>December 2012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3.5">
      <c r="B6" s="8" t="s">
        <v>3</v>
      </c>
      <c r="C6" s="46"/>
      <c r="E6" s="51" t="str">
        <f>+'[14]INPUT SHEET'!B1</f>
        <v>December 2012 ACTUAL</v>
      </c>
      <c r="F6" s="11" t="s">
        <v>4</v>
      </c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52</v>
      </c>
      <c r="C11" s="55" t="s">
        <v>53</v>
      </c>
      <c r="D11" s="24">
        <v>150586</v>
      </c>
      <c r="E11" s="19">
        <v>6350245.859999999</v>
      </c>
      <c r="F11" s="20">
        <v>42.170227378375145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9" ht="13.5">
      <c r="B12" s="8" t="s">
        <v>42</v>
      </c>
      <c r="C12" s="55" t="s">
        <v>54</v>
      </c>
      <c r="D12" s="19">
        <v>268134</v>
      </c>
      <c r="E12" s="56">
        <v>5871168.654317882</v>
      </c>
      <c r="F12" s="20">
        <v>43.81040557322531</v>
      </c>
      <c r="G12" s="57" t="s">
        <v>10</v>
      </c>
      <c r="H12" s="47" t="s">
        <v>11</v>
      </c>
      <c r="I12" s="47"/>
      <c r="J12" s="47"/>
      <c r="K12" s="47"/>
      <c r="L12" s="47"/>
      <c r="M12" s="47"/>
      <c r="N12" s="47"/>
      <c r="O12" s="47"/>
      <c r="Q12" s="35"/>
      <c r="R12" s="35"/>
      <c r="S12" s="35"/>
    </row>
    <row r="13" spans="2:15" ht="13.5">
      <c r="B13" s="23" t="s">
        <v>12</v>
      </c>
      <c r="C13" s="46"/>
      <c r="D13" s="19">
        <f>SUM(D11:D12)</f>
        <v>418720</v>
      </c>
      <c r="E13" s="19">
        <f>SUM(E11:E12)</f>
        <v>12221414.514317881</v>
      </c>
      <c r="F13" s="20">
        <f>IF((E13=0),0,(IF((D13=0),0,(E13/D13))))</f>
        <v>29.187558545848972</v>
      </c>
      <c r="G13" s="47"/>
      <c r="H13" s="47"/>
      <c r="I13" s="47" t="s">
        <v>55</v>
      </c>
      <c r="J13" s="47"/>
      <c r="K13" s="47"/>
      <c r="L13" s="47"/>
      <c r="M13" s="47"/>
      <c r="N13" s="47"/>
      <c r="O13" s="19">
        <v>150586</v>
      </c>
    </row>
    <row r="14" spans="2:15" ht="13.5">
      <c r="B14" s="3"/>
      <c r="C14" s="46"/>
      <c r="D14" s="19"/>
      <c r="E14" s="19"/>
      <c r="F14" s="20"/>
      <c r="G14" s="47"/>
      <c r="H14" s="47"/>
      <c r="I14" s="47"/>
      <c r="J14" s="47"/>
      <c r="K14" s="47"/>
      <c r="L14" s="47"/>
      <c r="M14" s="47"/>
      <c r="N14" s="47"/>
      <c r="O14" s="58"/>
    </row>
    <row r="15" spans="2:15" ht="13.5">
      <c r="B15" s="17" t="s">
        <v>14</v>
      </c>
      <c r="C15" s="46"/>
      <c r="D15" s="19"/>
      <c r="E15" s="19"/>
      <c r="F15" s="20"/>
      <c r="G15" s="57" t="s">
        <v>13</v>
      </c>
      <c r="H15" s="47" t="s">
        <v>56</v>
      </c>
      <c r="I15" s="47"/>
      <c r="J15" s="47"/>
      <c r="K15" s="47"/>
      <c r="L15" s="47"/>
      <c r="M15" s="47"/>
      <c r="N15" s="47"/>
      <c r="O15" s="58"/>
    </row>
    <row r="16" spans="1:15" ht="13.5">
      <c r="A16" s="16" t="s">
        <v>13</v>
      </c>
      <c r="B16" s="8" t="s">
        <v>59</v>
      </c>
      <c r="C16" s="55" t="s">
        <v>60</v>
      </c>
      <c r="D16" s="19">
        <v>345397.141</v>
      </c>
      <c r="E16" s="19">
        <v>7801548.415</v>
      </c>
      <c r="F16" s="20">
        <v>22.587182952391608</v>
      </c>
      <c r="G16" s="47"/>
      <c r="H16" s="47" t="s">
        <v>57</v>
      </c>
      <c r="I16" s="47" t="s">
        <v>58</v>
      </c>
      <c r="J16" s="47"/>
      <c r="K16" s="47"/>
      <c r="L16" s="47"/>
      <c r="M16" s="47"/>
      <c r="N16" s="47"/>
      <c r="O16" s="58" t="s">
        <v>4</v>
      </c>
    </row>
    <row r="17" spans="1:15" ht="13.5">
      <c r="A17" s="6"/>
      <c r="B17" s="8" t="s">
        <v>62</v>
      </c>
      <c r="C17" s="55" t="s">
        <v>63</v>
      </c>
      <c r="D17" s="19">
        <v>29723.617</v>
      </c>
      <c r="E17" s="19">
        <v>931794.24</v>
      </c>
      <c r="F17" s="20">
        <v>31.34861547973788</v>
      </c>
      <c r="G17" s="47"/>
      <c r="H17" s="47"/>
      <c r="I17" s="57" t="s">
        <v>10</v>
      </c>
      <c r="J17" s="47" t="s">
        <v>61</v>
      </c>
      <c r="K17" s="47"/>
      <c r="L17" s="47"/>
      <c r="M17" s="47"/>
      <c r="N17" s="47"/>
      <c r="O17" s="19">
        <v>268134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/>
      <c r="I18" s="57" t="s">
        <v>13</v>
      </c>
      <c r="J18" s="47" t="s">
        <v>64</v>
      </c>
      <c r="K18" s="47"/>
      <c r="L18" s="47"/>
      <c r="M18" s="47"/>
      <c r="N18" s="47"/>
      <c r="O18" s="19">
        <v>29723.617</v>
      </c>
    </row>
    <row r="19" spans="2:15" ht="13.5">
      <c r="B19" s="23" t="s">
        <v>12</v>
      </c>
      <c r="C19" s="46"/>
      <c r="D19" s="19">
        <f>SUM(D16:D18)</f>
        <v>375120.75800000003</v>
      </c>
      <c r="E19" s="24">
        <f>SUM(E16:E18)</f>
        <v>8733342.655</v>
      </c>
      <c r="F19" s="20">
        <f>IF((E19=0),0,(IF((D19=0),0,(E19/D19))))</f>
        <v>23.281416633840344</v>
      </c>
      <c r="G19" s="47"/>
      <c r="H19" s="47" t="s">
        <v>67</v>
      </c>
      <c r="I19" s="47" t="s">
        <v>68</v>
      </c>
      <c r="J19" s="47"/>
      <c r="K19" s="47"/>
      <c r="L19" s="47"/>
      <c r="M19" s="47"/>
      <c r="N19" s="47"/>
      <c r="O19" s="58">
        <v>0</v>
      </c>
    </row>
    <row r="20" spans="2:15" ht="13.5">
      <c r="B20" s="3"/>
      <c r="C20" s="46"/>
      <c r="D20" s="19"/>
      <c r="E20" s="19"/>
      <c r="F20" s="20"/>
      <c r="G20" s="47"/>
      <c r="H20" s="47" t="s">
        <v>69</v>
      </c>
      <c r="I20" s="47" t="s">
        <v>70</v>
      </c>
      <c r="J20" s="47"/>
      <c r="K20" s="47"/>
      <c r="L20" s="47"/>
      <c r="M20" s="47"/>
      <c r="N20" s="47"/>
      <c r="O20" s="19">
        <v>503080.454</v>
      </c>
    </row>
    <row r="21" spans="2:15" ht="13.5">
      <c r="B21" s="17" t="s">
        <v>17</v>
      </c>
      <c r="C21" s="46"/>
      <c r="D21" s="19">
        <f>D13+D19</f>
        <v>793840.758</v>
      </c>
      <c r="E21" s="19">
        <f>E13+E19</f>
        <v>20954757.16931788</v>
      </c>
      <c r="F21" s="20">
        <f>IF((E21=0),0,(IF((D21=0),0,(E21/D21))))</f>
        <v>26.396675854879547</v>
      </c>
      <c r="G21" s="47"/>
      <c r="H21" s="47" t="s">
        <v>71</v>
      </c>
      <c r="I21" s="47" t="s">
        <v>72</v>
      </c>
      <c r="J21" s="47"/>
      <c r="K21" s="47"/>
      <c r="L21" s="47"/>
      <c r="M21" s="47"/>
      <c r="N21" s="47"/>
      <c r="O21" s="19">
        <v>0</v>
      </c>
    </row>
    <row r="22" spans="1:15" ht="13.5">
      <c r="A22" s="16" t="s">
        <v>16</v>
      </c>
      <c r="B22" s="3"/>
      <c r="C22" s="46"/>
      <c r="D22" s="19"/>
      <c r="E22" s="19"/>
      <c r="F22" s="20"/>
      <c r="G22" s="47"/>
      <c r="H22" s="47"/>
      <c r="I22" s="47"/>
      <c r="J22" s="49" t="s">
        <v>73</v>
      </c>
      <c r="K22" s="47"/>
      <c r="L22" s="47"/>
      <c r="M22" s="47"/>
      <c r="N22" s="47"/>
      <c r="O22" s="58">
        <f>SUM(O17:O21)</f>
        <v>800938.071</v>
      </c>
    </row>
    <row r="23" spans="2:15" ht="13.5">
      <c r="B23" s="12" t="s">
        <v>18</v>
      </c>
      <c r="C23" s="52"/>
      <c r="D23" s="19"/>
      <c r="E23" s="24">
        <f>E12+E19</f>
        <v>14604511.309317881</v>
      </c>
      <c r="F23" s="20"/>
      <c r="G23" s="47"/>
      <c r="H23" s="47"/>
      <c r="I23" s="47"/>
      <c r="J23" s="47"/>
      <c r="K23" s="47"/>
      <c r="L23" s="47"/>
      <c r="M23" s="47"/>
      <c r="N23" s="47"/>
      <c r="O23" s="58"/>
    </row>
    <row r="24" spans="2:15" ht="13.5">
      <c r="B24" s="12"/>
      <c r="C24" s="52"/>
      <c r="D24" s="19"/>
      <c r="E24" s="19"/>
      <c r="F24" s="20"/>
      <c r="G24" s="57" t="s">
        <v>16</v>
      </c>
      <c r="H24" s="47" t="s">
        <v>74</v>
      </c>
      <c r="I24" s="47"/>
      <c r="J24" s="47"/>
      <c r="K24" s="47"/>
      <c r="L24" s="47"/>
      <c r="M24" s="47"/>
      <c r="N24" s="47"/>
      <c r="O24" s="58">
        <f>+O13+O22</f>
        <v>951524.071</v>
      </c>
    </row>
    <row r="25" spans="2:15" ht="13.5"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1:15" ht="13.5">
      <c r="A26" s="16" t="s">
        <v>19</v>
      </c>
      <c r="B26" s="8" t="s">
        <v>59</v>
      </c>
      <c r="C26" s="55" t="s">
        <v>60</v>
      </c>
      <c r="D26" s="19">
        <v>0</v>
      </c>
      <c r="E26" s="19">
        <v>0</v>
      </c>
      <c r="F26" s="20">
        <v>0</v>
      </c>
      <c r="G26" s="47"/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42</v>
      </c>
      <c r="C27" s="55" t="s">
        <v>76</v>
      </c>
      <c r="D27" s="19">
        <v>87199.46600000001</v>
      </c>
      <c r="E27" s="19">
        <v>1750481.1469999994</v>
      </c>
      <c r="F27" s="20">
        <v>40.15329271585895</v>
      </c>
      <c r="G27" s="54" t="s">
        <v>75</v>
      </c>
      <c r="H27" s="47"/>
      <c r="I27" s="47"/>
      <c r="J27" s="47"/>
      <c r="K27" s="47"/>
      <c r="L27" s="47"/>
      <c r="M27" s="47"/>
      <c r="N27" s="47"/>
      <c r="O27" s="58"/>
    </row>
    <row r="28" spans="2:19" ht="13.5">
      <c r="B28" s="8" t="s">
        <v>62</v>
      </c>
      <c r="C28" s="55" t="s">
        <v>63</v>
      </c>
      <c r="D28" s="19">
        <v>28862.344</v>
      </c>
      <c r="E28" s="19">
        <v>914931.33</v>
      </c>
      <c r="F28" s="20">
        <v>31.699827637006887</v>
      </c>
      <c r="G28" s="47"/>
      <c r="H28" s="47"/>
      <c r="I28" s="47"/>
      <c r="J28" s="47"/>
      <c r="K28" s="47"/>
      <c r="L28" s="47"/>
      <c r="M28" s="47"/>
      <c r="N28" s="47"/>
      <c r="O28" s="58"/>
      <c r="Q28" s="35"/>
      <c r="R28" s="35"/>
      <c r="S28" s="35"/>
    </row>
    <row r="29" spans="2:15" ht="13.5">
      <c r="B29" s="8" t="s">
        <v>78</v>
      </c>
      <c r="C29" s="55" t="s">
        <v>76</v>
      </c>
      <c r="D29" s="19">
        <v>37206.00000000001</v>
      </c>
      <c r="E29" s="19">
        <v>975912.4439999997</v>
      </c>
      <c r="F29" s="20">
        <v>26.22997484276728</v>
      </c>
      <c r="G29" s="57" t="s">
        <v>19</v>
      </c>
      <c r="H29" s="47" t="s">
        <v>77</v>
      </c>
      <c r="I29" s="47"/>
      <c r="J29" s="47"/>
      <c r="K29" s="47"/>
      <c r="L29" s="47"/>
      <c r="M29" s="47"/>
      <c r="N29" s="47"/>
      <c r="O29" s="58"/>
    </row>
    <row r="30" spans="2:15" ht="13.5">
      <c r="B30" s="8" t="s">
        <v>65</v>
      </c>
      <c r="C30" s="55" t="s">
        <v>66</v>
      </c>
      <c r="D30" s="19">
        <v>19.674</v>
      </c>
      <c r="E30" s="19">
        <v>451.824</v>
      </c>
      <c r="F30" s="20">
        <v>22.965538273863984</v>
      </c>
      <c r="G30" s="47"/>
      <c r="H30" s="47" t="s">
        <v>57</v>
      </c>
      <c r="I30" s="47" t="s">
        <v>68</v>
      </c>
      <c r="J30" s="47"/>
      <c r="K30" s="47"/>
      <c r="L30" s="47"/>
      <c r="M30" s="47"/>
      <c r="N30" s="47"/>
      <c r="O30" s="58">
        <v>0</v>
      </c>
    </row>
    <row r="31" spans="2:15" ht="13.5">
      <c r="B31" s="23" t="s">
        <v>12</v>
      </c>
      <c r="C31" s="46"/>
      <c r="D31" s="19">
        <f>SUM(D26:D30)</f>
        <v>153287.48400000003</v>
      </c>
      <c r="E31" s="19">
        <f>SUM(E26:E30)</f>
        <v>3641776.744999999</v>
      </c>
      <c r="F31" s="20">
        <f>IF((E31=0),0,(IF((D31=0),0,(E31/D31))))</f>
        <v>23.75782190410274</v>
      </c>
      <c r="G31" s="47"/>
      <c r="H31" s="47" t="s">
        <v>67</v>
      </c>
      <c r="I31" s="47" t="s">
        <v>70</v>
      </c>
      <c r="J31" s="47"/>
      <c r="K31" s="47"/>
      <c r="L31" s="47"/>
      <c r="M31" s="47"/>
      <c r="N31" s="47"/>
      <c r="O31" s="19">
        <v>116837.81</v>
      </c>
    </row>
    <row r="32" spans="2:15" ht="13.5">
      <c r="B32" s="3"/>
      <c r="C32" s="46"/>
      <c r="D32" s="19"/>
      <c r="E32" s="19"/>
      <c r="F32" s="20"/>
      <c r="G32" s="47"/>
      <c r="H32" s="47" t="s">
        <v>69</v>
      </c>
      <c r="I32" s="47" t="s">
        <v>79</v>
      </c>
      <c r="J32" s="47"/>
      <c r="K32" s="47"/>
      <c r="L32" s="47"/>
      <c r="M32" s="47"/>
      <c r="N32" s="47"/>
      <c r="O32" s="59">
        <v>194112.934</v>
      </c>
    </row>
    <row r="33" spans="2:15" ht="13.5">
      <c r="B33" s="17" t="s">
        <v>24</v>
      </c>
      <c r="C33" s="46"/>
      <c r="D33" s="19">
        <f>D21-D31</f>
        <v>640553.274</v>
      </c>
      <c r="E33" s="19">
        <f>E21-E31</f>
        <v>17312980.42431788</v>
      </c>
      <c r="F33" s="20">
        <f>IF((E33=0),0,(IF((D33=0),0,(E33/D33))))</f>
        <v>27.028166316605045</v>
      </c>
      <c r="G33" s="47"/>
      <c r="H33" s="47" t="s">
        <v>71</v>
      </c>
      <c r="I33" s="47" t="s">
        <v>72</v>
      </c>
      <c r="J33" s="47"/>
      <c r="K33" s="47"/>
      <c r="L33" s="47"/>
      <c r="M33" s="47"/>
      <c r="N33" s="47"/>
      <c r="O33" s="19">
        <v>19.674</v>
      </c>
    </row>
    <row r="34" spans="2:15" ht="13.5">
      <c r="B34" s="3"/>
      <c r="C34" s="46"/>
      <c r="D34" s="19"/>
      <c r="E34" s="19"/>
      <c r="F34" s="20"/>
      <c r="G34" s="47"/>
      <c r="H34" s="47"/>
      <c r="I34" s="47"/>
      <c r="J34" s="49" t="s">
        <v>80</v>
      </c>
      <c r="K34" s="47"/>
      <c r="L34" s="47"/>
      <c r="M34" s="47"/>
      <c r="N34" s="47"/>
      <c r="O34" s="58">
        <f>SUM(O30:O33)</f>
        <v>310970.418</v>
      </c>
    </row>
    <row r="35" spans="1:15" ht="13.5">
      <c r="A35" s="16" t="s">
        <v>23</v>
      </c>
      <c r="B35" s="17" t="s">
        <v>26</v>
      </c>
      <c r="C35" s="46"/>
      <c r="D35" s="19">
        <f>+D31+D33</f>
        <v>793840.758</v>
      </c>
      <c r="E35" s="19">
        <f>+E31+E33</f>
        <v>20954757.16931788</v>
      </c>
      <c r="F35" s="20">
        <f>IF((E35=0),0,(IF((D35=0),0,(E35/D35))))</f>
        <v>26.396675854879547</v>
      </c>
      <c r="G35" s="47"/>
      <c r="H35" s="47"/>
      <c r="I35" s="47"/>
      <c r="J35" s="47"/>
      <c r="K35" s="47"/>
      <c r="L35" s="47"/>
      <c r="M35" s="47"/>
      <c r="N35" s="47"/>
      <c r="O35" s="58"/>
    </row>
    <row r="36" spans="2:15" ht="13.5">
      <c r="B36" s="8"/>
      <c r="C36" s="46"/>
      <c r="D36" s="19"/>
      <c r="E36" s="19"/>
      <c r="F36" s="20"/>
      <c r="G36" s="57" t="s">
        <v>23</v>
      </c>
      <c r="H36" s="47" t="s">
        <v>81</v>
      </c>
      <c r="I36" s="47"/>
      <c r="J36" s="47"/>
      <c r="K36" s="47"/>
      <c r="L36" s="47"/>
      <c r="M36" s="47"/>
      <c r="N36" s="47"/>
      <c r="O36" s="58">
        <f>+O24-O34</f>
        <v>640553.6529999999</v>
      </c>
    </row>
    <row r="37" spans="1:15" ht="13.5">
      <c r="A37" s="16" t="s">
        <v>25</v>
      </c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5">
      <c r="A38" s="16"/>
      <c r="D38" s="19"/>
      <c r="E38" s="19"/>
      <c r="F38" s="20"/>
      <c r="G38" s="57" t="s">
        <v>82</v>
      </c>
      <c r="H38" s="47" t="s">
        <v>83</v>
      </c>
      <c r="I38" s="47"/>
      <c r="J38" s="47"/>
      <c r="K38" s="47"/>
      <c r="L38" s="47"/>
      <c r="M38" s="47"/>
      <c r="N38" s="47" t="s">
        <v>4</v>
      </c>
      <c r="O38" s="58">
        <f>O34+O36</f>
        <v>951524.071</v>
      </c>
    </row>
    <row r="39" spans="1:15" ht="13.5">
      <c r="A39" s="16"/>
      <c r="B39" s="8" t="s">
        <v>28</v>
      </c>
      <c r="C39" s="46"/>
      <c r="D39" s="63">
        <f>D21-D31</f>
        <v>640553.274</v>
      </c>
      <c r="E39" s="63">
        <f>E21-E31</f>
        <v>17312980.42431788</v>
      </c>
      <c r="F39" s="64">
        <f aca="true" t="shared" si="0" ref="F39:F45">IF((E39=0),0,(IF((D39=0),0,(E39/D39))))</f>
        <v>27.028166316605045</v>
      </c>
      <c r="G39" s="47"/>
      <c r="H39" s="47"/>
      <c r="I39" s="47"/>
      <c r="J39" s="47"/>
      <c r="K39" s="47"/>
      <c r="L39" s="47"/>
      <c r="M39" s="47"/>
      <c r="N39" s="60" t="s">
        <v>4</v>
      </c>
      <c r="O39" s="61" t="s">
        <v>4</v>
      </c>
    </row>
    <row r="40" spans="2:15" ht="13.5">
      <c r="B40" s="8" t="s">
        <v>86</v>
      </c>
      <c r="C40" s="46"/>
      <c r="D40" s="19">
        <f>D41-D39</f>
        <v>0.37899999995715916</v>
      </c>
      <c r="E40" s="19">
        <v>0</v>
      </c>
      <c r="F40" s="20">
        <f t="shared" si="0"/>
        <v>0</v>
      </c>
      <c r="G40" s="47" t="s">
        <v>84</v>
      </c>
      <c r="H40" s="62" t="s">
        <v>85</v>
      </c>
      <c r="I40" s="47"/>
      <c r="J40" s="47"/>
      <c r="K40" s="47"/>
      <c r="L40" s="47"/>
      <c r="M40" s="47"/>
      <c r="N40" s="61" t="s">
        <v>4</v>
      </c>
      <c r="O40" s="58" t="s">
        <v>4</v>
      </c>
    </row>
    <row r="41" spans="1:6" ht="13.5">
      <c r="A41" s="16" t="s">
        <v>27</v>
      </c>
      <c r="B41" s="8" t="s">
        <v>32</v>
      </c>
      <c r="C41" s="46"/>
      <c r="D41" s="19">
        <f>D45-D44</f>
        <v>640553.6529999999</v>
      </c>
      <c r="E41" s="19">
        <f>(SUM(E39))+E40</f>
        <v>17312980.42431788</v>
      </c>
      <c r="F41" s="20">
        <f t="shared" si="0"/>
        <v>27.02815032469713</v>
      </c>
    </row>
    <row r="42" spans="1:6" ht="13.5">
      <c r="A42" s="16" t="s">
        <v>29</v>
      </c>
      <c r="B42" s="72" t="s">
        <v>34</v>
      </c>
      <c r="C42" s="73"/>
      <c r="D42" s="74">
        <v>-2110.1786297</v>
      </c>
      <c r="E42" s="74">
        <v>-55601.0967139653</v>
      </c>
      <c r="F42" s="20">
        <f t="shared" si="0"/>
        <v>26.349</v>
      </c>
    </row>
    <row r="43" spans="1:6" ht="13.5">
      <c r="A43" s="16" t="s">
        <v>31</v>
      </c>
      <c r="B43" s="72" t="s">
        <v>36</v>
      </c>
      <c r="C43" s="73"/>
      <c r="D43" s="74">
        <v>2110.1786297</v>
      </c>
      <c r="E43" s="74">
        <v>55601.0967139653</v>
      </c>
      <c r="F43" s="20">
        <f t="shared" si="0"/>
        <v>26.349</v>
      </c>
    </row>
    <row r="44" spans="1:6" ht="13.5">
      <c r="A44" s="71" t="s">
        <v>33</v>
      </c>
      <c r="B44" s="8" t="s">
        <v>38</v>
      </c>
      <c r="C44" s="46"/>
      <c r="D44" s="19">
        <v>0</v>
      </c>
      <c r="E44" s="19">
        <v>0</v>
      </c>
      <c r="F44" s="20">
        <f t="shared" si="0"/>
        <v>0</v>
      </c>
    </row>
    <row r="45" spans="1:6" ht="13.5">
      <c r="A45" s="71" t="s">
        <v>35</v>
      </c>
      <c r="B45" s="8" t="s">
        <v>40</v>
      </c>
      <c r="C45" s="55" t="s">
        <v>87</v>
      </c>
      <c r="D45" s="19">
        <f>O36+D42+D43</f>
        <v>640553.6529999999</v>
      </c>
      <c r="E45" s="26">
        <f>SUM(E41:E44)</f>
        <v>17312980.42431788</v>
      </c>
      <c r="F45" s="65">
        <f t="shared" si="0"/>
        <v>27.02815032469713</v>
      </c>
    </row>
    <row r="46" spans="1:6" ht="13.5">
      <c r="A46" s="16" t="s">
        <v>37</v>
      </c>
      <c r="B46" s="37" t="s">
        <v>4</v>
      </c>
      <c r="C46" s="37"/>
      <c r="D46" s="37"/>
      <c r="E46" s="37"/>
      <c r="F46" s="37"/>
    </row>
    <row r="47" spans="1:11" ht="15">
      <c r="A47" s="16" t="s">
        <v>39</v>
      </c>
      <c r="B47" s="38" t="s">
        <v>4</v>
      </c>
      <c r="C47"/>
      <c r="D47"/>
      <c r="E47"/>
      <c r="F47"/>
      <c r="G47" s="37"/>
      <c r="H47" s="37"/>
      <c r="I47" s="37"/>
      <c r="J47" s="37"/>
      <c r="K47" s="37"/>
    </row>
    <row r="48" spans="1:11" ht="15">
      <c r="A48" s="36" t="s">
        <v>4</v>
      </c>
      <c r="B48" s="3"/>
      <c r="C48" s="46"/>
      <c r="D48" s="19"/>
      <c r="E48" s="19"/>
      <c r="F48" s="39"/>
      <c r="G48" s="66" t="s">
        <v>4</v>
      </c>
      <c r="H48" s="67"/>
      <c r="I48" s="67" t="s">
        <v>4</v>
      </c>
      <c r="J48" s="67"/>
      <c r="K48"/>
    </row>
    <row r="49" ht="15">
      <c r="A49"/>
    </row>
    <row r="50" ht="13.5"/>
    <row r="51" ht="13.5"/>
    <row r="52" ht="13.5"/>
    <row r="53" ht="13.5"/>
    <row r="54" spans="2:6" ht="13.5">
      <c r="B54" s="8" t="s">
        <v>95</v>
      </c>
      <c r="C54" s="46"/>
      <c r="D54" s="19"/>
      <c r="E54" s="19"/>
      <c r="F54" s="39"/>
    </row>
    <row r="55" spans="2:6" ht="13.5">
      <c r="B55" s="8"/>
      <c r="C55" s="46"/>
      <c r="F55" s="69"/>
    </row>
    <row r="56" spans="2:3" ht="13.5">
      <c r="B56" s="8" t="s">
        <v>96</v>
      </c>
      <c r="C56" s="46"/>
    </row>
    <row r="57" spans="3:6" ht="13.5">
      <c r="C57" s="68" t="s">
        <v>97</v>
      </c>
      <c r="D57" s="19">
        <f>D13</f>
        <v>418720</v>
      </c>
      <c r="E57" s="70">
        <v>12221414.514317883</v>
      </c>
      <c r="F57" s="20">
        <f>IF((E57=0),0,(IF((D57=0),0,(E57/D57))))</f>
        <v>29.187558545848976</v>
      </c>
    </row>
    <row r="58" ht="13.5">
      <c r="B58" s="6" t="s">
        <v>4</v>
      </c>
    </row>
    <row r="59" ht="13.5">
      <c r="B59" s="6" t="s">
        <v>4</v>
      </c>
    </row>
    <row r="60" ht="13.5">
      <c r="B60" s="6" t="s">
        <v>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2.8515625" style="1" bestFit="1" customWidth="1"/>
    <col min="2" max="2" width="51.00390625" style="6" customWidth="1"/>
    <col min="3" max="3" width="3.140625" style="48" hidden="1" customWidth="1"/>
    <col min="4" max="4" width="13.28125" style="6" customWidth="1"/>
    <col min="5" max="5" width="14.421875" style="6" customWidth="1"/>
    <col min="6" max="6" width="12.140625" style="6" customWidth="1"/>
    <col min="7" max="7" width="11.140625" style="6" customWidth="1"/>
    <col min="8" max="16384" width="9.8515625" style="6" customWidth="1"/>
  </cols>
  <sheetData>
    <row r="1" spans="2:15" ht="15">
      <c r="B1" s="2" t="s">
        <v>0</v>
      </c>
      <c r="C1" s="46"/>
      <c r="D1" s="3"/>
      <c r="E1" s="4"/>
      <c r="F1" s="5">
        <f ca="1">NOW()</f>
        <v>42101.74606493056</v>
      </c>
      <c r="G1" s="47"/>
      <c r="H1" s="47"/>
      <c r="I1" s="47"/>
      <c r="J1" s="47"/>
      <c r="K1" s="47"/>
      <c r="L1" s="47"/>
      <c r="M1" s="47"/>
      <c r="N1" s="47"/>
      <c r="O1" s="47"/>
    </row>
    <row r="2" spans="5:15" ht="13.5">
      <c r="E2" s="7"/>
      <c r="G2" s="47"/>
      <c r="H2" s="47"/>
      <c r="I2" s="47"/>
      <c r="J2" s="47"/>
      <c r="K2" s="47"/>
      <c r="L2" s="47"/>
      <c r="M2" s="47"/>
      <c r="N2" s="47"/>
      <c r="O2" s="47"/>
    </row>
    <row r="3" spans="2:15" ht="13.5">
      <c r="B3" s="8" t="s">
        <v>1</v>
      </c>
      <c r="C3" s="46"/>
      <c r="E3" s="9"/>
      <c r="G3" s="49" t="s">
        <v>0</v>
      </c>
      <c r="H3" s="47"/>
      <c r="I3" s="47"/>
      <c r="J3" s="47"/>
      <c r="K3" s="47"/>
      <c r="L3" s="47"/>
      <c r="M3" s="47"/>
      <c r="N3" s="47"/>
      <c r="O3" s="47"/>
    </row>
    <row r="4" spans="2:15" ht="13.5">
      <c r="B4" s="8" t="s">
        <v>2</v>
      </c>
      <c r="C4" s="46"/>
      <c r="G4" s="50" t="str">
        <f>E6</f>
        <v>January 2013 ACTUAL</v>
      </c>
      <c r="H4" s="47"/>
      <c r="I4" s="47"/>
      <c r="J4" s="47"/>
      <c r="K4" s="47"/>
      <c r="L4" s="47"/>
      <c r="M4" s="47"/>
      <c r="N4" s="47"/>
      <c r="O4" s="47"/>
    </row>
    <row r="5" spans="2:15" ht="13.5">
      <c r="B5" s="3"/>
      <c r="C5" s="46"/>
      <c r="E5" s="8"/>
      <c r="G5" s="47"/>
      <c r="H5" s="47"/>
      <c r="I5" s="47"/>
      <c r="J5" s="47"/>
      <c r="K5" s="47"/>
      <c r="L5" s="47"/>
      <c r="M5" s="47"/>
      <c r="N5" s="47"/>
      <c r="O5" s="47"/>
    </row>
    <row r="6" spans="2:15" ht="13.5">
      <c r="B6" s="8" t="s">
        <v>3</v>
      </c>
      <c r="C6" s="46"/>
      <c r="E6" s="51" t="str">
        <f>+'[3]INPUT SHEET'!B1</f>
        <v>January 2013 ACTUAL</v>
      </c>
      <c r="F6" s="11" t="s">
        <v>4</v>
      </c>
      <c r="G6" s="49" t="s">
        <v>47</v>
      </c>
      <c r="H6" s="47"/>
      <c r="I6" s="47"/>
      <c r="J6" s="47"/>
      <c r="K6" s="47"/>
      <c r="L6" s="47"/>
      <c r="M6" s="47"/>
      <c r="N6" s="47"/>
      <c r="O6" s="47"/>
    </row>
    <row r="7" spans="2:15" ht="13.5">
      <c r="B7" s="3"/>
      <c r="C7" s="46"/>
      <c r="G7" s="47"/>
      <c r="H7" s="47"/>
      <c r="I7" s="47"/>
      <c r="J7" s="47"/>
      <c r="K7" s="47"/>
      <c r="L7" s="47"/>
      <c r="M7" s="47"/>
      <c r="N7" s="47"/>
      <c r="O7" s="47"/>
    </row>
    <row r="8" spans="2:15" ht="13.5">
      <c r="B8" s="12" t="s">
        <v>5</v>
      </c>
      <c r="C8" s="52"/>
      <c r="D8" s="12" t="s">
        <v>6</v>
      </c>
      <c r="E8" s="13" t="s">
        <v>7</v>
      </c>
      <c r="F8" s="12" t="s">
        <v>48</v>
      </c>
      <c r="G8" s="49" t="s">
        <v>49</v>
      </c>
      <c r="H8" s="47"/>
      <c r="I8" s="47"/>
      <c r="J8" s="47"/>
      <c r="K8" s="47"/>
      <c r="L8" s="47"/>
      <c r="M8" s="47"/>
      <c r="N8" s="47"/>
      <c r="O8" s="47"/>
    </row>
    <row r="9" spans="2:15" ht="13.5">
      <c r="B9" s="12"/>
      <c r="C9" s="52"/>
      <c r="D9" s="14"/>
      <c r="E9" s="15" t="s">
        <v>9</v>
      </c>
      <c r="F9" s="14"/>
      <c r="G9" s="47"/>
      <c r="H9" s="47"/>
      <c r="I9" s="47"/>
      <c r="J9" s="47"/>
      <c r="K9" s="47"/>
      <c r="L9" s="47"/>
      <c r="M9" s="47"/>
      <c r="N9" s="47"/>
      <c r="O9" s="53" t="s">
        <v>50</v>
      </c>
    </row>
    <row r="10" spans="1:15" ht="13.5">
      <c r="A10" s="16" t="s">
        <v>10</v>
      </c>
      <c r="B10" s="17" t="s">
        <v>11</v>
      </c>
      <c r="C10" s="46"/>
      <c r="G10" s="54" t="s">
        <v>51</v>
      </c>
      <c r="H10" s="47"/>
      <c r="I10" s="47"/>
      <c r="J10" s="47"/>
      <c r="K10" s="47"/>
      <c r="L10" s="47"/>
      <c r="M10" s="47"/>
      <c r="N10" s="47"/>
      <c r="O10" s="53" t="s">
        <v>6</v>
      </c>
    </row>
    <row r="11" spans="2:15" ht="13.5">
      <c r="B11" s="8" t="s">
        <v>88</v>
      </c>
      <c r="C11" s="55" t="s">
        <v>53</v>
      </c>
      <c r="D11" s="24">
        <v>361369</v>
      </c>
      <c r="E11" s="19">
        <v>12500079.649999999</v>
      </c>
      <c r="F11" s="20">
        <v>34.590901958939476</v>
      </c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3.5">
      <c r="B12" s="8" t="s">
        <v>89</v>
      </c>
      <c r="C12" s="55"/>
      <c r="D12" s="24">
        <f>137871+119307</f>
        <v>257178</v>
      </c>
      <c r="E12" s="19">
        <f>3161178+2840504</f>
        <v>6001682</v>
      </c>
      <c r="F12" s="20">
        <f>E12/D12</f>
        <v>23.336685097481123</v>
      </c>
      <c r="G12" s="47"/>
      <c r="H12" s="47"/>
      <c r="I12" s="47"/>
      <c r="J12" s="47"/>
      <c r="K12" s="47"/>
      <c r="L12" s="47"/>
      <c r="M12" s="47"/>
      <c r="N12" s="47"/>
      <c r="O12" s="47"/>
    </row>
    <row r="13" spans="2:15" ht="13.5">
      <c r="B13" s="23" t="s">
        <v>12</v>
      </c>
      <c r="C13" s="46"/>
      <c r="D13" s="19">
        <f>SUM(D11:D12)</f>
        <v>618547</v>
      </c>
      <c r="E13" s="19">
        <f>SUM(E11:E12)</f>
        <v>18501761.65</v>
      </c>
      <c r="F13" s="20">
        <f>IF((E13=0),0,(IF((D13=0),0,(E13/D13))))</f>
        <v>29.9116504485512</v>
      </c>
      <c r="G13" s="47"/>
      <c r="H13" s="47"/>
      <c r="I13" s="47"/>
      <c r="J13" s="47"/>
      <c r="K13" s="47"/>
      <c r="L13" s="47"/>
      <c r="M13" s="47"/>
      <c r="N13" s="47"/>
      <c r="O13" s="58">
        <v>361369</v>
      </c>
    </row>
    <row r="14" spans="2:15" ht="13.5">
      <c r="B14" s="3"/>
      <c r="C14" s="46"/>
      <c r="D14" s="19"/>
      <c r="E14" s="19"/>
      <c r="F14" s="20"/>
      <c r="G14" s="57" t="s">
        <v>13</v>
      </c>
      <c r="H14" s="47" t="s">
        <v>56</v>
      </c>
      <c r="I14" s="47"/>
      <c r="J14" s="47"/>
      <c r="K14" s="47"/>
      <c r="L14" s="47"/>
      <c r="M14" s="47"/>
      <c r="N14" s="47"/>
      <c r="O14" s="58"/>
    </row>
    <row r="15" spans="1:15" ht="13.5">
      <c r="A15" s="16" t="s">
        <v>13</v>
      </c>
      <c r="B15" s="17" t="s">
        <v>14</v>
      </c>
      <c r="C15" s="46"/>
      <c r="D15" s="19"/>
      <c r="E15" s="19"/>
      <c r="F15" s="20"/>
      <c r="G15" s="47"/>
      <c r="H15" s="47" t="s">
        <v>57</v>
      </c>
      <c r="I15" s="47" t="s">
        <v>58</v>
      </c>
      <c r="J15" s="47"/>
      <c r="K15" s="47"/>
      <c r="L15" s="47"/>
      <c r="M15" s="47"/>
      <c r="N15" s="47"/>
      <c r="O15" s="58" t="s">
        <v>4</v>
      </c>
    </row>
    <row r="16" spans="1:15" ht="13.5">
      <c r="A16" s="6"/>
      <c r="B16" s="8" t="s">
        <v>59</v>
      </c>
      <c r="C16" s="55" t="s">
        <v>60</v>
      </c>
      <c r="D16" s="19">
        <v>253250.454</v>
      </c>
      <c r="E16" s="19">
        <v>5534224.632</v>
      </c>
      <c r="F16" s="20">
        <v>21.852772797003556</v>
      </c>
      <c r="G16" s="47"/>
      <c r="H16" s="47"/>
      <c r="I16" s="57" t="s">
        <v>10</v>
      </c>
      <c r="J16" s="47" t="s">
        <v>61</v>
      </c>
      <c r="K16" s="47"/>
      <c r="L16" s="47"/>
      <c r="M16" s="47"/>
      <c r="N16" s="47"/>
      <c r="O16" s="19">
        <v>257178</v>
      </c>
    </row>
    <row r="17" spans="2:15" ht="13.5">
      <c r="B17" s="8" t="s">
        <v>62</v>
      </c>
      <c r="C17" s="55" t="s">
        <v>63</v>
      </c>
      <c r="D17" s="19">
        <v>32671.794</v>
      </c>
      <c r="E17" s="19">
        <v>1273881.54</v>
      </c>
      <c r="F17" s="20">
        <v>38.99025379506249</v>
      </c>
      <c r="G17" s="47"/>
      <c r="H17" s="47"/>
      <c r="I17" s="57" t="s">
        <v>13</v>
      </c>
      <c r="J17" s="47" t="s">
        <v>64</v>
      </c>
      <c r="K17" s="47"/>
      <c r="L17" s="47"/>
      <c r="M17" s="47"/>
      <c r="N17" s="47"/>
      <c r="O17" s="19">
        <v>32671.794</v>
      </c>
    </row>
    <row r="18" spans="2:15" ht="13.5">
      <c r="B18" s="8" t="s">
        <v>65</v>
      </c>
      <c r="C18" s="55" t="s">
        <v>66</v>
      </c>
      <c r="D18" s="19">
        <v>0</v>
      </c>
      <c r="E18" s="19">
        <v>0</v>
      </c>
      <c r="F18" s="20">
        <v>0</v>
      </c>
      <c r="G18" s="47"/>
      <c r="H18" s="47" t="s">
        <v>67</v>
      </c>
      <c r="I18" s="47" t="s">
        <v>68</v>
      </c>
      <c r="J18" s="47"/>
      <c r="K18" s="47"/>
      <c r="L18" s="47"/>
      <c r="M18" s="47"/>
      <c r="N18" s="47"/>
      <c r="O18" s="58">
        <v>0</v>
      </c>
    </row>
    <row r="19" spans="2:15" ht="13.5">
      <c r="B19" s="23" t="s">
        <v>12</v>
      </c>
      <c r="C19" s="46"/>
      <c r="D19" s="19">
        <f>SUM(D16:D18)</f>
        <v>285922.248</v>
      </c>
      <c r="E19" s="24">
        <f>SUM(E16:E18)</f>
        <v>6808106.172</v>
      </c>
      <c r="F19" s="20">
        <f>IF((E19=0),0,(IF((D19=0),0,(E19/D19))))</f>
        <v>23.811040307713306</v>
      </c>
      <c r="G19" s="47"/>
      <c r="H19" s="47" t="s">
        <v>69</v>
      </c>
      <c r="I19" s="47" t="s">
        <v>70</v>
      </c>
      <c r="J19" s="47"/>
      <c r="K19" s="47"/>
      <c r="L19" s="47"/>
      <c r="M19" s="47"/>
      <c r="N19" s="47"/>
      <c r="O19" s="19">
        <v>401285.529</v>
      </c>
    </row>
    <row r="20" spans="2:15" ht="13.5">
      <c r="B20" s="3"/>
      <c r="C20" s="46"/>
      <c r="D20" s="19"/>
      <c r="E20" s="19"/>
      <c r="F20" s="20"/>
      <c r="G20" s="47"/>
      <c r="H20" s="47" t="s">
        <v>71</v>
      </c>
      <c r="I20" s="47" t="s">
        <v>72</v>
      </c>
      <c r="J20" s="47"/>
      <c r="K20" s="47"/>
      <c r="L20" s="47"/>
      <c r="M20" s="47"/>
      <c r="N20" s="47"/>
      <c r="O20" s="19">
        <v>0</v>
      </c>
    </row>
    <row r="21" spans="1:15" ht="13.5">
      <c r="A21" s="16" t="s">
        <v>16</v>
      </c>
      <c r="B21" s="17" t="s">
        <v>17</v>
      </c>
      <c r="C21" s="46"/>
      <c r="D21" s="19">
        <f>D13+D19</f>
        <v>904469.248</v>
      </c>
      <c r="E21" s="19">
        <f>E13+E19</f>
        <v>25309867.821999997</v>
      </c>
      <c r="F21" s="20">
        <f>IF((E21=0),0,(IF((D21=0),0,(E21/D21))))</f>
        <v>27.983115930106223</v>
      </c>
      <c r="G21" s="47"/>
      <c r="H21" s="47"/>
      <c r="I21" s="47"/>
      <c r="J21" s="49" t="s">
        <v>73</v>
      </c>
      <c r="K21" s="47"/>
      <c r="L21" s="47"/>
      <c r="M21" s="47"/>
      <c r="N21" s="47"/>
      <c r="O21" s="58">
        <f>SUM(O16:O20)</f>
        <v>691135.323</v>
      </c>
    </row>
    <row r="22" spans="2:15" ht="13.5">
      <c r="B22" s="3"/>
      <c r="C22" s="46"/>
      <c r="D22" s="19"/>
      <c r="E22" s="19"/>
      <c r="F22" s="20"/>
      <c r="G22" s="47"/>
      <c r="H22" s="47"/>
      <c r="I22" s="47"/>
      <c r="J22" s="47"/>
      <c r="K22" s="47"/>
      <c r="L22" s="47"/>
      <c r="M22" s="47"/>
      <c r="N22" s="47"/>
      <c r="O22" s="58"/>
    </row>
    <row r="23" spans="2:15" ht="13.5">
      <c r="B23" s="12" t="s">
        <v>18</v>
      </c>
      <c r="C23" s="52"/>
      <c r="D23" s="19"/>
      <c r="E23" s="24">
        <f>E12+E19</f>
        <v>12809788.172</v>
      </c>
      <c r="F23" s="20"/>
      <c r="G23" s="57" t="s">
        <v>16</v>
      </c>
      <c r="H23" s="47" t="s">
        <v>74</v>
      </c>
      <c r="I23" s="47"/>
      <c r="J23" s="47"/>
      <c r="K23" s="47"/>
      <c r="L23" s="47"/>
      <c r="M23" s="47"/>
      <c r="N23" s="47"/>
      <c r="O23" s="58">
        <v>1052504</v>
      </c>
    </row>
    <row r="24" spans="2:15" ht="13.5">
      <c r="B24" s="12"/>
      <c r="C24" s="52"/>
      <c r="D24" s="19"/>
      <c r="E24" s="19"/>
      <c r="F24" s="20"/>
      <c r="G24" s="47"/>
      <c r="H24" s="47"/>
      <c r="I24" s="47"/>
      <c r="J24" s="47"/>
      <c r="K24" s="47"/>
      <c r="L24" s="47"/>
      <c r="M24" s="47"/>
      <c r="N24" s="47"/>
      <c r="O24" s="58"/>
    </row>
    <row r="25" spans="1:15" ht="13.5">
      <c r="A25" s="16" t="s">
        <v>19</v>
      </c>
      <c r="B25" s="17" t="s">
        <v>20</v>
      </c>
      <c r="C25" s="46"/>
      <c r="E25" s="19"/>
      <c r="G25" s="47"/>
      <c r="H25" s="47"/>
      <c r="I25" s="47"/>
      <c r="J25" s="47"/>
      <c r="K25" s="47"/>
      <c r="L25" s="47"/>
      <c r="M25" s="47"/>
      <c r="N25" s="47"/>
      <c r="O25" s="58"/>
    </row>
    <row r="26" spans="2:15" ht="13.5">
      <c r="B26" s="8" t="s">
        <v>90</v>
      </c>
      <c r="C26" s="55" t="s">
        <v>60</v>
      </c>
      <c r="D26" s="19">
        <v>4183.678</v>
      </c>
      <c r="E26" s="19">
        <v>125142.179</v>
      </c>
      <c r="F26" s="20">
        <v>29.912000636760286</v>
      </c>
      <c r="G26" s="54" t="s">
        <v>75</v>
      </c>
      <c r="H26" s="47"/>
      <c r="I26" s="47"/>
      <c r="J26" s="47"/>
      <c r="K26" s="47"/>
      <c r="L26" s="47"/>
      <c r="M26" s="47"/>
      <c r="N26" s="47"/>
      <c r="O26" s="58"/>
    </row>
    <row r="27" spans="2:15" ht="13.5">
      <c r="B27" s="8" t="s">
        <v>89</v>
      </c>
      <c r="C27" s="55"/>
      <c r="D27" s="19">
        <f>31607+26541</f>
        <v>58148</v>
      </c>
      <c r="E27" s="19">
        <f>671510+569432</f>
        <v>1240942</v>
      </c>
      <c r="F27" s="20">
        <f>E27/D27</f>
        <v>21.34109513654812</v>
      </c>
      <c r="G27" s="54"/>
      <c r="H27" s="47"/>
      <c r="I27" s="47"/>
      <c r="J27" s="47"/>
      <c r="K27" s="47"/>
      <c r="L27" s="47"/>
      <c r="M27" s="47"/>
      <c r="N27" s="47"/>
      <c r="O27" s="58"/>
    </row>
    <row r="28" spans="2:15" ht="13.5">
      <c r="B28" s="8" t="s">
        <v>62</v>
      </c>
      <c r="C28" s="55" t="s">
        <v>63</v>
      </c>
      <c r="D28" s="19">
        <v>30438.222999999998</v>
      </c>
      <c r="E28" s="19">
        <v>1226173.28</v>
      </c>
      <c r="F28" s="20">
        <v>40.28399686801691</v>
      </c>
      <c r="G28" s="47"/>
      <c r="H28" s="47" t="s">
        <v>57</v>
      </c>
      <c r="I28" s="47" t="s">
        <v>68</v>
      </c>
      <c r="J28" s="47"/>
      <c r="K28" s="47"/>
      <c r="L28" s="47"/>
      <c r="M28" s="47"/>
      <c r="N28" s="47"/>
      <c r="O28" s="58">
        <v>0</v>
      </c>
    </row>
    <row r="29" spans="2:15" ht="13.5">
      <c r="B29" s="8" t="s">
        <v>78</v>
      </c>
      <c r="C29" s="55" t="s">
        <v>76</v>
      </c>
      <c r="D29" s="19">
        <v>112061.47800000012</v>
      </c>
      <c r="E29" s="19">
        <v>2935644.1420000005</v>
      </c>
      <c r="F29" s="20">
        <v>26.19672874562655</v>
      </c>
      <c r="G29" s="47"/>
      <c r="H29" s="47" t="s">
        <v>67</v>
      </c>
      <c r="I29" s="47" t="s">
        <v>70</v>
      </c>
      <c r="J29" s="47"/>
      <c r="K29" s="47"/>
      <c r="L29" s="47"/>
      <c r="M29" s="47"/>
      <c r="N29" s="47"/>
      <c r="O29" s="19">
        <v>164039.33299999998</v>
      </c>
    </row>
    <row r="30" spans="2:15" ht="13.5">
      <c r="B30" s="8" t="s">
        <v>65</v>
      </c>
      <c r="C30" s="55" t="s">
        <v>66</v>
      </c>
      <c r="D30" s="19">
        <v>161.197</v>
      </c>
      <c r="E30" s="19">
        <v>4634.792</v>
      </c>
      <c r="F30" s="20">
        <v>28.75234650768935</v>
      </c>
      <c r="G30" s="47"/>
      <c r="H30" s="47" t="s">
        <v>69</v>
      </c>
      <c r="I30" s="47" t="s">
        <v>79</v>
      </c>
      <c r="J30" s="47"/>
      <c r="K30" s="47"/>
      <c r="L30" s="47"/>
      <c r="M30" s="47"/>
      <c r="N30" s="47"/>
      <c r="O30" s="59">
        <v>188825.49999999997</v>
      </c>
    </row>
    <row r="31" spans="2:15" ht="13.5">
      <c r="B31" s="23" t="s">
        <v>12</v>
      </c>
      <c r="C31" s="46"/>
      <c r="D31" s="19">
        <f>SUM(D26:D30)</f>
        <v>204992.57600000012</v>
      </c>
      <c r="E31" s="19">
        <f>SUM(E26:E30)</f>
        <v>5532536.393</v>
      </c>
      <c r="F31" s="20">
        <f>IF((E31=0),0,(IF((D31=0),0,(E31/D31))))</f>
        <v>26.98895980018319</v>
      </c>
      <c r="G31" s="47"/>
      <c r="H31" s="47" t="s">
        <v>71</v>
      </c>
      <c r="I31" s="47" t="s">
        <v>72</v>
      </c>
      <c r="J31" s="47"/>
      <c r="K31" s="47"/>
      <c r="L31" s="47"/>
      <c r="M31" s="47"/>
      <c r="N31" s="47"/>
      <c r="O31" s="19">
        <v>161.197</v>
      </c>
    </row>
    <row r="32" spans="2:15" ht="13.5">
      <c r="B32" s="3"/>
      <c r="C32" s="46"/>
      <c r="D32" s="19"/>
      <c r="E32" s="19"/>
      <c r="F32" s="20"/>
      <c r="G32" s="47"/>
      <c r="H32" s="47"/>
      <c r="I32" s="47"/>
      <c r="J32" s="49" t="s">
        <v>80</v>
      </c>
      <c r="K32" s="47"/>
      <c r="L32" s="47"/>
      <c r="M32" s="47"/>
      <c r="N32" s="47"/>
      <c r="O32" s="58">
        <f>SUM(O28:O31)</f>
        <v>353026.02999999997</v>
      </c>
    </row>
    <row r="33" spans="1:15" ht="13.5">
      <c r="A33" s="16" t="s">
        <v>23</v>
      </c>
      <c r="B33" s="17" t="s">
        <v>24</v>
      </c>
      <c r="C33" s="46"/>
      <c r="D33" s="19">
        <f>D21-D31</f>
        <v>699476.6719999999</v>
      </c>
      <c r="E33" s="19">
        <f>E21-E31</f>
        <v>19777331.428999998</v>
      </c>
      <c r="F33" s="20">
        <f>IF((E33=0),0,(IF((D33=0),0,(E33/D33))))</f>
        <v>28.274468928965227</v>
      </c>
      <c r="G33" s="47"/>
      <c r="H33" s="47"/>
      <c r="I33" s="47"/>
      <c r="J33" s="47"/>
      <c r="K33" s="47"/>
      <c r="L33" s="47"/>
      <c r="M33" s="47"/>
      <c r="N33" s="47"/>
      <c r="O33" s="58"/>
    </row>
    <row r="34" spans="2:15" ht="13.5">
      <c r="B34" s="3"/>
      <c r="C34" s="46"/>
      <c r="D34" s="19"/>
      <c r="E34" s="19"/>
      <c r="F34" s="20"/>
      <c r="G34" s="57" t="s">
        <v>23</v>
      </c>
      <c r="H34" s="47" t="s">
        <v>81</v>
      </c>
      <c r="I34" s="47"/>
      <c r="J34" s="47"/>
      <c r="K34" s="47"/>
      <c r="L34" s="47"/>
      <c r="M34" s="47"/>
      <c r="N34" s="47"/>
      <c r="O34" s="58">
        <f>+O23-O32</f>
        <v>699477.97</v>
      </c>
    </row>
    <row r="35" spans="1:15" ht="13.5">
      <c r="A35" s="16" t="s">
        <v>25</v>
      </c>
      <c r="B35" s="17" t="s">
        <v>26</v>
      </c>
      <c r="C35" s="46"/>
      <c r="D35" s="19">
        <f>+D31+D33</f>
        <v>904469.248</v>
      </c>
      <c r="E35" s="19">
        <f>+E31+E33</f>
        <v>25309867.821999997</v>
      </c>
      <c r="F35" s="20">
        <f>IF((E35=0),0,(IF((D35=0),0,(E35/D35))))</f>
        <v>27.983115930106223</v>
      </c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3.5">
      <c r="A36" s="16"/>
      <c r="B36" s="8"/>
      <c r="C36" s="46"/>
      <c r="D36" s="19"/>
      <c r="E36" s="19"/>
      <c r="F36" s="20"/>
      <c r="G36" s="57" t="s">
        <v>82</v>
      </c>
      <c r="H36" s="47" t="s">
        <v>83</v>
      </c>
      <c r="I36" s="47"/>
      <c r="J36" s="47"/>
      <c r="K36" s="47"/>
      <c r="L36" s="47"/>
      <c r="M36" s="47"/>
      <c r="N36" s="47" t="s">
        <v>4</v>
      </c>
      <c r="O36" s="58">
        <f>O32+O34</f>
        <v>1052504</v>
      </c>
    </row>
    <row r="37" spans="1:15" ht="13.5">
      <c r="A37" s="16"/>
      <c r="B37" s="8"/>
      <c r="C37" s="46"/>
      <c r="D37" s="19"/>
      <c r="E37" s="19"/>
      <c r="F37" s="20"/>
      <c r="G37" s="47"/>
      <c r="H37" s="47"/>
      <c r="I37" s="47"/>
      <c r="J37" s="47"/>
      <c r="K37" s="47"/>
      <c r="L37" s="47"/>
      <c r="M37" s="47"/>
      <c r="N37" s="60" t="s">
        <v>4</v>
      </c>
      <c r="O37" s="61" t="s">
        <v>4</v>
      </c>
    </row>
    <row r="38" spans="4:15" ht="13.5">
      <c r="D38" s="19"/>
      <c r="E38" s="19"/>
      <c r="F38" s="20"/>
      <c r="G38" s="47" t="s">
        <v>84</v>
      </c>
      <c r="H38" s="62" t="s">
        <v>85</v>
      </c>
      <c r="I38" s="47"/>
      <c r="J38" s="47"/>
      <c r="K38" s="47"/>
      <c r="L38" s="47"/>
      <c r="M38" s="47"/>
      <c r="N38" s="61" t="s">
        <v>4</v>
      </c>
      <c r="O38" s="58" t="s">
        <v>4</v>
      </c>
    </row>
    <row r="39" spans="1:6" ht="13.5">
      <c r="A39" s="16" t="s">
        <v>27</v>
      </c>
      <c r="B39" s="8" t="s">
        <v>28</v>
      </c>
      <c r="C39" s="46"/>
      <c r="D39" s="63">
        <f>D21-D31</f>
        <v>699476.6719999999</v>
      </c>
      <c r="E39" s="63">
        <f>E21-E31</f>
        <v>19777331.428999998</v>
      </c>
      <c r="F39" s="64">
        <f aca="true" t="shared" si="0" ref="F39:F45">IF((E39=0),0,(IF((D39=0),0,(E39/D39))))</f>
        <v>28.274468928965227</v>
      </c>
    </row>
    <row r="40" spans="1:6" ht="13.5">
      <c r="A40" s="16" t="s">
        <v>29</v>
      </c>
      <c r="B40" s="8" t="s">
        <v>86</v>
      </c>
      <c r="C40" s="46"/>
      <c r="D40" s="19">
        <f>D41-D39</f>
        <v>1.2980000000679865</v>
      </c>
      <c r="E40" s="19">
        <v>0</v>
      </c>
      <c r="F40" s="20">
        <f t="shared" si="0"/>
        <v>0</v>
      </c>
    </row>
    <row r="41" spans="1:6" ht="13.5">
      <c r="A41" s="16" t="s">
        <v>31</v>
      </c>
      <c r="B41" s="8" t="s">
        <v>32</v>
      </c>
      <c r="C41" s="46"/>
      <c r="D41" s="19">
        <f>D45-D44</f>
        <v>699477.97</v>
      </c>
      <c r="E41" s="19">
        <f>(SUM(E39))+E40</f>
        <v>19777331.428999998</v>
      </c>
      <c r="F41" s="20">
        <f t="shared" si="0"/>
        <v>28.27441646089297</v>
      </c>
    </row>
    <row r="42" spans="1:6" ht="13.5">
      <c r="A42" s="71" t="s">
        <v>33</v>
      </c>
      <c r="B42" s="72" t="s">
        <v>34</v>
      </c>
      <c r="C42" s="73"/>
      <c r="D42" s="74">
        <v>-3843.1049285999998</v>
      </c>
      <c r="E42" s="74">
        <v>-98744.73803544839</v>
      </c>
      <c r="F42" s="20">
        <f t="shared" si="0"/>
        <v>25.694</v>
      </c>
    </row>
    <row r="43" spans="1:6" ht="13.5">
      <c r="A43" s="71" t="s">
        <v>35</v>
      </c>
      <c r="B43" s="72" t="s">
        <v>36</v>
      </c>
      <c r="C43" s="73"/>
      <c r="D43" s="74">
        <v>3843.1049285999998</v>
      </c>
      <c r="E43" s="74">
        <v>98744.73803544839</v>
      </c>
      <c r="F43" s="20">
        <f t="shared" si="0"/>
        <v>25.694</v>
      </c>
    </row>
    <row r="44" spans="1:6" ht="13.5">
      <c r="A44" s="16" t="s">
        <v>37</v>
      </c>
      <c r="B44" s="8" t="s">
        <v>38</v>
      </c>
      <c r="C44" s="46"/>
      <c r="D44" s="19">
        <v>0</v>
      </c>
      <c r="E44" s="19">
        <v>0</v>
      </c>
      <c r="F44" s="20">
        <f t="shared" si="0"/>
        <v>0</v>
      </c>
    </row>
    <row r="45" spans="1:11" ht="13.5">
      <c r="A45" s="16" t="s">
        <v>39</v>
      </c>
      <c r="B45" s="8" t="s">
        <v>40</v>
      </c>
      <c r="C45" s="55" t="s">
        <v>87</v>
      </c>
      <c r="D45" s="19">
        <v>699477.97</v>
      </c>
      <c r="E45" s="26">
        <f>SUM(E41:E44)</f>
        <v>19777331.428999998</v>
      </c>
      <c r="F45" s="65">
        <f t="shared" si="0"/>
        <v>28.27441646089297</v>
      </c>
      <c r="G45" s="37"/>
      <c r="H45" s="37"/>
      <c r="I45" s="37"/>
      <c r="J45" s="37"/>
      <c r="K45" s="37"/>
    </row>
    <row r="46" spans="1:11" ht="15.75">
      <c r="A46" s="36" t="s">
        <v>4</v>
      </c>
      <c r="B46" s="37" t="s">
        <v>4</v>
      </c>
      <c r="C46" s="37"/>
      <c r="D46" s="37"/>
      <c r="E46" s="37"/>
      <c r="F46" s="37"/>
      <c r="G46" s="66" t="s">
        <v>4</v>
      </c>
      <c r="H46" s="67"/>
      <c r="I46" s="67" t="s">
        <v>4</v>
      </c>
      <c r="J46" s="67"/>
      <c r="K46"/>
    </row>
    <row r="47" spans="1:6" ht="15.75">
      <c r="A47"/>
      <c r="B47" s="38" t="s">
        <v>4</v>
      </c>
      <c r="C47"/>
      <c r="D47"/>
      <c r="E47"/>
      <c r="F47"/>
    </row>
    <row r="48" spans="2:6" ht="13.5">
      <c r="B48" s="3"/>
      <c r="C48" s="46"/>
      <c r="D48" s="19"/>
      <c r="E48" s="19"/>
      <c r="F48" s="39"/>
    </row>
    <row r="51" spans="2:8" ht="15.75">
      <c r="B51"/>
      <c r="C51"/>
      <c r="D51"/>
      <c r="E51"/>
      <c r="F51"/>
      <c r="G51"/>
      <c r="H51"/>
    </row>
    <row r="52" spans="2:8" ht="15.75">
      <c r="B52"/>
      <c r="C52"/>
      <c r="D52"/>
      <c r="E52"/>
      <c r="F52"/>
      <c r="G52"/>
      <c r="H52"/>
    </row>
    <row r="53" spans="2:8" ht="15.75">
      <c r="B53"/>
      <c r="C53"/>
      <c r="D53"/>
      <c r="E53"/>
      <c r="F53"/>
      <c r="G53"/>
      <c r="H53"/>
    </row>
    <row r="54" spans="2:8" ht="15.75">
      <c r="B54"/>
      <c r="C54"/>
      <c r="D54"/>
      <c r="E54"/>
      <c r="F54"/>
      <c r="G54"/>
      <c r="H54"/>
    </row>
    <row r="55" spans="2:8" ht="15.75">
      <c r="B55"/>
      <c r="C55"/>
      <c r="D55"/>
      <c r="E55"/>
      <c r="F55"/>
      <c r="G55"/>
      <c r="H55"/>
    </row>
    <row r="56" spans="2:8" ht="15.75">
      <c r="B56"/>
      <c r="C56"/>
      <c r="D56"/>
      <c r="E56"/>
      <c r="F56"/>
      <c r="G56"/>
      <c r="H56"/>
    </row>
    <row r="57" spans="2:8" ht="15.75">
      <c r="B57"/>
      <c r="C57"/>
      <c r="D57"/>
      <c r="E57"/>
      <c r="F57"/>
      <c r="G57"/>
      <c r="H57"/>
    </row>
    <row r="58" spans="2:8" ht="15.75">
      <c r="B58"/>
      <c r="C58"/>
      <c r="D58"/>
      <c r="E58"/>
      <c r="F58"/>
      <c r="G58"/>
      <c r="H58"/>
    </row>
    <row r="59" ht="13.5">
      <c r="B59" s="6" t="s">
        <v>4</v>
      </c>
    </row>
    <row r="60" ht="13.5">
      <c r="B60" s="6" t="s">
        <v>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Leah Justin</cp:lastModifiedBy>
  <cp:lastPrinted>2015-04-06T22:04:37Z</cp:lastPrinted>
  <dcterms:created xsi:type="dcterms:W3CDTF">2014-06-25T16:05:33Z</dcterms:created>
  <dcterms:modified xsi:type="dcterms:W3CDTF">2015-04-07T21:57:33Z</dcterms:modified>
  <cp:category/>
  <cp:version/>
  <cp:contentType/>
  <cp:contentStatus/>
</cp:coreProperties>
</file>