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45" windowWidth="7650" windowHeight="8910" tabRatio="650" activeTab="1"/>
  </bookViews>
  <sheets>
    <sheet name="KPCo Input Worksheet" sheetId="19" r:id="rId1"/>
    <sheet name="KPCo WV Owned BU 117" sheetId="25" r:id="rId2"/>
  </sheets>
  <definedNames>
    <definedName name="CWIP1">'KPCo Input Worksheet'!$C$7</definedName>
    <definedName name="CWIP2">'KPCo Input Worksheet'!#REF!</definedName>
    <definedName name="CWIP3">'KPCo Input Worksheet'!$D$7</definedName>
  </definedNames>
  <calcPr calcId="145621" iterate="1"/>
</workbook>
</file>

<file path=xl/calcChain.xml><?xml version="1.0" encoding="utf-8"?>
<calcChain xmlns="http://schemas.openxmlformats.org/spreadsheetml/2006/main">
  <c r="C7" i="19" l="1"/>
  <c r="E12" i="19" l="1"/>
  <c r="G19" i="25" l="1"/>
  <c r="G12" i="25" l="1"/>
  <c r="D33" i="25"/>
  <c r="H11" i="25" l="1"/>
  <c r="H12" i="25" l="1"/>
  <c r="G13" i="25"/>
  <c r="B13" i="25" s="1"/>
  <c r="G14" i="25"/>
  <c r="C18" i="19"/>
  <c r="A13" i="25"/>
  <c r="A14" i="25" s="1"/>
  <c r="I11" i="25"/>
  <c r="I13" i="25"/>
  <c r="L5" i="25"/>
  <c r="A5" i="25"/>
  <c r="C30" i="25"/>
  <c r="C29" i="25"/>
  <c r="C28" i="25"/>
  <c r="C27" i="25"/>
  <c r="C26" i="25"/>
  <c r="C25" i="25"/>
  <c r="C16" i="19"/>
  <c r="C15" i="19"/>
  <c r="C17" i="19"/>
  <c r="C19" i="19"/>
  <c r="C20" i="19"/>
  <c r="C21" i="19"/>
  <c r="C22" i="19"/>
  <c r="C23" i="19"/>
  <c r="C24" i="19"/>
  <c r="C25" i="19"/>
  <c r="C26" i="19"/>
  <c r="C27" i="19"/>
  <c r="F13" i="25"/>
  <c r="L6" i="25"/>
  <c r="L4" i="25"/>
  <c r="L3" i="25"/>
  <c r="L2" i="25"/>
  <c r="L1" i="25"/>
  <c r="J31" i="25"/>
  <c r="K31" i="25"/>
  <c r="I24" i="25"/>
  <c r="I23" i="25"/>
  <c r="I22" i="25"/>
  <c r="I21" i="25"/>
  <c r="I20" i="25"/>
  <c r="I19" i="25"/>
  <c r="I18" i="25"/>
  <c r="I17" i="25"/>
  <c r="I16" i="25"/>
  <c r="I15" i="25"/>
  <c r="I14" i="25"/>
  <c r="G24" i="25"/>
  <c r="G23" i="25"/>
  <c r="G22" i="25"/>
  <c r="G21" i="25"/>
  <c r="G20" i="25"/>
  <c r="G18" i="25"/>
  <c r="G17" i="25"/>
  <c r="G16" i="25"/>
  <c r="G15" i="25"/>
  <c r="B28" i="19"/>
  <c r="D12" i="19"/>
  <c r="A2" i="25"/>
  <c r="B15" i="19"/>
  <c r="A11" i="25"/>
  <c r="L10" i="25"/>
  <c r="I10" i="25"/>
  <c r="H10" i="25"/>
  <c r="G10" i="25"/>
  <c r="F10" i="25"/>
  <c r="E10" i="25"/>
  <c r="D10" i="25"/>
  <c r="C10" i="25"/>
  <c r="B10" i="25"/>
  <c r="A6" i="25"/>
  <c r="A4" i="25"/>
  <c r="A3" i="25"/>
  <c r="A1" i="25"/>
  <c r="K32" i="25" l="1"/>
  <c r="I31" i="25"/>
  <c r="C14" i="25"/>
  <c r="F14" i="25" s="1"/>
  <c r="C28" i="19"/>
  <c r="L13" i="25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K33" i="25" s="1"/>
  <c r="G31" i="25"/>
  <c r="H32" i="25" s="1"/>
  <c r="C15" i="25"/>
  <c r="F15" i="25" s="1"/>
  <c r="A15" i="25"/>
  <c r="B14" i="25"/>
  <c r="E14" i="25" s="1"/>
  <c r="E13" i="25"/>
  <c r="H13" i="25" s="1"/>
  <c r="D13" i="25"/>
  <c r="D14" i="25" l="1"/>
  <c r="A16" i="25"/>
  <c r="C16" i="25"/>
  <c r="F16" i="25" s="1"/>
  <c r="B15" i="25"/>
  <c r="H14" i="25"/>
  <c r="A17" i="25" l="1"/>
  <c r="C17" i="25"/>
  <c r="F17" i="25" s="1"/>
  <c r="D15" i="25"/>
  <c r="E15" i="25"/>
  <c r="H15" i="25" s="1"/>
  <c r="B16" i="25"/>
  <c r="A18" i="25" l="1"/>
  <c r="C18" i="25"/>
  <c r="F18" i="25" s="1"/>
  <c r="E16" i="25"/>
  <c r="H16" i="25" s="1"/>
  <c r="B17" i="25"/>
  <c r="D16" i="25"/>
  <c r="A19" i="25" l="1"/>
  <c r="F19" i="25"/>
  <c r="D17" i="25"/>
  <c r="B18" i="25"/>
  <c r="E17" i="25"/>
  <c r="H17" i="25" s="1"/>
  <c r="D18" i="25" l="1"/>
  <c r="B19" i="25"/>
  <c r="A20" i="25"/>
  <c r="C20" i="25"/>
  <c r="F20" i="25" s="1"/>
  <c r="E18" i="25"/>
  <c r="H18" i="25" s="1"/>
  <c r="C21" i="25" l="1"/>
  <c r="F21" i="25" s="1"/>
  <c r="A21" i="25"/>
  <c r="E19" i="25"/>
  <c r="H19" i="25" s="1"/>
  <c r="D19" i="25"/>
  <c r="B20" i="25"/>
  <c r="C22" i="25" l="1"/>
  <c r="F22" i="25" s="1"/>
  <c r="A22" i="25"/>
  <c r="D20" i="25"/>
  <c r="B21" i="25"/>
  <c r="E20" i="25"/>
  <c r="H20" i="25" s="1"/>
  <c r="D21" i="25" l="1"/>
  <c r="A23" i="25"/>
  <c r="C23" i="25"/>
  <c r="B22" i="25"/>
  <c r="E21" i="25"/>
  <c r="H21" i="25" s="1"/>
  <c r="F23" i="25" l="1"/>
  <c r="A24" i="25"/>
  <c r="A25" i="25" s="1"/>
  <c r="A26" i="25" s="1"/>
  <c r="A27" i="25" s="1"/>
  <c r="A28" i="25" s="1"/>
  <c r="A29" i="25" s="1"/>
  <c r="A30" i="25" s="1"/>
  <c r="C24" i="25"/>
  <c r="F24" i="25" s="1"/>
  <c r="B23" i="25"/>
  <c r="B24" i="25" s="1"/>
  <c r="E22" i="25"/>
  <c r="H22" i="25" s="1"/>
  <c r="D22" i="25"/>
  <c r="F31" i="25" l="1"/>
  <c r="D23" i="25"/>
  <c r="D24" i="25" s="1"/>
  <c r="D25" i="25" s="1"/>
  <c r="D26" i="25" s="1"/>
  <c r="D27" i="25" s="1"/>
  <c r="D28" i="25" s="1"/>
  <c r="D29" i="25" s="1"/>
  <c r="D30" i="25" s="1"/>
  <c r="C31" i="25"/>
  <c r="E23" i="25"/>
  <c r="H23" i="25" s="1"/>
  <c r="B31" i="25"/>
  <c r="D32" i="25" l="1"/>
  <c r="D34" i="25" s="1"/>
  <c r="E24" i="25"/>
  <c r="E31" i="25" s="1"/>
  <c r="E32" i="25" s="1"/>
  <c r="E33" i="25" s="1"/>
  <c r="H24" i="25" l="1"/>
  <c r="H25" i="25" s="1"/>
  <c r="H26" i="25" s="1"/>
  <c r="H27" i="25" s="1"/>
  <c r="H28" i="25" s="1"/>
  <c r="H29" i="25" s="1"/>
  <c r="H30" i="25" s="1"/>
</calcChain>
</file>

<file path=xl/sharedStrings.xml><?xml version="1.0" encoding="utf-8"?>
<sst xmlns="http://schemas.openxmlformats.org/spreadsheetml/2006/main" count="56" uniqueCount="56">
  <si>
    <t>Deferral Amount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</si>
  <si>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</si>
  <si>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</si>
  <si>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</si>
  <si>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</si>
  <si>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</si>
  <si>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</si>
  <si>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</si>
  <si>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</si>
  <si>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</si>
  <si>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</si>
  <si>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</si>
  <si>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</si>
  <si>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</si>
  <si>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Adjustments</t>
  </si>
  <si>
    <t>(Date of Deferral)</t>
  </si>
  <si>
    <t>Deferral Date:</t>
  </si>
  <si>
    <t>Tax Year:</t>
  </si>
  <si>
    <t>BU</t>
  </si>
  <si>
    <t>Payment Period:</t>
  </si>
  <si>
    <t>Amortization Period:</t>
  </si>
  <si>
    <t>State:</t>
  </si>
  <si>
    <t>Company:</t>
  </si>
  <si>
    <t>Account Vintage:</t>
  </si>
  <si>
    <t>Deferral Amount:</t>
  </si>
  <si>
    <t>Totals</t>
  </si>
  <si>
    <t>Total 236</t>
  </si>
  <si>
    <t>Accrual Checks</t>
  </si>
  <si>
    <t>Total 408.1 Check</t>
  </si>
  <si>
    <t>Deferral Adj</t>
  </si>
  <si>
    <t>Total Deferral</t>
  </si>
  <si>
    <t>Owned Allocation</t>
  </si>
  <si>
    <t>Paymts/
Refunds</t>
  </si>
  <si>
    <t>Other Adjusts</t>
  </si>
  <si>
    <t>WV</t>
  </si>
  <si>
    <t>CWIP Adj</t>
  </si>
  <si>
    <t>Check to 186</t>
  </si>
  <si>
    <t xml:space="preserve">Adjustments: </t>
  </si>
  <si>
    <t>Total 186 Amort.</t>
  </si>
  <si>
    <t>Total 186 Amort w/CWIP</t>
  </si>
  <si>
    <t>Pmts+Adjs</t>
  </si>
  <si>
    <t>Pmts+Bal</t>
  </si>
  <si>
    <t>(CWIP from Suspense Wos)</t>
  </si>
  <si>
    <t>CWIP Est.</t>
  </si>
  <si>
    <t>Expense Amt.</t>
  </si>
  <si>
    <t>KPCo</t>
  </si>
  <si>
    <t>September 2014 and March 2015</t>
  </si>
  <si>
    <t>12/31/2013</t>
  </si>
  <si>
    <t>2014</t>
  </si>
  <si>
    <t>13</t>
  </si>
  <si>
    <t>WO=G0001267</t>
  </si>
  <si>
    <t>CC=971</t>
  </si>
  <si>
    <t>07/01/2014</t>
  </si>
  <si>
    <t>Transferred 50% from AEPGR</t>
  </si>
  <si>
    <t>Expense FRECo payments - payment was for full year; no accrual set up for WV Non-Utility property; Put in "other adj" as expense will go to 408.2 Account</t>
  </si>
  <si>
    <t>Adjust deferral based on actuals bill and tax calc - transfer 1st half WV payment from AEPGR &amp; transfer 50% of CWIP Adj for Mitchell to KYPCo. Payment to State of WV for Marshall County, 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</si>
</sst>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  <numFmt numFmtId="165" formatCode="[$-409]mmmm\-yy;@"/>
    <numFmt numFmtId="166" formatCode="&quot;$&quot;#,##0.00"/>
  </numFmts>
  <fonts count="11">
    <font>
      <sz val="12"/>
      <name val="Arial MT"/>
    </font>
    <font>
      <b/>
      <sz val="12"/>
      <name val="Arial MT"/>
    </font>
    <font>
      <b/>
      <sz val="10"/>
      <name val="Arial MT"/>
    </font>
    <font>
      <sz val="12"/>
      <name val="Arial MT"/>
    </font>
    <font>
      <sz val="10"/>
      <name val="Arial MT"/>
    </font>
    <font>
      <sz val="10"/>
      <name val="Arial"/>
      <family val="2"/>
    </font>
    <font>
      <b/>
      <i/>
      <sz val="10"/>
      <name val="Arial MT"/>
    </font>
    <font>
      <b/>
      <sz val="10"/>
      <name val="Arial"/>
      <family val="2"/>
    </font>
    <font>
      <b/>
      <sz val="9"/>
      <name val="Arial MT"/>
    </font>
    <font>
      <b/>
      <sz val="14"/>
      <name val="Arial"/>
      <family val="2"/>
    </font>
    <font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4" fontId="0" fillId="0" borderId="0"/>
    <xf numFmtId="4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/>
  </cellStyleXfs>
  <cellXfs count="78">
    <xf numFmtId="4" fontId="3" fillId="0" borderId="0" xfId="0" applyNumberFormat="1" applyFont="1" applyAlignment="1" applyProtection="1">
      <protection locked="0"/>
    </xf>
    <xf numFmtId="4" fontId="1" fillId="0" borderId="0" xfId="0" applyNumberFormat="1" applyFont="1" applyAlignment="1" applyProtection="1">
      <protection locked="0"/>
    </xf>
    <xf numFmtId="4" fontId="4" fillId="0" borderId="0" xfId="0" applyNumberFormat="1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39" fontId="4" fillId="0" borderId="0" xfId="0" applyNumberFormat="1" applyFont="1" applyAlignment="1" applyProtection="1">
      <protection locked="0"/>
    </xf>
    <xf numFmtId="0" fontId="5" fillId="0" borderId="0" xfId="4"/>
    <xf numFmtId="0" fontId="7" fillId="0" borderId="0" xfId="4" applyFont="1"/>
    <xf numFmtId="10" fontId="5" fillId="0" borderId="0" xfId="4" applyNumberFormat="1"/>
    <xf numFmtId="0" fontId="7" fillId="0" borderId="0" xfId="4" applyFont="1" applyAlignment="1">
      <alignment horizontal="center"/>
    </xf>
    <xf numFmtId="0" fontId="5" fillId="0" borderId="0" xfId="4" applyAlignment="1">
      <alignment horizontal="center"/>
    </xf>
    <xf numFmtId="4" fontId="2" fillId="0" borderId="0" xfId="0" applyNumberFormat="1" applyFont="1" applyAlignment="1" applyProtection="1">
      <alignment horizontal="left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/>
    <xf numFmtId="4" fontId="6" fillId="2" borderId="1" xfId="0" applyNumberFormat="1" applyFont="1" applyFill="1" applyBorder="1" applyAlignment="1" applyProtection="1">
      <alignment horizontal="centerContinuous"/>
    </xf>
    <xf numFmtId="4" fontId="6" fillId="2" borderId="2" xfId="0" applyNumberFormat="1" applyFont="1" applyFill="1" applyBorder="1" applyAlignment="1" applyProtection="1">
      <alignment horizontal="centerContinuous"/>
    </xf>
    <xf numFmtId="4" fontId="6" fillId="2" borderId="3" xfId="0" applyNumberFormat="1" applyFont="1" applyFill="1" applyBorder="1" applyAlignment="1" applyProtection="1">
      <alignment horizontal="centerContinuous"/>
    </xf>
    <xf numFmtId="4" fontId="2" fillId="0" borderId="4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/>
    </xf>
    <xf numFmtId="7" fontId="4" fillId="0" borderId="0" xfId="2" applyFont="1" applyBorder="1" applyAlignment="1" applyProtection="1">
      <alignment horizontal="center"/>
    </xf>
    <xf numFmtId="7" fontId="2" fillId="0" borderId="0" xfId="2" applyFont="1" applyBorder="1" applyAlignment="1" applyProtection="1">
      <alignment horizontal="center"/>
    </xf>
    <xf numFmtId="7" fontId="4" fillId="0" borderId="0" xfId="2" applyFont="1" applyFill="1" applyAlignment="1" applyProtection="1"/>
    <xf numFmtId="7" fontId="4" fillId="0" borderId="0" xfId="2" applyFont="1" applyAlignment="1" applyProtection="1"/>
    <xf numFmtId="164" fontId="4" fillId="0" borderId="0" xfId="0" applyNumberFormat="1" applyFont="1" applyAlignment="1" applyProtection="1">
      <alignment horizontal="center"/>
    </xf>
    <xf numFmtId="7" fontId="4" fillId="0" borderId="0" xfId="2" applyFont="1" applyBorder="1" applyAlignment="1" applyProtection="1"/>
    <xf numFmtId="7" fontId="4" fillId="0" borderId="0" xfId="2" applyFont="1" applyFill="1" applyBorder="1" applyAlignment="1" applyProtection="1"/>
    <xf numFmtId="7" fontId="4" fillId="0" borderId="4" xfId="2" applyFont="1" applyBorder="1" applyAlignment="1" applyProtection="1"/>
    <xf numFmtId="7" fontId="4" fillId="0" borderId="4" xfId="2" applyFont="1" applyFill="1" applyBorder="1" applyAlignment="1" applyProtection="1"/>
    <xf numFmtId="4" fontId="2" fillId="0" borderId="0" xfId="0" applyNumberFormat="1" applyFont="1" applyAlignment="1" applyProtection="1"/>
    <xf numFmtId="7" fontId="4" fillId="3" borderId="5" xfId="2" applyFont="1" applyFill="1" applyBorder="1" applyAlignment="1" applyProtection="1"/>
    <xf numFmtId="39" fontId="4" fillId="0" borderId="0" xfId="0" applyNumberFormat="1" applyFont="1" applyBorder="1" applyAlignment="1" applyProtection="1"/>
    <xf numFmtId="7" fontId="2" fillId="0" borderId="0" xfId="2" applyFont="1" applyBorder="1" applyAlignment="1" applyProtection="1">
      <alignment horizontal="right"/>
    </xf>
    <xf numFmtId="43" fontId="4" fillId="0" borderId="0" xfId="1" applyFont="1" applyFill="1" applyBorder="1" applyAlignment="1" applyProtection="1"/>
    <xf numFmtId="39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Alignment="1" applyProtection="1">
      <alignment horizontal="left"/>
    </xf>
    <xf numFmtId="5" fontId="5" fillId="4" borderId="0" xfId="3" applyFill="1" applyProtection="1">
      <protection locked="0"/>
    </xf>
    <xf numFmtId="10" fontId="5" fillId="4" borderId="0" xfId="4" applyNumberFormat="1" applyFill="1" applyProtection="1">
      <protection locked="0"/>
    </xf>
    <xf numFmtId="49" fontId="5" fillId="4" borderId="0" xfId="4" applyNumberFormat="1" applyFont="1" applyFill="1" applyAlignment="1" applyProtection="1">
      <alignment horizontal="center"/>
      <protection locked="0"/>
    </xf>
    <xf numFmtId="0" fontId="5" fillId="4" borderId="0" xfId="4" applyFont="1" applyFill="1" applyAlignment="1" applyProtection="1">
      <alignment horizontal="center"/>
      <protection locked="0"/>
    </xf>
    <xf numFmtId="165" fontId="5" fillId="4" borderId="0" xfId="4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7" fontId="4" fillId="0" borderId="7" xfId="2" applyFont="1" applyBorder="1" applyAlignment="1" applyProtection="1"/>
    <xf numFmtId="39" fontId="8" fillId="0" borderId="0" xfId="0" applyNumberFormat="1" applyFont="1" applyBorder="1" applyAlignment="1" applyProtection="1">
      <alignment horizontal="right"/>
    </xf>
    <xf numFmtId="0" fontId="9" fillId="5" borderId="8" xfId="4" applyFont="1" applyFill="1" applyBorder="1" applyAlignment="1">
      <alignment horizontal="center" vertical="center"/>
    </xf>
    <xf numFmtId="0" fontId="7" fillId="5" borderId="9" xfId="4" applyFont="1" applyFill="1" applyBorder="1" applyAlignment="1">
      <alignment horizontal="center" wrapText="1"/>
    </xf>
    <xf numFmtId="0" fontId="7" fillId="5" borderId="10" xfId="4" applyFont="1" applyFill="1" applyBorder="1" applyAlignment="1">
      <alignment horizontal="center" wrapText="1"/>
    </xf>
    <xf numFmtId="0" fontId="5" fillId="0" borderId="11" xfId="4" applyBorder="1"/>
    <xf numFmtId="0" fontId="7" fillId="0" borderId="0" xfId="4" applyFont="1" applyAlignment="1">
      <alignment horizontal="right"/>
    </xf>
    <xf numFmtId="5" fontId="5" fillId="0" borderId="0" xfId="4" applyNumberFormat="1"/>
    <xf numFmtId="5" fontId="5" fillId="4" borderId="7" xfId="2" applyNumberFormat="1" applyFill="1" applyBorder="1" applyProtection="1">
      <protection locked="0"/>
    </xf>
    <xf numFmtId="5" fontId="5" fillId="0" borderId="12" xfId="4" applyNumberFormat="1" applyBorder="1"/>
    <xf numFmtId="5" fontId="5" fillId="0" borderId="7" xfId="2" applyNumberFormat="1" applyFill="1" applyBorder="1" applyProtection="1"/>
    <xf numFmtId="165" fontId="5" fillId="0" borderId="0" xfId="4" applyNumberFormat="1" applyFont="1" applyFill="1" applyAlignment="1" applyProtection="1">
      <alignment horizontal="center"/>
    </xf>
    <xf numFmtId="7" fontId="4" fillId="6" borderId="0" xfId="2" applyFont="1" applyFill="1" applyAlignment="1" applyProtection="1">
      <protection locked="0"/>
    </xf>
    <xf numFmtId="7" fontId="4" fillId="6" borderId="0" xfId="2" applyFont="1" applyFill="1" applyProtection="1">
      <protection locked="0"/>
    </xf>
    <xf numFmtId="7" fontId="4" fillId="6" borderId="0" xfId="2" applyFont="1" applyFill="1" applyBorder="1" applyAlignment="1" applyProtection="1">
      <protection locked="0"/>
    </xf>
    <xf numFmtId="7" fontId="4" fillId="6" borderId="4" xfId="2" applyFont="1" applyFill="1" applyBorder="1" applyAlignment="1" applyProtection="1">
      <protection locked="0"/>
    </xf>
    <xf numFmtId="7" fontId="4" fillId="0" borderId="6" xfId="2" applyFont="1" applyBorder="1" applyAlignment="1" applyProtection="1"/>
    <xf numFmtId="7" fontId="4" fillId="0" borderId="13" xfId="2" applyFont="1" applyBorder="1" applyAlignment="1" applyProtection="1"/>
    <xf numFmtId="7" fontId="4" fillId="6" borderId="0" xfId="2" applyFont="1" applyFill="1" applyAlignment="1" applyProtection="1"/>
    <xf numFmtId="7" fontId="4" fillId="6" borderId="0" xfId="2" applyFont="1" applyFill="1" applyBorder="1" applyAlignment="1" applyProtection="1"/>
    <xf numFmtId="4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/>
    </xf>
    <xf numFmtId="49" fontId="5" fillId="4" borderId="0" xfId="4" applyNumberFormat="1" applyFont="1" applyFill="1" applyAlignment="1" applyProtection="1">
      <alignment horizontal="left"/>
      <protection locked="0"/>
    </xf>
    <xf numFmtId="0" fontId="7" fillId="0" borderId="14" xfId="4" applyFont="1" applyBorder="1" applyAlignment="1">
      <alignment horizontal="center"/>
    </xf>
    <xf numFmtId="5" fontId="5" fillId="0" borderId="0" xfId="3" applyFill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7" fontId="4" fillId="0" borderId="7" xfId="2" applyFont="1" applyBorder="1" applyAlignment="1" applyProtection="1">
      <protection locked="0"/>
    </xf>
    <xf numFmtId="39" fontId="8" fillId="0" borderId="0" xfId="0" applyNumberFormat="1" applyFont="1" applyBorder="1" applyAlignment="1" applyProtection="1">
      <alignment horizontal="left"/>
    </xf>
    <xf numFmtId="7" fontId="8" fillId="0" borderId="0" xfId="2" applyFont="1" applyBorder="1" applyAlignment="1" applyProtection="1">
      <alignment horizontal="center"/>
    </xf>
    <xf numFmtId="7" fontId="4" fillId="0" borderId="7" xfId="2" applyFont="1" applyFill="1" applyBorder="1" applyAlignment="1" applyProtection="1"/>
    <xf numFmtId="7" fontId="4" fillId="0" borderId="15" xfId="2" applyFont="1" applyBorder="1" applyAlignment="1" applyProtection="1"/>
    <xf numFmtId="7" fontId="4" fillId="0" borderId="0" xfId="2" applyFont="1" applyBorder="1" applyAlignment="1" applyProtection="1">
      <alignment horizontal="left"/>
    </xf>
    <xf numFmtId="7" fontId="5" fillId="0" borderId="0" xfId="4" applyNumberFormat="1"/>
    <xf numFmtId="7" fontId="4" fillId="0" borderId="7" xfId="2" applyFont="1" applyFill="1" applyBorder="1" applyAlignment="1" applyProtection="1">
      <protection locked="0"/>
    </xf>
    <xf numFmtId="4" fontId="10" fillId="0" borderId="0" xfId="0" applyNumberFormat="1" applyFont="1" applyAlignment="1" applyProtection="1">
      <alignment horizontal="center"/>
    </xf>
    <xf numFmtId="166" fontId="5" fillId="7" borderId="6" xfId="4" applyNumberFormat="1" applyFill="1" applyBorder="1" applyProtection="1"/>
    <xf numFmtId="165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protection locked="0"/>
    </xf>
  </cellXfs>
  <cellStyles count="5">
    <cellStyle name="Comma" xfId="1" builtinId="3"/>
    <cellStyle name="Currency" xfId="2" builtinId="4"/>
    <cellStyle name="Currency [0]" xfId="3" builtinId="7"/>
    <cellStyle name="Normal" xfId="0" builtinId="0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D7" sqref="D7"/>
    </sheetView>
  </sheetViews>
  <sheetFormatPr defaultColWidth="7.109375" defaultRowHeight="12.75"/>
  <cols>
    <col min="1" max="1" width="15.44140625" style="5" bestFit="1" customWidth="1"/>
    <col min="2" max="2" width="17.88671875" style="5" bestFit="1" customWidth="1"/>
    <col min="3" max="3" width="12" style="5" bestFit="1" customWidth="1"/>
    <col min="4" max="4" width="12" style="5" customWidth="1"/>
    <col min="5" max="5" width="11.44140625" style="5" bestFit="1" customWidth="1"/>
    <col min="6" max="6" width="10.77734375" style="5" bestFit="1" customWidth="1"/>
    <col min="7" max="16384" width="7.109375" style="5"/>
  </cols>
  <sheetData>
    <row r="1" spans="1:5">
      <c r="A1" s="6" t="s">
        <v>22</v>
      </c>
      <c r="B1" s="37" t="s">
        <v>45</v>
      </c>
    </row>
    <row r="2" spans="1:5">
      <c r="A2" s="6" t="s">
        <v>21</v>
      </c>
      <c r="B2" s="37" t="s">
        <v>34</v>
      </c>
    </row>
    <row r="3" spans="1:5">
      <c r="A3" s="6" t="s">
        <v>17</v>
      </c>
      <c r="B3" s="36" t="s">
        <v>48</v>
      </c>
    </row>
    <row r="4" spans="1:5">
      <c r="A4" s="6" t="s">
        <v>23</v>
      </c>
      <c r="B4" s="36" t="s">
        <v>49</v>
      </c>
    </row>
    <row r="5" spans="1:5">
      <c r="A5" s="6" t="s">
        <v>16</v>
      </c>
      <c r="B5" s="36" t="s">
        <v>47</v>
      </c>
    </row>
    <row r="6" spans="1:5" ht="15">
      <c r="A6" s="8" t="s">
        <v>18</v>
      </c>
      <c r="B6" s="46" t="s">
        <v>31</v>
      </c>
      <c r="C6" s="8" t="s">
        <v>43</v>
      </c>
      <c r="D6"/>
    </row>
    <row r="7" spans="1:5">
      <c r="A7" s="9">
        <v>117</v>
      </c>
      <c r="B7" s="35">
        <v>1</v>
      </c>
      <c r="C7" s="75">
        <f>174800/2</f>
        <v>87400</v>
      </c>
      <c r="D7" s="2" t="s">
        <v>53</v>
      </c>
    </row>
    <row r="8" spans="1:5">
      <c r="B8" s="7"/>
      <c r="C8" s="7"/>
      <c r="D8" s="7"/>
    </row>
    <row r="9" spans="1:5">
      <c r="A9" s="6" t="s">
        <v>20</v>
      </c>
      <c r="B9" s="38">
        <v>41821</v>
      </c>
      <c r="C9" s="38">
        <v>42156</v>
      </c>
      <c r="D9" s="51"/>
    </row>
    <row r="10" spans="1:5">
      <c r="A10" s="6" t="s">
        <v>19</v>
      </c>
      <c r="B10" s="62" t="s">
        <v>46</v>
      </c>
    </row>
    <row r="11" spans="1:5">
      <c r="A11" s="6"/>
      <c r="C11" s="46" t="s">
        <v>29</v>
      </c>
      <c r="D11" s="46" t="s">
        <v>30</v>
      </c>
      <c r="E11" s="46" t="s">
        <v>44</v>
      </c>
    </row>
    <row r="12" spans="1:5">
      <c r="A12" s="6" t="s">
        <v>24</v>
      </c>
      <c r="B12" s="34">
        <v>2745000</v>
      </c>
      <c r="C12" s="47">
        <v>-58258.66</v>
      </c>
      <c r="D12" s="47">
        <f>B12+C12</f>
        <v>2686741.34</v>
      </c>
      <c r="E12" s="72">
        <f>D12-CWIP1</f>
        <v>2599341.34</v>
      </c>
    </row>
    <row r="13" spans="1:5" ht="15">
      <c r="A13" s="6"/>
      <c r="B13" s="64"/>
      <c r="C13" s="47"/>
      <c r="D13"/>
      <c r="E13"/>
    </row>
    <row r="14" spans="1:5" ht="15.75" thickBot="1">
      <c r="D14"/>
      <c r="E14"/>
    </row>
    <row r="15" spans="1:5" ht="38.25">
      <c r="A15" s="42" t="s">
        <v>14</v>
      </c>
      <c r="B15" s="43" t="str">
        <f>"BU"&amp;$A$7&amp;"
186 Adjustment"</f>
        <v>BU117
186 Adjustment</v>
      </c>
      <c r="C15" s="44" t="str">
        <f>"BU"&amp;$A$7&amp;"
408.1 Adjustment"</f>
        <v>BU117
408.1 Adjustment</v>
      </c>
      <c r="D15"/>
      <c r="E15"/>
    </row>
    <row r="16" spans="1:5" ht="15">
      <c r="A16" s="63" t="s">
        <v>8</v>
      </c>
      <c r="B16" s="48">
        <v>-58258.66</v>
      </c>
      <c r="C16" s="50">
        <f>B16</f>
        <v>-58258.66</v>
      </c>
      <c r="D16"/>
      <c r="E16"/>
    </row>
    <row r="17" spans="1:5" ht="15">
      <c r="A17" s="63" t="s">
        <v>9</v>
      </c>
      <c r="B17" s="48"/>
      <c r="C17" s="50">
        <f t="shared" ref="C17:C27" si="0">B17</f>
        <v>0</v>
      </c>
      <c r="D17"/>
      <c r="E17"/>
    </row>
    <row r="18" spans="1:5" ht="15">
      <c r="A18" s="63" t="s">
        <v>10</v>
      </c>
      <c r="B18" s="48"/>
      <c r="C18" s="50">
        <f t="shared" si="0"/>
        <v>0</v>
      </c>
      <c r="D18"/>
      <c r="E18"/>
    </row>
    <row r="19" spans="1:5" ht="15">
      <c r="A19" s="63" t="s">
        <v>11</v>
      </c>
      <c r="B19" s="48"/>
      <c r="C19" s="50">
        <f t="shared" si="0"/>
        <v>0</v>
      </c>
      <c r="D19"/>
      <c r="E19"/>
    </row>
    <row r="20" spans="1:5" ht="15">
      <c r="A20" s="63" t="s">
        <v>12</v>
      </c>
      <c r="B20" s="48"/>
      <c r="C20" s="50">
        <f t="shared" si="0"/>
        <v>0</v>
      </c>
      <c r="D20"/>
      <c r="E20"/>
    </row>
    <row r="21" spans="1:5" ht="15">
      <c r="A21" s="63" t="s">
        <v>13</v>
      </c>
      <c r="B21" s="48"/>
      <c r="C21" s="50">
        <f t="shared" si="0"/>
        <v>0</v>
      </c>
      <c r="D21"/>
      <c r="E21"/>
    </row>
    <row r="22" spans="1:5" ht="15">
      <c r="A22" s="63" t="s">
        <v>2</v>
      </c>
      <c r="B22" s="48"/>
      <c r="C22" s="50">
        <f t="shared" si="0"/>
        <v>0</v>
      </c>
      <c r="D22"/>
      <c r="E22"/>
    </row>
    <row r="23" spans="1:5" ht="15">
      <c r="A23" s="63" t="s">
        <v>3</v>
      </c>
      <c r="B23" s="48"/>
      <c r="C23" s="50">
        <f t="shared" si="0"/>
        <v>0</v>
      </c>
      <c r="D23"/>
      <c r="E23"/>
    </row>
    <row r="24" spans="1:5" ht="15">
      <c r="A24" s="63" t="s">
        <v>4</v>
      </c>
      <c r="B24" s="48"/>
      <c r="C24" s="50">
        <f t="shared" si="0"/>
        <v>0</v>
      </c>
      <c r="D24"/>
      <c r="E24"/>
    </row>
    <row r="25" spans="1:5" ht="15">
      <c r="A25" s="63" t="s">
        <v>5</v>
      </c>
      <c r="B25" s="48"/>
      <c r="C25" s="50">
        <f t="shared" si="0"/>
        <v>0</v>
      </c>
      <c r="D25"/>
      <c r="E25"/>
    </row>
    <row r="26" spans="1:5" ht="15">
      <c r="A26" s="63" t="s">
        <v>6</v>
      </c>
      <c r="B26" s="48"/>
      <c r="C26" s="50">
        <f t="shared" si="0"/>
        <v>0</v>
      </c>
      <c r="D26"/>
      <c r="E26"/>
    </row>
    <row r="27" spans="1:5" ht="15">
      <c r="A27" s="63" t="s">
        <v>7</v>
      </c>
      <c r="B27" s="48"/>
      <c r="C27" s="50">
        <f t="shared" si="0"/>
        <v>0</v>
      </c>
      <c r="D27"/>
      <c r="E27"/>
    </row>
    <row r="28" spans="1:5" ht="15.75" thickBot="1">
      <c r="A28" s="45"/>
      <c r="B28" s="49">
        <f>SUM(B16:B27)</f>
        <v>-58258.66</v>
      </c>
      <c r="C28" s="49">
        <f>SUM(C16:C27)</f>
        <v>-58258.66</v>
      </c>
      <c r="D28"/>
      <c r="E28"/>
    </row>
    <row r="29" spans="1:5" ht="15">
      <c r="D29"/>
      <c r="E29"/>
    </row>
    <row r="30" spans="1:5" ht="15">
      <c r="D30"/>
      <c r="E30"/>
    </row>
  </sheetData>
  <phoneticPr fontId="5" type="noConversion"/>
  <pageMargins left="0.25" right="0.25" top="1" bottom="1" header="0.5" footer="0.5"/>
  <pageSetup fitToHeight="0" orientation="portrait" r:id="rId1"/>
  <headerFooter alignWithMargins="0">
    <oddFooter>&amp;L&amp;F&amp;C&amp;P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pane xSplit="1" ySplit="10" topLeftCell="B11" activePane="bottomRight" state="frozen"/>
      <selection activeCell="D9" sqref="D9"/>
      <selection pane="topRight" activeCell="D9" sqref="D9"/>
      <selection pane="bottomLeft" activeCell="D9" sqref="D9"/>
      <selection pane="bottomRight" activeCell="B41" sqref="B41"/>
    </sheetView>
  </sheetViews>
  <sheetFormatPr defaultRowHeight="12.75"/>
  <cols>
    <col min="1" max="1" width="9.21875" style="2" customWidth="1"/>
    <col min="2" max="2" width="12.6640625" style="2" customWidth="1"/>
    <col min="3" max="3" width="10.33203125" style="2" bestFit="1" customWidth="1"/>
    <col min="4" max="4" width="13.44140625" style="2" bestFit="1" customWidth="1"/>
    <col min="5" max="5" width="12.33203125" style="2" bestFit="1" customWidth="1"/>
    <col min="6" max="6" width="12.21875" style="2" bestFit="1" customWidth="1"/>
    <col min="7" max="7" width="11.88671875" style="2" customWidth="1"/>
    <col min="8" max="8" width="13.6640625" style="2" customWidth="1"/>
    <col min="9" max="9" width="11.77734375" style="2" bestFit="1" customWidth="1"/>
    <col min="10" max="10" width="11.21875" style="2" customWidth="1"/>
    <col min="11" max="11" width="12.109375" style="2" customWidth="1"/>
    <col min="12" max="12" width="13.21875" style="2" customWidth="1"/>
    <col min="13" max="16384" width="8.88671875" style="2"/>
  </cols>
  <sheetData>
    <row r="1" spans="1:12">
      <c r="A1" s="10" t="str">
        <f>'KPCo Input Worksheet'!$B$1&amp;" - "&amp;'KPCo Input Worksheet'!$B$2</f>
        <v>KPCo - WV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60" t="str">
        <f>'KPCo Input Worksheet'!$B$1&amp;" - "&amp;'KPCo Input Worksheet'!$B$2</f>
        <v>KPCo - WV</v>
      </c>
    </row>
    <row r="2" spans="1:12">
      <c r="A2" s="10" t="str">
        <f>"BU: "&amp;'KPCo Input Worksheet'!$A$7&amp;" at "&amp;TEXT('KPCo Input Worksheet'!$B$7,"0.00%")</f>
        <v>BU: 117 at 100.00%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0" t="str">
        <f>"BU: "&amp;'KPCo Input Worksheet'!$A$7&amp;" at "&amp;TEXT('KPCo Input Worksheet'!$B$7,"0.00%")</f>
        <v>BU: 117 at 100.00%</v>
      </c>
    </row>
    <row r="3" spans="1:12">
      <c r="A3" s="10" t="str">
        <f>"Tax Year: "&amp;'KPCo Input Worksheet'!$B$3</f>
        <v>Tax Year: 2014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60" t="str">
        <f>"Tax Year: "&amp;'KPCo Input Worksheet'!$B$3</f>
        <v>Tax Year: 2014</v>
      </c>
    </row>
    <row r="4" spans="1:12">
      <c r="A4" s="10" t="str">
        <f>"Lien Date and Deferral Set: "&amp;'KPCo Input Worksheet'!$B$5</f>
        <v>Lien Date and Deferral Set: 12/31/2013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60" t="str">
        <f>"Lien Date and Deferral Set: "&amp;'KPCo Input Worksheet'!$B$5</f>
        <v>Lien Date and Deferral Set: 12/31/2013</v>
      </c>
    </row>
    <row r="5" spans="1:12">
      <c r="A5" s="33" t="str">
        <f>"Amortization Period:  "&amp;TEXT('KPCo Input Worksheet'!$B$9,"mmmm yyyy")&amp;" - "&amp;TEXT('KPCo Input Worksheet'!$C$9,"mmmm yyyy")</f>
        <v>Amortization Period:  July 2014 - June 2015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1" t="str">
        <f>"Amortization Period:  "&amp;TEXT('KPCo Input Worksheet'!$B$9,"mmmm yyyy")&amp;" - "&amp;TEXT('KPCo Input Worksheet'!$C$9,"mmmm yyyy")</f>
        <v>Amortization Period:  July 2014 - June 2015</v>
      </c>
    </row>
    <row r="6" spans="1:12">
      <c r="A6" s="10" t="str">
        <f>"Bills Due: "&amp;'KPCo Input Worksheet'!$B$10</f>
        <v>Bills Due: September 2014 and March 2015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60" t="str">
        <f>"Bills Due: "&amp;'KPCo Input Worksheet'!$B$10</f>
        <v>Bills Due: September 2014 and March 2015</v>
      </c>
    </row>
    <row r="7" spans="1: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3.5" thickBot="1">
      <c r="A8" s="12"/>
      <c r="B8" s="74" t="s">
        <v>50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3.5" thickBot="1">
      <c r="A9" s="12"/>
      <c r="B9" s="74" t="s">
        <v>51</v>
      </c>
      <c r="C9" s="12"/>
      <c r="D9" s="12"/>
      <c r="E9" s="12"/>
      <c r="F9" s="12"/>
      <c r="G9" s="13" t="s">
        <v>0</v>
      </c>
      <c r="H9" s="14"/>
      <c r="I9" s="15"/>
      <c r="J9" s="12"/>
      <c r="K9" s="12"/>
      <c r="L9" s="12"/>
    </row>
    <row r="10" spans="1:12" ht="51" customHeight="1" thickBot="1">
      <c r="A10" s="16" t="s">
        <v>1</v>
      </c>
      <c r="B10" s="17" t="str">
        <f>"
 4081005"&amp;'KPCo Input Worksheet'!$B$4&amp;"
Debit Amount"</f>
        <v xml:space="preserve">
 408100513
Debit Amount</v>
      </c>
      <c r="C10" s="17" t="str">
        <f>"4081005"&amp;'KPCo Input Worksheet'!$B$4&amp;"
Adj"</f>
        <v>408100513
Adj</v>
      </c>
      <c r="D10" s="17" t="str">
        <f>"4081005"&amp;'KPCo Input Worksheet'!$B$4&amp;"
Balance"</f>
        <v>408100513
Balance</v>
      </c>
      <c r="E10" s="17" t="str">
        <f>"1860003"&amp;'KPCo Input Worksheet'!$B$4&amp;"
Credit Amount "</f>
        <v xml:space="preserve">186000313
Credit Amount </v>
      </c>
      <c r="F10" s="17" t="str">
        <f>"1860003"&amp;'KPCo Input Worksheet'!$B$4
&amp;"
Amort Adj"</f>
        <v>186000313
Amort Adj</v>
      </c>
      <c r="G10" s="17" t="str">
        <f>"1860003"&amp;'KPCo Input Worksheet'!$B$4
&amp;"
Deferral Adj"</f>
        <v>186000313
Deferral Adj</v>
      </c>
      <c r="H10" s="17" t="str">
        <f>"1860003"&amp;'KPCo Input Worksheet'!$B$4&amp;"
Balance"</f>
        <v>186000313
Balance</v>
      </c>
      <c r="I10" s="17" t="str">
        <f>"2360008"&amp;'KPCo Input Worksheet'!$B$4&amp;"
Credit Amount / Adjustments"</f>
        <v>236000813
Credit Amount / Adjustments</v>
      </c>
      <c r="J10" s="17" t="s">
        <v>32</v>
      </c>
      <c r="K10" s="17" t="s">
        <v>33</v>
      </c>
      <c r="L10" s="17" t="str">
        <f>"2360008"&amp;'KPCo Input Worksheet'!$B$4&amp;"
Balance"</f>
        <v>236000813
Balance</v>
      </c>
    </row>
    <row r="11" spans="1:12">
      <c r="A11" s="39" t="str">
        <f>'KPCo Input Worksheet'!$B$5</f>
        <v>12/31/2013</v>
      </c>
      <c r="B11" s="18" t="s">
        <v>15</v>
      </c>
      <c r="C11" s="19"/>
      <c r="D11" s="19"/>
      <c r="E11" s="19"/>
      <c r="F11" s="19"/>
      <c r="G11" s="20"/>
      <c r="H11" s="21">
        <f>ROUND('KPCo Input Worksheet'!$B$12*'KPCo Input Worksheet'!$B$7+'KPCo Input Worksheet'!$B$13*'KPCo Input Worksheet'!$C$7,0)</f>
        <v>2745000</v>
      </c>
      <c r="I11" s="21">
        <f>-ROUND('KPCo Input Worksheet'!$B$12*'KPCo Input Worksheet'!$B$7+'KPCo Input Worksheet'!$B$13*'KPCo Input Worksheet'!$C$7,0)</f>
        <v>-2745000</v>
      </c>
      <c r="J11" s="19"/>
      <c r="K11" s="19"/>
      <c r="L11" s="19"/>
    </row>
    <row r="12" spans="1:12">
      <c r="A12" s="39" t="s">
        <v>52</v>
      </c>
      <c r="B12" s="71" t="s">
        <v>42</v>
      </c>
      <c r="C12" s="19"/>
      <c r="D12" s="19"/>
      <c r="E12" s="19"/>
      <c r="F12" s="19"/>
      <c r="G12" s="20">
        <f>-CWIP1</f>
        <v>-87400</v>
      </c>
      <c r="H12" s="21">
        <f>H11+E12+F12+G12</f>
        <v>2657600</v>
      </c>
      <c r="I12" s="21"/>
      <c r="J12" s="19"/>
      <c r="K12" s="19"/>
      <c r="L12" s="19"/>
    </row>
    <row r="13" spans="1:12">
      <c r="A13" s="22">
        <f>'KPCo Input Worksheet'!$B$9</f>
        <v>41821</v>
      </c>
      <c r="B13" s="21">
        <f>ROUND((H11-CWIP1+$G$13)/12,0)</f>
        <v>216612</v>
      </c>
      <c r="C13" s="21">
        <v>0</v>
      </c>
      <c r="D13" s="21">
        <f>+D11+B13+C13</f>
        <v>216612</v>
      </c>
      <c r="E13" s="21">
        <f>-B13</f>
        <v>-216612</v>
      </c>
      <c r="F13" s="21">
        <f>-C13</f>
        <v>0</v>
      </c>
      <c r="G13" s="20">
        <f>'KPCo Input Worksheet'!B16</f>
        <v>-58258.66</v>
      </c>
      <c r="H13" s="21">
        <f>H12+E13+F13+G13</f>
        <v>2382729.34</v>
      </c>
      <c r="I13" s="21">
        <f>-'KPCo Input Worksheet'!B16</f>
        <v>58258.66</v>
      </c>
      <c r="J13" s="52">
        <v>1343370.67</v>
      </c>
      <c r="K13" s="52"/>
      <c r="L13" s="21">
        <f>I11+I13+J13+K13</f>
        <v>-1343370.67</v>
      </c>
    </row>
    <row r="14" spans="1:12">
      <c r="A14" s="22">
        <f t="shared" ref="A14:A30" si="0">EDATE(A13,1)</f>
        <v>41852</v>
      </c>
      <c r="B14" s="21">
        <f>B13+ROUND(G14/12,0)</f>
        <v>216612</v>
      </c>
      <c r="C14" s="21">
        <f>'KPCo Input Worksheet'!C17/12*(MONTH($A13)-6)</f>
        <v>0</v>
      </c>
      <c r="D14" s="21">
        <f t="shared" ref="D14:D30" si="1">+D13+B14+C14</f>
        <v>433224</v>
      </c>
      <c r="E14" s="21">
        <f t="shared" ref="E14:E24" si="2">-B14</f>
        <v>-216612</v>
      </c>
      <c r="F14" s="21">
        <f t="shared" ref="F14:F24" si="3">-C14</f>
        <v>0</v>
      </c>
      <c r="G14" s="20">
        <f>'KPCo Input Worksheet'!B17</f>
        <v>0</v>
      </c>
      <c r="H14" s="21">
        <f t="shared" ref="H14:H30" si="4">H13+E14+F14+G14</f>
        <v>2166117.34</v>
      </c>
      <c r="I14" s="21">
        <f>-'KPCo Input Worksheet'!B17</f>
        <v>0</v>
      </c>
      <c r="J14" s="58">
        <v>2198.54</v>
      </c>
      <c r="K14" s="52"/>
      <c r="L14" s="21">
        <f>L13+I14+J14+K14</f>
        <v>-1341172.1299999999</v>
      </c>
    </row>
    <row r="15" spans="1:12">
      <c r="A15" s="22">
        <f t="shared" si="0"/>
        <v>41883</v>
      </c>
      <c r="B15" s="21">
        <f>B14+ROUND('KPCo Input Worksheet'!C18/12,0)</f>
        <v>216612</v>
      </c>
      <c r="C15" s="21">
        <f>'KPCo Input Worksheet'!C18/12*(MONTH($A14)-6)</f>
        <v>0</v>
      </c>
      <c r="D15" s="21">
        <f t="shared" si="1"/>
        <v>649836</v>
      </c>
      <c r="E15" s="21">
        <f t="shared" si="2"/>
        <v>-216612</v>
      </c>
      <c r="F15" s="21">
        <f t="shared" si="3"/>
        <v>0</v>
      </c>
      <c r="G15" s="20">
        <f>'KPCo Input Worksheet'!B18</f>
        <v>0</v>
      </c>
      <c r="H15" s="21">
        <f t="shared" si="4"/>
        <v>1949505.3399999999</v>
      </c>
      <c r="I15" s="21">
        <f>-'KPCo Input Worksheet'!B18</f>
        <v>0</v>
      </c>
      <c r="J15" s="58"/>
      <c r="K15" s="52">
        <v>-2198.54</v>
      </c>
      <c r="L15" s="21">
        <f t="shared" ref="L15:L30" si="5">L14+I15+J15+K15</f>
        <v>-1343370.67</v>
      </c>
    </row>
    <row r="16" spans="1:12">
      <c r="A16" s="22">
        <f t="shared" si="0"/>
        <v>41913</v>
      </c>
      <c r="B16" s="21">
        <f>B15+ROUND('KPCo Input Worksheet'!C19/12,0)</f>
        <v>216612</v>
      </c>
      <c r="C16" s="21">
        <f>'KPCo Input Worksheet'!C19/12*(MONTH($A15)-6)</f>
        <v>0</v>
      </c>
      <c r="D16" s="21">
        <f t="shared" si="1"/>
        <v>866448</v>
      </c>
      <c r="E16" s="21">
        <f t="shared" si="2"/>
        <v>-216612</v>
      </c>
      <c r="F16" s="21">
        <f t="shared" si="3"/>
        <v>0</v>
      </c>
      <c r="G16" s="20">
        <f>'KPCo Input Worksheet'!B19</f>
        <v>0</v>
      </c>
      <c r="H16" s="21">
        <f t="shared" si="4"/>
        <v>1732893.3399999999</v>
      </c>
      <c r="I16" s="21">
        <f>-'KPCo Input Worksheet'!B19</f>
        <v>0</v>
      </c>
      <c r="J16" s="58"/>
      <c r="K16" s="52"/>
      <c r="L16" s="21">
        <f t="shared" si="5"/>
        <v>-1343370.67</v>
      </c>
    </row>
    <row r="17" spans="1:12">
      <c r="A17" s="22">
        <f t="shared" si="0"/>
        <v>41944</v>
      </c>
      <c r="B17" s="21">
        <f>B16+ROUND('KPCo Input Worksheet'!C20/12,0)</f>
        <v>216612</v>
      </c>
      <c r="C17" s="21">
        <f>'KPCo Input Worksheet'!C20/12*(MONTH($A16)-6)</f>
        <v>0</v>
      </c>
      <c r="D17" s="21">
        <f t="shared" si="1"/>
        <v>1083060</v>
      </c>
      <c r="E17" s="21">
        <f t="shared" si="2"/>
        <v>-216612</v>
      </c>
      <c r="F17" s="21">
        <f t="shared" si="3"/>
        <v>0</v>
      </c>
      <c r="G17" s="20">
        <f>'KPCo Input Worksheet'!B20</f>
        <v>0</v>
      </c>
      <c r="H17" s="21">
        <f t="shared" si="4"/>
        <v>1516281.3399999999</v>
      </c>
      <c r="I17" s="21">
        <f>-'KPCo Input Worksheet'!B20</f>
        <v>0</v>
      </c>
      <c r="J17" s="58"/>
      <c r="K17" s="52"/>
      <c r="L17" s="21">
        <f t="shared" si="5"/>
        <v>-1343370.67</v>
      </c>
    </row>
    <row r="18" spans="1:12">
      <c r="A18" s="22">
        <f t="shared" si="0"/>
        <v>41974</v>
      </c>
      <c r="B18" s="21">
        <f>B17+ROUND('KPCo Input Worksheet'!C21/12,0)</f>
        <v>216612</v>
      </c>
      <c r="C18" s="21">
        <f>'KPCo Input Worksheet'!C21/12*(MONTH($A17)-6)</f>
        <v>0</v>
      </c>
      <c r="D18" s="21">
        <f t="shared" si="1"/>
        <v>1299672</v>
      </c>
      <c r="E18" s="21">
        <f t="shared" si="2"/>
        <v>-216612</v>
      </c>
      <c r="F18" s="21">
        <f t="shared" si="3"/>
        <v>0</v>
      </c>
      <c r="G18" s="20">
        <f>'KPCo Input Worksheet'!B21</f>
        <v>0</v>
      </c>
      <c r="H18" s="21">
        <f t="shared" si="4"/>
        <v>1299669.3399999999</v>
      </c>
      <c r="I18" s="21">
        <f>-'KPCo Input Worksheet'!B21</f>
        <v>0</v>
      </c>
      <c r="J18" s="58"/>
      <c r="K18" s="52"/>
      <c r="L18" s="21">
        <f t="shared" si="5"/>
        <v>-1343370.67</v>
      </c>
    </row>
    <row r="19" spans="1:12">
      <c r="A19" s="22">
        <f t="shared" si="0"/>
        <v>42005</v>
      </c>
      <c r="B19" s="21">
        <f>B18+ROUND('KPCo Input Worksheet'!C22/6,0)</f>
        <v>216612</v>
      </c>
      <c r="C19" s="21">
        <v>0</v>
      </c>
      <c r="D19" s="21">
        <f>B19+C19</f>
        <v>216612</v>
      </c>
      <c r="E19" s="21">
        <f t="shared" si="2"/>
        <v>-216612</v>
      </c>
      <c r="F19" s="21">
        <f t="shared" si="3"/>
        <v>0</v>
      </c>
      <c r="G19" s="20">
        <f>'KPCo Input Worksheet'!B22</f>
        <v>0</v>
      </c>
      <c r="H19" s="21">
        <f t="shared" si="4"/>
        <v>1083057.3399999999</v>
      </c>
      <c r="I19" s="21">
        <f>-'KPCo Input Worksheet'!B22</f>
        <v>0</v>
      </c>
      <c r="J19" s="58"/>
      <c r="K19" s="52"/>
      <c r="L19" s="21">
        <f t="shared" si="5"/>
        <v>-1343370.67</v>
      </c>
    </row>
    <row r="20" spans="1:12">
      <c r="A20" s="22">
        <f t="shared" si="0"/>
        <v>42036</v>
      </c>
      <c r="B20" s="21">
        <f>B19+ROUND('KPCo Input Worksheet'!C23/12,0)</f>
        <v>216612</v>
      </c>
      <c r="C20" s="21">
        <f>'KPCo Input Worksheet'!C23/12*(MONTH($A19)+6)</f>
        <v>0</v>
      </c>
      <c r="D20" s="21">
        <f t="shared" si="1"/>
        <v>433224</v>
      </c>
      <c r="E20" s="21">
        <f t="shared" si="2"/>
        <v>-216612</v>
      </c>
      <c r="F20" s="21">
        <f t="shared" si="3"/>
        <v>0</v>
      </c>
      <c r="G20" s="20">
        <f>'KPCo Input Worksheet'!B23</f>
        <v>0</v>
      </c>
      <c r="H20" s="21">
        <f t="shared" si="4"/>
        <v>866445.33999999985</v>
      </c>
      <c r="I20" s="21">
        <f>-'KPCo Input Worksheet'!B23</f>
        <v>0</v>
      </c>
      <c r="J20" s="58"/>
      <c r="K20" s="52"/>
      <c r="L20" s="21">
        <f t="shared" si="5"/>
        <v>-1343370.67</v>
      </c>
    </row>
    <row r="21" spans="1:12">
      <c r="A21" s="22">
        <f t="shared" si="0"/>
        <v>42064</v>
      </c>
      <c r="B21" s="21">
        <f>B20+ROUND('KPCo Input Worksheet'!C24/12,0)</f>
        <v>216612</v>
      </c>
      <c r="C21" s="21">
        <f>'KPCo Input Worksheet'!C24/12*(MONTH($A20)+6)</f>
        <v>0</v>
      </c>
      <c r="D21" s="21">
        <f t="shared" si="1"/>
        <v>649836</v>
      </c>
      <c r="E21" s="21">
        <f t="shared" si="2"/>
        <v>-216612</v>
      </c>
      <c r="F21" s="21">
        <f t="shared" si="3"/>
        <v>0</v>
      </c>
      <c r="G21" s="20">
        <f>'KPCo Input Worksheet'!B24</f>
        <v>0</v>
      </c>
      <c r="H21" s="21">
        <f t="shared" si="4"/>
        <v>649833.33999999985</v>
      </c>
      <c r="I21" s="21">
        <f>-'KPCo Input Worksheet'!B24</f>
        <v>0</v>
      </c>
      <c r="J21" s="58"/>
      <c r="K21" s="52"/>
      <c r="L21" s="21">
        <f t="shared" si="5"/>
        <v>-1343370.67</v>
      </c>
    </row>
    <row r="22" spans="1:12">
      <c r="A22" s="22">
        <f t="shared" si="0"/>
        <v>42095</v>
      </c>
      <c r="B22" s="21">
        <f>B21+ROUND('KPCo Input Worksheet'!C25/12,0)</f>
        <v>216612</v>
      </c>
      <c r="C22" s="21">
        <f>'KPCo Input Worksheet'!C25/12*(MONTH($A21)+6)</f>
        <v>0</v>
      </c>
      <c r="D22" s="21">
        <f>+D21+B22+C22</f>
        <v>866448</v>
      </c>
      <c r="E22" s="21">
        <f t="shared" si="2"/>
        <v>-216612</v>
      </c>
      <c r="F22" s="21">
        <f t="shared" si="3"/>
        <v>0</v>
      </c>
      <c r="G22" s="20">
        <f>'KPCo Input Worksheet'!B25</f>
        <v>0</v>
      </c>
      <c r="H22" s="21">
        <f t="shared" si="4"/>
        <v>433221.33999999985</v>
      </c>
      <c r="I22" s="21">
        <f>-'KPCo Input Worksheet'!B25</f>
        <v>0</v>
      </c>
      <c r="J22" s="58"/>
      <c r="K22" s="52"/>
      <c r="L22" s="21">
        <f t="shared" si="5"/>
        <v>-1343370.67</v>
      </c>
    </row>
    <row r="23" spans="1:12">
      <c r="A23" s="22">
        <f t="shared" si="0"/>
        <v>42125</v>
      </c>
      <c r="B23" s="21">
        <f>B22+ROUND('KPCo Input Worksheet'!C26/12,0)</f>
        <v>216612</v>
      </c>
      <c r="C23" s="21">
        <f>'KPCo Input Worksheet'!C26/12*(MONTH($A22)+6)</f>
        <v>0</v>
      </c>
      <c r="D23" s="21">
        <f t="shared" si="1"/>
        <v>1083060</v>
      </c>
      <c r="E23" s="21">
        <f t="shared" si="2"/>
        <v>-216612</v>
      </c>
      <c r="F23" s="21">
        <f t="shared" si="3"/>
        <v>0</v>
      </c>
      <c r="G23" s="20">
        <f>'KPCo Input Worksheet'!B26</f>
        <v>0</v>
      </c>
      <c r="H23" s="21">
        <f t="shared" si="4"/>
        <v>216609.33999999985</v>
      </c>
      <c r="I23" s="21">
        <f>-'KPCo Input Worksheet'!B26</f>
        <v>0</v>
      </c>
      <c r="J23" s="58"/>
      <c r="K23" s="52"/>
      <c r="L23" s="21">
        <f t="shared" si="5"/>
        <v>-1343370.67</v>
      </c>
    </row>
    <row r="24" spans="1:12">
      <c r="A24" s="22">
        <f t="shared" si="0"/>
        <v>42156</v>
      </c>
      <c r="B24" s="23">
        <f>H11+G31-SUM(B13:B23)-SUM(C13:C24)</f>
        <v>216609.33999999985</v>
      </c>
      <c r="C24" s="21">
        <f>'KPCo Input Worksheet'!C27/12*(MONTH($A23)+6)</f>
        <v>0</v>
      </c>
      <c r="D24" s="21">
        <f>+D23+B24+C24</f>
        <v>1299669.3399999999</v>
      </c>
      <c r="E24" s="21">
        <f t="shared" si="2"/>
        <v>-216609.33999999985</v>
      </c>
      <c r="F24" s="21">
        <f t="shared" si="3"/>
        <v>0</v>
      </c>
      <c r="G24" s="20">
        <f>'KPCo Input Worksheet'!B27</f>
        <v>0</v>
      </c>
      <c r="H24" s="24">
        <f t="shared" si="4"/>
        <v>0</v>
      </c>
      <c r="I24" s="21">
        <f>-'KPCo Input Worksheet'!B27</f>
        <v>0</v>
      </c>
      <c r="J24" s="59"/>
      <c r="K24" s="54"/>
      <c r="L24" s="23">
        <f t="shared" si="5"/>
        <v>-1343370.67</v>
      </c>
    </row>
    <row r="25" spans="1:12">
      <c r="A25" s="22">
        <f t="shared" si="0"/>
        <v>42186</v>
      </c>
      <c r="B25" s="23">
        <v>0</v>
      </c>
      <c r="C25" s="23">
        <f t="shared" ref="C25:C30" si="6">-I25</f>
        <v>0</v>
      </c>
      <c r="D25" s="21">
        <f>+D24+B25+C25</f>
        <v>1299669.3399999999</v>
      </c>
      <c r="E25" s="24">
        <v>0</v>
      </c>
      <c r="F25" s="24">
        <v>0</v>
      </c>
      <c r="G25" s="20">
        <v>0</v>
      </c>
      <c r="H25" s="24">
        <f t="shared" si="4"/>
        <v>0</v>
      </c>
      <c r="I25" s="52"/>
      <c r="J25" s="53"/>
      <c r="K25" s="53"/>
      <c r="L25" s="23">
        <f t="shared" si="5"/>
        <v>-1343370.67</v>
      </c>
    </row>
    <row r="26" spans="1:12">
      <c r="A26" s="22">
        <f t="shared" si="0"/>
        <v>42217</v>
      </c>
      <c r="B26" s="23">
        <v>0</v>
      </c>
      <c r="C26" s="23">
        <f t="shared" si="6"/>
        <v>0</v>
      </c>
      <c r="D26" s="24">
        <f t="shared" si="1"/>
        <v>1299669.3399999999</v>
      </c>
      <c r="E26" s="24">
        <v>0</v>
      </c>
      <c r="F26" s="24">
        <v>0</v>
      </c>
      <c r="G26" s="20">
        <v>0</v>
      </c>
      <c r="H26" s="24">
        <f t="shared" si="4"/>
        <v>0</v>
      </c>
      <c r="I26" s="52"/>
      <c r="J26" s="52"/>
      <c r="K26" s="52"/>
      <c r="L26" s="23">
        <f t="shared" si="5"/>
        <v>-1343370.67</v>
      </c>
    </row>
    <row r="27" spans="1:12">
      <c r="A27" s="22">
        <f t="shared" si="0"/>
        <v>42248</v>
      </c>
      <c r="B27" s="23">
        <v>0</v>
      </c>
      <c r="C27" s="23">
        <f t="shared" si="6"/>
        <v>0</v>
      </c>
      <c r="D27" s="24">
        <f t="shared" si="1"/>
        <v>1299669.3399999999</v>
      </c>
      <c r="E27" s="24">
        <v>0</v>
      </c>
      <c r="F27" s="24">
        <v>0</v>
      </c>
      <c r="G27" s="20">
        <v>0</v>
      </c>
      <c r="H27" s="24">
        <f t="shared" si="4"/>
        <v>0</v>
      </c>
      <c r="I27" s="52"/>
      <c r="J27" s="52"/>
      <c r="K27" s="52"/>
      <c r="L27" s="23">
        <f t="shared" si="5"/>
        <v>-1343370.67</v>
      </c>
    </row>
    <row r="28" spans="1:12">
      <c r="A28" s="22">
        <f t="shared" si="0"/>
        <v>42278</v>
      </c>
      <c r="B28" s="23">
        <v>0</v>
      </c>
      <c r="C28" s="23">
        <f t="shared" si="6"/>
        <v>0</v>
      </c>
      <c r="D28" s="24">
        <f t="shared" si="1"/>
        <v>1299669.3399999999</v>
      </c>
      <c r="E28" s="24">
        <v>0</v>
      </c>
      <c r="F28" s="24">
        <v>0</v>
      </c>
      <c r="G28" s="20">
        <v>0</v>
      </c>
      <c r="H28" s="24">
        <f t="shared" si="4"/>
        <v>0</v>
      </c>
      <c r="I28" s="52"/>
      <c r="J28" s="52"/>
      <c r="K28" s="52"/>
      <c r="L28" s="23">
        <f t="shared" si="5"/>
        <v>-1343370.67</v>
      </c>
    </row>
    <row r="29" spans="1:12">
      <c r="A29" s="22">
        <f t="shared" si="0"/>
        <v>42309</v>
      </c>
      <c r="B29" s="23">
        <v>0</v>
      </c>
      <c r="C29" s="23">
        <f t="shared" si="6"/>
        <v>0</v>
      </c>
      <c r="D29" s="24">
        <f t="shared" si="1"/>
        <v>1299669.3399999999</v>
      </c>
      <c r="E29" s="24">
        <v>0</v>
      </c>
      <c r="F29" s="24">
        <v>0</v>
      </c>
      <c r="G29" s="20">
        <v>0</v>
      </c>
      <c r="H29" s="24">
        <f t="shared" si="4"/>
        <v>0</v>
      </c>
      <c r="I29" s="52"/>
      <c r="J29" s="52"/>
      <c r="K29" s="52"/>
      <c r="L29" s="23">
        <f t="shared" si="5"/>
        <v>-1343370.67</v>
      </c>
    </row>
    <row r="30" spans="1:12" ht="13.5" thickBot="1">
      <c r="A30" s="22">
        <f t="shared" si="0"/>
        <v>42339</v>
      </c>
      <c r="B30" s="25">
        <v>0</v>
      </c>
      <c r="C30" s="25">
        <f t="shared" si="6"/>
        <v>0</v>
      </c>
      <c r="D30" s="26">
        <f t="shared" si="1"/>
        <v>1299669.3399999999</v>
      </c>
      <c r="E30" s="26">
        <v>0</v>
      </c>
      <c r="F30" s="26">
        <v>0</v>
      </c>
      <c r="G30" s="26">
        <v>0</v>
      </c>
      <c r="H30" s="26">
        <f t="shared" si="4"/>
        <v>0</v>
      </c>
      <c r="I30" s="55"/>
      <c r="J30" s="55"/>
      <c r="K30" s="55"/>
      <c r="L30" s="25">
        <f t="shared" si="5"/>
        <v>-1343370.67</v>
      </c>
    </row>
    <row r="31" spans="1:12" ht="13.5" thickBot="1">
      <c r="A31" s="27" t="s">
        <v>25</v>
      </c>
      <c r="B31" s="23">
        <f>SUM(B13:B30)</f>
        <v>2599341.34</v>
      </c>
      <c r="C31" s="23">
        <f>SUM(C13:C30)</f>
        <v>0</v>
      </c>
      <c r="D31" s="56"/>
      <c r="E31" s="23">
        <f>SUM(E13:E30)</f>
        <v>-2599341.34</v>
      </c>
      <c r="F31" s="23">
        <f>SUM(F13:F30)</f>
        <v>0</v>
      </c>
      <c r="G31" s="23">
        <f>SUM(G12:G30)</f>
        <v>-145658.66</v>
      </c>
      <c r="H31" s="56"/>
      <c r="I31" s="57">
        <f>SUM(I11:I30)</f>
        <v>-2686741.34</v>
      </c>
      <c r="J31" s="23">
        <f>SUM(J13:J30)</f>
        <v>1345569.21</v>
      </c>
      <c r="K31" s="23">
        <f>SUM(K13:K30)</f>
        <v>-2198.54</v>
      </c>
      <c r="L31" s="28">
        <f>L30</f>
        <v>-1343370.67</v>
      </c>
    </row>
    <row r="32" spans="1:12" ht="13.5" thickTop="1">
      <c r="A32" s="27" t="s">
        <v>27</v>
      </c>
      <c r="B32" s="29"/>
      <c r="C32" s="41" t="s">
        <v>28</v>
      </c>
      <c r="D32" s="40">
        <f>C31+B31</f>
        <v>2599341.34</v>
      </c>
      <c r="E32" s="40">
        <f>E31+F31</f>
        <v>-2599341.34</v>
      </c>
      <c r="F32" s="3" t="s">
        <v>38</v>
      </c>
      <c r="G32" s="30"/>
      <c r="H32" s="40">
        <f>H11+G31</f>
        <v>2599341.34</v>
      </c>
      <c r="I32" s="68" t="s">
        <v>26</v>
      </c>
      <c r="J32" s="32" t="s">
        <v>40</v>
      </c>
      <c r="K32" s="69">
        <f>J31+K31</f>
        <v>1343370.67</v>
      </c>
      <c r="L32" s="31"/>
    </row>
    <row r="33" spans="1:12">
      <c r="A33" s="27"/>
      <c r="B33" s="29"/>
      <c r="C33" s="32" t="s">
        <v>35</v>
      </c>
      <c r="D33" s="73">
        <f>CWIP1</f>
        <v>87400</v>
      </c>
      <c r="E33" s="40">
        <f>E32-CWIP1</f>
        <v>-2686741.34</v>
      </c>
      <c r="G33" s="41"/>
      <c r="H33" s="70"/>
      <c r="J33" s="32" t="s">
        <v>41</v>
      </c>
      <c r="K33" s="69">
        <f>K32-L31</f>
        <v>2686741.34</v>
      </c>
      <c r="L33" s="31"/>
    </row>
    <row r="34" spans="1:12">
      <c r="A34" s="27"/>
      <c r="B34" s="29"/>
      <c r="C34" s="65" t="s">
        <v>36</v>
      </c>
      <c r="D34" s="66">
        <f>+D32+D33</f>
        <v>2686741.34</v>
      </c>
      <c r="E34" s="67" t="s">
        <v>39</v>
      </c>
      <c r="F34" s="32"/>
      <c r="G34" s="29"/>
      <c r="H34" s="41"/>
      <c r="I34" s="32"/>
      <c r="J34" s="29"/>
      <c r="K34" s="29"/>
      <c r="L34" s="31"/>
    </row>
    <row r="35" spans="1:12">
      <c r="B35" s="3"/>
      <c r="I35" s="4"/>
      <c r="J35" s="4"/>
      <c r="K35" s="4"/>
      <c r="L35" s="4"/>
    </row>
    <row r="36" spans="1:12" ht="15.75">
      <c r="A36" s="1"/>
      <c r="B36" s="3"/>
      <c r="I36" s="4"/>
      <c r="J36" s="4"/>
      <c r="K36" s="4"/>
      <c r="L36" s="4"/>
    </row>
    <row r="37" spans="1:12" ht="15.75">
      <c r="A37" s="1" t="s">
        <v>37</v>
      </c>
      <c r="B37" s="3"/>
    </row>
    <row r="38" spans="1:12">
      <c r="A38" s="76">
        <v>41821</v>
      </c>
      <c r="B38" s="3" t="s">
        <v>55</v>
      </c>
    </row>
    <row r="39" spans="1:12">
      <c r="A39" s="77">
        <v>41883</v>
      </c>
      <c r="B39" s="3" t="s">
        <v>54</v>
      </c>
    </row>
  </sheetData>
  <phoneticPr fontId="5" type="noConversion"/>
  <printOptions gridLines="1"/>
  <pageMargins left="0.25" right="0.25" top="1" bottom="1" header="0.5" footer="0.5"/>
  <pageSetup scale="78" orientation="landscape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KPCo Input Worksheet</vt:lpstr>
      <vt:lpstr>KPCo WV Owned BU 117</vt:lpstr>
      <vt:lpstr>CWIP1</vt:lpstr>
      <vt:lpstr>CWIP3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I Haynam</dc:creator>
  <cp:lastModifiedBy>Thomas F Johnson</cp:lastModifiedBy>
  <cp:lastPrinted>2014-09-19T14:51:45Z</cp:lastPrinted>
  <dcterms:created xsi:type="dcterms:W3CDTF">2000-12-19T20:24:47Z</dcterms:created>
  <dcterms:modified xsi:type="dcterms:W3CDTF">2015-02-04T14:02:26Z</dcterms:modified>
</cp:coreProperties>
</file>