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435" yWindow="75" windowWidth="22995" windowHeight="13740" tabRatio="862"/>
  </bookViews>
  <sheets>
    <sheet name="October 2013" sheetId="14" r:id="rId1"/>
    <sheet name="November 2013" sheetId="15" r:id="rId2"/>
    <sheet name="December 2013" sheetId="5" r:id="rId3"/>
    <sheet name="January 2014" sheetId="1" r:id="rId4"/>
    <sheet name="February 2014" sheetId="2" r:id="rId5"/>
    <sheet name="March 2014" sheetId="3" r:id="rId6"/>
    <sheet name="April 2014" sheetId="4" r:id="rId7"/>
    <sheet name="May 14" sheetId="17" r:id="rId8"/>
    <sheet name="June 14" sheetId="18" r:id="rId9"/>
    <sheet name="July 14" sheetId="19" r:id="rId10"/>
    <sheet name="Aug 14" sheetId="20" r:id="rId11"/>
    <sheet name="Sept 14" sheetId="2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djAcct5550.035MWH">'[1]APPVII PG3'!#REF!</definedName>
    <definedName name="EastDirectAllcTotal">'[1]APPVIII PG 1'!#REF!</definedName>
    <definedName name="_xlnm.Print_Area" localSheetId="1">'November 2013'!$A$1:$F$47</definedName>
    <definedName name="_xlnm.Print_Area" localSheetId="0">'October 2013'!$A$1:$F$47</definedName>
    <definedName name="WestDirectAllcTotal">'[1]APPVIII PG 1'!#REF!</definedName>
  </definedNames>
  <calcPr calcId="145621" iterate="1" iterateDelta="9.9999999999999995E-7"/>
</workbook>
</file>

<file path=xl/calcChain.xml><?xml version="1.0" encoding="utf-8"?>
<calcChain xmlns="http://schemas.openxmlformats.org/spreadsheetml/2006/main">
  <c r="E46" i="21" l="1"/>
  <c r="E45" i="21"/>
  <c r="E44" i="21"/>
  <c r="E42" i="21"/>
  <c r="E32" i="21"/>
  <c r="E31" i="21"/>
  <c r="E30" i="21"/>
  <c r="D33" i="21"/>
  <c r="C33" i="21"/>
  <c r="E28" i="21"/>
  <c r="E27" i="21"/>
  <c r="D20" i="21"/>
  <c r="E20" i="21" s="1"/>
  <c r="C20" i="21"/>
  <c r="E19" i="21"/>
  <c r="E15" i="21"/>
  <c r="E14" i="21"/>
  <c r="E13" i="21"/>
  <c r="E12" i="21"/>
  <c r="D16" i="21"/>
  <c r="C16" i="21"/>
  <c r="C22" i="21" s="1"/>
  <c r="B2" i="21"/>
  <c r="E46" i="20"/>
  <c r="E45" i="20"/>
  <c r="E44" i="20"/>
  <c r="E42" i="20"/>
  <c r="E32" i="20"/>
  <c r="E31" i="20"/>
  <c r="E29" i="20"/>
  <c r="E28" i="20"/>
  <c r="C20" i="20"/>
  <c r="E19" i="20"/>
  <c r="D20" i="20"/>
  <c r="E15" i="20"/>
  <c r="E14" i="20"/>
  <c r="E13" i="20"/>
  <c r="E12" i="20"/>
  <c r="C16" i="20"/>
  <c r="B2" i="20"/>
  <c r="E46" i="19"/>
  <c r="E45" i="19"/>
  <c r="E44" i="19"/>
  <c r="E42" i="19"/>
  <c r="E32" i="19"/>
  <c r="E30" i="19"/>
  <c r="E29" i="19"/>
  <c r="E28" i="19"/>
  <c r="C33" i="19"/>
  <c r="C20" i="19"/>
  <c r="C16" i="19"/>
  <c r="E15" i="19"/>
  <c r="E14" i="19"/>
  <c r="E13" i="19"/>
  <c r="D16" i="19"/>
  <c r="E11" i="19"/>
  <c r="B2" i="19"/>
  <c r="E46" i="18"/>
  <c r="E45" i="18"/>
  <c r="E44" i="18"/>
  <c r="E42" i="18"/>
  <c r="E32" i="18"/>
  <c r="E31" i="18"/>
  <c r="E30" i="18"/>
  <c r="E29" i="18"/>
  <c r="C33" i="18"/>
  <c r="D20" i="18"/>
  <c r="C20" i="18"/>
  <c r="E15" i="18"/>
  <c r="E14" i="18"/>
  <c r="E12" i="18"/>
  <c r="E11" i="18"/>
  <c r="B2" i="18"/>
  <c r="E46" i="17"/>
  <c r="E45" i="17"/>
  <c r="E42" i="17"/>
  <c r="E32" i="17"/>
  <c r="E31" i="17"/>
  <c r="E30" i="17"/>
  <c r="E29" i="17"/>
  <c r="E28" i="17"/>
  <c r="D33" i="17"/>
  <c r="E27" i="17"/>
  <c r="D20" i="17"/>
  <c r="E20" i="17" s="1"/>
  <c r="E19" i="17"/>
  <c r="C20" i="17"/>
  <c r="E15" i="17"/>
  <c r="E14" i="17"/>
  <c r="E12" i="17"/>
  <c r="E11" i="17"/>
  <c r="D16" i="17"/>
  <c r="B2" i="17"/>
  <c r="F12" i="14"/>
  <c r="F28" i="14"/>
  <c r="F12" i="15"/>
  <c r="F28" i="15"/>
  <c r="F27" i="5"/>
  <c r="F12" i="5"/>
  <c r="E27" i="5"/>
  <c r="D27" i="5"/>
  <c r="E12" i="5"/>
  <c r="E13" i="5"/>
  <c r="D12" i="5"/>
  <c r="D13" i="5"/>
  <c r="F44" i="5"/>
  <c r="F43" i="5"/>
  <c r="F42" i="5"/>
  <c r="F40" i="5"/>
  <c r="E31" i="5"/>
  <c r="D31" i="5"/>
  <c r="D19" i="5"/>
  <c r="D45" i="5"/>
  <c r="D6" i="5"/>
  <c r="D27" i="15"/>
  <c r="E27" i="15"/>
  <c r="E31" i="15"/>
  <c r="E12" i="15"/>
  <c r="E13" i="15"/>
  <c r="D12" i="15"/>
  <c r="D13" i="15"/>
  <c r="F44" i="15"/>
  <c r="F43" i="15"/>
  <c r="F42" i="15"/>
  <c r="F40" i="15"/>
  <c r="D31" i="15"/>
  <c r="E19" i="15"/>
  <c r="D19" i="15"/>
  <c r="D45" i="15"/>
  <c r="D6" i="15"/>
  <c r="E27" i="14"/>
  <c r="D27" i="14"/>
  <c r="E12" i="14"/>
  <c r="E13" i="14"/>
  <c r="D12" i="14"/>
  <c r="D13" i="14"/>
  <c r="F44" i="14"/>
  <c r="F43" i="14"/>
  <c r="F42" i="14"/>
  <c r="F40" i="14"/>
  <c r="E31" i="14"/>
  <c r="D31" i="14"/>
  <c r="D45" i="14"/>
  <c r="D6" i="14"/>
  <c r="D21" i="5"/>
  <c r="F13" i="5"/>
  <c r="F31" i="5"/>
  <c r="E19" i="5"/>
  <c r="F19" i="5"/>
  <c r="F13" i="15"/>
  <c r="E21" i="15"/>
  <c r="D21" i="15"/>
  <c r="F19" i="15"/>
  <c r="F31" i="15"/>
  <c r="D21" i="14"/>
  <c r="F31" i="14"/>
  <c r="F13" i="14"/>
  <c r="E21" i="5"/>
  <c r="D39" i="5"/>
  <c r="D33" i="5"/>
  <c r="D35" i="5"/>
  <c r="F21" i="15"/>
  <c r="E39" i="15"/>
  <c r="E33" i="15"/>
  <c r="D39" i="15"/>
  <c r="D33" i="15"/>
  <c r="D35" i="15"/>
  <c r="D39" i="14"/>
  <c r="D33" i="14"/>
  <c r="D35" i="14"/>
  <c r="E21" i="14"/>
  <c r="F21" i="5"/>
  <c r="E39" i="5"/>
  <c r="E33" i="5"/>
  <c r="E41" i="15"/>
  <c r="F39" i="15"/>
  <c r="F33" i="15"/>
  <c r="E35" i="15"/>
  <c r="F35" i="15"/>
  <c r="F21" i="14"/>
  <c r="E39" i="14"/>
  <c r="E33" i="14"/>
  <c r="F33" i="5"/>
  <c r="E35" i="5"/>
  <c r="F35" i="5"/>
  <c r="E41" i="5"/>
  <c r="F39" i="5"/>
  <c r="E45" i="15"/>
  <c r="F33" i="14"/>
  <c r="E35" i="14"/>
  <c r="F35" i="14"/>
  <c r="E41" i="14"/>
  <c r="F39" i="14"/>
  <c r="D27" i="4"/>
  <c r="D29" i="4"/>
  <c r="C27" i="4"/>
  <c r="C26" i="4"/>
  <c r="D26" i="4"/>
  <c r="D13" i="4"/>
  <c r="C13" i="4"/>
  <c r="E26" i="4"/>
  <c r="D12" i="4"/>
  <c r="D14" i="4"/>
  <c r="C12" i="4"/>
  <c r="E42" i="4"/>
  <c r="E41" i="4"/>
  <c r="D40" i="4"/>
  <c r="C40" i="4"/>
  <c r="E40" i="4"/>
  <c r="E38" i="4"/>
  <c r="C18" i="4"/>
  <c r="D6" i="4"/>
  <c r="D27" i="3"/>
  <c r="C27" i="3"/>
  <c r="E27" i="3"/>
  <c r="D26" i="3"/>
  <c r="C26" i="3"/>
  <c r="E26" i="3"/>
  <c r="D13" i="3"/>
  <c r="E13" i="3"/>
  <c r="D12" i="3"/>
  <c r="C13" i="3"/>
  <c r="C12" i="3"/>
  <c r="E42" i="3"/>
  <c r="E41" i="3"/>
  <c r="D40" i="3"/>
  <c r="E40" i="3"/>
  <c r="C40" i="3"/>
  <c r="E38" i="3"/>
  <c r="C18" i="3"/>
  <c r="D6" i="3"/>
  <c r="D27" i="2"/>
  <c r="E27" i="2"/>
  <c r="C27" i="2"/>
  <c r="D26" i="2"/>
  <c r="C26" i="2"/>
  <c r="C29" i="2"/>
  <c r="D13" i="2"/>
  <c r="E13" i="2"/>
  <c r="D12" i="2"/>
  <c r="C13" i="2"/>
  <c r="C12" i="2"/>
  <c r="E42" i="2"/>
  <c r="E41" i="2"/>
  <c r="E40" i="2"/>
  <c r="E38" i="2"/>
  <c r="D29" i="2"/>
  <c r="D18" i="2"/>
  <c r="C18" i="2"/>
  <c r="E27" i="1"/>
  <c r="E26" i="1"/>
  <c r="D27" i="1"/>
  <c r="C27" i="1"/>
  <c r="D26" i="1"/>
  <c r="C26" i="1"/>
  <c r="C29" i="1"/>
  <c r="D13" i="1"/>
  <c r="C13" i="1"/>
  <c r="D12" i="1"/>
  <c r="C12" i="1"/>
  <c r="C18" i="1"/>
  <c r="D18" i="1"/>
  <c r="E42" i="1"/>
  <c r="D41" i="1"/>
  <c r="C41" i="1"/>
  <c r="D40" i="1"/>
  <c r="C40" i="1"/>
  <c r="E38" i="1"/>
  <c r="E1" i="1"/>
  <c r="E45" i="5"/>
  <c r="E45" i="14"/>
  <c r="E27" i="4"/>
  <c r="C29" i="4"/>
  <c r="E13" i="4"/>
  <c r="E12" i="4"/>
  <c r="E29" i="4"/>
  <c r="C14" i="4"/>
  <c r="C20" i="4"/>
  <c r="D18" i="4"/>
  <c r="E18" i="4"/>
  <c r="D14" i="3"/>
  <c r="D29" i="3"/>
  <c r="E12" i="3"/>
  <c r="C29" i="3"/>
  <c r="C14" i="3"/>
  <c r="E14" i="3"/>
  <c r="D18" i="3"/>
  <c r="E18" i="3"/>
  <c r="E26" i="2"/>
  <c r="E12" i="2"/>
  <c r="C14" i="2"/>
  <c r="E18" i="2"/>
  <c r="C20" i="2"/>
  <c r="C31" i="2"/>
  <c r="C37" i="2"/>
  <c r="C43" i="2"/>
  <c r="C39" i="2"/>
  <c r="E29" i="2"/>
  <c r="D14" i="2"/>
  <c r="D29" i="1"/>
  <c r="E13" i="1"/>
  <c r="E12" i="1"/>
  <c r="C14" i="1"/>
  <c r="E41" i="1"/>
  <c r="E40" i="1"/>
  <c r="C20" i="1"/>
  <c r="C31" i="1"/>
  <c r="C37" i="1"/>
  <c r="C43" i="1"/>
  <c r="C39" i="1"/>
  <c r="E18" i="1"/>
  <c r="E29" i="1"/>
  <c r="D14" i="1"/>
  <c r="D20" i="1"/>
  <c r="C31" i="4"/>
  <c r="C37" i="4"/>
  <c r="C33" i="4"/>
  <c r="E14" i="4"/>
  <c r="D20" i="4"/>
  <c r="E29" i="3"/>
  <c r="C20" i="3"/>
  <c r="C31" i="3"/>
  <c r="C37" i="3"/>
  <c r="C43" i="3"/>
  <c r="D20" i="3"/>
  <c r="C33" i="2"/>
  <c r="D20" i="2"/>
  <c r="E14" i="2"/>
  <c r="E20" i="1"/>
  <c r="C33" i="1"/>
  <c r="E14" i="1"/>
  <c r="E20" i="4"/>
  <c r="D31" i="4"/>
  <c r="C33" i="3"/>
  <c r="C39" i="3"/>
  <c r="E20" i="3"/>
  <c r="D31" i="3"/>
  <c r="E20" i="2"/>
  <c r="D31" i="2"/>
  <c r="D31" i="1"/>
  <c r="D37" i="4"/>
  <c r="E31" i="4"/>
  <c r="D33" i="4"/>
  <c r="E33" i="4"/>
  <c r="D37" i="3"/>
  <c r="E31" i="3"/>
  <c r="D33" i="3"/>
  <c r="E33" i="3"/>
  <c r="E31" i="2"/>
  <c r="D37" i="2"/>
  <c r="D33" i="2"/>
  <c r="E33" i="2"/>
  <c r="E31" i="1"/>
  <c r="D37" i="1"/>
  <c r="D33" i="1"/>
  <c r="E33" i="1"/>
  <c r="E37" i="4"/>
  <c r="D43" i="4"/>
  <c r="D39" i="4"/>
  <c r="E37" i="3"/>
  <c r="D43" i="3"/>
  <c r="E43" i="3"/>
  <c r="D39" i="3"/>
  <c r="E39" i="3"/>
  <c r="D39" i="2"/>
  <c r="E39" i="2"/>
  <c r="D43" i="2"/>
  <c r="E43" i="2"/>
  <c r="E37" i="2"/>
  <c r="E37" i="1"/>
  <c r="D39" i="1"/>
  <c r="E39" i="1"/>
  <c r="D43" i="1"/>
  <c r="E43" i="1"/>
  <c r="D41" i="5"/>
  <c r="D40" i="5" s="1"/>
  <c r="F45" i="5"/>
  <c r="F45" i="15"/>
  <c r="D41" i="15"/>
  <c r="D41" i="14"/>
  <c r="F45" i="14"/>
  <c r="C43" i="4"/>
  <c r="C39" i="4"/>
  <c r="E39" i="4"/>
  <c r="E43" i="4"/>
  <c r="F41" i="14"/>
  <c r="D40" i="14"/>
  <c r="D40" i="15"/>
  <c r="F41" i="15"/>
  <c r="F41" i="5" l="1"/>
  <c r="C35" i="21"/>
  <c r="C41" i="21" s="1"/>
  <c r="C47" i="21" s="1"/>
  <c r="E20" i="20"/>
  <c r="C22" i="20"/>
  <c r="C22" i="19"/>
  <c r="C35" i="19" s="1"/>
  <c r="D22" i="17"/>
  <c r="E33" i="17"/>
  <c r="C37" i="18"/>
  <c r="E16" i="19"/>
  <c r="D33" i="20"/>
  <c r="E27" i="20"/>
  <c r="E13" i="17"/>
  <c r="D16" i="18"/>
  <c r="E19" i="18"/>
  <c r="D33" i="18"/>
  <c r="D33" i="19"/>
  <c r="D16" i="20"/>
  <c r="E16" i="21"/>
  <c r="D22" i="21"/>
  <c r="E33" i="21"/>
  <c r="E13" i="18"/>
  <c r="E20" i="18"/>
  <c r="D20" i="19"/>
  <c r="E20" i="19" s="1"/>
  <c r="E19" i="19"/>
  <c r="E31" i="19"/>
  <c r="E44" i="17"/>
  <c r="E28" i="18"/>
  <c r="E11" i="20"/>
  <c r="E30" i="20"/>
  <c r="C16" i="18"/>
  <c r="C22" i="18" s="1"/>
  <c r="C35" i="18" s="1"/>
  <c r="C41" i="18" s="1"/>
  <c r="E11" i="21"/>
  <c r="E12" i="19"/>
  <c r="E27" i="19"/>
  <c r="E29" i="21"/>
  <c r="C16" i="17"/>
  <c r="C22" i="17" s="1"/>
  <c r="C33" i="17"/>
  <c r="C33" i="20"/>
  <c r="E27" i="18"/>
  <c r="C37" i="21" l="1"/>
  <c r="C43" i="21"/>
  <c r="C41" i="19"/>
  <c r="C47" i="19" s="1"/>
  <c r="C37" i="19"/>
  <c r="C43" i="19"/>
  <c r="D35" i="17"/>
  <c r="E22" i="17"/>
  <c r="C47" i="18"/>
  <c r="C43" i="18"/>
  <c r="D22" i="20"/>
  <c r="E16" i="20"/>
  <c r="D22" i="18"/>
  <c r="E16" i="18"/>
  <c r="C35" i="20"/>
  <c r="C41" i="20" s="1"/>
  <c r="E33" i="19"/>
  <c r="C35" i="17"/>
  <c r="C41" i="17" s="1"/>
  <c r="E22" i="21"/>
  <c r="D35" i="21"/>
  <c r="E33" i="18"/>
  <c r="E33" i="20"/>
  <c r="D22" i="19"/>
  <c r="E16" i="17"/>
  <c r="C47" i="17" l="1"/>
  <c r="C43" i="17"/>
  <c r="C47" i="20"/>
  <c r="C43" i="20"/>
  <c r="E22" i="20"/>
  <c r="D35" i="20"/>
  <c r="E22" i="19"/>
  <c r="D35" i="19"/>
  <c r="D41" i="17"/>
  <c r="E35" i="17"/>
  <c r="D37" i="17"/>
  <c r="D41" i="21"/>
  <c r="E35" i="21"/>
  <c r="D37" i="21"/>
  <c r="E37" i="21" s="1"/>
  <c r="D35" i="18"/>
  <c r="E22" i="18"/>
  <c r="C37" i="17"/>
  <c r="C37" i="20"/>
  <c r="E41" i="21" l="1"/>
  <c r="D47" i="21"/>
  <c r="E47" i="21" s="1"/>
  <c r="D43" i="21"/>
  <c r="E43" i="21" s="1"/>
  <c r="E35" i="19"/>
  <c r="D41" i="19"/>
  <c r="D37" i="19"/>
  <c r="E37" i="19" s="1"/>
  <c r="D41" i="18"/>
  <c r="E35" i="18"/>
  <c r="D37" i="18"/>
  <c r="E37" i="18" s="1"/>
  <c r="E37" i="17"/>
  <c r="D41" i="20"/>
  <c r="E35" i="20"/>
  <c r="D37" i="20"/>
  <c r="E37" i="20" s="1"/>
  <c r="E41" i="17"/>
  <c r="D47" i="17"/>
  <c r="E47" i="17" s="1"/>
  <c r="D43" i="17"/>
  <c r="E43" i="17" s="1"/>
  <c r="D47" i="20" l="1"/>
  <c r="E47" i="20" s="1"/>
  <c r="D43" i="20"/>
  <c r="E43" i="20" s="1"/>
  <c r="E41" i="20"/>
  <c r="E41" i="18"/>
  <c r="D47" i="18"/>
  <c r="E47" i="18" s="1"/>
  <c r="D43" i="18"/>
  <c r="E43" i="18" s="1"/>
  <c r="E41" i="19"/>
  <c r="D47" i="19"/>
  <c r="E47" i="19" s="1"/>
  <c r="D43" i="19"/>
  <c r="E43" i="19" s="1"/>
</calcChain>
</file>

<file path=xl/comments1.xml><?xml version="1.0" encoding="utf-8"?>
<comments xmlns="http://schemas.openxmlformats.org/spreadsheetml/2006/main">
  <authors>
    <author>American Electric Power®</author>
    <author>s129520</author>
  </authors>
  <commentList>
    <comment ref="D11" authorId="0">
      <text>
        <r>
          <rPr>
            <b/>
            <u/>
            <sz val="8"/>
            <color indexed="10"/>
            <rFont val="Times New Roman"/>
            <family val="1"/>
          </rPr>
          <t>Source 1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(CA-AEPEAST)</t>
        </r>
        <r>
          <rPr>
            <b/>
            <sz val="8"/>
            <color indexed="81"/>
            <rFont val="Times New Roman"/>
            <family val="1"/>
          </rPr>
          <t xml:space="preserve">
APCO/KPCO Steam section
Net MWH column
Total Big Sandy</t>
        </r>
      </text>
    </comment>
    <comment ref="E11" authorId="1">
      <text>
        <r>
          <rPr>
            <b/>
            <u/>
            <sz val="8"/>
            <color indexed="10"/>
            <rFont val="Times New Roman"/>
            <family val="1"/>
          </rPr>
          <t>Source 16</t>
        </r>
        <r>
          <rPr>
            <b/>
            <sz val="8"/>
            <color indexed="17"/>
            <rFont val="Times New Roman"/>
            <family val="1"/>
          </rPr>
          <t xml:space="preserve"> (Actual 151$ Fuel Cost)</t>
        </r>
        <r>
          <rPr>
            <b/>
            <sz val="8"/>
            <color indexed="81"/>
            <rFont val="Times New Roman"/>
            <family val="1"/>
          </rPr>
          <t xml:space="preserve">
KPCO section
Forecast 151$ column
Big Sandy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D12" authorId="0">
      <text>
        <r>
          <rPr>
            <b/>
            <u/>
            <sz val="8"/>
            <color indexed="10"/>
            <rFont val="Times New Roman"/>
            <family val="1"/>
          </rPr>
          <t>Source 4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 xml:space="preserve">(ECRRGEN2)
</t>
        </r>
        <r>
          <rPr>
            <b/>
            <sz val="8"/>
            <color indexed="81"/>
            <rFont val="Times New Roman"/>
            <family val="1"/>
          </rPr>
          <t>Rockport 1 Kentucky's portion
Total for Period (bottom right corner)</t>
        </r>
      </text>
    </comment>
    <comment ref="E12" authorId="0">
      <text>
        <r>
          <rPr>
            <b/>
            <u/>
            <sz val="8"/>
            <color indexed="10"/>
            <rFont val="Times New Roman"/>
            <family val="1"/>
          </rPr>
          <t>Source 16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(Actual 151$ Fuel Cost)</t>
        </r>
        <r>
          <rPr>
            <b/>
            <sz val="8"/>
            <color indexed="81"/>
            <rFont val="Times New Roman"/>
            <family val="1"/>
          </rPr>
          <t xml:space="preserve">
KPCO section
Forecast 151$ Column
RP AEG1</t>
        </r>
      </text>
    </comment>
    <comment ref="D16" authorId="0">
      <text>
        <r>
          <rPr>
            <b/>
            <u/>
            <sz val="8"/>
            <color indexed="10"/>
            <rFont val="Times New Roman"/>
            <family val="1"/>
          </rPr>
          <t>Source 5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(Primary/Economy sheets - IPS)</t>
        </r>
        <r>
          <rPr>
            <b/>
            <sz val="8"/>
            <color indexed="81"/>
            <rFont val="Times New Roman"/>
            <family val="1"/>
          </rPr>
          <t xml:space="preserve">
(Top section of Primary page (received) </t>
        </r>
        <r>
          <rPr>
            <b/>
            <sz val="8"/>
            <color indexed="12"/>
            <rFont val="Times New Roman"/>
            <family val="1"/>
          </rPr>
          <t>PLUS</t>
        </r>
        <r>
          <rPr>
            <b/>
            <sz val="8"/>
            <color indexed="81"/>
            <rFont val="Times New Roman"/>
            <family val="1"/>
          </rPr>
          <t xml:space="preserve">
top section of Economy page (received))
Receiving member - KPCO
MWH column
Total Kentucky</t>
        </r>
      </text>
    </comment>
    <comment ref="E16" authorId="0">
      <text>
        <r>
          <rPr>
            <b/>
            <u/>
            <sz val="8"/>
            <color indexed="10"/>
            <rFont val="Times New Roman"/>
            <family val="1"/>
          </rPr>
          <t>Source 5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(Primary/Economy sheets - IPS)</t>
        </r>
        <r>
          <rPr>
            <b/>
            <sz val="8"/>
            <color indexed="81"/>
            <rFont val="Times New Roman"/>
            <family val="1"/>
          </rPr>
          <t xml:space="preserve">
(Top section of Primary page (received) </t>
        </r>
        <r>
          <rPr>
            <b/>
            <sz val="8"/>
            <color indexed="12"/>
            <rFont val="Times New Roman"/>
            <family val="1"/>
          </rPr>
          <t xml:space="preserve">PLUS
</t>
        </r>
        <r>
          <rPr>
            <b/>
            <sz val="8"/>
            <color indexed="81"/>
            <rFont val="Times New Roman"/>
            <family val="1"/>
          </rPr>
          <t xml:space="preserve"> top section of Economy page (received))
Receiving member - KPCO
Charge ($) column
Total Kentucky</t>
        </r>
      </text>
    </comment>
    <comment ref="D17" authorId="0">
      <text>
        <r>
          <rPr>
            <b/>
            <u/>
            <sz val="8"/>
            <color indexed="10"/>
            <rFont val="Times New Roman"/>
            <family val="1"/>
          </rPr>
          <t>Source 2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(ECRFC200)</t>
        </r>
        <r>
          <rPr>
            <b/>
            <sz val="8"/>
            <color indexed="81"/>
            <rFont val="Times New Roman"/>
            <family val="1"/>
          </rPr>
          <t xml:space="preserve">
Kentucky Power section
Total MWH column
Total Cash - Kentucky</t>
        </r>
      </text>
    </comment>
    <comment ref="E17" authorId="0">
      <text>
        <r>
          <rPr>
            <b/>
            <u/>
            <sz val="8"/>
            <color indexed="10"/>
            <rFont val="Times New Roman"/>
            <family val="1"/>
          </rPr>
          <t>Source 2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(ECRFC200)</t>
        </r>
        <r>
          <rPr>
            <b/>
            <sz val="8"/>
            <color indexed="81"/>
            <rFont val="Times New Roman"/>
            <family val="1"/>
          </rPr>
          <t xml:space="preserve">
Kentucky Power section
Total Fuel Cost column
Total Cash - Kentucky</t>
        </r>
      </text>
    </comment>
    <comment ref="D18" authorId="0">
      <text>
        <r>
          <rPr>
            <b/>
            <u/>
            <sz val="8"/>
            <color indexed="10"/>
            <rFont val="Times New Roman"/>
            <family val="1"/>
          </rPr>
          <t>Source 7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(Interruptibles)</t>
        </r>
        <r>
          <rPr>
            <b/>
            <sz val="8"/>
            <color indexed="81"/>
            <rFont val="Times New Roman"/>
            <family val="1"/>
          </rPr>
          <t xml:space="preserve">
MWH section
Total receive - KPCO
</t>
        </r>
      </text>
    </comment>
    <comment ref="E18" authorId="0">
      <text>
        <r>
          <rPr>
            <b/>
            <u/>
            <sz val="8"/>
            <color indexed="10"/>
            <rFont val="Times New Roman"/>
            <family val="1"/>
          </rPr>
          <t>Source 7</t>
        </r>
        <r>
          <rPr>
            <b/>
            <sz val="8"/>
            <color indexed="17"/>
            <rFont val="Times New Roman"/>
            <family val="1"/>
          </rPr>
          <t xml:space="preserve"> (Interruptibles)</t>
        </r>
        <r>
          <rPr>
            <b/>
            <sz val="8"/>
            <color indexed="81"/>
            <rFont val="Times New Roman"/>
            <family val="1"/>
          </rPr>
          <t xml:space="preserve">
151 Cost Section
Total Receive - KPCO
</t>
        </r>
      </text>
    </comment>
    <comment ref="D26" authorId="0">
      <text>
        <r>
          <rPr>
            <b/>
            <u/>
            <sz val="8"/>
            <color indexed="10"/>
            <rFont val="Times New Roman"/>
            <family val="1"/>
          </rPr>
          <t>Source 5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(Primary/Economy sheets - IPS)</t>
        </r>
        <r>
          <rPr>
            <b/>
            <sz val="8"/>
            <color indexed="81"/>
            <rFont val="Times New Roman"/>
            <family val="1"/>
          </rPr>
          <t xml:space="preserve">
Bottom section of Primary page (delivered) </t>
        </r>
        <r>
          <rPr>
            <b/>
            <sz val="8"/>
            <color indexed="12"/>
            <rFont val="Times New Roman"/>
            <family val="1"/>
          </rPr>
          <t>PLUS</t>
        </r>
        <r>
          <rPr>
            <b/>
            <sz val="8"/>
            <color indexed="81"/>
            <rFont val="Times New Roman"/>
            <family val="1"/>
          </rPr>
          <t xml:space="preserve">
bottom section of Economy page (delivered)
MWH column
Total Kentucky</t>
        </r>
      </text>
    </comment>
    <comment ref="E26" authorId="0">
      <text>
        <r>
          <rPr>
            <b/>
            <u/>
            <sz val="8"/>
            <color indexed="10"/>
            <rFont val="Times New Roman"/>
            <family val="1"/>
          </rPr>
          <t>Source 5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(Primary/Economy sheets - IPS)</t>
        </r>
        <r>
          <rPr>
            <b/>
            <sz val="8"/>
            <color indexed="81"/>
            <rFont val="Times New Roman"/>
            <family val="1"/>
          </rPr>
          <t xml:space="preserve">
Bottom section of Primary page (delivered) </t>
        </r>
        <r>
          <rPr>
            <b/>
            <sz val="8"/>
            <color indexed="12"/>
            <rFont val="Times New Roman"/>
            <family val="1"/>
          </rPr>
          <t>PLUS</t>
        </r>
        <r>
          <rPr>
            <b/>
            <sz val="8"/>
            <color indexed="81"/>
            <rFont val="Times New Roman"/>
            <family val="1"/>
          </rPr>
          <t xml:space="preserve">
bottom section of Economy page (delivered)
Credit ($) column
Total Kentucky</t>
        </r>
      </text>
    </comment>
    <comment ref="D27" authorId="0">
      <text>
        <r>
          <rPr>
            <b/>
            <u/>
            <sz val="8"/>
            <color indexed="10"/>
            <rFont val="Times New Roman"/>
            <family val="1"/>
          </rPr>
          <t>Source 3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(ECRM422P)</t>
        </r>
        <r>
          <rPr>
            <b/>
            <sz val="8"/>
            <color indexed="81"/>
            <rFont val="Times New Roman"/>
            <family val="1"/>
          </rPr>
          <t xml:space="preserve">
Kentucky Power section
Allocated MWH column
AEG1 (right before total)</t>
        </r>
      </text>
    </comment>
    <comment ref="E27" authorId="0">
      <text>
        <r>
          <rPr>
            <b/>
            <u/>
            <sz val="8"/>
            <color indexed="10"/>
            <rFont val="Times New Roman"/>
            <family val="1"/>
          </rPr>
          <t>Source 3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(ECRM422P)</t>
        </r>
        <r>
          <rPr>
            <b/>
            <sz val="8"/>
            <color indexed="81"/>
            <rFont val="Times New Roman"/>
            <family val="1"/>
          </rPr>
          <t xml:space="preserve">
Kentucky Power section
151 column
AEG1 (right before total)
</t>
        </r>
      </text>
    </comment>
    <comment ref="D28" authorId="0">
      <text>
        <r>
          <rPr>
            <b/>
            <u/>
            <sz val="8"/>
            <color indexed="10"/>
            <rFont val="Times New Roman"/>
            <family val="1"/>
          </rPr>
          <t>Source 2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(ECRFC200)</t>
        </r>
        <r>
          <rPr>
            <b/>
            <sz val="8"/>
            <color indexed="81"/>
            <rFont val="Times New Roman"/>
            <family val="1"/>
          </rPr>
          <t xml:space="preserve">
Kentucky Power section
Allocated MWH column
Total Cash - Kentucky</t>
        </r>
      </text>
    </comment>
    <comment ref="E28" authorId="0">
      <text>
        <r>
          <rPr>
            <b/>
            <u/>
            <sz val="8"/>
            <color indexed="10"/>
            <rFont val="Times New Roman"/>
            <family val="1"/>
          </rPr>
          <t>Source 2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(ECRFC200)</t>
        </r>
        <r>
          <rPr>
            <b/>
            <sz val="8"/>
            <color indexed="81"/>
            <rFont val="Times New Roman"/>
            <family val="1"/>
          </rPr>
          <t xml:space="preserve">
Kentucky Power section
Allocated Fuel Cost column
Total Cash - Kentucky</t>
        </r>
      </text>
    </comment>
    <comment ref="D29" authorId="0">
      <text>
        <r>
          <rPr>
            <b/>
            <u/>
            <sz val="8"/>
            <color indexed="10"/>
            <rFont val="Times New Roman"/>
            <family val="1"/>
          </rPr>
          <t>Source 3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(ECRM422P)</t>
        </r>
        <r>
          <rPr>
            <b/>
            <sz val="8"/>
            <color indexed="81"/>
            <rFont val="Times New Roman"/>
            <family val="1"/>
          </rPr>
          <t xml:space="preserve">
Kentucky Power section
Allocated MWH column
Total Kentucky units</t>
        </r>
      </text>
    </comment>
    <comment ref="E29" authorId="0">
      <text>
        <r>
          <rPr>
            <b/>
            <u/>
            <sz val="8"/>
            <color indexed="10"/>
            <rFont val="Times New Roman"/>
            <family val="1"/>
          </rPr>
          <t>Source 3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(ECRM422P)</t>
        </r>
        <r>
          <rPr>
            <b/>
            <sz val="8"/>
            <color indexed="81"/>
            <rFont val="Times New Roman"/>
            <family val="1"/>
          </rPr>
          <t xml:space="preserve">
Kentucky Power section
151 column
Total Kentucky units
</t>
        </r>
        <r>
          <rPr>
            <b/>
            <u/>
            <sz val="8"/>
            <color indexed="12"/>
            <rFont val="Times New Roman"/>
            <family val="1"/>
          </rPr>
          <t>LESS</t>
        </r>
        <r>
          <rPr>
            <b/>
            <sz val="8"/>
            <color indexed="12"/>
            <rFont val="Times New Roman"/>
            <family val="1"/>
          </rPr>
          <t xml:space="preserve"> 
</t>
        </r>
        <r>
          <rPr>
            <b/>
            <u/>
            <sz val="8"/>
            <color indexed="10"/>
            <rFont val="Times New Roman"/>
            <family val="1"/>
          </rPr>
          <t>Source 16</t>
        </r>
        <r>
          <rPr>
            <b/>
            <sz val="8"/>
            <color indexed="12"/>
            <rFont val="Times New Roman"/>
            <family val="1"/>
          </rPr>
          <t xml:space="preserve">
</t>
        </r>
        <r>
          <rPr>
            <b/>
            <sz val="8"/>
            <color indexed="81"/>
            <rFont val="Times New Roman"/>
            <family val="1"/>
          </rPr>
          <t>consumables (chemicals)</t>
        </r>
      </text>
    </comment>
    <comment ref="D30" authorId="0">
      <text>
        <r>
          <rPr>
            <b/>
            <u/>
            <sz val="8"/>
            <color indexed="10"/>
            <rFont val="Times New Roman"/>
            <family val="1"/>
          </rPr>
          <t>Source 7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(Interruptbiles)</t>
        </r>
        <r>
          <rPr>
            <b/>
            <sz val="8"/>
            <color indexed="81"/>
            <rFont val="Times New Roman"/>
            <family val="1"/>
          </rPr>
          <t xml:space="preserve">
MWH section
Total deliver -KPCO</t>
        </r>
      </text>
    </comment>
    <comment ref="E30" authorId="0">
      <text>
        <r>
          <rPr>
            <b/>
            <u/>
            <sz val="8"/>
            <color indexed="10"/>
            <rFont val="Times New Roman"/>
            <family val="1"/>
          </rPr>
          <t>Source 7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(Interruptibles)</t>
        </r>
        <r>
          <rPr>
            <b/>
            <sz val="8"/>
            <color indexed="81"/>
            <rFont val="Times New Roman"/>
            <family val="1"/>
          </rPr>
          <t xml:space="preserve">
151 Cost Section
Total deliver - KPCO</t>
        </r>
      </text>
    </comment>
    <comment ref="D45" authorId="0">
      <text>
        <r>
          <rPr>
            <b/>
            <u/>
            <sz val="8"/>
            <color indexed="10"/>
            <rFont val="Times New Roman"/>
            <family val="1"/>
          </rPr>
          <t>NET ENERGY REQUIRMENT LINE O36 KPCO</t>
        </r>
        <r>
          <rPr>
            <b/>
            <sz val="8"/>
            <color indexed="81"/>
            <rFont val="Times New Roman"/>
            <family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American Electric Power®</author>
    <author>s129520</author>
  </authors>
  <commentList>
    <comment ref="D11" authorId="0">
      <text>
        <r>
          <rPr>
            <b/>
            <u/>
            <sz val="8"/>
            <color indexed="10"/>
            <rFont val="Times New Roman"/>
            <family val="1"/>
          </rPr>
          <t>Source 1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(CA-AEPEAST)</t>
        </r>
        <r>
          <rPr>
            <b/>
            <sz val="8"/>
            <color indexed="81"/>
            <rFont val="Times New Roman"/>
            <family val="1"/>
          </rPr>
          <t xml:space="preserve">
APCO/KPCO Steam section
Net MWH column
Total Big Sandy</t>
        </r>
      </text>
    </comment>
    <comment ref="E11" authorId="1">
      <text>
        <r>
          <rPr>
            <b/>
            <u/>
            <sz val="8"/>
            <color indexed="10"/>
            <rFont val="Times New Roman"/>
            <family val="1"/>
          </rPr>
          <t>Source 16</t>
        </r>
        <r>
          <rPr>
            <b/>
            <sz val="8"/>
            <color indexed="17"/>
            <rFont val="Times New Roman"/>
            <family val="1"/>
          </rPr>
          <t xml:space="preserve"> (Actual 151$ Fuel Cost)</t>
        </r>
        <r>
          <rPr>
            <b/>
            <sz val="8"/>
            <color indexed="81"/>
            <rFont val="Times New Roman"/>
            <family val="1"/>
          </rPr>
          <t xml:space="preserve">
KPCO section
Forecast 151$ column
Big Sandy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D12" authorId="0">
      <text>
        <r>
          <rPr>
            <b/>
            <u/>
            <sz val="8"/>
            <color indexed="10"/>
            <rFont val="Times New Roman"/>
            <family val="1"/>
          </rPr>
          <t>Source 4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 xml:space="preserve">(ECRRGEN2)
</t>
        </r>
        <r>
          <rPr>
            <b/>
            <sz val="8"/>
            <color indexed="81"/>
            <rFont val="Times New Roman"/>
            <family val="1"/>
          </rPr>
          <t>Rockport 1 Kentucky's portion
Total for Period (bottom right corner)</t>
        </r>
      </text>
    </comment>
    <comment ref="E12" authorId="0">
      <text>
        <r>
          <rPr>
            <b/>
            <u/>
            <sz val="8"/>
            <color indexed="10"/>
            <rFont val="Times New Roman"/>
            <family val="1"/>
          </rPr>
          <t>Source 16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(Actual 151$ Fuel Cost)</t>
        </r>
        <r>
          <rPr>
            <b/>
            <sz val="8"/>
            <color indexed="81"/>
            <rFont val="Times New Roman"/>
            <family val="1"/>
          </rPr>
          <t xml:space="preserve">
KPCO section
Forecast 151$ Column
RP AEG1</t>
        </r>
      </text>
    </comment>
    <comment ref="D16" authorId="0">
      <text>
        <r>
          <rPr>
            <b/>
            <u/>
            <sz val="8"/>
            <color indexed="10"/>
            <rFont val="Times New Roman"/>
            <family val="1"/>
          </rPr>
          <t>Source 5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(Primary/Economy sheets - IPS)</t>
        </r>
        <r>
          <rPr>
            <b/>
            <sz val="8"/>
            <color indexed="81"/>
            <rFont val="Times New Roman"/>
            <family val="1"/>
          </rPr>
          <t xml:space="preserve">
(Top section of Primary page (received) </t>
        </r>
        <r>
          <rPr>
            <b/>
            <sz val="8"/>
            <color indexed="12"/>
            <rFont val="Times New Roman"/>
            <family val="1"/>
          </rPr>
          <t>PLUS</t>
        </r>
        <r>
          <rPr>
            <b/>
            <sz val="8"/>
            <color indexed="81"/>
            <rFont val="Times New Roman"/>
            <family val="1"/>
          </rPr>
          <t xml:space="preserve">
top section of Economy page (received))
Receiving member - KPCO
MWH column
Total Kentucky</t>
        </r>
      </text>
    </comment>
    <comment ref="E16" authorId="0">
      <text>
        <r>
          <rPr>
            <b/>
            <u/>
            <sz val="8"/>
            <color indexed="10"/>
            <rFont val="Times New Roman"/>
            <family val="1"/>
          </rPr>
          <t>Source 5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(Primary/Economy sheets - IPS)</t>
        </r>
        <r>
          <rPr>
            <b/>
            <sz val="8"/>
            <color indexed="81"/>
            <rFont val="Times New Roman"/>
            <family val="1"/>
          </rPr>
          <t xml:space="preserve">
(Top section of Primary page (received) </t>
        </r>
        <r>
          <rPr>
            <b/>
            <sz val="8"/>
            <color indexed="12"/>
            <rFont val="Times New Roman"/>
            <family val="1"/>
          </rPr>
          <t xml:space="preserve">PLUS
</t>
        </r>
        <r>
          <rPr>
            <b/>
            <sz val="8"/>
            <color indexed="81"/>
            <rFont val="Times New Roman"/>
            <family val="1"/>
          </rPr>
          <t xml:space="preserve"> top section of Economy page (received))
Receiving member - KPCO
Charge ($) column
Total Kentucky</t>
        </r>
      </text>
    </comment>
    <comment ref="D17" authorId="0">
      <text>
        <r>
          <rPr>
            <b/>
            <u/>
            <sz val="8"/>
            <color indexed="10"/>
            <rFont val="Times New Roman"/>
            <family val="1"/>
          </rPr>
          <t>Source 2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(ECRFC200)</t>
        </r>
        <r>
          <rPr>
            <b/>
            <sz val="8"/>
            <color indexed="81"/>
            <rFont val="Times New Roman"/>
            <family val="1"/>
          </rPr>
          <t xml:space="preserve">
Kentucky Power section
Total MWH column
Total Cash - Kentucky</t>
        </r>
      </text>
    </comment>
    <comment ref="E17" authorId="0">
      <text>
        <r>
          <rPr>
            <b/>
            <u/>
            <sz val="8"/>
            <color indexed="10"/>
            <rFont val="Times New Roman"/>
            <family val="1"/>
          </rPr>
          <t>Source 2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(ECRFC200)</t>
        </r>
        <r>
          <rPr>
            <b/>
            <sz val="8"/>
            <color indexed="81"/>
            <rFont val="Times New Roman"/>
            <family val="1"/>
          </rPr>
          <t xml:space="preserve">
Kentucky Power section
Total Fuel Cost column
Total Cash - Kentucky</t>
        </r>
      </text>
    </comment>
    <comment ref="D18" authorId="0">
      <text>
        <r>
          <rPr>
            <b/>
            <u/>
            <sz val="8"/>
            <color indexed="10"/>
            <rFont val="Times New Roman"/>
            <family val="1"/>
          </rPr>
          <t>Source 7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(Interruptibles)</t>
        </r>
        <r>
          <rPr>
            <b/>
            <sz val="8"/>
            <color indexed="81"/>
            <rFont val="Times New Roman"/>
            <family val="1"/>
          </rPr>
          <t xml:space="preserve">
MWH section
Total receive - KPCO
</t>
        </r>
      </text>
    </comment>
    <comment ref="E18" authorId="0">
      <text>
        <r>
          <rPr>
            <b/>
            <u/>
            <sz val="8"/>
            <color indexed="10"/>
            <rFont val="Times New Roman"/>
            <family val="1"/>
          </rPr>
          <t>Source 7</t>
        </r>
        <r>
          <rPr>
            <b/>
            <sz val="8"/>
            <color indexed="17"/>
            <rFont val="Times New Roman"/>
            <family val="1"/>
          </rPr>
          <t xml:space="preserve"> (Interruptibles)</t>
        </r>
        <r>
          <rPr>
            <b/>
            <sz val="8"/>
            <color indexed="81"/>
            <rFont val="Times New Roman"/>
            <family val="1"/>
          </rPr>
          <t xml:space="preserve">
151 Cost Section
Total Receive - KPCO
</t>
        </r>
      </text>
    </comment>
    <comment ref="D26" authorId="0">
      <text>
        <r>
          <rPr>
            <b/>
            <u/>
            <sz val="8"/>
            <color indexed="10"/>
            <rFont val="Times New Roman"/>
            <family val="1"/>
          </rPr>
          <t>Source 5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(Primary/Economy sheets - IPS)</t>
        </r>
        <r>
          <rPr>
            <b/>
            <sz val="8"/>
            <color indexed="81"/>
            <rFont val="Times New Roman"/>
            <family val="1"/>
          </rPr>
          <t xml:space="preserve">
Bottom section of Primary page (delivered) </t>
        </r>
        <r>
          <rPr>
            <b/>
            <sz val="8"/>
            <color indexed="12"/>
            <rFont val="Times New Roman"/>
            <family val="1"/>
          </rPr>
          <t>PLUS</t>
        </r>
        <r>
          <rPr>
            <b/>
            <sz val="8"/>
            <color indexed="81"/>
            <rFont val="Times New Roman"/>
            <family val="1"/>
          </rPr>
          <t xml:space="preserve">
bottom section of Economy page (delivered)
MWH column
Total Kentucky</t>
        </r>
      </text>
    </comment>
    <comment ref="E26" authorId="0">
      <text>
        <r>
          <rPr>
            <b/>
            <u/>
            <sz val="8"/>
            <color indexed="10"/>
            <rFont val="Times New Roman"/>
            <family val="1"/>
          </rPr>
          <t>Source 5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(Primary/Economy sheets - IPS)</t>
        </r>
        <r>
          <rPr>
            <b/>
            <sz val="8"/>
            <color indexed="81"/>
            <rFont val="Times New Roman"/>
            <family val="1"/>
          </rPr>
          <t xml:space="preserve">
Bottom section of Primary page (delivered) </t>
        </r>
        <r>
          <rPr>
            <b/>
            <sz val="8"/>
            <color indexed="12"/>
            <rFont val="Times New Roman"/>
            <family val="1"/>
          </rPr>
          <t>PLUS</t>
        </r>
        <r>
          <rPr>
            <b/>
            <sz val="8"/>
            <color indexed="81"/>
            <rFont val="Times New Roman"/>
            <family val="1"/>
          </rPr>
          <t xml:space="preserve">
bottom section of Economy page (delivered)
Credit ($) column
Total Kentucky</t>
        </r>
      </text>
    </comment>
    <comment ref="D27" authorId="0">
      <text>
        <r>
          <rPr>
            <b/>
            <u/>
            <sz val="8"/>
            <color indexed="10"/>
            <rFont val="Times New Roman"/>
            <family val="1"/>
          </rPr>
          <t>Source 3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(ECRM422P)</t>
        </r>
        <r>
          <rPr>
            <b/>
            <sz val="8"/>
            <color indexed="81"/>
            <rFont val="Times New Roman"/>
            <family val="1"/>
          </rPr>
          <t xml:space="preserve">
Kentucky Power section
Allocated MWH column
AEG1 (right before total)</t>
        </r>
      </text>
    </comment>
    <comment ref="E27" authorId="0">
      <text>
        <r>
          <rPr>
            <b/>
            <u/>
            <sz val="8"/>
            <color indexed="10"/>
            <rFont val="Times New Roman"/>
            <family val="1"/>
          </rPr>
          <t>Source 3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(ECRM422P)</t>
        </r>
        <r>
          <rPr>
            <b/>
            <sz val="8"/>
            <color indexed="81"/>
            <rFont val="Times New Roman"/>
            <family val="1"/>
          </rPr>
          <t xml:space="preserve">
Kentucky Power section
151 column
AEG1 (right before total)
</t>
        </r>
      </text>
    </comment>
    <comment ref="D28" authorId="0">
      <text>
        <r>
          <rPr>
            <b/>
            <u/>
            <sz val="8"/>
            <color indexed="10"/>
            <rFont val="Times New Roman"/>
            <family val="1"/>
          </rPr>
          <t>Source 2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(ECRFC200)</t>
        </r>
        <r>
          <rPr>
            <b/>
            <sz val="8"/>
            <color indexed="81"/>
            <rFont val="Times New Roman"/>
            <family val="1"/>
          </rPr>
          <t xml:space="preserve">
Kentucky Power section
Allocated MWH column
Total Cash - Kentucky</t>
        </r>
      </text>
    </comment>
    <comment ref="E28" authorId="0">
      <text>
        <r>
          <rPr>
            <b/>
            <u/>
            <sz val="8"/>
            <color indexed="10"/>
            <rFont val="Times New Roman"/>
            <family val="1"/>
          </rPr>
          <t>Source 2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(ECRFC200)</t>
        </r>
        <r>
          <rPr>
            <b/>
            <sz val="8"/>
            <color indexed="81"/>
            <rFont val="Times New Roman"/>
            <family val="1"/>
          </rPr>
          <t xml:space="preserve">
Kentucky Power section
Allocated Fuel Cost column
Total Cash - Kentucky</t>
        </r>
      </text>
    </comment>
    <comment ref="D29" authorId="0">
      <text>
        <r>
          <rPr>
            <b/>
            <u/>
            <sz val="8"/>
            <color indexed="10"/>
            <rFont val="Times New Roman"/>
            <family val="1"/>
          </rPr>
          <t>Source 3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(ECRM422P)</t>
        </r>
        <r>
          <rPr>
            <b/>
            <sz val="8"/>
            <color indexed="81"/>
            <rFont val="Times New Roman"/>
            <family val="1"/>
          </rPr>
          <t xml:space="preserve">
Kentucky Power section
Allocated MWH column
Total Kentucky units</t>
        </r>
      </text>
    </comment>
    <comment ref="E29" authorId="0">
      <text>
        <r>
          <rPr>
            <b/>
            <u/>
            <sz val="8"/>
            <color indexed="10"/>
            <rFont val="Times New Roman"/>
            <family val="1"/>
          </rPr>
          <t>Source 3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(ECRM422P)</t>
        </r>
        <r>
          <rPr>
            <b/>
            <sz val="8"/>
            <color indexed="81"/>
            <rFont val="Times New Roman"/>
            <family val="1"/>
          </rPr>
          <t xml:space="preserve">
Kentucky Power section
151 column
Total Kentucky units
</t>
        </r>
        <r>
          <rPr>
            <b/>
            <u/>
            <sz val="8"/>
            <color indexed="12"/>
            <rFont val="Times New Roman"/>
            <family val="1"/>
          </rPr>
          <t>LESS</t>
        </r>
        <r>
          <rPr>
            <b/>
            <sz val="8"/>
            <color indexed="12"/>
            <rFont val="Times New Roman"/>
            <family val="1"/>
          </rPr>
          <t xml:space="preserve"> 
</t>
        </r>
        <r>
          <rPr>
            <b/>
            <u/>
            <sz val="8"/>
            <color indexed="10"/>
            <rFont val="Times New Roman"/>
            <family val="1"/>
          </rPr>
          <t>Source 16</t>
        </r>
        <r>
          <rPr>
            <b/>
            <sz val="8"/>
            <color indexed="12"/>
            <rFont val="Times New Roman"/>
            <family val="1"/>
          </rPr>
          <t xml:space="preserve">
</t>
        </r>
        <r>
          <rPr>
            <b/>
            <sz val="8"/>
            <color indexed="81"/>
            <rFont val="Times New Roman"/>
            <family val="1"/>
          </rPr>
          <t>consumables (chemicals)</t>
        </r>
      </text>
    </comment>
    <comment ref="D30" authorId="0">
      <text>
        <r>
          <rPr>
            <b/>
            <u/>
            <sz val="8"/>
            <color indexed="10"/>
            <rFont val="Times New Roman"/>
            <family val="1"/>
          </rPr>
          <t>Source 7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(Interruptbiles)</t>
        </r>
        <r>
          <rPr>
            <b/>
            <sz val="8"/>
            <color indexed="81"/>
            <rFont val="Times New Roman"/>
            <family val="1"/>
          </rPr>
          <t xml:space="preserve">
MWH section
Total deliver -KPCO</t>
        </r>
      </text>
    </comment>
    <comment ref="E30" authorId="0">
      <text>
        <r>
          <rPr>
            <b/>
            <u/>
            <sz val="8"/>
            <color indexed="10"/>
            <rFont val="Times New Roman"/>
            <family val="1"/>
          </rPr>
          <t>Source 7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(Interruptibles)</t>
        </r>
        <r>
          <rPr>
            <b/>
            <sz val="8"/>
            <color indexed="81"/>
            <rFont val="Times New Roman"/>
            <family val="1"/>
          </rPr>
          <t xml:space="preserve">
151 Cost Section
Total deliver - KPCO</t>
        </r>
      </text>
    </comment>
    <comment ref="D45" authorId="0">
      <text>
        <r>
          <rPr>
            <b/>
            <u/>
            <sz val="8"/>
            <color indexed="10"/>
            <rFont val="Times New Roman"/>
            <family val="1"/>
          </rPr>
          <t>NET ENERGY REQUIRMENT LINE O36 KPCO</t>
        </r>
        <r>
          <rPr>
            <b/>
            <sz val="8"/>
            <color indexed="81"/>
            <rFont val="Times New Roman"/>
            <family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American Electric Power®</author>
    <author>s129520</author>
  </authors>
  <commentList>
    <comment ref="D11" authorId="0">
      <text>
        <r>
          <rPr>
            <b/>
            <u/>
            <sz val="8"/>
            <color indexed="10"/>
            <rFont val="Times New Roman"/>
            <family val="1"/>
          </rPr>
          <t>Source 1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(CA-AEPEAST)</t>
        </r>
        <r>
          <rPr>
            <b/>
            <sz val="8"/>
            <color indexed="81"/>
            <rFont val="Times New Roman"/>
            <family val="1"/>
          </rPr>
          <t xml:space="preserve">
APCO/KPCO Steam section
Net MWH column
Total Big Sandy</t>
        </r>
      </text>
    </comment>
    <comment ref="E11" authorId="1">
      <text>
        <r>
          <rPr>
            <b/>
            <u/>
            <sz val="8"/>
            <color indexed="10"/>
            <rFont val="Times New Roman"/>
            <family val="1"/>
          </rPr>
          <t>Source 16</t>
        </r>
        <r>
          <rPr>
            <b/>
            <sz val="8"/>
            <color indexed="17"/>
            <rFont val="Times New Roman"/>
            <family val="1"/>
          </rPr>
          <t xml:space="preserve"> (Actual 151$ Fuel Cost)</t>
        </r>
        <r>
          <rPr>
            <b/>
            <sz val="8"/>
            <color indexed="81"/>
            <rFont val="Times New Roman"/>
            <family val="1"/>
          </rPr>
          <t xml:space="preserve">
KPCO section
Forecast 151$ column
Big Sandy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D12" authorId="0">
      <text>
        <r>
          <rPr>
            <b/>
            <u/>
            <sz val="8"/>
            <color indexed="10"/>
            <rFont val="Times New Roman"/>
            <family val="1"/>
          </rPr>
          <t>Source 4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 xml:space="preserve">(ECRRGEN2)
</t>
        </r>
        <r>
          <rPr>
            <b/>
            <sz val="8"/>
            <color indexed="81"/>
            <rFont val="Times New Roman"/>
            <family val="1"/>
          </rPr>
          <t>Rockport 1 Kentucky's portion
Total for Period (bottom right corner)</t>
        </r>
      </text>
    </comment>
    <comment ref="E12" authorId="0">
      <text>
        <r>
          <rPr>
            <b/>
            <u/>
            <sz val="8"/>
            <color indexed="10"/>
            <rFont val="Times New Roman"/>
            <family val="1"/>
          </rPr>
          <t>Source 16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(Actual 151$ Fuel Cost)</t>
        </r>
        <r>
          <rPr>
            <b/>
            <sz val="8"/>
            <color indexed="81"/>
            <rFont val="Times New Roman"/>
            <family val="1"/>
          </rPr>
          <t xml:space="preserve">
KPCO section
Forecast 151$ Column
RP AEG1</t>
        </r>
      </text>
    </comment>
    <comment ref="D16" authorId="0">
      <text>
        <r>
          <rPr>
            <b/>
            <u/>
            <sz val="8"/>
            <color indexed="10"/>
            <rFont val="Times New Roman"/>
            <family val="1"/>
          </rPr>
          <t>Source 5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(Primary/Economy sheets - IPS)</t>
        </r>
        <r>
          <rPr>
            <b/>
            <sz val="8"/>
            <color indexed="81"/>
            <rFont val="Times New Roman"/>
            <family val="1"/>
          </rPr>
          <t xml:space="preserve">
(Top section of Primary page (received) </t>
        </r>
        <r>
          <rPr>
            <b/>
            <sz val="8"/>
            <color indexed="12"/>
            <rFont val="Times New Roman"/>
            <family val="1"/>
          </rPr>
          <t>PLUS</t>
        </r>
        <r>
          <rPr>
            <b/>
            <sz val="8"/>
            <color indexed="81"/>
            <rFont val="Times New Roman"/>
            <family val="1"/>
          </rPr>
          <t xml:space="preserve">
top section of Economy page (received))
Receiving member - KPCO
MWH column
Total Kentucky</t>
        </r>
      </text>
    </comment>
    <comment ref="E16" authorId="0">
      <text>
        <r>
          <rPr>
            <b/>
            <u/>
            <sz val="8"/>
            <color indexed="10"/>
            <rFont val="Times New Roman"/>
            <family val="1"/>
          </rPr>
          <t>Source 5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(Primary/Economy sheets - IPS)</t>
        </r>
        <r>
          <rPr>
            <b/>
            <sz val="8"/>
            <color indexed="81"/>
            <rFont val="Times New Roman"/>
            <family val="1"/>
          </rPr>
          <t xml:space="preserve">
(Top section of Primary page (received) </t>
        </r>
        <r>
          <rPr>
            <b/>
            <sz val="8"/>
            <color indexed="12"/>
            <rFont val="Times New Roman"/>
            <family val="1"/>
          </rPr>
          <t xml:space="preserve">PLUS
</t>
        </r>
        <r>
          <rPr>
            <b/>
            <sz val="8"/>
            <color indexed="81"/>
            <rFont val="Times New Roman"/>
            <family val="1"/>
          </rPr>
          <t xml:space="preserve"> top section of Economy page (received))
Receiving member - KPCO
Charge ($) column
Total Kentucky</t>
        </r>
      </text>
    </comment>
    <comment ref="D17" authorId="0">
      <text>
        <r>
          <rPr>
            <b/>
            <u/>
            <sz val="8"/>
            <color indexed="10"/>
            <rFont val="Times New Roman"/>
            <family val="1"/>
          </rPr>
          <t>Source 2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(ECRFC200)</t>
        </r>
        <r>
          <rPr>
            <b/>
            <sz val="8"/>
            <color indexed="81"/>
            <rFont val="Times New Roman"/>
            <family val="1"/>
          </rPr>
          <t xml:space="preserve">
Kentucky Power section
Total MWH column
Total Cash - Kentucky</t>
        </r>
      </text>
    </comment>
    <comment ref="E17" authorId="0">
      <text>
        <r>
          <rPr>
            <b/>
            <u/>
            <sz val="8"/>
            <color indexed="10"/>
            <rFont val="Times New Roman"/>
            <family val="1"/>
          </rPr>
          <t>Source 2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(ECRFC200)</t>
        </r>
        <r>
          <rPr>
            <b/>
            <sz val="8"/>
            <color indexed="81"/>
            <rFont val="Times New Roman"/>
            <family val="1"/>
          </rPr>
          <t xml:space="preserve">
Kentucky Power section
Total Fuel Cost column
Total Cash - Kentucky</t>
        </r>
      </text>
    </comment>
    <comment ref="D18" authorId="0">
      <text>
        <r>
          <rPr>
            <b/>
            <u/>
            <sz val="8"/>
            <color indexed="10"/>
            <rFont val="Times New Roman"/>
            <family val="1"/>
          </rPr>
          <t>Source 7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(Interruptibles)</t>
        </r>
        <r>
          <rPr>
            <b/>
            <sz val="8"/>
            <color indexed="81"/>
            <rFont val="Times New Roman"/>
            <family val="1"/>
          </rPr>
          <t xml:space="preserve">
MWH section
Total receive - KPCO
</t>
        </r>
      </text>
    </comment>
    <comment ref="E18" authorId="0">
      <text>
        <r>
          <rPr>
            <b/>
            <u/>
            <sz val="8"/>
            <color indexed="10"/>
            <rFont val="Times New Roman"/>
            <family val="1"/>
          </rPr>
          <t>Source 7</t>
        </r>
        <r>
          <rPr>
            <b/>
            <sz val="8"/>
            <color indexed="17"/>
            <rFont val="Times New Roman"/>
            <family val="1"/>
          </rPr>
          <t xml:space="preserve"> (Interruptibles)</t>
        </r>
        <r>
          <rPr>
            <b/>
            <sz val="8"/>
            <color indexed="81"/>
            <rFont val="Times New Roman"/>
            <family val="1"/>
          </rPr>
          <t xml:space="preserve">
151 Cost Section
Total Receive - KPCO
</t>
        </r>
      </text>
    </comment>
    <comment ref="D26" authorId="0">
      <text>
        <r>
          <rPr>
            <b/>
            <u/>
            <sz val="8"/>
            <color indexed="10"/>
            <rFont val="Times New Roman"/>
            <family val="1"/>
          </rPr>
          <t>Source 5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(Primary/Economy sheets - IPS)</t>
        </r>
        <r>
          <rPr>
            <b/>
            <sz val="8"/>
            <color indexed="81"/>
            <rFont val="Times New Roman"/>
            <family val="1"/>
          </rPr>
          <t xml:space="preserve">
Bottom section of Primary page (delivered) </t>
        </r>
        <r>
          <rPr>
            <b/>
            <sz val="8"/>
            <color indexed="12"/>
            <rFont val="Times New Roman"/>
            <family val="1"/>
          </rPr>
          <t>PLUS</t>
        </r>
        <r>
          <rPr>
            <b/>
            <sz val="8"/>
            <color indexed="81"/>
            <rFont val="Times New Roman"/>
            <family val="1"/>
          </rPr>
          <t xml:space="preserve">
bottom section of Economy page (delivered)
MWH column
Total Kentucky</t>
        </r>
      </text>
    </comment>
    <comment ref="E26" authorId="0">
      <text>
        <r>
          <rPr>
            <b/>
            <u/>
            <sz val="8"/>
            <color indexed="10"/>
            <rFont val="Times New Roman"/>
            <family val="1"/>
          </rPr>
          <t>Source 5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(Primary/Economy sheets - IPS)</t>
        </r>
        <r>
          <rPr>
            <b/>
            <sz val="8"/>
            <color indexed="81"/>
            <rFont val="Times New Roman"/>
            <family val="1"/>
          </rPr>
          <t xml:space="preserve">
Bottom section of Primary page (delivered) </t>
        </r>
        <r>
          <rPr>
            <b/>
            <sz val="8"/>
            <color indexed="12"/>
            <rFont val="Times New Roman"/>
            <family val="1"/>
          </rPr>
          <t>PLUS</t>
        </r>
        <r>
          <rPr>
            <b/>
            <sz val="8"/>
            <color indexed="81"/>
            <rFont val="Times New Roman"/>
            <family val="1"/>
          </rPr>
          <t xml:space="preserve">
bottom section of Economy page (delivered)
Credit ($) column
Total Kentucky</t>
        </r>
      </text>
    </comment>
    <comment ref="D27" authorId="0">
      <text>
        <r>
          <rPr>
            <b/>
            <u/>
            <sz val="8"/>
            <color indexed="10"/>
            <rFont val="Times New Roman"/>
            <family val="1"/>
          </rPr>
          <t>Source 3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(ECRM422P)</t>
        </r>
        <r>
          <rPr>
            <b/>
            <sz val="8"/>
            <color indexed="81"/>
            <rFont val="Times New Roman"/>
            <family val="1"/>
          </rPr>
          <t xml:space="preserve">
Kentucky Power section
Allocated MWH column
AEG1 (right before total)</t>
        </r>
      </text>
    </comment>
    <comment ref="E27" authorId="0">
      <text>
        <r>
          <rPr>
            <b/>
            <u/>
            <sz val="8"/>
            <color indexed="10"/>
            <rFont val="Times New Roman"/>
            <family val="1"/>
          </rPr>
          <t>Source 3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(ECRM422P)</t>
        </r>
        <r>
          <rPr>
            <b/>
            <sz val="8"/>
            <color indexed="81"/>
            <rFont val="Times New Roman"/>
            <family val="1"/>
          </rPr>
          <t xml:space="preserve">
Kentucky Power section
151 column
AEG1 (right before total)
</t>
        </r>
      </text>
    </comment>
    <comment ref="D28" authorId="0">
      <text>
        <r>
          <rPr>
            <b/>
            <u/>
            <sz val="8"/>
            <color indexed="10"/>
            <rFont val="Times New Roman"/>
            <family val="1"/>
          </rPr>
          <t>Source 2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(ECRFC200)</t>
        </r>
        <r>
          <rPr>
            <b/>
            <sz val="8"/>
            <color indexed="81"/>
            <rFont val="Times New Roman"/>
            <family val="1"/>
          </rPr>
          <t xml:space="preserve">
Kentucky Power section
Allocated MWH column
Total Cash - Kentucky</t>
        </r>
      </text>
    </comment>
    <comment ref="E28" authorId="0">
      <text>
        <r>
          <rPr>
            <b/>
            <u/>
            <sz val="8"/>
            <color indexed="10"/>
            <rFont val="Times New Roman"/>
            <family val="1"/>
          </rPr>
          <t>Source 2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(ECRFC200)</t>
        </r>
        <r>
          <rPr>
            <b/>
            <sz val="8"/>
            <color indexed="81"/>
            <rFont val="Times New Roman"/>
            <family val="1"/>
          </rPr>
          <t xml:space="preserve">
Kentucky Power section
Allocated Fuel Cost column
Total Cash - Kentucky</t>
        </r>
      </text>
    </comment>
    <comment ref="D29" authorId="0">
      <text>
        <r>
          <rPr>
            <b/>
            <u/>
            <sz val="8"/>
            <color indexed="10"/>
            <rFont val="Times New Roman"/>
            <family val="1"/>
          </rPr>
          <t>Source 3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(ECRM422P)</t>
        </r>
        <r>
          <rPr>
            <b/>
            <sz val="8"/>
            <color indexed="81"/>
            <rFont val="Times New Roman"/>
            <family val="1"/>
          </rPr>
          <t xml:space="preserve">
Kentucky Power section
Allocated MWH column
Total Kentucky units</t>
        </r>
      </text>
    </comment>
    <comment ref="E29" authorId="0">
      <text>
        <r>
          <rPr>
            <b/>
            <u/>
            <sz val="8"/>
            <color indexed="10"/>
            <rFont val="Times New Roman"/>
            <family val="1"/>
          </rPr>
          <t>Source 3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(ECRM422P)</t>
        </r>
        <r>
          <rPr>
            <b/>
            <sz val="8"/>
            <color indexed="81"/>
            <rFont val="Times New Roman"/>
            <family val="1"/>
          </rPr>
          <t xml:space="preserve">
Kentucky Power section
151 column
Total Kentucky units
</t>
        </r>
        <r>
          <rPr>
            <b/>
            <u/>
            <sz val="8"/>
            <color indexed="12"/>
            <rFont val="Times New Roman"/>
            <family val="1"/>
          </rPr>
          <t>LESS</t>
        </r>
        <r>
          <rPr>
            <b/>
            <sz val="8"/>
            <color indexed="12"/>
            <rFont val="Times New Roman"/>
            <family val="1"/>
          </rPr>
          <t xml:space="preserve"> 
</t>
        </r>
        <r>
          <rPr>
            <b/>
            <u/>
            <sz val="8"/>
            <color indexed="10"/>
            <rFont val="Times New Roman"/>
            <family val="1"/>
          </rPr>
          <t>Source 16</t>
        </r>
        <r>
          <rPr>
            <b/>
            <sz val="8"/>
            <color indexed="12"/>
            <rFont val="Times New Roman"/>
            <family val="1"/>
          </rPr>
          <t xml:space="preserve">
</t>
        </r>
        <r>
          <rPr>
            <b/>
            <sz val="8"/>
            <color indexed="81"/>
            <rFont val="Times New Roman"/>
            <family val="1"/>
          </rPr>
          <t>consumables (chemicals)</t>
        </r>
      </text>
    </comment>
    <comment ref="D30" authorId="0">
      <text>
        <r>
          <rPr>
            <b/>
            <u/>
            <sz val="8"/>
            <color indexed="10"/>
            <rFont val="Times New Roman"/>
            <family val="1"/>
          </rPr>
          <t>Source 7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(Interruptbiles)</t>
        </r>
        <r>
          <rPr>
            <b/>
            <sz val="8"/>
            <color indexed="81"/>
            <rFont val="Times New Roman"/>
            <family val="1"/>
          </rPr>
          <t xml:space="preserve">
MWH section
Total deliver -KPCO</t>
        </r>
      </text>
    </comment>
    <comment ref="E30" authorId="0">
      <text>
        <r>
          <rPr>
            <b/>
            <u/>
            <sz val="8"/>
            <color indexed="10"/>
            <rFont val="Times New Roman"/>
            <family val="1"/>
          </rPr>
          <t>Source 7</t>
        </r>
        <r>
          <rPr>
            <b/>
            <sz val="8"/>
            <color indexed="10"/>
            <rFont val="Times New Roman"/>
            <family val="1"/>
          </rPr>
          <t xml:space="preserve"> </t>
        </r>
        <r>
          <rPr>
            <b/>
            <sz val="8"/>
            <color indexed="17"/>
            <rFont val="Times New Roman"/>
            <family val="1"/>
          </rPr>
          <t>(Interruptibles)</t>
        </r>
        <r>
          <rPr>
            <b/>
            <sz val="8"/>
            <color indexed="81"/>
            <rFont val="Times New Roman"/>
            <family val="1"/>
          </rPr>
          <t xml:space="preserve">
151 Cost Section
Total deliver - KPCO</t>
        </r>
      </text>
    </comment>
    <comment ref="D45" authorId="0">
      <text>
        <r>
          <rPr>
            <b/>
            <u/>
            <sz val="8"/>
            <color indexed="10"/>
            <rFont val="Times New Roman"/>
            <family val="1"/>
          </rPr>
          <t>NET ENERGY REQUIRMENT LINE O36 KPCO</t>
        </r>
        <r>
          <rPr>
            <b/>
            <sz val="8"/>
            <color indexed="81"/>
            <rFont val="Times New Roman"/>
            <family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<sst xmlns="http://schemas.openxmlformats.org/spreadsheetml/2006/main" count="684" uniqueCount="69">
  <si>
    <t>KENTUCKY POWER COMPANY</t>
  </si>
  <si>
    <t>SOURCES AND DISPOSITION OF ENERGY FOR</t>
  </si>
  <si>
    <t>FERC TYPE FUEL COST ADJUSTMENT CLAUSE</t>
  </si>
  <si>
    <t>FUEL IDENTIFIED PORTION (A/C 151 FUEL BASIS)</t>
  </si>
  <si>
    <t xml:space="preserve"> </t>
  </si>
  <si>
    <t>SOURCES OF ENERGY</t>
  </si>
  <si>
    <t>MWH</t>
  </si>
  <si>
    <t>AMOUNT</t>
  </si>
  <si>
    <t>$ / MWH</t>
  </si>
  <si>
    <t>($)</t>
  </si>
  <si>
    <t>1.</t>
  </si>
  <si>
    <t>NET GENERATION:</t>
  </si>
  <si>
    <t xml:space="preserve">    TOTAL</t>
  </si>
  <si>
    <t>2.</t>
  </si>
  <si>
    <t>OTHER PURCHASES (CASH SETTLED):</t>
  </si>
  <si>
    <t xml:space="preserve">  Third Party Power Purchase</t>
  </si>
  <si>
    <t>3.</t>
  </si>
  <si>
    <t>TOTAL SOURCES (1+2)</t>
  </si>
  <si>
    <t>DISPOSITION OF ENERGY</t>
  </si>
  <si>
    <t>4.</t>
  </si>
  <si>
    <t>OFF SYSTEM ALLOCATION OF SOURCES:</t>
  </si>
  <si>
    <t xml:space="preserve">  Big Sandy</t>
  </si>
  <si>
    <t xml:space="preserve"> Third Party Power Purchase</t>
  </si>
  <si>
    <t>5.</t>
  </si>
  <si>
    <t>FUEL IDENTIFIED FOR NER (3-4)</t>
  </si>
  <si>
    <t>6.</t>
  </si>
  <si>
    <t>TOTAL (4+5)</t>
  </si>
  <si>
    <t>A.</t>
  </si>
  <si>
    <t>FUEL IDENTIFIED FOR NER (LINE 5 ABOVE)</t>
  </si>
  <si>
    <t>B.</t>
  </si>
  <si>
    <t>NON-MONETARY  COMPANY RECEIPTS AND DELIVERIES</t>
  </si>
  <si>
    <t>C.</t>
  </si>
  <si>
    <t>FUEL IDENTIFIED FOR NER (LINES A+B)</t>
  </si>
  <si>
    <t>D.</t>
  </si>
  <si>
    <t>OUT-OF-PERIOD ADJUSTMENT - OSS Adj for PJM Load Recon</t>
  </si>
  <si>
    <t>E.</t>
  </si>
  <si>
    <t>OUT-OF-PERIOD ADJUSTMENT - Pool Purch for PJM Load Recon</t>
  </si>
  <si>
    <t>F.</t>
  </si>
  <si>
    <t>CONVENTIONAL HYDRO</t>
  </si>
  <si>
    <t>G.</t>
  </si>
  <si>
    <t>TOTAL SUPPLY FOR NET ENERGY REQUIREMENT (NER)</t>
  </si>
  <si>
    <t>Mitchell</t>
  </si>
  <si>
    <t>Rockport</t>
  </si>
  <si>
    <t>Big Sandy</t>
  </si>
  <si>
    <t>February 2014 ACTUAL</t>
  </si>
  <si>
    <t xml:space="preserve">OUT-OF-PERIOD ADJUSTMENT - Spot Market Energy for PJM Load Recon </t>
  </si>
  <si>
    <t>OUT-OF-PERIOD ADJUSTMENT</t>
  </si>
  <si>
    <t>MILLS/kWh</t>
  </si>
  <si>
    <t xml:space="preserve">  OWN FOSSIL GENERATION</t>
  </si>
  <si>
    <t>(1)</t>
  </si>
  <si>
    <t>(4)</t>
  </si>
  <si>
    <t xml:space="preserve">  SYSTEM POOL - PRIMARY &amp; ECONOMY</t>
  </si>
  <si>
    <t>(5)</t>
  </si>
  <si>
    <t xml:space="preserve">  AEP SYSTEM CASH PURCHASES</t>
  </si>
  <si>
    <t>(2)</t>
  </si>
  <si>
    <t xml:space="preserve">  INTERRUPTIBLE BUY-THROUGH</t>
  </si>
  <si>
    <t>(7)</t>
  </si>
  <si>
    <t>(3)</t>
  </si>
  <si>
    <t xml:space="preserve">  OWN GENERATION </t>
  </si>
  <si>
    <t>NON-MONETARY INTER-COMPANY (RECEIPTS(+) DELIVERIES(-))</t>
  </si>
  <si>
    <t>(8)</t>
  </si>
  <si>
    <t xml:space="preserve">  ROCKPORT</t>
  </si>
  <si>
    <t xml:space="preserve">   Big Sandy</t>
  </si>
  <si>
    <t xml:space="preserve">  KP Share of Mitchell Unit 1</t>
  </si>
  <si>
    <t xml:space="preserve">  KP Share of Mitchell Unit 2</t>
  </si>
  <si>
    <t xml:space="preserve">  UNIT POWER PURCHASE (AEG) ROCKPORT #1</t>
  </si>
  <si>
    <t xml:space="preserve">  UNIT POWER PURCHASE (AEG) ROCKPORT #2</t>
  </si>
  <si>
    <t xml:space="preserve"> ( a )</t>
  </si>
  <si>
    <t>( A ) Includes prior period adjustments for January and February 2014 due to heat rate curve corrections for Mitchell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</si>
</sst>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mm/dd/yy"/>
    <numFmt numFmtId="166" formatCode="0.000_)"/>
    <numFmt numFmtId="167" formatCode="0.000"/>
    <numFmt numFmtId="168" formatCode="0.00000_)"/>
    <numFmt numFmtId="169" formatCode="[$-409]mmmm\-yy;@"/>
    <numFmt numFmtId="170" formatCode="0.00000"/>
    <numFmt numFmtId="171" formatCode="General_)"/>
  </numFmts>
  <fonts count="25" x14ac:knownFonts="1">
    <font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12"/>
      <name val="Century Gothic"/>
      <family val="2"/>
    </font>
    <font>
      <sz val="8"/>
      <name val="Century Gothic"/>
      <family val="2"/>
    </font>
    <font>
      <b/>
      <sz val="8"/>
      <color indexed="17"/>
      <name val="Century Gothic"/>
      <family val="2"/>
    </font>
    <font>
      <b/>
      <u/>
      <sz val="8"/>
      <name val="Century Gothic"/>
      <family val="2"/>
    </font>
    <font>
      <u/>
      <sz val="8"/>
      <name val="Century Gothic"/>
      <family val="2"/>
    </font>
    <font>
      <b/>
      <sz val="8"/>
      <color indexed="12"/>
      <name val="Century Gothic"/>
      <family val="2"/>
    </font>
    <font>
      <b/>
      <sz val="8"/>
      <color indexed="10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8"/>
      <color indexed="10"/>
      <name val="Century Gothic"/>
      <family val="2"/>
    </font>
    <font>
      <b/>
      <u/>
      <sz val="8"/>
      <color indexed="10"/>
      <name val="Times New Roman"/>
      <family val="1"/>
    </font>
    <font>
      <b/>
      <sz val="8"/>
      <color indexed="10"/>
      <name val="Times New Roman"/>
      <family val="1"/>
    </font>
    <font>
      <b/>
      <sz val="8"/>
      <color indexed="17"/>
      <name val="Times New Roman"/>
      <family val="1"/>
    </font>
    <font>
      <b/>
      <sz val="8"/>
      <color indexed="81"/>
      <name val="Times New Roman"/>
      <family val="1"/>
    </font>
    <font>
      <b/>
      <sz val="8"/>
      <color indexed="81"/>
      <name val="Tahoma"/>
      <family val="2"/>
    </font>
    <font>
      <b/>
      <sz val="8"/>
      <color indexed="12"/>
      <name val="Times New Roman"/>
      <family val="1"/>
    </font>
    <font>
      <b/>
      <u/>
      <sz val="8"/>
      <color indexed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Courier"/>
      <family val="3"/>
    </font>
    <font>
      <sz val="10"/>
      <name val="Helv"/>
    </font>
    <font>
      <sz val="10"/>
      <name val="MS Sans Serif"/>
      <family val="2"/>
    </font>
    <font>
      <b/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1" fillId="0" borderId="0" applyNumberFormat="0" applyFont="0" applyAlignment="0" applyProtection="0"/>
    <xf numFmtId="0" fontId="9" fillId="0" borderId="0">
      <alignment vertical="top"/>
    </xf>
    <xf numFmtId="0" fontId="9" fillId="0" borderId="0">
      <alignment vertical="top"/>
    </xf>
    <xf numFmtId="171" fontId="22" fillId="0" borderId="0" applyProtection="0"/>
    <xf numFmtId="0" fontId="23" fillId="0" borderId="0" applyNumberFormat="0" applyFont="0" applyFill="0" applyBorder="0" applyAlignment="0" applyProtection="0">
      <alignment horizontal="left"/>
    </xf>
    <xf numFmtId="0" fontId="24" fillId="0" borderId="5">
      <alignment horizontal="center"/>
    </xf>
    <xf numFmtId="0" fontId="23" fillId="2" borderId="0" applyNumberFormat="0" applyFont="0" applyBorder="0" applyAlignment="0" applyProtection="0"/>
  </cellStyleXfs>
  <cellXfs count="139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164" fontId="3" fillId="0" borderId="0" xfId="0" applyNumberFormat="1" applyFont="1" applyFill="1" applyAlignment="1" applyProtection="1">
      <alignment horizontal="center"/>
    </xf>
    <xf numFmtId="165" fontId="3" fillId="0" borderId="0" xfId="0" applyNumberFormat="1" applyFont="1" applyFill="1" applyAlignment="1" applyProtection="1">
      <alignment horizontal="center"/>
    </xf>
    <xf numFmtId="0" fontId="3" fillId="0" borderId="0" xfId="0" applyFont="1" applyFill="1"/>
    <xf numFmtId="0" fontId="1" fillId="0" borderId="0" xfId="0" applyFont="1" applyFill="1"/>
    <xf numFmtId="0" fontId="3" fillId="0" borderId="0" xfId="0" applyFont="1" applyFill="1" applyAlignment="1" applyProtection="1">
      <alignment horizontal="left"/>
    </xf>
    <xf numFmtId="164" fontId="1" fillId="0" borderId="0" xfId="0" applyNumberFormat="1" applyFont="1" applyFill="1" applyProtection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</xf>
    <xf numFmtId="44" fontId="5" fillId="0" borderId="0" xfId="2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3" fillId="0" borderId="0" xfId="0" quotePrefix="1" applyFont="1" applyFill="1" applyAlignment="1" applyProtection="1">
      <alignment horizontal="center"/>
    </xf>
    <xf numFmtId="0" fontId="1" fillId="0" borderId="0" xfId="0" quotePrefix="1" applyFont="1" applyFill="1" applyAlignment="1">
      <alignment horizontal="center"/>
    </xf>
    <xf numFmtId="0" fontId="7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37" fontId="3" fillId="0" borderId="0" xfId="0" applyNumberFormat="1" applyFont="1" applyFill="1" applyProtection="1"/>
    <xf numFmtId="166" fontId="3" fillId="0" borderId="0" xfId="0" applyNumberFormat="1" applyFont="1" applyFill="1" applyProtection="1"/>
    <xf numFmtId="37" fontId="3" fillId="0" borderId="1" xfId="0" applyNumberFormat="1" applyFont="1" applyFill="1" applyBorder="1" applyProtection="1"/>
    <xf numFmtId="166" fontId="3" fillId="0" borderId="1" xfId="0" applyNumberFormat="1" applyFont="1" applyFill="1" applyBorder="1" applyProtection="1"/>
    <xf numFmtId="0" fontId="8" fillId="0" borderId="0" xfId="0" applyFont="1" applyFill="1" applyAlignment="1" applyProtection="1">
      <alignment horizontal="left"/>
    </xf>
    <xf numFmtId="37" fontId="1" fillId="0" borderId="0" xfId="0" applyNumberFormat="1" applyFont="1" applyFill="1" applyProtection="1"/>
    <xf numFmtId="166" fontId="1" fillId="0" borderId="0" xfId="0" applyNumberFormat="1" applyFont="1" applyFill="1" applyProtection="1"/>
    <xf numFmtId="37" fontId="3" fillId="0" borderId="0" xfId="0" applyNumberFormat="1" applyFont="1" applyFill="1" applyBorder="1" applyProtection="1"/>
    <xf numFmtId="166" fontId="3" fillId="0" borderId="0" xfId="0" applyNumberFormat="1" applyFont="1" applyFill="1" applyBorder="1" applyProtection="1"/>
    <xf numFmtId="0" fontId="1" fillId="0" borderId="2" xfId="0" quotePrefix="1" applyFont="1" applyFill="1" applyBorder="1" applyAlignment="1">
      <alignment horizontal="center"/>
    </xf>
    <xf numFmtId="0" fontId="3" fillId="0" borderId="3" xfId="0" applyFont="1" applyFill="1" applyBorder="1" applyAlignment="1" applyProtection="1">
      <alignment horizontal="left"/>
    </xf>
    <xf numFmtId="37" fontId="3" fillId="0" borderId="3" xfId="0" applyNumberFormat="1" applyFont="1" applyFill="1" applyBorder="1" applyProtection="1"/>
    <xf numFmtId="166" fontId="3" fillId="0" borderId="4" xfId="0" applyNumberFormat="1" applyFont="1" applyFill="1" applyBorder="1" applyProtection="1"/>
    <xf numFmtId="37" fontId="3" fillId="0" borderId="0" xfId="0" applyNumberFormat="1" applyFont="1" applyFill="1" applyBorder="1"/>
    <xf numFmtId="37" fontId="1" fillId="0" borderId="3" xfId="0" applyNumberFormat="1" applyFont="1" applyFill="1" applyBorder="1" applyProtection="1"/>
    <xf numFmtId="167" fontId="1" fillId="0" borderId="4" xfId="0" applyNumberFormat="1" applyFont="1" applyFill="1" applyBorder="1" applyProtection="1"/>
    <xf numFmtId="37" fontId="3" fillId="0" borderId="0" xfId="0" applyNumberFormat="1" applyFont="1" applyFill="1"/>
    <xf numFmtId="168" fontId="3" fillId="0" borderId="0" xfId="0" applyNumberFormat="1" applyFont="1" applyFill="1" applyProtection="1"/>
    <xf numFmtId="166" fontId="3" fillId="0" borderId="0" xfId="0" applyNumberFormat="1" applyFont="1" applyFill="1"/>
    <xf numFmtId="0" fontId="3" fillId="0" borderId="0" xfId="0" applyFont="1" applyFill="1" applyBorder="1" applyAlignment="1" applyProtection="1"/>
    <xf numFmtId="169" fontId="3" fillId="0" borderId="0" xfId="0" applyNumberFormat="1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43" fontId="3" fillId="0" borderId="0" xfId="1" applyFont="1" applyFill="1"/>
    <xf numFmtId="0" fontId="1" fillId="0" borderId="0" xfId="0" applyFont="1" applyFill="1" applyAlignment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 applyProtection="1">
      <alignment horizontal="center"/>
    </xf>
    <xf numFmtId="0" fontId="8" fillId="0" borderId="0" xfId="0" quotePrefix="1" applyFont="1" applyFill="1" applyAlignment="1" applyProtection="1">
      <alignment horizontal="center"/>
    </xf>
    <xf numFmtId="37" fontId="3" fillId="0" borderId="0" xfId="0" applyNumberFormat="1" applyFont="1" applyFill="1" applyProtection="1">
      <protection locked="0"/>
    </xf>
    <xf numFmtId="170" fontId="3" fillId="0" borderId="0" xfId="0" applyNumberFormat="1" applyFont="1" applyFill="1" applyProtection="1"/>
    <xf numFmtId="0" fontId="8" fillId="0" borderId="0" xfId="0" quotePrefix="1" applyFont="1" applyFill="1" applyAlignment="1">
      <alignment horizontal="center"/>
    </xf>
    <xf numFmtId="0" fontId="1" fillId="0" borderId="0" xfId="3" applyFont="1" applyFill="1" applyAlignment="1">
      <alignment horizontal="center"/>
    </xf>
    <xf numFmtId="0" fontId="2" fillId="0" borderId="0" xfId="3" applyFont="1" applyFill="1" applyAlignment="1" applyProtection="1">
      <alignment horizontal="left"/>
    </xf>
    <xf numFmtId="0" fontId="3" fillId="0" borderId="0" xfId="3" applyFont="1" applyFill="1" applyProtection="1"/>
    <xf numFmtId="164" fontId="3" fillId="0" borderId="0" xfId="3" applyNumberFormat="1" applyFont="1" applyFill="1" applyAlignment="1" applyProtection="1">
      <alignment horizontal="center"/>
    </xf>
    <xf numFmtId="165" fontId="3" fillId="0" borderId="0" xfId="3" applyNumberFormat="1" applyFont="1" applyFill="1" applyAlignment="1" applyProtection="1">
      <alignment horizontal="center"/>
    </xf>
    <xf numFmtId="0" fontId="3" fillId="0" borderId="0" xfId="3" applyFont="1" applyFill="1"/>
    <xf numFmtId="0" fontId="1" fillId="0" borderId="0" xfId="3" applyFont="1" applyFill="1"/>
    <xf numFmtId="0" fontId="3" fillId="0" borderId="0" xfId="3" applyFont="1" applyFill="1" applyAlignment="1" applyProtection="1">
      <alignment horizontal="left"/>
    </xf>
    <xf numFmtId="164" fontId="1" fillId="0" borderId="0" xfId="3" applyNumberFormat="1" applyFont="1" applyFill="1" applyProtection="1"/>
    <xf numFmtId="0" fontId="1" fillId="0" borderId="0" xfId="3" quotePrefix="1" applyFont="1" applyFill="1" applyAlignment="1" applyProtection="1">
      <alignment horizontal="center"/>
    </xf>
    <xf numFmtId="0" fontId="4" fillId="0" borderId="0" xfId="3" applyFont="1" applyFill="1" applyAlignment="1">
      <alignment horizontal="center"/>
    </xf>
    <xf numFmtId="0" fontId="5" fillId="0" borderId="0" xfId="3" applyFont="1" applyFill="1" applyAlignment="1" applyProtection="1">
      <alignment horizontal="center"/>
    </xf>
    <xf numFmtId="44" fontId="5" fillId="0" borderId="0" xfId="4" applyFont="1" applyFill="1" applyAlignment="1" applyProtection="1">
      <alignment horizontal="center"/>
    </xf>
    <xf numFmtId="0" fontId="6" fillId="0" borderId="0" xfId="3" applyFont="1" applyFill="1" applyAlignment="1" applyProtection="1">
      <alignment horizontal="center"/>
    </xf>
    <xf numFmtId="0" fontId="3" fillId="0" borderId="0" xfId="3" quotePrefix="1" applyFont="1" applyFill="1" applyAlignment="1" applyProtection="1">
      <alignment horizontal="center"/>
    </xf>
    <xf numFmtId="0" fontId="1" fillId="0" borderId="0" xfId="3" quotePrefix="1" applyFont="1" applyFill="1" applyAlignment="1">
      <alignment horizontal="center"/>
    </xf>
    <xf numFmtId="0" fontId="7" fillId="0" borderId="0" xfId="3" applyFont="1" applyFill="1" applyAlignment="1" applyProtection="1">
      <alignment horizontal="left"/>
    </xf>
    <xf numFmtId="0" fontId="3" fillId="0" borderId="0" xfId="3" applyFont="1" applyFill="1" applyBorder="1" applyAlignment="1" applyProtection="1">
      <alignment horizontal="left"/>
    </xf>
    <xf numFmtId="37" fontId="3" fillId="0" borderId="0" xfId="3" applyNumberFormat="1" applyFont="1" applyFill="1" applyProtection="1"/>
    <xf numFmtId="166" fontId="3" fillId="0" borderId="0" xfId="3" applyNumberFormat="1" applyFont="1" applyFill="1" applyProtection="1"/>
    <xf numFmtId="37" fontId="3" fillId="0" borderId="1" xfId="3" applyNumberFormat="1" applyFont="1" applyFill="1" applyBorder="1" applyProtection="1"/>
    <xf numFmtId="166" fontId="3" fillId="0" borderId="1" xfId="3" applyNumberFormat="1" applyFont="1" applyFill="1" applyBorder="1" applyProtection="1"/>
    <xf numFmtId="0" fontId="8" fillId="0" borderId="0" xfId="3" applyFont="1" applyFill="1" applyAlignment="1" applyProtection="1">
      <alignment horizontal="left"/>
    </xf>
    <xf numFmtId="37" fontId="1" fillId="0" borderId="0" xfId="3" applyNumberFormat="1" applyFont="1" applyFill="1" applyProtection="1"/>
    <xf numFmtId="166" fontId="1" fillId="0" borderId="0" xfId="3" applyNumberFormat="1" applyFont="1" applyFill="1" applyProtection="1"/>
    <xf numFmtId="37" fontId="3" fillId="0" borderId="0" xfId="3" applyNumberFormat="1" applyFont="1" applyFill="1" applyBorder="1" applyProtection="1"/>
    <xf numFmtId="166" fontId="3" fillId="0" borderId="0" xfId="3" applyNumberFormat="1" applyFont="1" applyFill="1" applyBorder="1" applyProtection="1"/>
    <xf numFmtId="43" fontId="3" fillId="0" borderId="0" xfId="5" applyFont="1" applyFill="1"/>
    <xf numFmtId="37" fontId="3" fillId="0" borderId="0" xfId="3" applyNumberFormat="1" applyFont="1" applyFill="1"/>
    <xf numFmtId="0" fontId="1" fillId="0" borderId="2" xfId="3" quotePrefix="1" applyFont="1" applyFill="1" applyBorder="1" applyAlignment="1">
      <alignment horizontal="center"/>
    </xf>
    <xf numFmtId="0" fontId="3" fillId="0" borderId="3" xfId="3" applyFont="1" applyFill="1" applyBorder="1" applyAlignment="1" applyProtection="1">
      <alignment horizontal="left"/>
    </xf>
    <xf numFmtId="37" fontId="3" fillId="0" borderId="3" xfId="3" applyNumberFormat="1" applyFont="1" applyFill="1" applyBorder="1" applyProtection="1"/>
    <xf numFmtId="166" fontId="3" fillId="0" borderId="4" xfId="3" applyNumberFormat="1" applyFont="1" applyFill="1" applyBorder="1" applyProtection="1"/>
    <xf numFmtId="37" fontId="3" fillId="0" borderId="0" xfId="3" applyNumberFormat="1" applyFont="1" applyFill="1" applyBorder="1"/>
    <xf numFmtId="37" fontId="1" fillId="0" borderId="3" xfId="3" applyNumberFormat="1" applyFont="1" applyFill="1" applyBorder="1" applyProtection="1"/>
    <xf numFmtId="167" fontId="1" fillId="0" borderId="4" xfId="3" applyNumberFormat="1" applyFont="1" applyFill="1" applyBorder="1" applyProtection="1"/>
    <xf numFmtId="168" fontId="3" fillId="0" borderId="0" xfId="3" applyNumberFormat="1" applyFont="1" applyFill="1" applyProtection="1"/>
    <xf numFmtId="0" fontId="1" fillId="0" borderId="0" xfId="6" applyFont="1" applyFill="1" applyAlignment="1">
      <alignment horizontal="center"/>
    </xf>
    <xf numFmtId="0" fontId="2" fillId="0" borderId="0" xfId="6" applyFont="1" applyFill="1" applyAlignment="1" applyProtection="1">
      <alignment horizontal="left"/>
    </xf>
    <xf numFmtId="0" fontId="3" fillId="0" borderId="0" xfId="6" applyFont="1" applyFill="1" applyProtection="1"/>
    <xf numFmtId="164" fontId="3" fillId="0" borderId="0" xfId="6" applyNumberFormat="1" applyFont="1" applyFill="1" applyAlignment="1" applyProtection="1">
      <alignment horizontal="center"/>
    </xf>
    <xf numFmtId="165" fontId="3" fillId="0" borderId="0" xfId="6" applyNumberFormat="1" applyFont="1" applyFill="1" applyAlignment="1" applyProtection="1">
      <alignment horizontal="center"/>
    </xf>
    <xf numFmtId="0" fontId="3" fillId="0" borderId="0" xfId="6" applyFont="1" applyFill="1"/>
    <xf numFmtId="0" fontId="1" fillId="0" borderId="0" xfId="6" applyFont="1" applyFill="1"/>
    <xf numFmtId="0" fontId="3" fillId="0" borderId="0" xfId="6" applyFont="1" applyFill="1" applyAlignment="1" applyProtection="1">
      <alignment horizontal="left"/>
    </xf>
    <xf numFmtId="164" fontId="1" fillId="0" borderId="0" xfId="6" applyNumberFormat="1" applyFont="1" applyFill="1" applyProtection="1"/>
    <xf numFmtId="0" fontId="1" fillId="0" borderId="0" xfId="6" quotePrefix="1" applyFont="1" applyFill="1" applyAlignment="1" applyProtection="1">
      <alignment horizontal="center"/>
    </xf>
    <xf numFmtId="0" fontId="4" fillId="0" borderId="0" xfId="6" applyFont="1" applyFill="1" applyAlignment="1">
      <alignment horizontal="center"/>
    </xf>
    <xf numFmtId="0" fontId="5" fillId="0" borderId="0" xfId="6" applyFont="1" applyFill="1" applyAlignment="1" applyProtection="1">
      <alignment horizontal="center"/>
    </xf>
    <xf numFmtId="44" fontId="5" fillId="0" borderId="0" xfId="7" applyFont="1" applyFill="1" applyAlignment="1" applyProtection="1">
      <alignment horizontal="center"/>
    </xf>
    <xf numFmtId="0" fontId="6" fillId="0" borderId="0" xfId="6" applyFont="1" applyFill="1" applyAlignment="1" applyProtection="1">
      <alignment horizontal="center"/>
    </xf>
    <xf numFmtId="0" fontId="3" fillId="0" borderId="0" xfId="6" quotePrefix="1" applyFont="1" applyFill="1" applyAlignment="1" applyProtection="1">
      <alignment horizontal="center"/>
    </xf>
    <xf numFmtId="0" fontId="1" fillId="0" borderId="0" xfId="6" quotePrefix="1" applyFont="1" applyFill="1" applyAlignment="1">
      <alignment horizontal="center"/>
    </xf>
    <xf numFmtId="0" fontId="7" fillId="0" borderId="0" xfId="6" applyFont="1" applyFill="1" applyAlignment="1" applyProtection="1">
      <alignment horizontal="left"/>
    </xf>
    <xf numFmtId="0" fontId="3" fillId="0" borderId="0" xfId="6" applyFont="1" applyFill="1" applyBorder="1" applyAlignment="1" applyProtection="1">
      <alignment horizontal="left"/>
    </xf>
    <xf numFmtId="37" fontId="3" fillId="0" borderId="0" xfId="6" applyNumberFormat="1" applyFont="1" applyFill="1" applyProtection="1"/>
    <xf numFmtId="166" fontId="3" fillId="0" borderId="0" xfId="6" applyNumberFormat="1" applyFont="1" applyFill="1" applyProtection="1"/>
    <xf numFmtId="37" fontId="3" fillId="0" borderId="1" xfId="6" applyNumberFormat="1" applyFont="1" applyFill="1" applyBorder="1" applyProtection="1"/>
    <xf numFmtId="166" fontId="3" fillId="0" borderId="1" xfId="6" applyNumberFormat="1" applyFont="1" applyFill="1" applyBorder="1" applyProtection="1"/>
    <xf numFmtId="0" fontId="8" fillId="0" borderId="0" xfId="6" applyFont="1" applyFill="1" applyAlignment="1" applyProtection="1">
      <alignment horizontal="left"/>
    </xf>
    <xf numFmtId="37" fontId="1" fillId="0" borderId="0" xfId="6" applyNumberFormat="1" applyFont="1" applyFill="1" applyProtection="1"/>
    <xf numFmtId="166" fontId="1" fillId="0" borderId="0" xfId="6" applyNumberFormat="1" applyFont="1" applyFill="1" applyProtection="1"/>
    <xf numFmtId="37" fontId="3" fillId="0" borderId="0" xfId="6" applyNumberFormat="1" applyFont="1" applyFill="1" applyBorder="1" applyProtection="1"/>
    <xf numFmtId="166" fontId="3" fillId="0" borderId="0" xfId="6" applyNumberFormat="1" applyFont="1" applyFill="1" applyBorder="1" applyProtection="1"/>
    <xf numFmtId="43" fontId="3" fillId="0" borderId="0" xfId="8" applyFont="1" applyFill="1"/>
    <xf numFmtId="37" fontId="3" fillId="0" borderId="0" xfId="6" applyNumberFormat="1" applyFont="1" applyFill="1"/>
    <xf numFmtId="0" fontId="1" fillId="0" borderId="2" xfId="6" quotePrefix="1" applyFont="1" applyFill="1" applyBorder="1" applyAlignment="1">
      <alignment horizontal="center"/>
    </xf>
    <xf numFmtId="0" fontId="3" fillId="0" borderId="3" xfId="6" applyFont="1" applyFill="1" applyBorder="1" applyAlignment="1" applyProtection="1">
      <alignment horizontal="left"/>
    </xf>
    <xf numFmtId="37" fontId="3" fillId="0" borderId="3" xfId="6" applyNumberFormat="1" applyFont="1" applyFill="1" applyBorder="1" applyProtection="1"/>
    <xf numFmtId="166" fontId="3" fillId="0" borderId="4" xfId="6" applyNumberFormat="1" applyFont="1" applyFill="1" applyBorder="1" applyProtection="1"/>
    <xf numFmtId="37" fontId="3" fillId="0" borderId="0" xfId="6" applyNumberFormat="1" applyFont="1" applyFill="1" applyBorder="1"/>
    <xf numFmtId="37" fontId="1" fillId="0" borderId="3" xfId="6" applyNumberFormat="1" applyFont="1" applyFill="1" applyBorder="1" applyProtection="1"/>
    <xf numFmtId="167" fontId="1" fillId="0" borderId="4" xfId="6" applyNumberFormat="1" applyFont="1" applyFill="1" applyBorder="1" applyProtection="1"/>
    <xf numFmtId="168" fontId="3" fillId="0" borderId="0" xfId="6" applyNumberFormat="1" applyFont="1" applyFill="1" applyProtection="1"/>
    <xf numFmtId="0" fontId="1" fillId="0" borderId="0" xfId="0" quotePrefix="1" applyFont="1" applyFill="1" applyAlignment="1" applyProtection="1">
      <alignment horizontal="center"/>
    </xf>
    <xf numFmtId="0" fontId="1" fillId="0" borderId="0" xfId="0" quotePrefix="1" applyFont="1" applyFill="1" applyAlignment="1" applyProtection="1">
      <alignment horizontal="center"/>
    </xf>
    <xf numFmtId="0" fontId="0" fillId="0" borderId="0" xfId="0" applyFill="1"/>
    <xf numFmtId="0" fontId="10" fillId="0" borderId="0" xfId="0" applyFont="1" applyFill="1" applyAlignment="1">
      <alignment horizontal="left"/>
    </xf>
    <xf numFmtId="0" fontId="10" fillId="0" borderId="0" xfId="0" applyFont="1" applyFill="1"/>
    <xf numFmtId="0" fontId="9" fillId="0" borderId="0" xfId="0" applyFont="1" applyFill="1"/>
    <xf numFmtId="0" fontId="1" fillId="0" borderId="1" xfId="6" applyFont="1" applyFill="1" applyBorder="1" applyAlignment="1">
      <alignment horizontal="center"/>
    </xf>
    <xf numFmtId="0" fontId="9" fillId="0" borderId="0" xfId="6" applyFont="1" applyFill="1"/>
    <xf numFmtId="0" fontId="10" fillId="0" borderId="0" xfId="6" applyFont="1" applyFill="1" applyAlignment="1">
      <alignment horizontal="left"/>
    </xf>
    <xf numFmtId="0" fontId="20" fillId="0" borderId="0" xfId="6" applyFill="1"/>
    <xf numFmtId="0" fontId="10" fillId="0" borderId="0" xfId="6" applyFont="1" applyFill="1"/>
    <xf numFmtId="0" fontId="1" fillId="0" borderId="1" xfId="3" applyFont="1" applyFill="1" applyBorder="1" applyAlignment="1">
      <alignment horizontal="center"/>
    </xf>
    <xf numFmtId="0" fontId="9" fillId="0" borderId="0" xfId="3" applyFont="1" applyFill="1"/>
    <xf numFmtId="0" fontId="10" fillId="0" borderId="0" xfId="3" applyFont="1" applyFill="1" applyAlignment="1">
      <alignment horizontal="left"/>
    </xf>
    <xf numFmtId="0" fontId="9" fillId="0" borderId="0" xfId="3" applyFill="1"/>
    <xf numFmtId="0" fontId="10" fillId="0" borderId="0" xfId="3" applyFont="1" applyFill="1"/>
  </cellXfs>
  <cellStyles count="16">
    <cellStyle name="cajun" xfId="9"/>
    <cellStyle name="Comma" xfId="1" builtinId="3"/>
    <cellStyle name="Comma 2" xfId="5"/>
    <cellStyle name="Comma 3" xfId="8"/>
    <cellStyle name="Currency" xfId="2" builtinId="4"/>
    <cellStyle name="Currency 2" xfId="4"/>
    <cellStyle name="Currency 2 2" xfId="7"/>
    <cellStyle name="Normal" xfId="0" builtinId="0"/>
    <cellStyle name="Normal 2" xfId="3"/>
    <cellStyle name="Normal 3" xfId="10"/>
    <cellStyle name="Normal 3 2" xfId="11"/>
    <cellStyle name="Normal 4" xfId="6"/>
    <cellStyle name="ntec" xfId="12"/>
    <cellStyle name="PSChar" xfId="13"/>
    <cellStyle name="PSHeading" xfId="14"/>
    <cellStyle name="PSSpacer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Settlements%20Directory/Pool/Critical%20Spreadsheets/EAST/Interchange%20Power%20Statement/IPS%20-%202013/January%202013%20Actual_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IS/REFERENCE%20DATA/Fuel%20-%20NER-NEC%20151%20Costs/2014/Regulated/Actuals/08-14%20Actual%20Regulated%20N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IS/REFERENCE%20DATA/Fuel%20-%20NER-NEC%20151%20Costs/2014/Regulated/Actuals/09-14%20Actual%20Regulated%20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nternal\Regulatory%20Services\Bob%20Russell%201\Account%20151%20Fuel%20-%20$%20&amp;%20MWH%20(NER)\Year%202013\Actual\October%202013%20NER%20Actu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nternal\Regulatory%20Services\Bob%20Russell%201\Account%20151%20Fuel%20-%20$%20&amp;%20MWH%20(NER)\Year%202013\Actual\November%202013%20NER%20Actu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nternal\Regulatory%20Services\Bob%20Russell%201\Account%20151%20Fuel%20-%20$%20&amp;%20MWH%20(NER)\Year%202013\Actual\December%202013%20NER%20Actu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nternal\Regulatory%20Services\Bob%20Russell%201\Account%20151%20Fuel%20-%20$%20&amp;%20MWH%20(NER)\Year%202014\Actual\03-14%20Actual%20Regulated%20N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nternal\Regulatory%20Services\Bob%20Russell%201\Account%20151%20Fuel%20-%20$%20&amp;%20MWH%20(NER)\Year%202014\Actual\04-14%20Actual%20Regulated%20N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IS/REFERENCE%20DATA/Fuel%20-%20NER-NEC%20151%20Costs/2014/Regulated/Actuals/05-14%20Actual%20Regulated%20N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IS/REFERENCE%20DATA/Fuel%20-%20NER-NEC%20151%20Costs/2014/Regulated/Actuals/06-14%20Actual%20Regulated%20N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IS/REFERENCE%20DATA/Fuel%20-%20NER-NEC%20151%20Costs/2014/Regulated/Actuals/07-14%20Actual%20Regulated%20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Assessment - IPS Act"/>
      <sheetName val="Change Revisions"/>
      <sheetName val="INPUT"/>
      <sheetName val="Cover Page"/>
      <sheetName val="Statement"/>
      <sheetName val="Contents"/>
      <sheetName val="PAGE1"/>
      <sheetName val="PAGE2"/>
      <sheetName val="PAGE3"/>
      <sheetName val="PAGE4"/>
      <sheetName val="PAGE5"/>
      <sheetName val="PAGE6"/>
      <sheetName val="PAGE6B"/>
      <sheetName val="PAGE7"/>
      <sheetName val="PAGE8"/>
      <sheetName val="PRIMARY 151"/>
      <sheetName val="PAGE9"/>
      <sheetName val="ECONOMY 151"/>
      <sheetName val="PAGE10"/>
      <sheetName val="PAGE11"/>
      <sheetName val="APP Contents"/>
      <sheetName val="APPI"/>
      <sheetName val="APPII"/>
      <sheetName val="APPIII"/>
      <sheetName val="APPIV"/>
      <sheetName val="APPV"/>
      <sheetName val="APPVI PG1"/>
      <sheetName val="APPVI PG 2"/>
      <sheetName val="APPVI VLOOKUP NAMES"/>
      <sheetName val="APPVII PG1"/>
      <sheetName val="APPVII PG2"/>
      <sheetName val="APPVII PG3"/>
      <sheetName val="APPVII PG4"/>
      <sheetName val="APPVIII PG 1"/>
      <sheetName val="APPVIII PG 2"/>
      <sheetName val="APPVIII PG 3"/>
      <sheetName val="APPVIII PG 4"/>
      <sheetName val="APPVIII PG 5"/>
      <sheetName val="APPVIII PG 6"/>
      <sheetName val="APPVIII PG 7"/>
      <sheetName val="APP IX (PJM) "/>
      <sheetName val="APP 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Assessment - NER"/>
      <sheetName val="Generation"/>
      <sheetName val="Fuel Input"/>
      <sheetName val="Input Sheet"/>
      <sheetName val="APPALACHIAN"/>
      <sheetName val="KENTUCKY"/>
      <sheetName val="INDIANA"/>
      <sheetName val="Purchase Pivot"/>
      <sheetName val="Purchase Dump"/>
      <sheetName val="Unit Cost Report"/>
      <sheetName val="Pool Flow Report"/>
    </sheetNames>
    <sheetDataSet>
      <sheetData sheetId="0"/>
      <sheetData sheetId="1"/>
      <sheetData sheetId="2"/>
      <sheetData sheetId="3">
        <row r="1">
          <cell r="B1" t="str">
            <v>August 2014 ACTUAL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Assessment - NER"/>
      <sheetName val="Generation"/>
      <sheetName val="Fuel Input"/>
      <sheetName val="Input Sheet"/>
      <sheetName val="APPALACHIAN"/>
      <sheetName val="KENTUCKY"/>
      <sheetName val="INDIANA"/>
      <sheetName val="Purchase Pivot"/>
      <sheetName val="Purchase Dump"/>
      <sheetName val="Unit Cost Report"/>
      <sheetName val="Pool Flow Report"/>
    </sheetNames>
    <sheetDataSet>
      <sheetData sheetId="0"/>
      <sheetData sheetId="1"/>
      <sheetData sheetId="2"/>
      <sheetData sheetId="3">
        <row r="1">
          <cell r="B1" t="str">
            <v>September 2014 ACTUAL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Assessment - NER"/>
      <sheetName val="Checklist1"/>
      <sheetName val="INPUT SHEET"/>
      <sheetName val="APPALACHIAN"/>
      <sheetName val="KENTUCKY"/>
      <sheetName val="INDIANA"/>
      <sheetName val="OPCO"/>
      <sheetName val="COLUMBUS"/>
      <sheetName val="Purchases Pivot"/>
      <sheetName val="Sales Pivot"/>
      <sheetName val="Unit Cost Report"/>
      <sheetName val="Pool Flow"/>
      <sheetName val="Purchases Dump"/>
      <sheetName val="Sales Dump (452)"/>
    </sheetNames>
    <sheetDataSet>
      <sheetData sheetId="0"/>
      <sheetData sheetId="1"/>
      <sheetData sheetId="2">
        <row r="1">
          <cell r="B1" t="str">
            <v>October 2013 ACTUAL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Assessment - NER"/>
      <sheetName val="Checklist1"/>
      <sheetName val="INPUT SHEET"/>
      <sheetName val="APPALACHIAN"/>
      <sheetName val="KENTUCKY"/>
      <sheetName val="INDIANA"/>
      <sheetName val="OPCO"/>
      <sheetName val="COLUMBUS"/>
      <sheetName val="Purchases Pivot"/>
      <sheetName val="Sales Pivot"/>
      <sheetName val="Unit Cost Report"/>
      <sheetName val="Pool Flow"/>
      <sheetName val="Purchases Dump"/>
      <sheetName val="Sales Dump (452)"/>
    </sheetNames>
    <sheetDataSet>
      <sheetData sheetId="0"/>
      <sheetData sheetId="1"/>
      <sheetData sheetId="2">
        <row r="1">
          <cell r="B1" t="str">
            <v>November 2013 ACTUAL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Assessment - NER"/>
      <sheetName val="Checklist1"/>
      <sheetName val="INPUT SHEET"/>
      <sheetName val="APPALACHIAN"/>
      <sheetName val="KENTUCKY"/>
      <sheetName val="INDIANA"/>
      <sheetName val="OPCO"/>
      <sheetName val="COLUMBUS"/>
      <sheetName val="Purchases Pivot"/>
      <sheetName val="Sales Pivot"/>
      <sheetName val="Unit Cost Report"/>
      <sheetName val="Pool Flow"/>
      <sheetName val="Purchases Dump"/>
      <sheetName val="Sales Dump (452)"/>
    </sheetNames>
    <sheetDataSet>
      <sheetData sheetId="0"/>
      <sheetData sheetId="1"/>
      <sheetData sheetId="2">
        <row r="1">
          <cell r="B1" t="str">
            <v>December 2013 ACTUAL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Assessment - NER"/>
      <sheetName val="Generation"/>
      <sheetName val="Fuel Input"/>
      <sheetName val="Input Sheet"/>
      <sheetName val="APPALACHIAN"/>
      <sheetName val="KENTUCKY"/>
      <sheetName val="INDIANA"/>
      <sheetName val="Purchase Pivot"/>
      <sheetName val="Purchase Dump"/>
      <sheetName val="Unit Cost Report"/>
      <sheetName val="Pool Flow Report"/>
    </sheetNames>
    <sheetDataSet>
      <sheetData sheetId="0"/>
      <sheetData sheetId="1"/>
      <sheetData sheetId="2"/>
      <sheetData sheetId="3">
        <row r="1">
          <cell r="B1" t="str">
            <v>March 2014 ACTUAL</v>
          </cell>
        </row>
        <row r="173">
          <cell r="C173">
            <v>-4917.6000000000004</v>
          </cell>
          <cell r="D173">
            <v>-486122.53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Assessment - NER"/>
      <sheetName val="Generation"/>
      <sheetName val="Fuel Input"/>
      <sheetName val="Input Sheet"/>
      <sheetName val="APPALACHIAN"/>
      <sheetName val="KENTUCKY"/>
      <sheetName val="INDIANA"/>
      <sheetName val="Purchase Pivot"/>
      <sheetName val="Purchase Dump"/>
      <sheetName val="Unit Cost Report"/>
      <sheetName val="Pool Flow Report"/>
    </sheetNames>
    <sheetDataSet>
      <sheetData sheetId="0"/>
      <sheetData sheetId="1"/>
      <sheetData sheetId="2"/>
      <sheetData sheetId="3">
        <row r="1">
          <cell r="B1" t="str">
            <v>April 2014 ACTUAL</v>
          </cell>
        </row>
        <row r="173">
          <cell r="C173">
            <v>-1814.15</v>
          </cell>
          <cell r="D173">
            <v>-121701.5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Assessment - NER"/>
      <sheetName val="Generation"/>
      <sheetName val="Fuel Input"/>
      <sheetName val="Input Sheet"/>
      <sheetName val="APPALACHIAN"/>
      <sheetName val="KENTUCKY"/>
      <sheetName val="INDIANA"/>
      <sheetName val="Purchase Pivot"/>
      <sheetName val="Purchase Dump"/>
      <sheetName val="Unit Cost Report"/>
      <sheetName val="Pool Flow Report"/>
    </sheetNames>
    <sheetDataSet>
      <sheetData sheetId="0"/>
      <sheetData sheetId="1"/>
      <sheetData sheetId="2"/>
      <sheetData sheetId="3">
        <row r="1">
          <cell r="B1" t="str">
            <v>May 2014 ACTUAL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Assessment - NER"/>
      <sheetName val="Generation"/>
      <sheetName val="Fuel Input"/>
      <sheetName val="Input Sheet"/>
      <sheetName val="APPALACHIAN"/>
      <sheetName val="KENTUCKY"/>
      <sheetName val="INDIANA"/>
      <sheetName val="Purchase Pivot"/>
      <sheetName val="Purchase Dump"/>
      <sheetName val="Unit Cost Report"/>
      <sheetName val="Pool Flow Report"/>
    </sheetNames>
    <sheetDataSet>
      <sheetData sheetId="0"/>
      <sheetData sheetId="1"/>
      <sheetData sheetId="2"/>
      <sheetData sheetId="3">
        <row r="1">
          <cell r="B1" t="str">
            <v>June 2014 ACTUAL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Assessment - NER"/>
      <sheetName val="Generation"/>
      <sheetName val="Fuel Input"/>
      <sheetName val="Input Sheet"/>
      <sheetName val="APPALACHIAN"/>
      <sheetName val="KENTUCKY"/>
      <sheetName val="INDIANA"/>
      <sheetName val="Purchase Pivot"/>
      <sheetName val="Purchase Dump"/>
      <sheetName val="Unit Cost Report"/>
      <sheetName val="Pool Flow Report"/>
    </sheetNames>
    <sheetDataSet>
      <sheetData sheetId="0"/>
      <sheetData sheetId="1"/>
      <sheetData sheetId="2"/>
      <sheetData sheetId="3">
        <row r="1">
          <cell r="B1" t="str">
            <v>July 2014 ACTUAL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0"/>
  <sheetViews>
    <sheetView tabSelected="1" zoomScaleNormal="100" workbookViewId="0">
      <selection activeCell="B50" sqref="B50"/>
    </sheetView>
  </sheetViews>
  <sheetFormatPr defaultColWidth="9.85546875" defaultRowHeight="15.75" x14ac:dyDescent="0.3"/>
  <cols>
    <col min="1" max="1" width="2.85546875" style="1" bestFit="1" customWidth="1"/>
    <col min="2" max="2" width="51" style="6" customWidth="1"/>
    <col min="3" max="3" width="3.140625" style="43" hidden="1" customWidth="1"/>
    <col min="4" max="4" width="13.28515625" style="6" customWidth="1"/>
    <col min="5" max="5" width="14.42578125" style="6" customWidth="1"/>
    <col min="6" max="6" width="12.140625" style="6" customWidth="1"/>
    <col min="7" max="7" width="11.140625" style="125" customWidth="1"/>
    <col min="8" max="16" width="9.85546875" style="125"/>
    <col min="17" max="16384" width="9.85546875" style="6"/>
  </cols>
  <sheetData>
    <row r="1" spans="1:6" ht="16.5" x14ac:dyDescent="0.3">
      <c r="B1" s="2" t="s">
        <v>0</v>
      </c>
      <c r="C1" s="42"/>
      <c r="D1" s="3"/>
      <c r="E1" s="4"/>
      <c r="F1" s="5" t="s">
        <v>4</v>
      </c>
    </row>
    <row r="2" spans="1:6" x14ac:dyDescent="0.3">
      <c r="E2" s="7"/>
    </row>
    <row r="3" spans="1:6" x14ac:dyDescent="0.3">
      <c r="B3" s="8" t="s">
        <v>1</v>
      </c>
      <c r="C3" s="42"/>
      <c r="E3" s="9"/>
    </row>
    <row r="4" spans="1:6" x14ac:dyDescent="0.3">
      <c r="B4" s="8" t="s">
        <v>2</v>
      </c>
      <c r="C4" s="42"/>
    </row>
    <row r="5" spans="1:6" x14ac:dyDescent="0.3">
      <c r="B5" s="3"/>
      <c r="C5" s="42"/>
      <c r="E5" s="8"/>
    </row>
    <row r="6" spans="1:6" ht="13.15" customHeight="1" x14ac:dyDescent="0.3">
      <c r="B6" s="8" t="s">
        <v>3</v>
      </c>
      <c r="C6" s="42"/>
      <c r="D6" s="124" t="str">
        <f>+'[2]INPUT SHEET'!B1</f>
        <v>October 2013 ACTUAL</v>
      </c>
      <c r="E6" s="124"/>
      <c r="F6" s="124"/>
    </row>
    <row r="7" spans="1:6" x14ac:dyDescent="0.3">
      <c r="B7" s="3"/>
      <c r="C7" s="42"/>
    </row>
    <row r="8" spans="1:6" x14ac:dyDescent="0.3">
      <c r="B8" s="11" t="s">
        <v>5</v>
      </c>
      <c r="C8" s="44"/>
      <c r="D8" s="11" t="s">
        <v>6</v>
      </c>
      <c r="E8" s="12" t="s">
        <v>7</v>
      </c>
      <c r="F8" s="11" t="s">
        <v>47</v>
      </c>
    </row>
    <row r="9" spans="1:6" x14ac:dyDescent="0.3">
      <c r="B9" s="11"/>
      <c r="C9" s="44"/>
      <c r="D9" s="13"/>
      <c r="E9" s="14" t="s">
        <v>9</v>
      </c>
      <c r="F9" s="13"/>
    </row>
    <row r="10" spans="1:6" x14ac:dyDescent="0.3">
      <c r="A10" s="15" t="s">
        <v>10</v>
      </c>
      <c r="B10" s="16" t="s">
        <v>11</v>
      </c>
      <c r="C10" s="42"/>
    </row>
    <row r="11" spans="1:6" x14ac:dyDescent="0.3">
      <c r="B11" s="8" t="s">
        <v>48</v>
      </c>
      <c r="C11" s="45" t="s">
        <v>49</v>
      </c>
      <c r="D11" s="18">
        <v>16734</v>
      </c>
      <c r="E11" s="18">
        <v>324640.71999999991</v>
      </c>
      <c r="F11" s="19">
        <v>19.400066929604392</v>
      </c>
    </row>
    <row r="12" spans="1:6" x14ac:dyDescent="0.3">
      <c r="B12" s="8" t="s">
        <v>61</v>
      </c>
      <c r="C12" s="45" t="s">
        <v>50</v>
      </c>
      <c r="D12" s="18">
        <f>87971.55+129627</f>
        <v>217598.55</v>
      </c>
      <c r="E12" s="46">
        <f>2281665.852+3270008</f>
        <v>5551673.852</v>
      </c>
      <c r="F12" s="19">
        <f>E12/D12</f>
        <v>25.513377051455539</v>
      </c>
    </row>
    <row r="13" spans="1:6" x14ac:dyDescent="0.3">
      <c r="B13" s="22" t="s">
        <v>12</v>
      </c>
      <c r="C13" s="42"/>
      <c r="D13" s="18">
        <f>SUM(D11:D12)</f>
        <v>234332.55</v>
      </c>
      <c r="E13" s="18">
        <f>SUM(E11:E12)</f>
        <v>5876314.5719999997</v>
      </c>
      <c r="F13" s="19">
        <f>IF((E13=0),0,(IF((D13=0),0,(E13/D13))))</f>
        <v>25.076817420371178</v>
      </c>
    </row>
    <row r="14" spans="1:6" x14ac:dyDescent="0.3">
      <c r="B14" s="3"/>
      <c r="C14" s="42"/>
      <c r="D14" s="18"/>
      <c r="E14" s="18"/>
      <c r="F14" s="19"/>
    </row>
    <row r="15" spans="1:6" x14ac:dyDescent="0.3">
      <c r="B15" s="16" t="s">
        <v>14</v>
      </c>
      <c r="C15" s="42"/>
      <c r="D15" s="18"/>
      <c r="E15" s="18"/>
      <c r="F15" s="19"/>
    </row>
    <row r="16" spans="1:6" x14ac:dyDescent="0.3">
      <c r="A16" s="15" t="s">
        <v>13</v>
      </c>
      <c r="B16" s="8" t="s">
        <v>51</v>
      </c>
      <c r="C16" s="45" t="s">
        <v>52</v>
      </c>
      <c r="D16" s="18">
        <v>306431.826</v>
      </c>
      <c r="E16" s="18">
        <v>7832526.4790000003</v>
      </c>
      <c r="F16" s="19">
        <v>25.560420995565913</v>
      </c>
    </row>
    <row r="17" spans="1:6" x14ac:dyDescent="0.3">
      <c r="A17" s="6"/>
      <c r="B17" s="8" t="s">
        <v>53</v>
      </c>
      <c r="C17" s="45" t="s">
        <v>54</v>
      </c>
      <c r="D17" s="18">
        <v>29288.991999999998</v>
      </c>
      <c r="E17" s="18">
        <v>972711.89</v>
      </c>
      <c r="F17" s="19">
        <v>33.210835319972773</v>
      </c>
    </row>
    <row r="18" spans="1:6" x14ac:dyDescent="0.3">
      <c r="B18" s="8" t="s">
        <v>55</v>
      </c>
      <c r="C18" s="45" t="s">
        <v>56</v>
      </c>
      <c r="D18" s="18">
        <v>0</v>
      </c>
      <c r="E18" s="18">
        <v>0</v>
      </c>
      <c r="F18" s="19">
        <v>0</v>
      </c>
    </row>
    <row r="19" spans="1:6" x14ac:dyDescent="0.3">
      <c r="B19" s="22" t="s">
        <v>12</v>
      </c>
      <c r="C19" s="42"/>
      <c r="D19" s="18">
        <v>335720.81799999997</v>
      </c>
      <c r="E19" s="18">
        <v>8805238.3690000009</v>
      </c>
      <c r="F19" s="19">
        <v>26.227859271449773</v>
      </c>
    </row>
    <row r="20" spans="1:6" x14ac:dyDescent="0.3">
      <c r="B20" s="3"/>
      <c r="C20" s="42"/>
      <c r="D20" s="18"/>
      <c r="E20" s="18"/>
      <c r="F20" s="19"/>
    </row>
    <row r="21" spans="1:6" x14ac:dyDescent="0.3">
      <c r="B21" s="16" t="s">
        <v>17</v>
      </c>
      <c r="C21" s="42"/>
      <c r="D21" s="18">
        <f>D13+D19</f>
        <v>570053.36800000002</v>
      </c>
      <c r="E21" s="18">
        <f>E13+E19</f>
        <v>14681552.941</v>
      </c>
      <c r="F21" s="19">
        <f>IF((E21=0),0,(IF((D21=0),0,(E21/D21))))</f>
        <v>25.754699060036074</v>
      </c>
    </row>
    <row r="22" spans="1:6" x14ac:dyDescent="0.3">
      <c r="A22" s="15" t="s">
        <v>16</v>
      </c>
      <c r="B22" s="3"/>
      <c r="C22" s="42"/>
      <c r="D22" s="18"/>
      <c r="E22" s="18"/>
      <c r="F22" s="19"/>
    </row>
    <row r="23" spans="1:6" x14ac:dyDescent="0.3">
      <c r="B23" s="11" t="s">
        <v>18</v>
      </c>
      <c r="C23" s="44"/>
      <c r="D23" s="18"/>
      <c r="E23" s="18"/>
      <c r="F23" s="19"/>
    </row>
    <row r="24" spans="1:6" x14ac:dyDescent="0.3">
      <c r="B24" s="11"/>
      <c r="C24" s="44"/>
      <c r="D24" s="18"/>
      <c r="E24" s="18"/>
      <c r="F24" s="19"/>
    </row>
    <row r="25" spans="1:6" x14ac:dyDescent="0.3">
      <c r="B25" s="16" t="s">
        <v>20</v>
      </c>
      <c r="C25" s="42"/>
      <c r="E25" s="18"/>
    </row>
    <row r="26" spans="1:6" x14ac:dyDescent="0.3">
      <c r="A26" s="15" t="s">
        <v>19</v>
      </c>
      <c r="B26" s="8" t="s">
        <v>51</v>
      </c>
      <c r="C26" s="45" t="s">
        <v>52</v>
      </c>
      <c r="D26" s="18">
        <v>0</v>
      </c>
      <c r="E26" s="18">
        <v>0</v>
      </c>
      <c r="F26" s="19">
        <v>0</v>
      </c>
    </row>
    <row r="27" spans="1:6" x14ac:dyDescent="0.3">
      <c r="B27" s="8" t="s">
        <v>61</v>
      </c>
      <c r="C27" s="45" t="s">
        <v>57</v>
      </c>
      <c r="D27" s="18">
        <f>14995.9+16845</f>
        <v>31840.9</v>
      </c>
      <c r="E27" s="18">
        <f>347324.047+385135</f>
        <v>732459.04700000002</v>
      </c>
      <c r="F27" s="19">
        <v>23.161267213038254</v>
      </c>
    </row>
    <row r="28" spans="1:6" x14ac:dyDescent="0.3">
      <c r="B28" s="8" t="s">
        <v>53</v>
      </c>
      <c r="C28" s="45" t="s">
        <v>54</v>
      </c>
      <c r="D28" s="18">
        <v>23812.602000000003</v>
      </c>
      <c r="E28" s="18">
        <v>839322.34999999986</v>
      </c>
      <c r="F28" s="19">
        <f>E28/D28</f>
        <v>35.246981829201182</v>
      </c>
    </row>
    <row r="29" spans="1:6" x14ac:dyDescent="0.3">
      <c r="B29" s="8" t="s">
        <v>58</v>
      </c>
      <c r="C29" s="45" t="s">
        <v>57</v>
      </c>
      <c r="D29" s="18">
        <v>8197.3019999999997</v>
      </c>
      <c r="E29" s="18">
        <v>261875.41600000008</v>
      </c>
      <c r="F29" s="19">
        <v>31.946537531495132</v>
      </c>
    </row>
    <row r="30" spans="1:6" x14ac:dyDescent="0.3">
      <c r="B30" s="8" t="s">
        <v>55</v>
      </c>
      <c r="C30" s="45" t="s">
        <v>56</v>
      </c>
      <c r="D30" s="18">
        <v>0</v>
      </c>
      <c r="E30" s="18">
        <v>0</v>
      </c>
      <c r="F30" s="19">
        <v>0</v>
      </c>
    </row>
    <row r="31" spans="1:6" x14ac:dyDescent="0.3">
      <c r="B31" s="22" t="s">
        <v>12</v>
      </c>
      <c r="C31" s="42"/>
      <c r="D31" s="18">
        <f>SUM(D26:D30)</f>
        <v>63850.804000000004</v>
      </c>
      <c r="E31" s="18">
        <f>SUM(E26:E30)</f>
        <v>1833656.8130000001</v>
      </c>
      <c r="F31" s="19">
        <f>IF((E31=0),0,(IF((D31=0),0,(E31/D31))))</f>
        <v>28.717834359611196</v>
      </c>
    </row>
    <row r="32" spans="1:6" x14ac:dyDescent="0.3">
      <c r="B32" s="3"/>
      <c r="C32" s="42"/>
      <c r="D32" s="18"/>
      <c r="E32" s="18"/>
      <c r="F32" s="19"/>
    </row>
    <row r="33" spans="1:6" x14ac:dyDescent="0.3">
      <c r="B33" s="16" t="s">
        <v>24</v>
      </c>
      <c r="C33" s="42"/>
      <c r="D33" s="18">
        <f>D21-D31</f>
        <v>506202.56400000001</v>
      </c>
      <c r="E33" s="18">
        <f>E21-E31</f>
        <v>12847896.127999999</v>
      </c>
      <c r="F33" s="19">
        <f>IF((E33=0),0,(IF((D33=0),0,(E33/D33))))</f>
        <v>25.380938465574424</v>
      </c>
    </row>
    <row r="34" spans="1:6" x14ac:dyDescent="0.3">
      <c r="B34" s="3"/>
      <c r="C34" s="42"/>
      <c r="D34" s="18"/>
      <c r="E34" s="18"/>
      <c r="F34" s="19"/>
    </row>
    <row r="35" spans="1:6" x14ac:dyDescent="0.3">
      <c r="A35" s="15" t="s">
        <v>23</v>
      </c>
      <c r="B35" s="16" t="s">
        <v>26</v>
      </c>
      <c r="C35" s="42"/>
      <c r="D35" s="18">
        <f>+D31+D33</f>
        <v>570053.36800000002</v>
      </c>
      <c r="E35" s="18">
        <f>+E31+E33</f>
        <v>14681552.941</v>
      </c>
      <c r="F35" s="19">
        <f>IF((E35=0),0,(IF((D35=0),0,(E35/D35))))</f>
        <v>25.754699060036074</v>
      </c>
    </row>
    <row r="36" spans="1:6" x14ac:dyDescent="0.3">
      <c r="B36" s="8"/>
      <c r="C36" s="42"/>
      <c r="D36" s="18"/>
      <c r="E36" s="18"/>
      <c r="F36" s="19"/>
    </row>
    <row r="37" spans="1:6" x14ac:dyDescent="0.3">
      <c r="A37" s="15" t="s">
        <v>25</v>
      </c>
      <c r="B37" s="8"/>
      <c r="C37" s="42"/>
      <c r="D37" s="18"/>
      <c r="E37" s="18"/>
      <c r="F37" s="19"/>
    </row>
    <row r="38" spans="1:6" x14ac:dyDescent="0.3">
      <c r="A38" s="15"/>
      <c r="D38" s="18"/>
      <c r="E38" s="18"/>
      <c r="F38" s="19"/>
    </row>
    <row r="39" spans="1:6" x14ac:dyDescent="0.3">
      <c r="A39" s="15"/>
      <c r="B39" s="8" t="s">
        <v>28</v>
      </c>
      <c r="C39" s="42"/>
      <c r="D39" s="18">
        <f>D21-D31</f>
        <v>506202.56400000001</v>
      </c>
      <c r="E39" s="18">
        <f>E21-E31</f>
        <v>12847896.127999999</v>
      </c>
      <c r="F39" s="19">
        <f t="shared" ref="F39:F45" si="0">IF((E39=0),0,(IF((D39=0),0,(E39/D39))))</f>
        <v>25.380938465574424</v>
      </c>
    </row>
    <row r="40" spans="1:6" x14ac:dyDescent="0.3">
      <c r="B40" s="8" t="s">
        <v>59</v>
      </c>
      <c r="C40" s="42"/>
      <c r="D40" s="18">
        <f>D41-D39</f>
        <v>-506202.56400000001</v>
      </c>
      <c r="E40" s="18">
        <v>0</v>
      </c>
      <c r="F40" s="19">
        <f t="shared" si="0"/>
        <v>0</v>
      </c>
    </row>
    <row r="41" spans="1:6" x14ac:dyDescent="0.3">
      <c r="A41" s="15" t="s">
        <v>27</v>
      </c>
      <c r="B41" s="8" t="s">
        <v>32</v>
      </c>
      <c r="C41" s="42"/>
      <c r="D41" s="18">
        <f>D45-D44</f>
        <v>0</v>
      </c>
      <c r="E41" s="18">
        <f>(SUM(E39))+E40</f>
        <v>12847896.127999999</v>
      </c>
      <c r="F41" s="19">
        <f t="shared" si="0"/>
        <v>0</v>
      </c>
    </row>
    <row r="42" spans="1:6" x14ac:dyDescent="0.3">
      <c r="A42" s="15" t="s">
        <v>29</v>
      </c>
      <c r="B42" s="17" t="s">
        <v>34</v>
      </c>
      <c r="C42" s="42"/>
      <c r="D42" s="18">
        <v>-786.71288700000002</v>
      </c>
      <c r="E42" s="18">
        <v>-20691.335640986999</v>
      </c>
      <c r="F42" s="19">
        <f t="shared" si="0"/>
        <v>26.300999999999998</v>
      </c>
    </row>
    <row r="43" spans="1:6" x14ac:dyDescent="0.3">
      <c r="A43" s="15" t="s">
        <v>31</v>
      </c>
      <c r="B43" s="17" t="s">
        <v>36</v>
      </c>
      <c r="C43" s="42"/>
      <c r="D43" s="18">
        <v>786.71288700000002</v>
      </c>
      <c r="E43" s="18">
        <v>20691.335640986999</v>
      </c>
      <c r="F43" s="19">
        <f t="shared" si="0"/>
        <v>26.300999999999998</v>
      </c>
    </row>
    <row r="44" spans="1:6" x14ac:dyDescent="0.3">
      <c r="A44" s="15" t="s">
        <v>33</v>
      </c>
      <c r="B44" s="8" t="s">
        <v>38</v>
      </c>
      <c r="C44" s="42"/>
      <c r="D44" s="18">
        <v>0</v>
      </c>
      <c r="E44" s="18">
        <v>0</v>
      </c>
      <c r="F44" s="19">
        <f t="shared" si="0"/>
        <v>0</v>
      </c>
    </row>
    <row r="45" spans="1:6" x14ac:dyDescent="0.3">
      <c r="A45" s="15" t="s">
        <v>35</v>
      </c>
      <c r="B45" s="8" t="s">
        <v>40</v>
      </c>
      <c r="C45" s="45" t="s">
        <v>60</v>
      </c>
      <c r="D45" s="18">
        <f>O36+D42+D43</f>
        <v>0</v>
      </c>
      <c r="E45" s="25">
        <f>SUM(E41:E44)</f>
        <v>12847896.127999999</v>
      </c>
      <c r="F45" s="47">
        <f t="shared" si="0"/>
        <v>0</v>
      </c>
    </row>
    <row r="46" spans="1:6" x14ac:dyDescent="0.3">
      <c r="A46" s="15" t="s">
        <v>37</v>
      </c>
      <c r="B46" s="126" t="s">
        <v>4</v>
      </c>
      <c r="C46" s="126"/>
      <c r="D46" s="126"/>
      <c r="E46" s="126"/>
      <c r="F46" s="126"/>
    </row>
    <row r="47" spans="1:6" x14ac:dyDescent="0.3">
      <c r="A47" s="15" t="s">
        <v>39</v>
      </c>
      <c r="B47" s="127" t="s">
        <v>4</v>
      </c>
      <c r="C47" s="125"/>
      <c r="D47" s="125"/>
      <c r="E47" s="125"/>
      <c r="F47" s="125"/>
    </row>
    <row r="48" spans="1:6" x14ac:dyDescent="0.3">
      <c r="A48" s="128" t="s">
        <v>4</v>
      </c>
      <c r="B48" s="3"/>
      <c r="C48" s="42"/>
      <c r="D48" s="18"/>
      <c r="E48" s="18"/>
      <c r="F48" s="35"/>
    </row>
    <row r="49" spans="1:6" x14ac:dyDescent="0.3">
      <c r="A49" s="125"/>
    </row>
    <row r="50" spans="1:6" x14ac:dyDescent="0.3">
      <c r="A50" s="125"/>
      <c r="B50" s="125"/>
      <c r="C50" s="125"/>
      <c r="D50" s="125"/>
      <c r="E50" s="125"/>
      <c r="F50" s="125"/>
    </row>
    <row r="51" spans="1:6" x14ac:dyDescent="0.3">
      <c r="A51" s="125"/>
      <c r="B51" s="125"/>
      <c r="C51" s="125"/>
      <c r="D51" s="125"/>
      <c r="E51" s="125"/>
      <c r="F51" s="125"/>
    </row>
    <row r="52" spans="1:6" x14ac:dyDescent="0.3">
      <c r="A52" s="125"/>
      <c r="B52" s="125"/>
      <c r="C52" s="125"/>
      <c r="D52" s="125"/>
      <c r="E52" s="125"/>
      <c r="F52" s="125"/>
    </row>
    <row r="53" spans="1:6" x14ac:dyDescent="0.3">
      <c r="A53" s="125"/>
      <c r="B53" s="125"/>
      <c r="C53" s="125"/>
      <c r="D53" s="125"/>
      <c r="E53" s="125"/>
      <c r="F53" s="125"/>
    </row>
    <row r="54" spans="1:6" x14ac:dyDescent="0.3">
      <c r="A54" s="125"/>
      <c r="B54" s="125"/>
      <c r="C54" s="125"/>
      <c r="D54" s="125"/>
      <c r="E54" s="125"/>
      <c r="F54" s="125"/>
    </row>
    <row r="55" spans="1:6" x14ac:dyDescent="0.3">
      <c r="A55" s="125"/>
      <c r="B55" s="125"/>
      <c r="C55" s="125"/>
      <c r="D55" s="125"/>
      <c r="E55" s="125"/>
      <c r="F55" s="125"/>
    </row>
    <row r="56" spans="1:6" x14ac:dyDescent="0.3">
      <c r="A56" s="125"/>
      <c r="B56" s="125"/>
      <c r="C56" s="125"/>
      <c r="D56" s="125"/>
      <c r="E56" s="125"/>
      <c r="F56" s="125"/>
    </row>
    <row r="57" spans="1:6" x14ac:dyDescent="0.3">
      <c r="A57" s="125"/>
      <c r="B57" s="125"/>
      <c r="C57" s="125"/>
      <c r="D57" s="125"/>
      <c r="E57" s="125"/>
      <c r="F57" s="125"/>
    </row>
    <row r="58" spans="1:6" x14ac:dyDescent="0.3">
      <c r="A58" s="125"/>
      <c r="B58" s="125"/>
      <c r="C58" s="125"/>
      <c r="D58" s="125"/>
      <c r="E58" s="125"/>
      <c r="F58" s="125"/>
    </row>
    <row r="59" spans="1:6" x14ac:dyDescent="0.3">
      <c r="B59" s="6" t="s">
        <v>4</v>
      </c>
    </row>
    <row r="60" spans="1:6" x14ac:dyDescent="0.3">
      <c r="B60" s="6" t="s">
        <v>4</v>
      </c>
    </row>
  </sheetData>
  <mergeCells count="1">
    <mergeCell ref="D6:F6"/>
  </mergeCells>
  <pageMargins left="0.7" right="0.7" top="0.75" bottom="0.75" header="0.3" footer="0.3"/>
  <pageSetup scale="96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M50"/>
  <sheetViews>
    <sheetView zoomScale="85" zoomScaleNormal="85" workbookViewId="0">
      <selection activeCell="G24" sqref="G24:H25"/>
    </sheetView>
  </sheetViews>
  <sheetFormatPr defaultColWidth="9.85546875" defaultRowHeight="13.5" x14ac:dyDescent="0.3"/>
  <cols>
    <col min="1" max="1" width="3.28515625" style="49" bestFit="1" customWidth="1"/>
    <col min="2" max="2" width="56.140625" style="54" customWidth="1"/>
    <col min="3" max="3" width="9.42578125" style="54" bestFit="1" customWidth="1"/>
    <col min="4" max="4" width="10.85546875" style="54" bestFit="1" customWidth="1"/>
    <col min="5" max="5" width="11" style="54" bestFit="1" customWidth="1"/>
    <col min="6" max="6" width="9.85546875" style="54"/>
    <col min="7" max="7" width="12" style="54" bestFit="1" customWidth="1"/>
    <col min="8" max="16384" width="9.85546875" style="54"/>
  </cols>
  <sheetData>
    <row r="1" spans="1:5" ht="16.5" x14ac:dyDescent="0.3">
      <c r="B1" s="50" t="s">
        <v>0</v>
      </c>
      <c r="C1" s="51"/>
      <c r="D1" s="52"/>
      <c r="E1" s="53"/>
    </row>
    <row r="2" spans="1:5" x14ac:dyDescent="0.3">
      <c r="B2" s="54" t="str">
        <f>'[9]Input Sheet'!B1</f>
        <v>July 2014 ACTUAL</v>
      </c>
      <c r="D2" s="55"/>
    </row>
    <row r="3" spans="1:5" x14ac:dyDescent="0.3">
      <c r="B3" s="56" t="s">
        <v>1</v>
      </c>
      <c r="D3" s="57"/>
    </row>
    <row r="4" spans="1:5" x14ac:dyDescent="0.3">
      <c r="B4" s="56" t="s">
        <v>2</v>
      </c>
    </row>
    <row r="5" spans="1:5" x14ac:dyDescent="0.3">
      <c r="B5" s="51"/>
      <c r="D5" s="56"/>
    </row>
    <row r="6" spans="1:5" x14ac:dyDescent="0.3">
      <c r="B6" s="56" t="s">
        <v>3</v>
      </c>
      <c r="D6" s="58"/>
      <c r="E6" s="59" t="s">
        <v>4</v>
      </c>
    </row>
    <row r="7" spans="1:5" x14ac:dyDescent="0.3">
      <c r="B7" s="51"/>
    </row>
    <row r="8" spans="1:5" x14ac:dyDescent="0.3">
      <c r="B8" s="60" t="s">
        <v>5</v>
      </c>
      <c r="C8" s="60" t="s">
        <v>6</v>
      </c>
      <c r="D8" s="61" t="s">
        <v>7</v>
      </c>
      <c r="E8" s="134" t="s">
        <v>8</v>
      </c>
    </row>
    <row r="9" spans="1:5" x14ac:dyDescent="0.3">
      <c r="B9" s="60"/>
      <c r="C9" s="62"/>
      <c r="D9" s="63" t="s">
        <v>9</v>
      </c>
      <c r="E9" s="62"/>
    </row>
    <row r="10" spans="1:5" x14ac:dyDescent="0.3">
      <c r="A10" s="64" t="s">
        <v>10</v>
      </c>
      <c r="B10" s="65" t="s">
        <v>11</v>
      </c>
    </row>
    <row r="11" spans="1:5" x14ac:dyDescent="0.3">
      <c r="B11" s="66" t="s">
        <v>62</v>
      </c>
      <c r="C11" s="67">
        <v>465645</v>
      </c>
      <c r="D11" s="67">
        <v>13851169.559999999</v>
      </c>
      <c r="E11" s="68">
        <f t="shared" ref="E11:E16" si="0">IF((D11=0),0,(IF((C11=0),0,(D11/C11))))</f>
        <v>29.746200560512833</v>
      </c>
    </row>
    <row r="12" spans="1:5" x14ac:dyDescent="0.3">
      <c r="B12" s="56" t="s">
        <v>63</v>
      </c>
      <c r="C12" s="67">
        <v>194125</v>
      </c>
      <c r="D12" s="67">
        <v>5051340.9361119997</v>
      </c>
      <c r="E12" s="68">
        <f t="shared" si="0"/>
        <v>26.021073721117833</v>
      </c>
    </row>
    <row r="13" spans="1:5" x14ac:dyDescent="0.3">
      <c r="B13" s="56" t="s">
        <v>64</v>
      </c>
      <c r="C13" s="67">
        <v>238477</v>
      </c>
      <c r="D13" s="67">
        <v>5983560.9970303988</v>
      </c>
      <c r="E13" s="68">
        <f t="shared" si="0"/>
        <v>25.090725717911575</v>
      </c>
    </row>
    <row r="14" spans="1:5" x14ac:dyDescent="0.3">
      <c r="B14" s="56" t="s">
        <v>65</v>
      </c>
      <c r="C14" s="67">
        <v>86104.049999999988</v>
      </c>
      <c r="D14" s="67">
        <v>2236337.8694999996</v>
      </c>
      <c r="E14" s="68">
        <f t="shared" si="0"/>
        <v>25.972505004120013</v>
      </c>
    </row>
    <row r="15" spans="1:5" x14ac:dyDescent="0.3">
      <c r="B15" s="56" t="s">
        <v>66</v>
      </c>
      <c r="C15" s="69">
        <v>116564.99999999984</v>
      </c>
      <c r="D15" s="69">
        <v>2895469.4114999967</v>
      </c>
      <c r="E15" s="70">
        <f t="shared" si="0"/>
        <v>24.839955488354143</v>
      </c>
    </row>
    <row r="16" spans="1:5" x14ac:dyDescent="0.3">
      <c r="B16" s="71" t="s">
        <v>12</v>
      </c>
      <c r="C16" s="72">
        <f>SUM(C11:C15)</f>
        <v>1100916.0499999998</v>
      </c>
      <c r="D16" s="72">
        <f>SUM(D11:D15)</f>
        <v>30017878.774142392</v>
      </c>
      <c r="E16" s="73">
        <f t="shared" si="0"/>
        <v>27.26627409432572</v>
      </c>
    </row>
    <row r="17" spans="1:5" x14ac:dyDescent="0.3">
      <c r="B17" s="51"/>
      <c r="C17" s="67"/>
      <c r="D17" s="67"/>
      <c r="E17" s="68"/>
    </row>
    <row r="18" spans="1:5" x14ac:dyDescent="0.3">
      <c r="A18" s="64" t="s">
        <v>13</v>
      </c>
      <c r="B18" s="65" t="s">
        <v>14</v>
      </c>
      <c r="C18" s="67"/>
      <c r="D18" s="67"/>
      <c r="E18" s="68"/>
    </row>
    <row r="19" spans="1:5" x14ac:dyDescent="0.3">
      <c r="B19" s="56" t="s">
        <v>15</v>
      </c>
      <c r="C19" s="69">
        <v>89330.634999999995</v>
      </c>
      <c r="D19" s="69">
        <v>3079256.54</v>
      </c>
      <c r="E19" s="70">
        <f>IF((D19=0),0,(IF((C19=0),0,(D19/C19))))</f>
        <v>34.470330810925056</v>
      </c>
    </row>
    <row r="20" spans="1:5" x14ac:dyDescent="0.3">
      <c r="B20" s="71" t="s">
        <v>12</v>
      </c>
      <c r="C20" s="72">
        <f>SUM(C19:C19)</f>
        <v>89330.634999999995</v>
      </c>
      <c r="D20" s="72">
        <f>SUM(D19:D19)</f>
        <v>3079256.54</v>
      </c>
      <c r="E20" s="73">
        <f>IF((D20=0),0,(IF((C20=0),0,(D20/C20))))</f>
        <v>34.470330810925056</v>
      </c>
    </row>
    <row r="21" spans="1:5" x14ac:dyDescent="0.3">
      <c r="B21" s="51"/>
      <c r="C21" s="67"/>
      <c r="D21" s="67"/>
      <c r="E21" s="68"/>
    </row>
    <row r="22" spans="1:5" x14ac:dyDescent="0.3">
      <c r="A22" s="64" t="s">
        <v>16</v>
      </c>
      <c r="B22" s="65" t="s">
        <v>17</v>
      </c>
      <c r="C22" s="72">
        <f>C16+C20</f>
        <v>1190246.6849999998</v>
      </c>
      <c r="D22" s="72">
        <f>D16+D20</f>
        <v>33097135.314142391</v>
      </c>
      <c r="E22" s="73">
        <f>IF((D22=0),0,(IF((C22=0),0,(D22/C22))))</f>
        <v>27.806954416464009</v>
      </c>
    </row>
    <row r="23" spans="1:5" x14ac:dyDescent="0.3">
      <c r="B23" s="51"/>
      <c r="C23" s="67"/>
      <c r="D23" s="67"/>
      <c r="E23" s="68"/>
    </row>
    <row r="24" spans="1:5" x14ac:dyDescent="0.3">
      <c r="B24" s="60" t="s">
        <v>18</v>
      </c>
      <c r="C24" s="67"/>
      <c r="D24" s="67"/>
      <c r="E24" s="68"/>
    </row>
    <row r="25" spans="1:5" x14ac:dyDescent="0.3">
      <c r="B25" s="60"/>
      <c r="C25" s="67"/>
      <c r="D25" s="67"/>
      <c r="E25" s="68"/>
    </row>
    <row r="26" spans="1:5" x14ac:dyDescent="0.3">
      <c r="A26" s="64" t="s">
        <v>19</v>
      </c>
      <c r="B26" s="65" t="s">
        <v>20</v>
      </c>
      <c r="D26" s="67"/>
    </row>
    <row r="27" spans="1:5" x14ac:dyDescent="0.3">
      <c r="B27" s="56" t="s">
        <v>21</v>
      </c>
      <c r="C27" s="74">
        <v>245957.70500000013</v>
      </c>
      <c r="D27" s="74">
        <v>5538335.9430000028</v>
      </c>
      <c r="E27" s="75">
        <f>IF((D27=0),0,(IF((C27=0),0,(D27/C27))))</f>
        <v>22.517432186155744</v>
      </c>
    </row>
    <row r="28" spans="1:5" x14ac:dyDescent="0.3">
      <c r="B28" s="56" t="s">
        <v>63</v>
      </c>
      <c r="C28" s="74">
        <v>96630.0649999999</v>
      </c>
      <c r="D28" s="74">
        <v>1902326.262000001</v>
      </c>
      <c r="E28" s="75">
        <f t="shared" ref="E28:E33" si="1">IF((D28=0),0,(IF((C28=0),0,(D28/C28))))</f>
        <v>19.686691321174244</v>
      </c>
    </row>
    <row r="29" spans="1:5" x14ac:dyDescent="0.3">
      <c r="B29" s="56" t="s">
        <v>64</v>
      </c>
      <c r="C29" s="67">
        <v>106323.06800000001</v>
      </c>
      <c r="D29" s="67">
        <v>2087596.7879999981</v>
      </c>
      <c r="E29" s="68">
        <f t="shared" si="1"/>
        <v>19.634467169438693</v>
      </c>
    </row>
    <row r="30" spans="1:5" x14ac:dyDescent="0.3">
      <c r="B30" s="56" t="s">
        <v>65</v>
      </c>
      <c r="C30" s="67">
        <v>44754.88499999998</v>
      </c>
      <c r="D30" s="67">
        <v>991845.4189999993</v>
      </c>
      <c r="E30" s="68">
        <f t="shared" si="1"/>
        <v>22.161724222953534</v>
      </c>
    </row>
    <row r="31" spans="1:5" x14ac:dyDescent="0.3">
      <c r="B31" s="56" t="s">
        <v>66</v>
      </c>
      <c r="C31" s="67">
        <v>58363.623000000036</v>
      </c>
      <c r="D31" s="67">
        <v>1288616.4519999989</v>
      </c>
      <c r="E31" s="68">
        <f t="shared" si="1"/>
        <v>22.07910314272296</v>
      </c>
    </row>
    <row r="32" spans="1:5" x14ac:dyDescent="0.3">
      <c r="B32" s="66" t="s">
        <v>22</v>
      </c>
      <c r="C32" s="69">
        <v>86357.735000000001</v>
      </c>
      <c r="D32" s="69">
        <v>3035862.65</v>
      </c>
      <c r="E32" s="70">
        <f>IF((D32=0),0,(IF((C32=0),0,(D32/C32))))</f>
        <v>35.154496004324336</v>
      </c>
    </row>
    <row r="33" spans="1:13" x14ac:dyDescent="0.3">
      <c r="B33" s="71" t="s">
        <v>12</v>
      </c>
      <c r="C33" s="72">
        <f>SUM(C27:C32)</f>
        <v>638387.08100000001</v>
      </c>
      <c r="D33" s="72">
        <f>SUM(D27:D32)</f>
        <v>14844583.514000002</v>
      </c>
      <c r="E33" s="73">
        <f t="shared" si="1"/>
        <v>23.253264290290364</v>
      </c>
    </row>
    <row r="34" spans="1:13" x14ac:dyDescent="0.3">
      <c r="B34" s="51"/>
      <c r="C34" s="67"/>
      <c r="D34" s="67"/>
      <c r="E34" s="68"/>
    </row>
    <row r="35" spans="1:13" x14ac:dyDescent="0.3">
      <c r="A35" s="64" t="s">
        <v>23</v>
      </c>
      <c r="B35" s="65" t="s">
        <v>24</v>
      </c>
      <c r="C35" s="72">
        <f>C22-C33</f>
        <v>551859.60399999982</v>
      </c>
      <c r="D35" s="72">
        <f>D22-D33</f>
        <v>18252551.800142389</v>
      </c>
      <c r="E35" s="73">
        <f>IF((D35=0),0,(IF((C35=0),0,(D35/C35))))</f>
        <v>33.074629249620514</v>
      </c>
    </row>
    <row r="36" spans="1:13" x14ac:dyDescent="0.3">
      <c r="B36" s="51"/>
      <c r="C36" s="67"/>
      <c r="D36" s="67"/>
      <c r="E36" s="68"/>
    </row>
    <row r="37" spans="1:13" x14ac:dyDescent="0.3">
      <c r="A37" s="64" t="s">
        <v>25</v>
      </c>
      <c r="B37" s="65" t="s">
        <v>26</v>
      </c>
      <c r="C37" s="72">
        <f>+C33+C35</f>
        <v>1190246.6849999998</v>
      </c>
      <c r="D37" s="72">
        <f>+D33+D35</f>
        <v>33097135.314142391</v>
      </c>
      <c r="E37" s="73">
        <f>IF((D37=0),0,(IF((C37=0),0,(D37/C37))))</f>
        <v>27.806954416464009</v>
      </c>
    </row>
    <row r="38" spans="1:13" x14ac:dyDescent="0.3">
      <c r="A38" s="64"/>
      <c r="B38" s="56"/>
      <c r="C38" s="67"/>
      <c r="D38" s="67"/>
      <c r="E38" s="68"/>
    </row>
    <row r="39" spans="1:13" x14ac:dyDescent="0.3">
      <c r="A39" s="64"/>
      <c r="B39" s="56"/>
      <c r="C39" s="67"/>
      <c r="D39" s="67"/>
      <c r="E39" s="68"/>
    </row>
    <row r="40" spans="1:13" x14ac:dyDescent="0.3">
      <c r="C40" s="67"/>
      <c r="D40" s="67"/>
      <c r="E40" s="68"/>
    </row>
    <row r="41" spans="1:13" x14ac:dyDescent="0.3">
      <c r="A41" s="64" t="s">
        <v>27</v>
      </c>
      <c r="B41" s="56" t="s">
        <v>28</v>
      </c>
      <c r="C41" s="67">
        <f>C35</f>
        <v>551859.60399999982</v>
      </c>
      <c r="D41" s="67">
        <f>D35</f>
        <v>18252551.800142389</v>
      </c>
      <c r="E41" s="68">
        <f t="shared" ref="E41:E47" si="2">IF((D41=0),0,(IF((C41=0),0,(D41/C41))))</f>
        <v>33.074629249620514</v>
      </c>
      <c r="G41" s="76"/>
      <c r="K41" s="77"/>
      <c r="L41" s="77"/>
      <c r="M41" s="77"/>
    </row>
    <row r="42" spans="1:13" ht="14.25" thickBot="1" x14ac:dyDescent="0.35">
      <c r="A42" s="64" t="s">
        <v>29</v>
      </c>
      <c r="B42" s="66" t="s">
        <v>30</v>
      </c>
      <c r="C42" s="74">
        <v>0</v>
      </c>
      <c r="D42" s="67">
        <v>0</v>
      </c>
      <c r="E42" s="68">
        <f t="shared" si="2"/>
        <v>0</v>
      </c>
      <c r="K42" s="77"/>
      <c r="L42" s="77"/>
      <c r="M42" s="77"/>
    </row>
    <row r="43" spans="1:13" ht="14.25" thickBot="1" x14ac:dyDescent="0.35">
      <c r="A43" s="78" t="s">
        <v>31</v>
      </c>
      <c r="B43" s="79" t="s">
        <v>32</v>
      </c>
      <c r="C43" s="80">
        <f>SUM(C41:C42)</f>
        <v>551859.60399999982</v>
      </c>
      <c r="D43" s="80">
        <f>(SUM(D41))+D42</f>
        <v>18252551.800142389</v>
      </c>
      <c r="E43" s="81">
        <f t="shared" si="2"/>
        <v>33.074629249620514</v>
      </c>
      <c r="K43" s="77"/>
      <c r="L43" s="77"/>
      <c r="M43" s="77"/>
    </row>
    <row r="44" spans="1:13" x14ac:dyDescent="0.3">
      <c r="A44" s="64" t="s">
        <v>33</v>
      </c>
      <c r="B44" s="66" t="s">
        <v>45</v>
      </c>
      <c r="C44" s="74">
        <v>-813.63</v>
      </c>
      <c r="D44" s="67">
        <v>-39083.269999999997</v>
      </c>
      <c r="E44" s="68">
        <f t="shared" si="2"/>
        <v>48.03567960866733</v>
      </c>
      <c r="K44" s="77"/>
      <c r="L44" s="77"/>
      <c r="M44" s="77"/>
    </row>
    <row r="45" spans="1:13" x14ac:dyDescent="0.3">
      <c r="A45" s="64" t="s">
        <v>35</v>
      </c>
      <c r="B45" s="66" t="s">
        <v>46</v>
      </c>
      <c r="C45" s="74">
        <v>0</v>
      </c>
      <c r="D45" s="67">
        <v>0</v>
      </c>
      <c r="E45" s="68">
        <f t="shared" si="2"/>
        <v>0</v>
      </c>
      <c r="K45" s="77"/>
      <c r="L45" s="77"/>
      <c r="M45" s="77"/>
    </row>
    <row r="46" spans="1:13" ht="14.25" thickBot="1" x14ac:dyDescent="0.35">
      <c r="A46" s="64" t="s">
        <v>37</v>
      </c>
      <c r="B46" s="56" t="s">
        <v>38</v>
      </c>
      <c r="C46" s="82">
        <v>0</v>
      </c>
      <c r="D46" s="74">
        <v>0</v>
      </c>
      <c r="E46" s="75">
        <f t="shared" si="2"/>
        <v>0</v>
      </c>
      <c r="K46" s="77"/>
      <c r="L46" s="77"/>
      <c r="M46" s="77"/>
    </row>
    <row r="47" spans="1:13" ht="14.25" thickBot="1" x14ac:dyDescent="0.35">
      <c r="A47" s="78" t="s">
        <v>39</v>
      </c>
      <c r="B47" s="79" t="s">
        <v>40</v>
      </c>
      <c r="C47" s="83">
        <f>C41+C42+C44+C45</f>
        <v>551045.97399999981</v>
      </c>
      <c r="D47" s="83">
        <f>D41+D42+D44+D45</f>
        <v>18213468.530142389</v>
      </c>
      <c r="E47" s="84">
        <f t="shared" si="2"/>
        <v>33.052538970446044</v>
      </c>
      <c r="K47" s="77"/>
      <c r="L47" s="77"/>
      <c r="M47" s="77"/>
    </row>
    <row r="48" spans="1:13" ht="14.25" x14ac:dyDescent="0.3">
      <c r="A48" s="135" t="s">
        <v>4</v>
      </c>
      <c r="B48" s="136" t="s">
        <v>4</v>
      </c>
      <c r="C48" s="136"/>
      <c r="D48" s="136"/>
      <c r="E48" s="136"/>
    </row>
    <row r="49" spans="1:5" ht="14.25" x14ac:dyDescent="0.3">
      <c r="A49" s="137"/>
      <c r="B49" s="138" t="s">
        <v>4</v>
      </c>
      <c r="C49" s="137"/>
      <c r="D49" s="137"/>
      <c r="E49" s="137"/>
    </row>
    <row r="50" spans="1:5" x14ac:dyDescent="0.3">
      <c r="B50" s="51"/>
      <c r="C50" s="67"/>
      <c r="D50" s="67"/>
      <c r="E50" s="85"/>
    </row>
  </sheetData>
  <printOptions horizontalCentered="1" verticalCentered="1"/>
  <pageMargins left="0.75" right="0.75" top="0.75" bottom="0.75" header="0.5" footer="0.5"/>
  <pageSetup scale="85" orientation="portrait" cellComments="asDisplayed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M50"/>
  <sheetViews>
    <sheetView zoomScale="85" zoomScaleNormal="85" workbookViewId="0">
      <selection activeCell="B10" sqref="B10"/>
    </sheetView>
  </sheetViews>
  <sheetFormatPr defaultColWidth="9.85546875" defaultRowHeight="13.5" x14ac:dyDescent="0.3"/>
  <cols>
    <col min="1" max="1" width="3.28515625" style="49" bestFit="1" customWidth="1"/>
    <col min="2" max="2" width="56.140625" style="54" customWidth="1"/>
    <col min="3" max="3" width="9.42578125" style="54" bestFit="1" customWidth="1"/>
    <col min="4" max="4" width="10.85546875" style="54" bestFit="1" customWidth="1"/>
    <col min="5" max="5" width="11" style="54" bestFit="1" customWidth="1"/>
    <col min="6" max="6" width="9.85546875" style="54"/>
    <col min="7" max="7" width="12" style="54" bestFit="1" customWidth="1"/>
    <col min="8" max="16384" width="9.85546875" style="54"/>
  </cols>
  <sheetData>
    <row r="1" spans="1:5" ht="16.5" x14ac:dyDescent="0.3">
      <c r="B1" s="50" t="s">
        <v>0</v>
      </c>
      <c r="C1" s="51"/>
      <c r="D1" s="52"/>
      <c r="E1" s="53"/>
    </row>
    <row r="2" spans="1:5" x14ac:dyDescent="0.3">
      <c r="B2" s="54" t="str">
        <f>'[10]Input Sheet'!B1</f>
        <v>August 2014 ACTUAL</v>
      </c>
      <c r="D2" s="55"/>
    </row>
    <row r="3" spans="1:5" x14ac:dyDescent="0.3">
      <c r="B3" s="56" t="s">
        <v>1</v>
      </c>
      <c r="D3" s="57"/>
    </row>
    <row r="4" spans="1:5" x14ac:dyDescent="0.3">
      <c r="B4" s="56" t="s">
        <v>2</v>
      </c>
    </row>
    <row r="5" spans="1:5" x14ac:dyDescent="0.3">
      <c r="B5" s="51"/>
      <c r="D5" s="56"/>
    </row>
    <row r="6" spans="1:5" x14ac:dyDescent="0.3">
      <c r="B6" s="56" t="s">
        <v>3</v>
      </c>
      <c r="D6" s="58"/>
      <c r="E6" s="59" t="s">
        <v>4</v>
      </c>
    </row>
    <row r="7" spans="1:5" x14ac:dyDescent="0.3">
      <c r="B7" s="51"/>
    </row>
    <row r="8" spans="1:5" x14ac:dyDescent="0.3">
      <c r="B8" s="60" t="s">
        <v>5</v>
      </c>
      <c r="C8" s="60" t="s">
        <v>6</v>
      </c>
      <c r="D8" s="61" t="s">
        <v>7</v>
      </c>
      <c r="E8" s="134" t="s">
        <v>8</v>
      </c>
    </row>
    <row r="9" spans="1:5" x14ac:dyDescent="0.3">
      <c r="B9" s="60"/>
      <c r="C9" s="62"/>
      <c r="D9" s="63" t="s">
        <v>9</v>
      </c>
      <c r="E9" s="62"/>
    </row>
    <row r="10" spans="1:5" x14ac:dyDescent="0.3">
      <c r="A10" s="64" t="s">
        <v>10</v>
      </c>
      <c r="B10" s="65" t="s">
        <v>11</v>
      </c>
    </row>
    <row r="11" spans="1:5" x14ac:dyDescent="0.3">
      <c r="B11" s="66" t="s">
        <v>62</v>
      </c>
      <c r="C11" s="67">
        <v>585732</v>
      </c>
      <c r="D11" s="67">
        <v>16752912.01</v>
      </c>
      <c r="E11" s="68">
        <f t="shared" ref="E11:E16" si="0">IF((D11=0),0,(IF((C11=0),0,(D11/C11))))</f>
        <v>28.601667673953276</v>
      </c>
    </row>
    <row r="12" spans="1:5" x14ac:dyDescent="0.3">
      <c r="B12" s="56" t="s">
        <v>63</v>
      </c>
      <c r="C12" s="67">
        <v>225262</v>
      </c>
      <c r="D12" s="67">
        <v>5929198.6939623998</v>
      </c>
      <c r="E12" s="68">
        <f t="shared" si="0"/>
        <v>26.321344452070921</v>
      </c>
    </row>
    <row r="13" spans="1:5" x14ac:dyDescent="0.3">
      <c r="B13" s="56" t="s">
        <v>64</v>
      </c>
      <c r="C13" s="67">
        <v>153146</v>
      </c>
      <c r="D13" s="67">
        <v>3993117.0846486017</v>
      </c>
      <c r="E13" s="68">
        <f t="shared" si="0"/>
        <v>26.073923475954981</v>
      </c>
    </row>
    <row r="14" spans="1:5" x14ac:dyDescent="0.3">
      <c r="B14" s="56" t="s">
        <v>65</v>
      </c>
      <c r="C14" s="67">
        <v>120579.30000000018</v>
      </c>
      <c r="D14" s="67">
        <v>3051313.4115000023</v>
      </c>
      <c r="E14" s="68">
        <f t="shared" si="0"/>
        <v>25.305449704053661</v>
      </c>
    </row>
    <row r="15" spans="1:5" x14ac:dyDescent="0.3">
      <c r="B15" s="56" t="s">
        <v>66</v>
      </c>
      <c r="C15" s="69">
        <v>95146.799999999988</v>
      </c>
      <c r="D15" s="69">
        <v>2449105.9185000001</v>
      </c>
      <c r="E15" s="70">
        <f t="shared" si="0"/>
        <v>25.740286783160343</v>
      </c>
    </row>
    <row r="16" spans="1:5" x14ac:dyDescent="0.3">
      <c r="B16" s="71" t="s">
        <v>12</v>
      </c>
      <c r="C16" s="72">
        <f>SUM(C11:C15)</f>
        <v>1179866.1000000003</v>
      </c>
      <c r="D16" s="72">
        <f>SUM(D11:D15)</f>
        <v>32175647.118611004</v>
      </c>
      <c r="E16" s="73">
        <f t="shared" si="0"/>
        <v>27.270592077025515</v>
      </c>
    </row>
    <row r="17" spans="1:5" x14ac:dyDescent="0.3">
      <c r="B17" s="51"/>
      <c r="C17" s="67"/>
      <c r="D17" s="67"/>
      <c r="E17" s="68"/>
    </row>
    <row r="18" spans="1:5" x14ac:dyDescent="0.3">
      <c r="A18" s="64" t="s">
        <v>13</v>
      </c>
      <c r="B18" s="65" t="s">
        <v>14</v>
      </c>
      <c r="C18" s="67"/>
      <c r="D18" s="67"/>
      <c r="E18" s="68"/>
    </row>
    <row r="19" spans="1:5" x14ac:dyDescent="0.3">
      <c r="B19" s="56" t="s">
        <v>15</v>
      </c>
      <c r="C19" s="69">
        <v>85871.148000000001</v>
      </c>
      <c r="D19" s="69">
        <v>2828326.5</v>
      </c>
      <c r="E19" s="70">
        <f>IF((D19=0),0,(IF((C19=0),0,(D19/C19))))</f>
        <v>32.93686605890025</v>
      </c>
    </row>
    <row r="20" spans="1:5" x14ac:dyDescent="0.3">
      <c r="B20" s="71" t="s">
        <v>12</v>
      </c>
      <c r="C20" s="72">
        <f>SUM(C19:C19)</f>
        <v>85871.148000000001</v>
      </c>
      <c r="D20" s="72">
        <f>SUM(D19:D19)</f>
        <v>2828326.5</v>
      </c>
      <c r="E20" s="73">
        <f>IF((D20=0),0,(IF((C20=0),0,(D20/C20))))</f>
        <v>32.93686605890025</v>
      </c>
    </row>
    <row r="21" spans="1:5" x14ac:dyDescent="0.3">
      <c r="B21" s="51"/>
      <c r="C21" s="67"/>
      <c r="D21" s="67"/>
      <c r="E21" s="68"/>
    </row>
    <row r="22" spans="1:5" x14ac:dyDescent="0.3">
      <c r="A22" s="64" t="s">
        <v>16</v>
      </c>
      <c r="B22" s="65" t="s">
        <v>17</v>
      </c>
      <c r="C22" s="72">
        <f>C16+C20</f>
        <v>1265737.2480000004</v>
      </c>
      <c r="D22" s="72">
        <f>D16+D20</f>
        <v>35003973.618611008</v>
      </c>
      <c r="E22" s="73">
        <f>IF((D22=0),0,(IF((C22=0),0,(D22/C22))))</f>
        <v>27.655007920420303</v>
      </c>
    </row>
    <row r="23" spans="1:5" x14ac:dyDescent="0.3">
      <c r="B23" s="51"/>
      <c r="C23" s="67"/>
      <c r="D23" s="67"/>
      <c r="E23" s="68"/>
    </row>
    <row r="24" spans="1:5" x14ac:dyDescent="0.3">
      <c r="B24" s="60" t="s">
        <v>18</v>
      </c>
      <c r="C24" s="67"/>
      <c r="D24" s="67"/>
      <c r="E24" s="68"/>
    </row>
    <row r="25" spans="1:5" x14ac:dyDescent="0.3">
      <c r="B25" s="60"/>
      <c r="C25" s="67"/>
      <c r="D25" s="67"/>
      <c r="E25" s="68"/>
    </row>
    <row r="26" spans="1:5" x14ac:dyDescent="0.3">
      <c r="A26" s="64" t="s">
        <v>19</v>
      </c>
      <c r="B26" s="65" t="s">
        <v>20</v>
      </c>
      <c r="D26" s="67"/>
    </row>
    <row r="27" spans="1:5" x14ac:dyDescent="0.3">
      <c r="B27" s="56" t="s">
        <v>21</v>
      </c>
      <c r="C27" s="74">
        <v>311854.9870000002</v>
      </c>
      <c r="D27" s="74">
        <v>7201447.0739999954</v>
      </c>
      <c r="E27" s="75">
        <f>IF((D27=0),0,(IF((C27=0),0,(D27/C27))))</f>
        <v>23.092294092446213</v>
      </c>
    </row>
    <row r="28" spans="1:5" x14ac:dyDescent="0.3">
      <c r="B28" s="56" t="s">
        <v>63</v>
      </c>
      <c r="C28" s="74">
        <v>110036.13199999998</v>
      </c>
      <c r="D28" s="74">
        <v>2156660.9559999979</v>
      </c>
      <c r="E28" s="75">
        <f t="shared" ref="E28:E33" si="1">IF((D28=0),0,(IF((C28=0),0,(D28/C28))))</f>
        <v>19.599570766446046</v>
      </c>
    </row>
    <row r="29" spans="1:5" x14ac:dyDescent="0.3">
      <c r="B29" s="56" t="s">
        <v>64</v>
      </c>
      <c r="C29" s="67">
        <v>77062.696000000025</v>
      </c>
      <c r="D29" s="67">
        <v>1482319.5329999996</v>
      </c>
      <c r="E29" s="68">
        <f t="shared" si="1"/>
        <v>19.235241043214984</v>
      </c>
    </row>
    <row r="30" spans="1:5" x14ac:dyDescent="0.3">
      <c r="B30" s="56" t="s">
        <v>65</v>
      </c>
      <c r="C30" s="67">
        <v>73056.815999999992</v>
      </c>
      <c r="D30" s="67">
        <v>1647785.3989999976</v>
      </c>
      <c r="E30" s="68">
        <f t="shared" si="1"/>
        <v>22.5548482567321</v>
      </c>
    </row>
    <row r="31" spans="1:5" x14ac:dyDescent="0.3">
      <c r="B31" s="56" t="s">
        <v>66</v>
      </c>
      <c r="C31" s="67">
        <v>54498.777999999969</v>
      </c>
      <c r="D31" s="67">
        <v>1219344.9429999997</v>
      </c>
      <c r="E31" s="68">
        <f t="shared" si="1"/>
        <v>22.373803372251768</v>
      </c>
    </row>
    <row r="32" spans="1:5" x14ac:dyDescent="0.3">
      <c r="B32" s="66" t="s">
        <v>22</v>
      </c>
      <c r="C32" s="69">
        <v>84320.437999999995</v>
      </c>
      <c r="D32" s="69">
        <v>2808642.08</v>
      </c>
      <c r="E32" s="70">
        <f>IF((D32=0),0,(IF((C32=0),0,(D32/C32))))</f>
        <v>33.309149556362598</v>
      </c>
    </row>
    <row r="33" spans="1:13" x14ac:dyDescent="0.3">
      <c r="B33" s="71" t="s">
        <v>12</v>
      </c>
      <c r="C33" s="72">
        <f>SUM(C27:C32)</f>
        <v>710829.84700000007</v>
      </c>
      <c r="D33" s="72">
        <f>SUM(D27:D32)</f>
        <v>16516199.984999992</v>
      </c>
      <c r="E33" s="73">
        <f t="shared" si="1"/>
        <v>23.235096352109128</v>
      </c>
    </row>
    <row r="34" spans="1:13" x14ac:dyDescent="0.3">
      <c r="B34" s="51"/>
      <c r="C34" s="67"/>
      <c r="D34" s="67"/>
      <c r="E34" s="68"/>
    </row>
    <row r="35" spans="1:13" x14ac:dyDescent="0.3">
      <c r="A35" s="64" t="s">
        <v>23</v>
      </c>
      <c r="B35" s="65" t="s">
        <v>24</v>
      </c>
      <c r="C35" s="72">
        <f>C22-C33</f>
        <v>554907.4010000003</v>
      </c>
      <c r="D35" s="72">
        <f>D22-D33</f>
        <v>18487773.633611016</v>
      </c>
      <c r="E35" s="73">
        <f>IF((D35=0),0,(IF((C35=0),0,(D35/C35))))</f>
        <v>33.31686259778504</v>
      </c>
    </row>
    <row r="36" spans="1:13" x14ac:dyDescent="0.3">
      <c r="B36" s="51"/>
      <c r="C36" s="67"/>
      <c r="D36" s="67"/>
      <c r="E36" s="68"/>
    </row>
    <row r="37" spans="1:13" x14ac:dyDescent="0.3">
      <c r="A37" s="64" t="s">
        <v>25</v>
      </c>
      <c r="B37" s="65" t="s">
        <v>26</v>
      </c>
      <c r="C37" s="72">
        <f>+C33+C35</f>
        <v>1265737.2480000004</v>
      </c>
      <c r="D37" s="72">
        <f>+D33+D35</f>
        <v>35003973.618611008</v>
      </c>
      <c r="E37" s="73">
        <f>IF((D37=0),0,(IF((C37=0),0,(D37/C37))))</f>
        <v>27.655007920420303</v>
      </c>
    </row>
    <row r="38" spans="1:13" x14ac:dyDescent="0.3">
      <c r="A38" s="64"/>
      <c r="B38" s="56"/>
      <c r="C38" s="67"/>
      <c r="D38" s="67"/>
      <c r="E38" s="68"/>
    </row>
    <row r="39" spans="1:13" x14ac:dyDescent="0.3">
      <c r="A39" s="64"/>
      <c r="B39" s="56"/>
      <c r="C39" s="67"/>
      <c r="D39" s="67"/>
      <c r="E39" s="68"/>
    </row>
    <row r="40" spans="1:13" x14ac:dyDescent="0.3">
      <c r="C40" s="67"/>
      <c r="D40" s="67"/>
      <c r="E40" s="68"/>
    </row>
    <row r="41" spans="1:13" x14ac:dyDescent="0.3">
      <c r="A41" s="64" t="s">
        <v>27</v>
      </c>
      <c r="B41" s="56" t="s">
        <v>28</v>
      </c>
      <c r="C41" s="67">
        <f>C35</f>
        <v>554907.4010000003</v>
      </c>
      <c r="D41" s="67">
        <f>D35</f>
        <v>18487773.633611016</v>
      </c>
      <c r="E41" s="68">
        <f t="shared" ref="E41:E47" si="2">IF((D41=0),0,(IF((C41=0),0,(D41/C41))))</f>
        <v>33.31686259778504</v>
      </c>
      <c r="G41" s="76"/>
      <c r="K41" s="77"/>
      <c r="L41" s="77"/>
      <c r="M41" s="77"/>
    </row>
    <row r="42" spans="1:13" ht="14.25" thickBot="1" x14ac:dyDescent="0.35">
      <c r="A42" s="64" t="s">
        <v>29</v>
      </c>
      <c r="B42" s="66" t="s">
        <v>30</v>
      </c>
      <c r="C42" s="74">
        <v>0</v>
      </c>
      <c r="D42" s="67">
        <v>0</v>
      </c>
      <c r="E42" s="68">
        <f t="shared" si="2"/>
        <v>0</v>
      </c>
      <c r="K42" s="77"/>
      <c r="L42" s="77"/>
      <c r="M42" s="77"/>
    </row>
    <row r="43" spans="1:13" ht="14.25" thickBot="1" x14ac:dyDescent="0.35">
      <c r="A43" s="78" t="s">
        <v>31</v>
      </c>
      <c r="B43" s="79" t="s">
        <v>32</v>
      </c>
      <c r="C43" s="80">
        <f>SUM(C41:C42)</f>
        <v>554907.4010000003</v>
      </c>
      <c r="D43" s="80">
        <f>(SUM(D41))+D42</f>
        <v>18487773.633611016</v>
      </c>
      <c r="E43" s="81">
        <f t="shared" si="2"/>
        <v>33.31686259778504</v>
      </c>
      <c r="K43" s="77"/>
      <c r="L43" s="77"/>
      <c r="M43" s="77"/>
    </row>
    <row r="44" spans="1:13" x14ac:dyDescent="0.3">
      <c r="A44" s="64" t="s">
        <v>33</v>
      </c>
      <c r="B44" s="66" t="s">
        <v>45</v>
      </c>
      <c r="C44" s="74">
        <v>-1793.9257063929999</v>
      </c>
      <c r="D44" s="67">
        <v>-97015.252900000007</v>
      </c>
      <c r="E44" s="68">
        <f t="shared" si="2"/>
        <v>54.079861030068002</v>
      </c>
      <c r="K44" s="77"/>
      <c r="L44" s="77"/>
      <c r="M44" s="77"/>
    </row>
    <row r="45" spans="1:13" x14ac:dyDescent="0.3">
      <c r="A45" s="64" t="s">
        <v>35</v>
      </c>
      <c r="B45" s="66" t="s">
        <v>46</v>
      </c>
      <c r="C45" s="74">
        <v>0</v>
      </c>
      <c r="D45" s="67">
        <v>0</v>
      </c>
      <c r="E45" s="68">
        <f t="shared" si="2"/>
        <v>0</v>
      </c>
      <c r="K45" s="77"/>
      <c r="L45" s="77"/>
      <c r="M45" s="77"/>
    </row>
    <row r="46" spans="1:13" ht="14.25" thickBot="1" x14ac:dyDescent="0.35">
      <c r="A46" s="64" t="s">
        <v>37</v>
      </c>
      <c r="B46" s="56" t="s">
        <v>38</v>
      </c>
      <c r="C46" s="82">
        <v>0</v>
      </c>
      <c r="D46" s="74">
        <v>0</v>
      </c>
      <c r="E46" s="75">
        <f t="shared" si="2"/>
        <v>0</v>
      </c>
      <c r="K46" s="77"/>
      <c r="L46" s="77"/>
      <c r="M46" s="77"/>
    </row>
    <row r="47" spans="1:13" ht="14.25" thickBot="1" x14ac:dyDescent="0.35">
      <c r="A47" s="78" t="s">
        <v>39</v>
      </c>
      <c r="B47" s="79" t="s">
        <v>40</v>
      </c>
      <c r="C47" s="83">
        <f>C41+C42+C44+C45</f>
        <v>553113.47529360733</v>
      </c>
      <c r="D47" s="83">
        <f>D41+D42+D44+D45</f>
        <v>18390758.380711015</v>
      </c>
      <c r="E47" s="84">
        <f t="shared" si="2"/>
        <v>33.249521485530096</v>
      </c>
      <c r="K47" s="77"/>
      <c r="L47" s="77"/>
      <c r="M47" s="77"/>
    </row>
    <row r="48" spans="1:13" ht="14.25" x14ac:dyDescent="0.3">
      <c r="A48" s="135" t="s">
        <v>4</v>
      </c>
      <c r="B48" s="136" t="s">
        <v>4</v>
      </c>
      <c r="C48" s="136"/>
      <c r="D48" s="136"/>
      <c r="E48" s="136"/>
    </row>
    <row r="49" spans="1:5" ht="14.25" x14ac:dyDescent="0.3">
      <c r="A49" s="137"/>
      <c r="B49" s="138" t="s">
        <v>4</v>
      </c>
      <c r="C49" s="137"/>
      <c r="D49" s="137"/>
      <c r="E49" s="137"/>
    </row>
    <row r="50" spans="1:5" x14ac:dyDescent="0.3">
      <c r="B50" s="51"/>
      <c r="C50" s="67"/>
      <c r="D50" s="67"/>
      <c r="E50" s="85"/>
    </row>
  </sheetData>
  <printOptions horizontalCentered="1" verticalCentered="1"/>
  <pageMargins left="0.75" right="0.75" top="0.75" bottom="0.75" header="0.5" footer="0.5"/>
  <pageSetup scale="85" orientation="portrait" cellComments="asDisplayed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M50"/>
  <sheetViews>
    <sheetView zoomScale="85" zoomScaleNormal="85" workbookViewId="0">
      <selection activeCell="B14" sqref="B13:B14"/>
    </sheetView>
  </sheetViews>
  <sheetFormatPr defaultColWidth="9.85546875" defaultRowHeight="13.5" x14ac:dyDescent="0.3"/>
  <cols>
    <col min="1" max="1" width="3.28515625" style="86" bestFit="1" customWidth="1"/>
    <col min="2" max="2" width="56.140625" style="91" customWidth="1"/>
    <col min="3" max="3" width="9.42578125" style="91" bestFit="1" customWidth="1"/>
    <col min="4" max="4" width="10.85546875" style="91" bestFit="1" customWidth="1"/>
    <col min="5" max="5" width="11" style="91" bestFit="1" customWidth="1"/>
    <col min="6" max="6" width="9.85546875" style="91"/>
    <col min="7" max="7" width="12" style="91" bestFit="1" customWidth="1"/>
    <col min="8" max="16384" width="9.85546875" style="91"/>
  </cols>
  <sheetData>
    <row r="1" spans="1:5" ht="16.5" x14ac:dyDescent="0.3">
      <c r="B1" s="87" t="s">
        <v>0</v>
      </c>
      <c r="C1" s="88"/>
      <c r="D1" s="89"/>
      <c r="E1" s="90"/>
    </row>
    <row r="2" spans="1:5" x14ac:dyDescent="0.3">
      <c r="B2" s="91" t="str">
        <f>'[11]Input Sheet'!B1</f>
        <v>September 2014 ACTUAL</v>
      </c>
      <c r="D2" s="92"/>
    </row>
    <row r="3" spans="1:5" x14ac:dyDescent="0.3">
      <c r="B3" s="93" t="s">
        <v>1</v>
      </c>
      <c r="D3" s="94"/>
    </row>
    <row r="4" spans="1:5" x14ac:dyDescent="0.3">
      <c r="B4" s="93" t="s">
        <v>2</v>
      </c>
    </row>
    <row r="5" spans="1:5" x14ac:dyDescent="0.3">
      <c r="B5" s="88"/>
      <c r="D5" s="93"/>
    </row>
    <row r="6" spans="1:5" x14ac:dyDescent="0.3">
      <c r="B6" s="93" t="s">
        <v>3</v>
      </c>
      <c r="D6" s="95"/>
      <c r="E6" s="96" t="s">
        <v>4</v>
      </c>
    </row>
    <row r="7" spans="1:5" x14ac:dyDescent="0.3">
      <c r="B7" s="88"/>
    </row>
    <row r="8" spans="1:5" x14ac:dyDescent="0.3">
      <c r="B8" s="97" t="s">
        <v>5</v>
      </c>
      <c r="C8" s="97" t="s">
        <v>6</v>
      </c>
      <c r="D8" s="98" t="s">
        <v>7</v>
      </c>
      <c r="E8" s="129" t="s">
        <v>8</v>
      </c>
    </row>
    <row r="9" spans="1:5" x14ac:dyDescent="0.3">
      <c r="B9" s="97"/>
      <c r="C9" s="99"/>
      <c r="D9" s="100" t="s">
        <v>9</v>
      </c>
      <c r="E9" s="99"/>
    </row>
    <row r="10" spans="1:5" x14ac:dyDescent="0.3">
      <c r="A10" s="101" t="s">
        <v>10</v>
      </c>
      <c r="B10" s="102" t="s">
        <v>11</v>
      </c>
    </row>
    <row r="11" spans="1:5" x14ac:dyDescent="0.3">
      <c r="B11" s="103" t="s">
        <v>62</v>
      </c>
      <c r="C11" s="104">
        <v>210517</v>
      </c>
      <c r="D11" s="104">
        <v>5643959.4999999991</v>
      </c>
      <c r="E11" s="105">
        <f t="shared" ref="E11:E16" si="0">IF((D11=0),0,(IF((C11=0),0,(D11/C11))))</f>
        <v>26.809993967233044</v>
      </c>
    </row>
    <row r="12" spans="1:5" x14ac:dyDescent="0.3">
      <c r="B12" s="93" t="s">
        <v>63</v>
      </c>
      <c r="C12" s="104">
        <v>221451</v>
      </c>
      <c r="D12" s="104">
        <v>6229341.7303996012</v>
      </c>
      <c r="E12" s="105">
        <f t="shared" si="0"/>
        <v>28.129661777998749</v>
      </c>
    </row>
    <row r="13" spans="1:5" x14ac:dyDescent="0.3">
      <c r="B13" s="93" t="s">
        <v>64</v>
      </c>
      <c r="C13" s="104">
        <v>198317</v>
      </c>
      <c r="D13" s="104">
        <v>5159036.319659099</v>
      </c>
      <c r="E13" s="105">
        <f t="shared" si="0"/>
        <v>26.014090167051233</v>
      </c>
    </row>
    <row r="14" spans="1:5" x14ac:dyDescent="0.3">
      <c r="B14" s="93" t="s">
        <v>65</v>
      </c>
      <c r="C14" s="104">
        <v>114532.34999999992</v>
      </c>
      <c r="D14" s="104">
        <v>2386062.8609999982</v>
      </c>
      <c r="E14" s="105">
        <f t="shared" si="0"/>
        <v>20.833090921473278</v>
      </c>
    </row>
    <row r="15" spans="1:5" x14ac:dyDescent="0.3">
      <c r="B15" s="93" t="s">
        <v>66</v>
      </c>
      <c r="C15" s="106">
        <v>114793.04999999994</v>
      </c>
      <c r="D15" s="106">
        <v>2278906.3125</v>
      </c>
      <c r="E15" s="107">
        <f t="shared" si="0"/>
        <v>19.852302142856217</v>
      </c>
    </row>
    <row r="16" spans="1:5" x14ac:dyDescent="0.3">
      <c r="B16" s="108" t="s">
        <v>12</v>
      </c>
      <c r="C16" s="109">
        <f>SUM(C11:C15)</f>
        <v>859610.39999999979</v>
      </c>
      <c r="D16" s="109">
        <f>SUM(D11:D15)</f>
        <v>21697306.723558698</v>
      </c>
      <c r="E16" s="110">
        <f t="shared" si="0"/>
        <v>25.240861119826729</v>
      </c>
    </row>
    <row r="17" spans="1:5" x14ac:dyDescent="0.3">
      <c r="B17" s="88"/>
      <c r="C17" s="104"/>
      <c r="D17" s="104"/>
      <c r="E17" s="105"/>
    </row>
    <row r="18" spans="1:5" x14ac:dyDescent="0.3">
      <c r="A18" s="101" t="s">
        <v>13</v>
      </c>
      <c r="B18" s="102" t="s">
        <v>14</v>
      </c>
      <c r="C18" s="104"/>
      <c r="D18" s="104"/>
      <c r="E18" s="105"/>
    </row>
    <row r="19" spans="1:5" x14ac:dyDescent="0.3">
      <c r="B19" s="93" t="s">
        <v>15</v>
      </c>
      <c r="C19" s="106">
        <v>43761.142</v>
      </c>
      <c r="D19" s="106">
        <v>1585860.99</v>
      </c>
      <c r="E19" s="107">
        <f>IF((D19=0),0,(IF((C19=0),0,(D19/C19))))</f>
        <v>36.239022052943682</v>
      </c>
    </row>
    <row r="20" spans="1:5" x14ac:dyDescent="0.3">
      <c r="B20" s="108" t="s">
        <v>12</v>
      </c>
      <c r="C20" s="109">
        <f>SUM(C19:C19)</f>
        <v>43761.142</v>
      </c>
      <c r="D20" s="109">
        <f>SUM(D19:D19)</f>
        <v>1585860.99</v>
      </c>
      <c r="E20" s="110">
        <f>IF((D20=0),0,(IF((C20=0),0,(D20/C20))))</f>
        <v>36.239022052943682</v>
      </c>
    </row>
    <row r="21" spans="1:5" x14ac:dyDescent="0.3">
      <c r="B21" s="88"/>
      <c r="C21" s="104"/>
      <c r="D21" s="104"/>
      <c r="E21" s="105"/>
    </row>
    <row r="22" spans="1:5" x14ac:dyDescent="0.3">
      <c r="A22" s="101" t="s">
        <v>16</v>
      </c>
      <c r="B22" s="102" t="s">
        <v>17</v>
      </c>
      <c r="C22" s="109">
        <f>C16+C20</f>
        <v>903371.54199999978</v>
      </c>
      <c r="D22" s="109">
        <f>D16+D20</f>
        <v>23283167.713558696</v>
      </c>
      <c r="E22" s="110">
        <f>IF((D22=0),0,(IF((C22=0),0,(D22/C22))))</f>
        <v>25.773634247998817</v>
      </c>
    </row>
    <row r="23" spans="1:5" x14ac:dyDescent="0.3">
      <c r="B23" s="88"/>
      <c r="C23" s="104"/>
      <c r="D23" s="104"/>
      <c r="E23" s="105"/>
    </row>
    <row r="24" spans="1:5" x14ac:dyDescent="0.3">
      <c r="B24" s="97" t="s">
        <v>18</v>
      </c>
      <c r="C24" s="104"/>
      <c r="D24" s="104"/>
      <c r="E24" s="105"/>
    </row>
    <row r="25" spans="1:5" x14ac:dyDescent="0.3">
      <c r="B25" s="97"/>
      <c r="C25" s="104"/>
      <c r="D25" s="104"/>
      <c r="E25" s="105"/>
    </row>
    <row r="26" spans="1:5" x14ac:dyDescent="0.3">
      <c r="A26" s="101" t="s">
        <v>19</v>
      </c>
      <c r="B26" s="102" t="s">
        <v>20</v>
      </c>
      <c r="D26" s="104"/>
    </row>
    <row r="27" spans="1:5" x14ac:dyDescent="0.3">
      <c r="B27" s="93" t="s">
        <v>21</v>
      </c>
      <c r="C27" s="111">
        <v>118998.19500000001</v>
      </c>
      <c r="D27" s="111">
        <v>2667905.3789999997</v>
      </c>
      <c r="E27" s="112">
        <f>IF((D27=0),0,(IF((C27=0),0,(D27/C27))))</f>
        <v>22.419712996487043</v>
      </c>
    </row>
    <row r="28" spans="1:5" x14ac:dyDescent="0.3">
      <c r="B28" s="93" t="s">
        <v>63</v>
      </c>
      <c r="C28" s="111">
        <v>86138.363999999958</v>
      </c>
      <c r="D28" s="111">
        <v>1767244.8180000016</v>
      </c>
      <c r="E28" s="112">
        <f t="shared" ref="E28:E33" si="1">IF((D28=0),0,(IF((C28=0),0,(D28/C28))))</f>
        <v>20.516349927426095</v>
      </c>
    </row>
    <row r="29" spans="1:5" x14ac:dyDescent="0.3">
      <c r="B29" s="93" t="s">
        <v>64</v>
      </c>
      <c r="C29" s="104">
        <v>77844.308999999907</v>
      </c>
      <c r="D29" s="104">
        <v>1552556.9419999996</v>
      </c>
      <c r="E29" s="105">
        <f t="shared" si="1"/>
        <v>19.944385940917034</v>
      </c>
    </row>
    <row r="30" spans="1:5" x14ac:dyDescent="0.3">
      <c r="B30" s="93" t="s">
        <v>65</v>
      </c>
      <c r="C30" s="104">
        <v>51578.783000000003</v>
      </c>
      <c r="D30" s="104">
        <v>1081389.5339999991</v>
      </c>
      <c r="E30" s="105">
        <f t="shared" si="1"/>
        <v>20.965782267487757</v>
      </c>
    </row>
    <row r="31" spans="1:5" x14ac:dyDescent="0.3">
      <c r="B31" s="93" t="s">
        <v>66</v>
      </c>
      <c r="C31" s="104">
        <v>48419.584000000017</v>
      </c>
      <c r="D31" s="104">
        <v>1008830.0970000001</v>
      </c>
      <c r="E31" s="105">
        <f t="shared" si="1"/>
        <v>20.835166551616794</v>
      </c>
    </row>
    <row r="32" spans="1:5" x14ac:dyDescent="0.3">
      <c r="B32" s="103" t="s">
        <v>22</v>
      </c>
      <c r="C32" s="106">
        <v>41317.39</v>
      </c>
      <c r="D32" s="106">
        <v>1532162.05</v>
      </c>
      <c r="E32" s="107">
        <f>IF((D32=0),0,(IF((C32=0),0,(D32/C32))))</f>
        <v>37.082740463519116</v>
      </c>
    </row>
    <row r="33" spans="1:13" x14ac:dyDescent="0.3">
      <c r="B33" s="108" t="s">
        <v>12</v>
      </c>
      <c r="C33" s="109">
        <f>SUM(C27:C32)</f>
        <v>424296.62499999988</v>
      </c>
      <c r="D33" s="109">
        <f>SUM(D27:D32)</f>
        <v>9610088.8200000003</v>
      </c>
      <c r="E33" s="110">
        <f t="shared" si="1"/>
        <v>22.649458548014618</v>
      </c>
    </row>
    <row r="34" spans="1:13" x14ac:dyDescent="0.3">
      <c r="B34" s="88"/>
      <c r="C34" s="104"/>
      <c r="D34" s="104"/>
      <c r="E34" s="105"/>
    </row>
    <row r="35" spans="1:13" x14ac:dyDescent="0.3">
      <c r="A35" s="101" t="s">
        <v>23</v>
      </c>
      <c r="B35" s="102" t="s">
        <v>24</v>
      </c>
      <c r="C35" s="109">
        <f>C22-C33</f>
        <v>479074.9169999999</v>
      </c>
      <c r="D35" s="109">
        <f>D22-D33</f>
        <v>13673078.893558696</v>
      </c>
      <c r="E35" s="110">
        <f>IF((D35=0),0,(IF((C35=0),0,(D35/C35))))</f>
        <v>28.540586051092919</v>
      </c>
    </row>
    <row r="36" spans="1:13" x14ac:dyDescent="0.3">
      <c r="B36" s="88"/>
      <c r="C36" s="104"/>
      <c r="D36" s="104"/>
      <c r="E36" s="105"/>
    </row>
    <row r="37" spans="1:13" x14ac:dyDescent="0.3">
      <c r="A37" s="101" t="s">
        <v>25</v>
      </c>
      <c r="B37" s="102" t="s">
        <v>26</v>
      </c>
      <c r="C37" s="109">
        <f>+C33+C35</f>
        <v>903371.54199999978</v>
      </c>
      <c r="D37" s="109">
        <f>+D33+D35</f>
        <v>23283167.713558696</v>
      </c>
      <c r="E37" s="110">
        <f>IF((D37=0),0,(IF((C37=0),0,(D37/C37))))</f>
        <v>25.773634247998817</v>
      </c>
    </row>
    <row r="38" spans="1:13" x14ac:dyDescent="0.3">
      <c r="A38" s="101"/>
      <c r="B38" s="93"/>
      <c r="C38" s="104"/>
      <c r="D38" s="104"/>
      <c r="E38" s="105"/>
    </row>
    <row r="39" spans="1:13" x14ac:dyDescent="0.3">
      <c r="A39" s="101"/>
      <c r="B39" s="93"/>
      <c r="C39" s="104"/>
      <c r="D39" s="104"/>
      <c r="E39" s="105"/>
    </row>
    <row r="40" spans="1:13" x14ac:dyDescent="0.3">
      <c r="C40" s="104"/>
      <c r="D40" s="104"/>
      <c r="E40" s="105"/>
    </row>
    <row r="41" spans="1:13" x14ac:dyDescent="0.3">
      <c r="A41" s="101" t="s">
        <v>27</v>
      </c>
      <c r="B41" s="93" t="s">
        <v>28</v>
      </c>
      <c r="C41" s="104">
        <f>C35</f>
        <v>479074.9169999999</v>
      </c>
      <c r="D41" s="104">
        <f>D35</f>
        <v>13673078.893558696</v>
      </c>
      <c r="E41" s="105">
        <f t="shared" ref="E41:E47" si="2">IF((D41=0),0,(IF((C41=0),0,(D41/C41))))</f>
        <v>28.540586051092919</v>
      </c>
      <c r="G41" s="113"/>
      <c r="K41" s="114"/>
      <c r="L41" s="114"/>
      <c r="M41" s="114"/>
    </row>
    <row r="42" spans="1:13" ht="14.25" thickBot="1" x14ac:dyDescent="0.35">
      <c r="A42" s="101" t="s">
        <v>29</v>
      </c>
      <c r="B42" s="103" t="s">
        <v>30</v>
      </c>
      <c r="C42" s="111">
        <v>0</v>
      </c>
      <c r="D42" s="104">
        <v>0</v>
      </c>
      <c r="E42" s="105">
        <f t="shared" si="2"/>
        <v>0</v>
      </c>
      <c r="K42" s="114"/>
      <c r="L42" s="114"/>
      <c r="M42" s="114"/>
    </row>
    <row r="43" spans="1:13" ht="14.25" thickBot="1" x14ac:dyDescent="0.35">
      <c r="A43" s="115" t="s">
        <v>31</v>
      </c>
      <c r="B43" s="116" t="s">
        <v>32</v>
      </c>
      <c r="C43" s="117">
        <f>SUM(C41:C42)</f>
        <v>479074.9169999999</v>
      </c>
      <c r="D43" s="117">
        <f>SUM(D41:D42)</f>
        <v>13673078.893558696</v>
      </c>
      <c r="E43" s="118">
        <f t="shared" si="2"/>
        <v>28.540586051092919</v>
      </c>
      <c r="K43" s="114"/>
      <c r="L43" s="114"/>
      <c r="M43" s="114"/>
    </row>
    <row r="44" spans="1:13" x14ac:dyDescent="0.3">
      <c r="A44" s="101" t="s">
        <v>33</v>
      </c>
      <c r="B44" s="103" t="s">
        <v>45</v>
      </c>
      <c r="C44" s="111">
        <v>-1494.1589443840001</v>
      </c>
      <c r="D44" s="104">
        <v>-63835.663200000003</v>
      </c>
      <c r="E44" s="105">
        <f t="shared" si="2"/>
        <v>42.723475598051358</v>
      </c>
      <c r="K44" s="114"/>
      <c r="L44" s="114"/>
      <c r="M44" s="114"/>
    </row>
    <row r="45" spans="1:13" x14ac:dyDescent="0.3">
      <c r="A45" s="101" t="s">
        <v>35</v>
      </c>
      <c r="B45" s="103" t="s">
        <v>46</v>
      </c>
      <c r="C45" s="111">
        <v>0</v>
      </c>
      <c r="D45" s="104">
        <v>0</v>
      </c>
      <c r="E45" s="105">
        <f t="shared" si="2"/>
        <v>0</v>
      </c>
      <c r="K45" s="114"/>
      <c r="L45" s="114"/>
      <c r="M45" s="114"/>
    </row>
    <row r="46" spans="1:13" ht="14.25" thickBot="1" x14ac:dyDescent="0.35">
      <c r="A46" s="101" t="s">
        <v>37</v>
      </c>
      <c r="B46" s="93" t="s">
        <v>38</v>
      </c>
      <c r="C46" s="119">
        <v>0</v>
      </c>
      <c r="D46" s="111">
        <v>0</v>
      </c>
      <c r="E46" s="112">
        <f t="shared" si="2"/>
        <v>0</v>
      </c>
      <c r="K46" s="114"/>
      <c r="L46" s="114"/>
      <c r="M46" s="114"/>
    </row>
    <row r="47" spans="1:13" ht="14.25" thickBot="1" x14ac:dyDescent="0.35">
      <c r="A47" s="115" t="s">
        <v>39</v>
      </c>
      <c r="B47" s="116" t="s">
        <v>40</v>
      </c>
      <c r="C47" s="120">
        <f>C41+C42+C44+C45</f>
        <v>477580.75805561588</v>
      </c>
      <c r="D47" s="120">
        <f>D41+D42+D44+D45</f>
        <v>13609243.230358696</v>
      </c>
      <c r="E47" s="121">
        <f t="shared" si="2"/>
        <v>28.496213469249223</v>
      </c>
      <c r="K47" s="114"/>
      <c r="L47" s="114"/>
      <c r="M47" s="114"/>
    </row>
    <row r="48" spans="1:13" ht="14.25" x14ac:dyDescent="0.3">
      <c r="A48" s="130" t="s">
        <v>4</v>
      </c>
      <c r="B48" s="131" t="s">
        <v>4</v>
      </c>
      <c r="C48" s="131"/>
      <c r="D48" s="131"/>
      <c r="E48" s="131"/>
    </row>
    <row r="49" spans="1:5" ht="14.25" x14ac:dyDescent="0.3">
      <c r="A49" s="132"/>
      <c r="B49" s="133" t="s">
        <v>4</v>
      </c>
      <c r="C49" s="132"/>
      <c r="D49" s="132"/>
      <c r="E49" s="132"/>
    </row>
    <row r="50" spans="1:5" x14ac:dyDescent="0.3">
      <c r="B50" s="88"/>
      <c r="C50" s="104"/>
      <c r="D50" s="104"/>
      <c r="E50" s="122"/>
    </row>
  </sheetData>
  <printOptions horizontalCentered="1" verticalCentered="1"/>
  <pageMargins left="0.75" right="0.75" top="0.75" bottom="0.75" header="0.5" footer="0.5"/>
  <pageSetup scale="85" orientation="portrait" cellComments="asDisplayed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0"/>
  <sheetViews>
    <sheetView zoomScaleNormal="100" workbookViewId="0">
      <selection activeCell="B44" sqref="B44"/>
    </sheetView>
  </sheetViews>
  <sheetFormatPr defaultColWidth="9.85546875" defaultRowHeight="15.75" x14ac:dyDescent="0.3"/>
  <cols>
    <col min="1" max="1" width="2.85546875" style="1" bestFit="1" customWidth="1"/>
    <col min="2" max="2" width="51" style="6" customWidth="1"/>
    <col min="3" max="3" width="3.140625" style="43" hidden="1" customWidth="1"/>
    <col min="4" max="4" width="13.28515625" style="6" customWidth="1"/>
    <col min="5" max="5" width="14.42578125" style="6" customWidth="1"/>
    <col min="6" max="6" width="12.140625" style="6" customWidth="1"/>
    <col min="7" max="7" width="11.140625" style="125" customWidth="1"/>
    <col min="8" max="17" width="9.85546875" style="125"/>
    <col min="18" max="16384" width="9.85546875" style="6"/>
  </cols>
  <sheetData>
    <row r="1" spans="1:6" ht="16.5" x14ac:dyDescent="0.3">
      <c r="B1" s="2" t="s">
        <v>0</v>
      </c>
      <c r="C1" s="42"/>
      <c r="D1" s="3"/>
      <c r="E1" s="4"/>
      <c r="F1" s="5" t="s">
        <v>4</v>
      </c>
    </row>
    <row r="2" spans="1:6" x14ac:dyDescent="0.3">
      <c r="E2" s="7"/>
    </row>
    <row r="3" spans="1:6" x14ac:dyDescent="0.3">
      <c r="B3" s="8" t="s">
        <v>1</v>
      </c>
      <c r="C3" s="42"/>
      <c r="E3" s="9"/>
    </row>
    <row r="4" spans="1:6" x14ac:dyDescent="0.3">
      <c r="B4" s="8" t="s">
        <v>2</v>
      </c>
      <c r="C4" s="42"/>
    </row>
    <row r="5" spans="1:6" x14ac:dyDescent="0.3">
      <c r="B5" s="3"/>
      <c r="C5" s="42"/>
      <c r="E5" s="8"/>
    </row>
    <row r="6" spans="1:6" ht="13.15" customHeight="1" x14ac:dyDescent="0.3">
      <c r="B6" s="8" t="s">
        <v>3</v>
      </c>
      <c r="C6" s="42"/>
      <c r="D6" s="124" t="str">
        <f>+'[3]INPUT SHEET'!B1</f>
        <v>November 2013 ACTUAL</v>
      </c>
      <c r="E6" s="124"/>
      <c r="F6" s="124"/>
    </row>
    <row r="7" spans="1:6" x14ac:dyDescent="0.3">
      <c r="B7" s="3"/>
      <c r="C7" s="42"/>
    </row>
    <row r="8" spans="1:6" x14ac:dyDescent="0.3">
      <c r="B8" s="11" t="s">
        <v>5</v>
      </c>
      <c r="C8" s="44"/>
      <c r="D8" s="11" t="s">
        <v>6</v>
      </c>
      <c r="E8" s="12" t="s">
        <v>7</v>
      </c>
      <c r="F8" s="11" t="s">
        <v>47</v>
      </c>
    </row>
    <row r="9" spans="1:6" x14ac:dyDescent="0.3">
      <c r="B9" s="11"/>
      <c r="C9" s="44"/>
      <c r="D9" s="13"/>
      <c r="E9" s="14" t="s">
        <v>9</v>
      </c>
      <c r="F9" s="13"/>
    </row>
    <row r="10" spans="1:6" x14ac:dyDescent="0.3">
      <c r="A10" s="15" t="s">
        <v>10</v>
      </c>
      <c r="B10" s="16" t="s">
        <v>11</v>
      </c>
      <c r="C10" s="42"/>
    </row>
    <row r="11" spans="1:6" x14ac:dyDescent="0.3">
      <c r="B11" s="8" t="s">
        <v>48</v>
      </c>
      <c r="C11" s="45" t="s">
        <v>49</v>
      </c>
      <c r="D11" s="18">
        <v>35869</v>
      </c>
      <c r="E11" s="18">
        <v>2075966.83</v>
      </c>
      <c r="F11" s="19">
        <v>57.876350887953386</v>
      </c>
    </row>
    <row r="12" spans="1:6" x14ac:dyDescent="0.3">
      <c r="B12" s="8" t="s">
        <v>61</v>
      </c>
      <c r="C12" s="45" t="s">
        <v>50</v>
      </c>
      <c r="D12" s="18">
        <f>113852.85+126399</f>
        <v>240251.85</v>
      </c>
      <c r="E12" s="46">
        <f>2907930.174+3204094</f>
        <v>6112024.1740000006</v>
      </c>
      <c r="F12" s="19">
        <f>E12/D12</f>
        <v>25.440071216933401</v>
      </c>
    </row>
    <row r="13" spans="1:6" x14ac:dyDescent="0.3">
      <c r="B13" s="22" t="s">
        <v>12</v>
      </c>
      <c r="C13" s="42"/>
      <c r="D13" s="18">
        <f>SUM(D11:D12)</f>
        <v>276120.84999999998</v>
      </c>
      <c r="E13" s="18">
        <f>SUM(E11:E12)</f>
        <v>8187991.0040000007</v>
      </c>
      <c r="F13" s="19">
        <f>IF((E13=0),0,(IF((D13=0),0,(E13/D13))))</f>
        <v>29.653649856575488</v>
      </c>
    </row>
    <row r="14" spans="1:6" x14ac:dyDescent="0.3">
      <c r="B14" s="3"/>
      <c r="C14" s="42"/>
      <c r="D14" s="18"/>
      <c r="E14" s="18"/>
      <c r="F14" s="19"/>
    </row>
    <row r="15" spans="1:6" x14ac:dyDescent="0.3">
      <c r="B15" s="16" t="s">
        <v>14</v>
      </c>
      <c r="C15" s="42"/>
      <c r="D15" s="18"/>
      <c r="E15" s="18"/>
      <c r="F15" s="19"/>
    </row>
    <row r="16" spans="1:6" x14ac:dyDescent="0.3">
      <c r="A16" s="15" t="s">
        <v>13</v>
      </c>
      <c r="B16" s="8" t="s">
        <v>51</v>
      </c>
      <c r="C16" s="45" t="s">
        <v>52</v>
      </c>
      <c r="D16" s="18">
        <v>352668.65399999998</v>
      </c>
      <c r="E16" s="18">
        <v>8310982.9440000001</v>
      </c>
      <c r="F16" s="19">
        <v>23.565981409847673</v>
      </c>
    </row>
    <row r="17" spans="1:6" x14ac:dyDescent="0.3">
      <c r="A17" s="6"/>
      <c r="B17" s="8" t="s">
        <v>53</v>
      </c>
      <c r="C17" s="45" t="s">
        <v>54</v>
      </c>
      <c r="D17" s="18">
        <v>24114.307999999997</v>
      </c>
      <c r="E17" s="18">
        <v>793593.51</v>
      </c>
      <c r="F17" s="19">
        <v>32.909653057429644</v>
      </c>
    </row>
    <row r="18" spans="1:6" x14ac:dyDescent="0.3">
      <c r="B18" s="8" t="s">
        <v>55</v>
      </c>
      <c r="C18" s="45" t="s">
        <v>56</v>
      </c>
      <c r="D18" s="18">
        <v>0</v>
      </c>
      <c r="E18" s="18">
        <v>0</v>
      </c>
      <c r="F18" s="19">
        <v>0</v>
      </c>
    </row>
    <row r="19" spans="1:6" x14ac:dyDescent="0.3">
      <c r="B19" s="22" t="s">
        <v>12</v>
      </c>
      <c r="C19" s="42"/>
      <c r="D19" s="18">
        <f>SUM(D16:D18)</f>
        <v>376782.962</v>
      </c>
      <c r="E19" s="18">
        <f>SUM(E16:E18)</f>
        <v>9104576.4539999999</v>
      </c>
      <c r="F19" s="19">
        <f>IF((E19=0),0,(IF((D19=0),0,(E19/D19))))</f>
        <v>24.163981316119067</v>
      </c>
    </row>
    <row r="20" spans="1:6" x14ac:dyDescent="0.3">
      <c r="B20" s="3"/>
      <c r="C20" s="42"/>
      <c r="D20" s="18"/>
      <c r="E20" s="18"/>
      <c r="F20" s="19"/>
    </row>
    <row r="21" spans="1:6" x14ac:dyDescent="0.3">
      <c r="B21" s="16" t="s">
        <v>17</v>
      </c>
      <c r="C21" s="42"/>
      <c r="D21" s="18">
        <f>D13+D19</f>
        <v>652903.81199999992</v>
      </c>
      <c r="E21" s="18">
        <f>E13+E19</f>
        <v>17292567.458000001</v>
      </c>
      <c r="F21" s="19">
        <f>IF((E21=0),0,(IF((D21=0),0,(E21/D21))))</f>
        <v>26.485627959543912</v>
      </c>
    </row>
    <row r="22" spans="1:6" x14ac:dyDescent="0.3">
      <c r="A22" s="15" t="s">
        <v>16</v>
      </c>
      <c r="B22" s="3"/>
      <c r="C22" s="42"/>
      <c r="D22" s="18"/>
      <c r="E22" s="18"/>
      <c r="F22" s="19"/>
    </row>
    <row r="23" spans="1:6" x14ac:dyDescent="0.3">
      <c r="B23" s="11" t="s">
        <v>18</v>
      </c>
      <c r="C23" s="44"/>
      <c r="D23" s="18"/>
      <c r="E23" s="18"/>
      <c r="F23" s="19"/>
    </row>
    <row r="24" spans="1:6" x14ac:dyDescent="0.3">
      <c r="B24" s="11"/>
      <c r="C24" s="44"/>
      <c r="D24" s="18"/>
      <c r="E24" s="18"/>
      <c r="F24" s="19"/>
    </row>
    <row r="25" spans="1:6" x14ac:dyDescent="0.3">
      <c r="B25" s="16" t="s">
        <v>20</v>
      </c>
      <c r="C25" s="42"/>
      <c r="E25" s="18"/>
    </row>
    <row r="26" spans="1:6" x14ac:dyDescent="0.3">
      <c r="A26" s="15" t="s">
        <v>19</v>
      </c>
      <c r="B26" s="8" t="s">
        <v>51</v>
      </c>
      <c r="C26" s="45" t="s">
        <v>52</v>
      </c>
      <c r="D26" s="18">
        <v>0</v>
      </c>
      <c r="E26" s="18">
        <v>0</v>
      </c>
      <c r="F26" s="19">
        <v>0</v>
      </c>
    </row>
    <row r="27" spans="1:6" x14ac:dyDescent="0.3">
      <c r="B27" s="8" t="s">
        <v>61</v>
      </c>
      <c r="C27" s="45" t="s">
        <v>57</v>
      </c>
      <c r="D27" s="18">
        <f>17421.308+18332</f>
        <v>35753.308000000005</v>
      </c>
      <c r="E27" s="18">
        <f>406397.017000001+425940</f>
        <v>832337.01700000092</v>
      </c>
      <c r="F27" s="19">
        <v>23.327583497174881</v>
      </c>
    </row>
    <row r="28" spans="1:6" x14ac:dyDescent="0.3">
      <c r="B28" s="8" t="s">
        <v>53</v>
      </c>
      <c r="C28" s="45" t="s">
        <v>54</v>
      </c>
      <c r="D28" s="18">
        <v>15850.486000000001</v>
      </c>
      <c r="E28" s="18">
        <v>567107.67999999993</v>
      </c>
      <c r="F28" s="19">
        <f>E28/D28</f>
        <v>35.778567294403459</v>
      </c>
    </row>
    <row r="29" spans="1:6" x14ac:dyDescent="0.3">
      <c r="B29" s="8" t="s">
        <v>58</v>
      </c>
      <c r="C29" s="45" t="s">
        <v>57</v>
      </c>
      <c r="D29" s="18">
        <v>5467.1619999999966</v>
      </c>
      <c r="E29" s="18">
        <v>174956.15700000024</v>
      </c>
      <c r="F29" s="19">
        <v>32.001275433213856</v>
      </c>
    </row>
    <row r="30" spans="1:6" x14ac:dyDescent="0.3">
      <c r="B30" s="8" t="s">
        <v>55</v>
      </c>
      <c r="C30" s="45" t="s">
        <v>56</v>
      </c>
      <c r="D30" s="18">
        <v>20.63</v>
      </c>
      <c r="E30" s="18">
        <v>670.08199999999999</v>
      </c>
      <c r="F30" s="19">
        <v>32.480950072709646</v>
      </c>
    </row>
    <row r="31" spans="1:6" x14ac:dyDescent="0.3">
      <c r="B31" s="22" t="s">
        <v>12</v>
      </c>
      <c r="C31" s="42"/>
      <c r="D31" s="18">
        <f>SUM(D26:D30)</f>
        <v>57091.586000000003</v>
      </c>
      <c r="E31" s="18">
        <f>SUM(E26:E30)</f>
        <v>1575070.9360000012</v>
      </c>
      <c r="F31" s="19">
        <f>IF((E31=0),0,(IF((D31=0),0,(E31/D31))))</f>
        <v>27.588495019213532</v>
      </c>
    </row>
    <row r="32" spans="1:6" x14ac:dyDescent="0.3">
      <c r="B32" s="3"/>
      <c r="C32" s="42"/>
      <c r="D32" s="18"/>
      <c r="E32" s="18"/>
      <c r="F32" s="19"/>
    </row>
    <row r="33" spans="1:6" x14ac:dyDescent="0.3">
      <c r="B33" s="16" t="s">
        <v>24</v>
      </c>
      <c r="C33" s="42"/>
      <c r="D33" s="18">
        <f>D21-D31</f>
        <v>595812.22599999991</v>
      </c>
      <c r="E33" s="18">
        <f>E21-E31</f>
        <v>15717496.522</v>
      </c>
      <c r="F33" s="19">
        <f>IF((E33=0),0,(IF((D33=0),0,(E33/D33))))</f>
        <v>26.379949648767365</v>
      </c>
    </row>
    <row r="34" spans="1:6" x14ac:dyDescent="0.3">
      <c r="B34" s="3"/>
      <c r="C34" s="42"/>
      <c r="D34" s="18"/>
      <c r="E34" s="18"/>
      <c r="F34" s="19"/>
    </row>
    <row r="35" spans="1:6" x14ac:dyDescent="0.3">
      <c r="A35" s="15" t="s">
        <v>23</v>
      </c>
      <c r="B35" s="16" t="s">
        <v>26</v>
      </c>
      <c r="C35" s="42"/>
      <c r="D35" s="18">
        <f>+D31+D33</f>
        <v>652903.81199999992</v>
      </c>
      <c r="E35" s="18">
        <f>+E31+E33</f>
        <v>17292567.458000001</v>
      </c>
      <c r="F35" s="19">
        <f>IF((E35=0),0,(IF((D35=0),0,(E35/D35))))</f>
        <v>26.485627959543912</v>
      </c>
    </row>
    <row r="36" spans="1:6" x14ac:dyDescent="0.3">
      <c r="B36" s="8"/>
      <c r="C36" s="42"/>
      <c r="D36" s="18"/>
      <c r="E36" s="18"/>
      <c r="F36" s="19"/>
    </row>
    <row r="37" spans="1:6" x14ac:dyDescent="0.3">
      <c r="A37" s="15" t="s">
        <v>25</v>
      </c>
      <c r="B37" s="8"/>
      <c r="C37" s="42"/>
      <c r="D37" s="18"/>
      <c r="E37" s="18"/>
      <c r="F37" s="19"/>
    </row>
    <row r="38" spans="1:6" x14ac:dyDescent="0.3">
      <c r="A38" s="15"/>
      <c r="D38" s="18"/>
      <c r="E38" s="18"/>
      <c r="F38" s="19"/>
    </row>
    <row r="39" spans="1:6" x14ac:dyDescent="0.3">
      <c r="A39" s="15"/>
      <c r="B39" s="8" t="s">
        <v>28</v>
      </c>
      <c r="C39" s="42"/>
      <c r="D39" s="18">
        <f>D21-D31</f>
        <v>595812.22599999991</v>
      </c>
      <c r="E39" s="18">
        <f>E21-E31</f>
        <v>15717496.522</v>
      </c>
      <c r="F39" s="19">
        <f t="shared" ref="F39:F45" si="0">IF((E39=0),0,(IF((D39=0),0,(E39/D39))))</f>
        <v>26.379949648767365</v>
      </c>
    </row>
    <row r="40" spans="1:6" x14ac:dyDescent="0.3">
      <c r="B40" s="8" t="s">
        <v>59</v>
      </c>
      <c r="C40" s="42"/>
      <c r="D40" s="18">
        <f>D41-D39</f>
        <v>-595812.22599999991</v>
      </c>
      <c r="E40" s="18">
        <v>0</v>
      </c>
      <c r="F40" s="19">
        <f t="shared" si="0"/>
        <v>0</v>
      </c>
    </row>
    <row r="41" spans="1:6" x14ac:dyDescent="0.3">
      <c r="A41" s="15" t="s">
        <v>27</v>
      </c>
      <c r="B41" s="8" t="s">
        <v>32</v>
      </c>
      <c r="C41" s="42"/>
      <c r="D41" s="18">
        <f>D45-D44</f>
        <v>0</v>
      </c>
      <c r="E41" s="18">
        <f>(SUM(E39))+E40</f>
        <v>15717496.522</v>
      </c>
      <c r="F41" s="19">
        <f t="shared" si="0"/>
        <v>0</v>
      </c>
    </row>
    <row r="42" spans="1:6" x14ac:dyDescent="0.3">
      <c r="A42" s="15" t="s">
        <v>29</v>
      </c>
      <c r="B42" s="17" t="s">
        <v>34</v>
      </c>
      <c r="C42" s="42"/>
      <c r="D42" s="18">
        <v>518.18084180000005</v>
      </c>
      <c r="E42" s="18">
        <v>13307.402198265801</v>
      </c>
      <c r="F42" s="19">
        <f t="shared" si="0"/>
        <v>25.681000000000001</v>
      </c>
    </row>
    <row r="43" spans="1:6" x14ac:dyDescent="0.3">
      <c r="A43" s="15" t="s">
        <v>31</v>
      </c>
      <c r="B43" s="17" t="s">
        <v>36</v>
      </c>
      <c r="C43" s="42"/>
      <c r="D43" s="18">
        <v>-518.18084180000005</v>
      </c>
      <c r="E43" s="18">
        <v>-13307.402198265801</v>
      </c>
      <c r="F43" s="19">
        <f t="shared" si="0"/>
        <v>25.681000000000001</v>
      </c>
    </row>
    <row r="44" spans="1:6" x14ac:dyDescent="0.3">
      <c r="A44" s="15" t="s">
        <v>33</v>
      </c>
      <c r="B44" s="8" t="s">
        <v>38</v>
      </c>
      <c r="C44" s="42"/>
      <c r="D44" s="18">
        <v>0</v>
      </c>
      <c r="E44" s="18">
        <v>0</v>
      </c>
      <c r="F44" s="19">
        <f t="shared" si="0"/>
        <v>0</v>
      </c>
    </row>
    <row r="45" spans="1:6" x14ac:dyDescent="0.3">
      <c r="A45" s="15" t="s">
        <v>35</v>
      </c>
      <c r="B45" s="8" t="s">
        <v>40</v>
      </c>
      <c r="C45" s="45" t="s">
        <v>60</v>
      </c>
      <c r="D45" s="18">
        <f>O36+D42+D43</f>
        <v>0</v>
      </c>
      <c r="E45" s="25">
        <f>SUM(E41:E44)</f>
        <v>15717496.522</v>
      </c>
      <c r="F45" s="47">
        <f t="shared" si="0"/>
        <v>0</v>
      </c>
    </row>
    <row r="46" spans="1:6" x14ac:dyDescent="0.3">
      <c r="A46" s="15" t="s">
        <v>37</v>
      </c>
      <c r="B46" s="126" t="s">
        <v>4</v>
      </c>
      <c r="C46" s="126"/>
      <c r="D46" s="126"/>
      <c r="E46" s="126"/>
      <c r="F46" s="126"/>
    </row>
    <row r="47" spans="1:6" x14ac:dyDescent="0.3">
      <c r="A47" s="15" t="s">
        <v>39</v>
      </c>
      <c r="B47" s="127" t="s">
        <v>4</v>
      </c>
      <c r="C47" s="125"/>
      <c r="D47" s="125"/>
      <c r="E47" s="125"/>
      <c r="F47" s="125"/>
    </row>
    <row r="48" spans="1:6" x14ac:dyDescent="0.3">
      <c r="A48" s="128" t="s">
        <v>4</v>
      </c>
      <c r="B48" s="3"/>
      <c r="C48" s="42"/>
      <c r="D48" s="18"/>
      <c r="E48" s="18"/>
      <c r="F48" s="35"/>
    </row>
    <row r="49" spans="1:6" x14ac:dyDescent="0.3">
      <c r="A49" s="125"/>
    </row>
    <row r="54" spans="1:6" x14ac:dyDescent="0.3">
      <c r="B54" s="8"/>
      <c r="C54" s="42"/>
      <c r="D54" s="18"/>
      <c r="E54" s="18"/>
      <c r="F54" s="35"/>
    </row>
    <row r="55" spans="1:6" x14ac:dyDescent="0.3">
      <c r="B55" s="8"/>
      <c r="C55" s="42"/>
      <c r="E55" s="125"/>
      <c r="F55" s="125"/>
    </row>
    <row r="56" spans="1:6" x14ac:dyDescent="0.3">
      <c r="B56" s="8"/>
      <c r="C56" s="42"/>
      <c r="E56" s="125"/>
      <c r="F56" s="125"/>
    </row>
    <row r="57" spans="1:6" x14ac:dyDescent="0.3">
      <c r="C57" s="48"/>
      <c r="D57" s="18"/>
      <c r="E57" s="125"/>
      <c r="F57" s="125"/>
    </row>
    <row r="58" spans="1:6" x14ac:dyDescent="0.3">
      <c r="E58" s="125"/>
      <c r="F58" s="125"/>
    </row>
    <row r="59" spans="1:6" x14ac:dyDescent="0.3">
      <c r="B59" s="6" t="s">
        <v>4</v>
      </c>
      <c r="E59" s="125"/>
      <c r="F59" s="125"/>
    </row>
    <row r="60" spans="1:6" x14ac:dyDescent="0.3">
      <c r="B60" s="6" t="s">
        <v>4</v>
      </c>
    </row>
  </sheetData>
  <mergeCells count="1">
    <mergeCell ref="D6:F6"/>
  </mergeCells>
  <pageMargins left="0.7" right="0.7" top="0.75" bottom="0.75" header="0.3" footer="0.3"/>
  <pageSetup scale="96" orientation="portrait" r:id="rId1"/>
  <rowBreaks count="1" manualBreakCount="1">
    <brk id="4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0"/>
  <sheetViews>
    <sheetView zoomScaleNormal="100" workbookViewId="0">
      <selection activeCell="B16" sqref="B16"/>
    </sheetView>
  </sheetViews>
  <sheetFormatPr defaultColWidth="9.85546875" defaultRowHeight="15.75" x14ac:dyDescent="0.3"/>
  <cols>
    <col min="1" max="1" width="2.85546875" style="1" bestFit="1" customWidth="1"/>
    <col min="2" max="2" width="51" style="6" customWidth="1"/>
    <col min="3" max="3" width="3.140625" style="43" hidden="1" customWidth="1"/>
    <col min="4" max="4" width="13.28515625" style="6" customWidth="1"/>
    <col min="5" max="5" width="14.42578125" style="6" customWidth="1"/>
    <col min="6" max="6" width="12.140625" style="6" customWidth="1"/>
    <col min="7" max="7" width="11.140625" style="125" customWidth="1"/>
    <col min="8" max="16" width="9.85546875" style="125"/>
    <col min="17" max="16384" width="9.85546875" style="6"/>
  </cols>
  <sheetData>
    <row r="1" spans="1:6" ht="16.5" x14ac:dyDescent="0.3">
      <c r="B1" s="2" t="s">
        <v>0</v>
      </c>
      <c r="C1" s="42"/>
      <c r="D1" s="3"/>
      <c r="E1" s="4"/>
      <c r="F1" s="5" t="s">
        <v>4</v>
      </c>
    </row>
    <row r="2" spans="1:6" x14ac:dyDescent="0.3">
      <c r="E2" s="7"/>
    </row>
    <row r="3" spans="1:6" x14ac:dyDescent="0.3">
      <c r="B3" s="8" t="s">
        <v>1</v>
      </c>
      <c r="C3" s="42"/>
      <c r="E3" s="9"/>
    </row>
    <row r="4" spans="1:6" x14ac:dyDescent="0.3">
      <c r="B4" s="8" t="s">
        <v>2</v>
      </c>
      <c r="C4" s="42"/>
    </row>
    <row r="5" spans="1:6" x14ac:dyDescent="0.3">
      <c r="B5" s="3"/>
      <c r="C5" s="42"/>
      <c r="E5" s="8"/>
    </row>
    <row r="6" spans="1:6" ht="13.15" customHeight="1" x14ac:dyDescent="0.3">
      <c r="B6" s="8" t="s">
        <v>3</v>
      </c>
      <c r="C6" s="42"/>
      <c r="D6" s="124" t="str">
        <f>+'[4]INPUT SHEET'!B1</f>
        <v>December 2013 ACTUAL</v>
      </c>
      <c r="E6" s="124"/>
      <c r="F6" s="124"/>
    </row>
    <row r="7" spans="1:6" x14ac:dyDescent="0.3">
      <c r="B7" s="3"/>
      <c r="C7" s="42"/>
    </row>
    <row r="8" spans="1:6" x14ac:dyDescent="0.3">
      <c r="B8" s="11" t="s">
        <v>5</v>
      </c>
      <c r="C8" s="44"/>
      <c r="D8" s="11" t="s">
        <v>6</v>
      </c>
      <c r="E8" s="12" t="s">
        <v>7</v>
      </c>
      <c r="F8" s="11" t="s">
        <v>47</v>
      </c>
    </row>
    <row r="9" spans="1:6" x14ac:dyDescent="0.3">
      <c r="B9" s="11"/>
      <c r="C9" s="44"/>
      <c r="D9" s="13"/>
      <c r="E9" s="14" t="s">
        <v>9</v>
      </c>
      <c r="F9" s="13"/>
    </row>
    <row r="10" spans="1:6" x14ac:dyDescent="0.3">
      <c r="A10" s="15" t="s">
        <v>10</v>
      </c>
      <c r="B10" s="16" t="s">
        <v>11</v>
      </c>
      <c r="C10" s="42"/>
    </row>
    <row r="11" spans="1:6" x14ac:dyDescent="0.3">
      <c r="B11" s="8" t="s">
        <v>48</v>
      </c>
      <c r="C11" s="45" t="s">
        <v>49</v>
      </c>
      <c r="D11" s="18">
        <v>379794</v>
      </c>
      <c r="E11" s="18">
        <v>13224760.229999999</v>
      </c>
      <c r="F11" s="19">
        <v>34.820877186053487</v>
      </c>
    </row>
    <row r="12" spans="1:6" x14ac:dyDescent="0.3">
      <c r="B12" s="8" t="s">
        <v>61</v>
      </c>
      <c r="C12" s="45" t="s">
        <v>50</v>
      </c>
      <c r="D12" s="18">
        <f>137910+135072</f>
        <v>272982</v>
      </c>
      <c r="E12" s="46">
        <f>3497663.5695+3396928</f>
        <v>6894591.5695000002</v>
      </c>
      <c r="F12" s="19">
        <f>E12/D12</f>
        <v>25.256579442966935</v>
      </c>
    </row>
    <row r="13" spans="1:6" x14ac:dyDescent="0.3">
      <c r="B13" s="22" t="s">
        <v>12</v>
      </c>
      <c r="C13" s="42"/>
      <c r="D13" s="18">
        <f>SUM(D11:D12)</f>
        <v>652776</v>
      </c>
      <c r="E13" s="18">
        <f>SUM(E11:E12)</f>
        <v>20119351.7995</v>
      </c>
      <c r="F13" s="19">
        <f>IF((E13=0),0,(IF((D13=0),0,(E13/D13))))</f>
        <v>30.821218610212384</v>
      </c>
    </row>
    <row r="14" spans="1:6" x14ac:dyDescent="0.3">
      <c r="B14" s="3"/>
      <c r="C14" s="42"/>
      <c r="D14" s="18"/>
      <c r="E14" s="18"/>
      <c r="F14" s="19"/>
    </row>
    <row r="15" spans="1:6" x14ac:dyDescent="0.3">
      <c r="B15" s="16" t="s">
        <v>14</v>
      </c>
      <c r="C15" s="42"/>
      <c r="D15" s="18"/>
      <c r="E15" s="18"/>
      <c r="F15" s="19"/>
    </row>
    <row r="16" spans="1:6" x14ac:dyDescent="0.3">
      <c r="A16" s="15" t="s">
        <v>13</v>
      </c>
      <c r="B16" s="8" t="s">
        <v>51</v>
      </c>
      <c r="C16" s="45" t="s">
        <v>52</v>
      </c>
      <c r="D16" s="18">
        <v>272738.11800000002</v>
      </c>
      <c r="E16" s="18">
        <v>5986721.5369999995</v>
      </c>
      <c r="F16" s="19">
        <v>21.950439421159309</v>
      </c>
    </row>
    <row r="17" spans="1:6" x14ac:dyDescent="0.3">
      <c r="A17" s="6"/>
      <c r="B17" s="8" t="s">
        <v>53</v>
      </c>
      <c r="C17" s="45" t="s">
        <v>54</v>
      </c>
      <c r="D17" s="18">
        <v>31447.161999999997</v>
      </c>
      <c r="E17" s="18">
        <v>1116409.9099999999</v>
      </c>
      <c r="F17" s="19">
        <v>35.501133933802997</v>
      </c>
    </row>
    <row r="18" spans="1:6" x14ac:dyDescent="0.3">
      <c r="B18" s="8" t="s">
        <v>55</v>
      </c>
      <c r="C18" s="45" t="s">
        <v>56</v>
      </c>
      <c r="D18" s="18">
        <v>0</v>
      </c>
      <c r="E18" s="18">
        <v>0</v>
      </c>
      <c r="F18" s="19">
        <v>0</v>
      </c>
    </row>
    <row r="19" spans="1:6" x14ac:dyDescent="0.3">
      <c r="B19" s="22" t="s">
        <v>12</v>
      </c>
      <c r="C19" s="42"/>
      <c r="D19" s="18">
        <f>SUM(D16:D18)</f>
        <v>304185.28000000003</v>
      </c>
      <c r="E19" s="18">
        <f>SUM(E16:E18)</f>
        <v>7103131.4469999997</v>
      </c>
      <c r="F19" s="19">
        <f>IF((E19=0),0,(IF((D19=0),0,(E19/D19))))</f>
        <v>23.351331948081114</v>
      </c>
    </row>
    <row r="20" spans="1:6" x14ac:dyDescent="0.3">
      <c r="B20" s="3"/>
      <c r="C20" s="42"/>
      <c r="D20" s="18"/>
      <c r="E20" s="18"/>
      <c r="F20" s="19"/>
    </row>
    <row r="21" spans="1:6" x14ac:dyDescent="0.3">
      <c r="B21" s="16" t="s">
        <v>17</v>
      </c>
      <c r="C21" s="42"/>
      <c r="D21" s="18">
        <f>D13+D19</f>
        <v>956961.28000000003</v>
      </c>
      <c r="E21" s="18">
        <f>E13+E19</f>
        <v>27222483.2465</v>
      </c>
      <c r="F21" s="19">
        <f>IF((E21=0),0,(IF((D21=0),0,(E21/D21))))</f>
        <v>28.446796976467009</v>
      </c>
    </row>
    <row r="22" spans="1:6" x14ac:dyDescent="0.3">
      <c r="A22" s="15" t="s">
        <v>16</v>
      </c>
      <c r="B22" s="3"/>
      <c r="C22" s="42"/>
      <c r="D22" s="18"/>
      <c r="E22" s="18"/>
      <c r="F22" s="19"/>
    </row>
    <row r="23" spans="1:6" x14ac:dyDescent="0.3">
      <c r="B23" s="11" t="s">
        <v>18</v>
      </c>
      <c r="C23" s="44"/>
      <c r="D23" s="18"/>
      <c r="E23" s="18"/>
      <c r="F23" s="19"/>
    </row>
    <row r="24" spans="1:6" x14ac:dyDescent="0.3">
      <c r="B24" s="11"/>
      <c r="C24" s="44"/>
      <c r="D24" s="18"/>
      <c r="E24" s="18"/>
      <c r="F24" s="19"/>
    </row>
    <row r="25" spans="1:6" x14ac:dyDescent="0.3">
      <c r="B25" s="16" t="s">
        <v>20</v>
      </c>
      <c r="C25" s="42"/>
      <c r="E25" s="18"/>
    </row>
    <row r="26" spans="1:6" x14ac:dyDescent="0.3">
      <c r="A26" s="15" t="s">
        <v>19</v>
      </c>
      <c r="B26" s="8" t="s">
        <v>51</v>
      </c>
      <c r="C26" s="45" t="s">
        <v>52</v>
      </c>
      <c r="D26" s="18">
        <v>53.682000000000002</v>
      </c>
      <c r="E26" s="18">
        <v>1654.5329999999999</v>
      </c>
      <c r="F26" s="19">
        <v>30.821001453001003</v>
      </c>
    </row>
    <row r="27" spans="1:6" x14ac:dyDescent="0.3">
      <c r="B27" s="8" t="s">
        <v>61</v>
      </c>
      <c r="C27" s="45" t="s">
        <v>57</v>
      </c>
      <c r="D27" s="18">
        <f>50798.903+43615</f>
        <v>94413.902999999991</v>
      </c>
      <c r="E27" s="18">
        <f>1178969.999+1004962</f>
        <v>2183931.9989999998</v>
      </c>
      <c r="F27" s="19">
        <f>E27/D27</f>
        <v>23.131466125280298</v>
      </c>
    </row>
    <row r="28" spans="1:6" x14ac:dyDescent="0.3">
      <c r="B28" s="8" t="s">
        <v>53</v>
      </c>
      <c r="C28" s="45" t="s">
        <v>54</v>
      </c>
      <c r="D28" s="18">
        <v>30202.158999999996</v>
      </c>
      <c r="E28" s="18">
        <v>1090814.21</v>
      </c>
      <c r="F28" s="19">
        <v>36.117093814385925</v>
      </c>
    </row>
    <row r="29" spans="1:6" x14ac:dyDescent="0.3">
      <c r="B29" s="8" t="s">
        <v>58</v>
      </c>
      <c r="C29" s="45" t="s">
        <v>57</v>
      </c>
      <c r="D29" s="18">
        <v>172470.64199999999</v>
      </c>
      <c r="E29" s="18">
        <v>9402209.1930000111</v>
      </c>
      <c r="F29" s="19">
        <v>54.51483849059953</v>
      </c>
    </row>
    <row r="30" spans="1:6" x14ac:dyDescent="0.3">
      <c r="B30" s="8" t="s">
        <v>55</v>
      </c>
      <c r="C30" s="45" t="s">
        <v>56</v>
      </c>
      <c r="D30" s="18">
        <v>113.834</v>
      </c>
      <c r="E30" s="18">
        <v>2927.165</v>
      </c>
      <c r="F30" s="19">
        <v>25.714329637893773</v>
      </c>
    </row>
    <row r="31" spans="1:6" x14ac:dyDescent="0.3">
      <c r="B31" s="22" t="s">
        <v>12</v>
      </c>
      <c r="C31" s="42"/>
      <c r="D31" s="18">
        <f>SUM(D26:D30)</f>
        <v>297254.21999999997</v>
      </c>
      <c r="E31" s="18">
        <f>SUM(E26:E30)</f>
        <v>12681537.100000009</v>
      </c>
      <c r="F31" s="19">
        <f>IF((E31=0),0,(IF((D31=0),0,(E31/D31))))</f>
        <v>42.662260942838792</v>
      </c>
    </row>
    <row r="32" spans="1:6" x14ac:dyDescent="0.3">
      <c r="B32" s="3"/>
      <c r="C32" s="42"/>
      <c r="D32" s="18"/>
      <c r="E32" s="18"/>
      <c r="F32" s="19"/>
    </row>
    <row r="33" spans="1:6" x14ac:dyDescent="0.3">
      <c r="B33" s="16" t="s">
        <v>24</v>
      </c>
      <c r="C33" s="42"/>
      <c r="D33" s="18">
        <f>D21-D31</f>
        <v>659707.06000000006</v>
      </c>
      <c r="E33" s="18">
        <f>E21-E31</f>
        <v>14540946.146499991</v>
      </c>
      <c r="F33" s="19">
        <f>IF((E33=0),0,(IF((D33=0),0,(E33/D33))))</f>
        <v>22.041519680720093</v>
      </c>
    </row>
    <row r="34" spans="1:6" x14ac:dyDescent="0.3">
      <c r="B34" s="3"/>
      <c r="C34" s="42"/>
      <c r="D34" s="18"/>
      <c r="E34" s="18"/>
      <c r="F34" s="19"/>
    </row>
    <row r="35" spans="1:6" x14ac:dyDescent="0.3">
      <c r="A35" s="15" t="s">
        <v>23</v>
      </c>
      <c r="B35" s="16" t="s">
        <v>26</v>
      </c>
      <c r="C35" s="42"/>
      <c r="D35" s="18">
        <f>+D31+D33</f>
        <v>956961.28000000003</v>
      </c>
      <c r="E35" s="18">
        <f>+E31+E33</f>
        <v>27222483.2465</v>
      </c>
      <c r="F35" s="19">
        <f>IF((E35=0),0,(IF((D35=0),0,(E35/D35))))</f>
        <v>28.446796976467009</v>
      </c>
    </row>
    <row r="36" spans="1:6" x14ac:dyDescent="0.3">
      <c r="B36" s="8"/>
      <c r="C36" s="42"/>
      <c r="D36" s="18"/>
      <c r="E36" s="18"/>
      <c r="F36" s="19"/>
    </row>
    <row r="37" spans="1:6" x14ac:dyDescent="0.3">
      <c r="A37" s="15" t="s">
        <v>25</v>
      </c>
      <c r="B37" s="8"/>
      <c r="C37" s="42"/>
      <c r="D37" s="18"/>
      <c r="E37" s="18"/>
      <c r="F37" s="19"/>
    </row>
    <row r="38" spans="1:6" x14ac:dyDescent="0.3">
      <c r="A38" s="15"/>
      <c r="D38" s="18"/>
      <c r="E38" s="18"/>
      <c r="F38" s="19"/>
    </row>
    <row r="39" spans="1:6" x14ac:dyDescent="0.3">
      <c r="A39" s="15"/>
      <c r="B39" s="8" t="s">
        <v>28</v>
      </c>
      <c r="C39" s="42"/>
      <c r="D39" s="18">
        <f>D21-D31</f>
        <v>659707.06000000006</v>
      </c>
      <c r="E39" s="18">
        <f>E21-E31</f>
        <v>14540946.146499991</v>
      </c>
      <c r="F39" s="19">
        <f t="shared" ref="F39:F45" si="0">IF((E39=0),0,(IF((D39=0),0,(E39/D39))))</f>
        <v>22.041519680720093</v>
      </c>
    </row>
    <row r="40" spans="1:6" x14ac:dyDescent="0.3">
      <c r="B40" s="8" t="s">
        <v>59</v>
      </c>
      <c r="C40" s="42"/>
      <c r="D40" s="18">
        <f>D41-D39</f>
        <v>-659707.06000000006</v>
      </c>
      <c r="E40" s="18">
        <v>0</v>
      </c>
      <c r="F40" s="19">
        <f t="shared" si="0"/>
        <v>0</v>
      </c>
    </row>
    <row r="41" spans="1:6" x14ac:dyDescent="0.3">
      <c r="A41" s="15" t="s">
        <v>27</v>
      </c>
      <c r="B41" s="8" t="s">
        <v>32</v>
      </c>
      <c r="C41" s="42"/>
      <c r="D41" s="18">
        <f>D45-D44</f>
        <v>0</v>
      </c>
      <c r="E41" s="18">
        <f>(SUM(E39))+E40</f>
        <v>14540946.146499991</v>
      </c>
      <c r="F41" s="19">
        <f t="shared" si="0"/>
        <v>0</v>
      </c>
    </row>
    <row r="42" spans="1:6" x14ac:dyDescent="0.3">
      <c r="A42" s="15" t="s">
        <v>29</v>
      </c>
      <c r="B42" s="17" t="s">
        <v>34</v>
      </c>
      <c r="C42" s="42"/>
      <c r="D42" s="18">
        <v>1888.4654029999999</v>
      </c>
      <c r="E42" s="18">
        <v>48445.089008583003</v>
      </c>
      <c r="F42" s="19">
        <f t="shared" si="0"/>
        <v>25.65315145918138</v>
      </c>
    </row>
    <row r="43" spans="1:6" x14ac:dyDescent="0.3">
      <c r="A43" s="15" t="s">
        <v>31</v>
      </c>
      <c r="B43" s="17" t="s">
        <v>36</v>
      </c>
      <c r="C43" s="42"/>
      <c r="D43" s="18">
        <v>-1888.4654029999999</v>
      </c>
      <c r="E43" s="18">
        <v>-48445.089008583003</v>
      </c>
      <c r="F43" s="19">
        <f t="shared" si="0"/>
        <v>25.65315145918138</v>
      </c>
    </row>
    <row r="44" spans="1:6" x14ac:dyDescent="0.3">
      <c r="A44" s="15" t="s">
        <v>33</v>
      </c>
      <c r="B44" s="8" t="s">
        <v>38</v>
      </c>
      <c r="C44" s="42"/>
      <c r="D44" s="18">
        <v>0</v>
      </c>
      <c r="E44" s="18">
        <v>0</v>
      </c>
      <c r="F44" s="19">
        <f t="shared" si="0"/>
        <v>0</v>
      </c>
    </row>
    <row r="45" spans="1:6" x14ac:dyDescent="0.3">
      <c r="A45" s="15" t="s">
        <v>35</v>
      </c>
      <c r="B45" s="8" t="s">
        <v>40</v>
      </c>
      <c r="C45" s="45" t="s">
        <v>60</v>
      </c>
      <c r="D45" s="18">
        <f>O36+D42+D43</f>
        <v>0</v>
      </c>
      <c r="E45" s="25">
        <f>SUM(E41:E44)</f>
        <v>14540946.146499991</v>
      </c>
      <c r="F45" s="47">
        <f t="shared" si="0"/>
        <v>0</v>
      </c>
    </row>
    <row r="46" spans="1:6" x14ac:dyDescent="0.3">
      <c r="A46" s="15" t="s">
        <v>37</v>
      </c>
      <c r="B46" s="126" t="s">
        <v>4</v>
      </c>
      <c r="C46" s="126"/>
      <c r="D46" s="126"/>
      <c r="E46" s="126"/>
      <c r="F46" s="126"/>
    </row>
    <row r="47" spans="1:6" x14ac:dyDescent="0.3">
      <c r="A47" s="15" t="s">
        <v>39</v>
      </c>
      <c r="B47" s="127" t="s">
        <v>4</v>
      </c>
      <c r="C47" s="125"/>
      <c r="D47" s="125"/>
      <c r="E47" s="125"/>
      <c r="F47" s="125"/>
    </row>
    <row r="48" spans="1:6" x14ac:dyDescent="0.3">
      <c r="A48" s="128" t="s">
        <v>4</v>
      </c>
      <c r="B48" s="3"/>
      <c r="C48" s="42"/>
      <c r="D48" s="18"/>
      <c r="E48" s="18"/>
      <c r="F48" s="35"/>
    </row>
    <row r="49" spans="1:6" x14ac:dyDescent="0.3">
      <c r="A49" s="125"/>
    </row>
    <row r="54" spans="1:6" x14ac:dyDescent="0.3">
      <c r="B54" s="8"/>
      <c r="C54" s="42"/>
      <c r="D54" s="18"/>
      <c r="E54" s="18"/>
      <c r="F54" s="35"/>
    </row>
    <row r="55" spans="1:6" x14ac:dyDescent="0.3">
      <c r="B55" s="8"/>
      <c r="C55" s="42"/>
      <c r="E55" s="125"/>
      <c r="F55" s="125"/>
    </row>
    <row r="56" spans="1:6" x14ac:dyDescent="0.3">
      <c r="B56" s="8"/>
      <c r="C56" s="42"/>
      <c r="E56" s="125"/>
      <c r="F56" s="125"/>
    </row>
    <row r="57" spans="1:6" x14ac:dyDescent="0.3">
      <c r="C57" s="48"/>
      <c r="D57" s="18"/>
      <c r="E57" s="125"/>
      <c r="F57" s="125"/>
    </row>
    <row r="58" spans="1:6" x14ac:dyDescent="0.3">
      <c r="E58" s="125"/>
      <c r="F58" s="125"/>
    </row>
    <row r="59" spans="1:6" x14ac:dyDescent="0.3">
      <c r="E59" s="125"/>
      <c r="F59" s="125"/>
    </row>
    <row r="60" spans="1:6" x14ac:dyDescent="0.3">
      <c r="E60" s="125"/>
      <c r="F60" s="125"/>
    </row>
  </sheetData>
  <mergeCells count="1">
    <mergeCell ref="D6:F6"/>
  </mergeCells>
  <pageMargins left="0.7" right="0.7" top="0.75" bottom="0.75" header="0.3" footer="0.3"/>
  <pageSetup scale="9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selection activeCell="D35" sqref="D35"/>
    </sheetView>
  </sheetViews>
  <sheetFormatPr defaultColWidth="9.85546875" defaultRowHeight="13.5" x14ac:dyDescent="0.3"/>
  <cols>
    <col min="1" max="1" width="3.28515625" style="1" bestFit="1" customWidth="1"/>
    <col min="2" max="2" width="51.7109375" style="6" bestFit="1" customWidth="1"/>
    <col min="3" max="3" width="9.42578125" style="6" bestFit="1" customWidth="1"/>
    <col min="4" max="4" width="10.85546875" style="6" bestFit="1" customWidth="1"/>
    <col min="5" max="5" width="11" style="6" bestFit="1" customWidth="1"/>
    <col min="6" max="16384" width="9.85546875" style="6"/>
  </cols>
  <sheetData>
    <row r="1" spans="1:6" ht="16.5" x14ac:dyDescent="0.3">
      <c r="B1" s="2" t="s">
        <v>0</v>
      </c>
      <c r="C1" s="3"/>
      <c r="D1" s="4"/>
      <c r="E1" s="5">
        <f ca="1">NOW()</f>
        <v>42037.574824421295</v>
      </c>
    </row>
    <row r="2" spans="1:6" x14ac:dyDescent="0.3">
      <c r="D2" s="7"/>
    </row>
    <row r="3" spans="1:6" x14ac:dyDescent="0.3">
      <c r="B3" s="8" t="s">
        <v>1</v>
      </c>
      <c r="D3" s="9"/>
    </row>
    <row r="4" spans="1:6" x14ac:dyDescent="0.3">
      <c r="B4" s="8" t="s">
        <v>2</v>
      </c>
    </row>
    <row r="5" spans="1:6" x14ac:dyDescent="0.3">
      <c r="B5" s="3"/>
      <c r="D5" s="8"/>
    </row>
    <row r="6" spans="1:6" x14ac:dyDescent="0.3">
      <c r="B6" s="8" t="s">
        <v>3</v>
      </c>
      <c r="D6" s="123"/>
      <c r="E6" s="10" t="s">
        <v>4</v>
      </c>
    </row>
    <row r="7" spans="1:6" x14ac:dyDescent="0.3">
      <c r="B7" s="3"/>
    </row>
    <row r="8" spans="1:6" x14ac:dyDescent="0.3">
      <c r="B8" s="11" t="s">
        <v>5</v>
      </c>
      <c r="C8" s="11" t="s">
        <v>6</v>
      </c>
      <c r="D8" s="12" t="s">
        <v>7</v>
      </c>
      <c r="E8" s="39" t="s">
        <v>8</v>
      </c>
    </row>
    <row r="9" spans="1:6" x14ac:dyDescent="0.3">
      <c r="B9" s="11"/>
      <c r="C9" s="13"/>
      <c r="D9" s="14" t="s">
        <v>9</v>
      </c>
      <c r="E9" s="13"/>
    </row>
    <row r="10" spans="1:6" x14ac:dyDescent="0.3">
      <c r="A10" s="15" t="s">
        <v>10</v>
      </c>
      <c r="B10" s="16" t="s">
        <v>11</v>
      </c>
    </row>
    <row r="11" spans="1:6" x14ac:dyDescent="0.3">
      <c r="B11" s="37" t="s">
        <v>43</v>
      </c>
      <c r="C11" s="18">
        <v>611150</v>
      </c>
      <c r="D11" s="18">
        <v>19054146</v>
      </c>
      <c r="E11" s="19">
        <v>31.177527611879245</v>
      </c>
    </row>
    <row r="12" spans="1:6" x14ac:dyDescent="0.3">
      <c r="B12" s="17" t="s">
        <v>41</v>
      </c>
      <c r="C12" s="18">
        <f>139495+219535</f>
        <v>359030</v>
      </c>
      <c r="D12" s="18">
        <f>4450957+6403183</f>
        <v>10854140</v>
      </c>
      <c r="E12" s="19">
        <f>D12/C12</f>
        <v>30.231846920870122</v>
      </c>
    </row>
    <row r="13" spans="1:6" x14ac:dyDescent="0.3">
      <c r="B13" s="8" t="s">
        <v>42</v>
      </c>
      <c r="C13" s="18">
        <f>135241+128673</f>
        <v>263914</v>
      </c>
      <c r="D13" s="18">
        <f>3274172+3080784</f>
        <v>6354956</v>
      </c>
      <c r="E13" s="19">
        <f>D13/C13</f>
        <v>24.079647157786248</v>
      </c>
    </row>
    <row r="14" spans="1:6" x14ac:dyDescent="0.3">
      <c r="B14" s="22" t="s">
        <v>12</v>
      </c>
      <c r="C14" s="23">
        <f>SUM(C11:C13)</f>
        <v>1234094</v>
      </c>
      <c r="D14" s="23">
        <f>SUM(D11:D13)</f>
        <v>36263242</v>
      </c>
      <c r="E14" s="24">
        <f>IF((D14=0),0,(IF((C14=0),0,(D14/C14))))</f>
        <v>29.384505556302841</v>
      </c>
      <c r="F14" s="36"/>
    </row>
    <row r="15" spans="1:6" x14ac:dyDescent="0.3">
      <c r="B15" s="3"/>
      <c r="C15" s="18"/>
      <c r="D15" s="18"/>
      <c r="E15" s="19"/>
    </row>
    <row r="16" spans="1:6" x14ac:dyDescent="0.3">
      <c r="A16" s="15" t="s">
        <v>13</v>
      </c>
      <c r="B16" s="16" t="s">
        <v>14</v>
      </c>
      <c r="C16" s="18"/>
      <c r="D16" s="18"/>
      <c r="E16" s="19"/>
    </row>
    <row r="17" spans="1:5" x14ac:dyDescent="0.3">
      <c r="B17" s="8" t="s">
        <v>15</v>
      </c>
      <c r="C17" s="20">
        <v>75823.807000000001</v>
      </c>
      <c r="D17" s="20">
        <v>7100284.5300000003</v>
      </c>
      <c r="E17" s="21">
        <v>93.641889149670362</v>
      </c>
    </row>
    <row r="18" spans="1:5" x14ac:dyDescent="0.3">
      <c r="B18" s="22" t="s">
        <v>12</v>
      </c>
      <c r="C18" s="23">
        <f>SUM(C17:C17)</f>
        <v>75823.807000000001</v>
      </c>
      <c r="D18" s="23">
        <f>SUM(D17:D17)</f>
        <v>7100284.5300000003</v>
      </c>
      <c r="E18" s="24">
        <f>IF((D18=0),0,(IF((C18=0),0,(D18/C18))))</f>
        <v>93.641889149670362</v>
      </c>
    </row>
    <row r="19" spans="1:5" x14ac:dyDescent="0.3">
      <c r="B19" s="3"/>
      <c r="C19" s="18"/>
      <c r="D19" s="18"/>
      <c r="E19" s="19"/>
    </row>
    <row r="20" spans="1:5" x14ac:dyDescent="0.3">
      <c r="A20" s="15" t="s">
        <v>16</v>
      </c>
      <c r="B20" s="16" t="s">
        <v>17</v>
      </c>
      <c r="C20" s="23">
        <f>C14+C18</f>
        <v>1309917.807</v>
      </c>
      <c r="D20" s="23">
        <f>D14+D18</f>
        <v>43363526.530000001</v>
      </c>
      <c r="E20" s="24">
        <f>IF((D20=0),0,(IF((C20=0),0,(D20/C20))))</f>
        <v>33.104005685144486</v>
      </c>
    </row>
    <row r="21" spans="1:5" x14ac:dyDescent="0.3">
      <c r="B21" s="3"/>
      <c r="C21" s="18"/>
      <c r="D21" s="18"/>
      <c r="E21" s="19"/>
    </row>
    <row r="22" spans="1:5" x14ac:dyDescent="0.3">
      <c r="B22" s="11" t="s">
        <v>18</v>
      </c>
      <c r="C22" s="18"/>
      <c r="D22" s="18"/>
      <c r="E22" s="19"/>
    </row>
    <row r="23" spans="1:5" x14ac:dyDescent="0.3">
      <c r="B23" s="11"/>
      <c r="C23" s="18"/>
      <c r="D23" s="18"/>
      <c r="E23" s="19"/>
    </row>
    <row r="24" spans="1:5" x14ac:dyDescent="0.3">
      <c r="A24" s="15" t="s">
        <v>19</v>
      </c>
      <c r="B24" s="16" t="s">
        <v>20</v>
      </c>
      <c r="D24" s="18"/>
    </row>
    <row r="25" spans="1:5" x14ac:dyDescent="0.3">
      <c r="B25" s="8" t="s">
        <v>21</v>
      </c>
      <c r="C25" s="25">
        <v>259164.95799999998</v>
      </c>
      <c r="D25" s="25">
        <v>6631481.9740000004</v>
      </c>
      <c r="E25" s="26">
        <v>25.587880495788326</v>
      </c>
    </row>
    <row r="26" spans="1:5" x14ac:dyDescent="0.3">
      <c r="B26" s="8" t="s">
        <v>41</v>
      </c>
      <c r="C26" s="25">
        <f>26741+48331</f>
        <v>75072</v>
      </c>
      <c r="D26" s="25">
        <f>637279+1149152</f>
        <v>1786431</v>
      </c>
      <c r="E26" s="26">
        <f>D26/C26</f>
        <v>23.79623561381074</v>
      </c>
    </row>
    <row r="27" spans="1:5" x14ac:dyDescent="0.3">
      <c r="B27" s="8" t="s">
        <v>42</v>
      </c>
      <c r="C27" s="18">
        <f>57057+49753</f>
        <v>106810</v>
      </c>
      <c r="D27" s="18">
        <f>1262859+1090060</f>
        <v>2352919</v>
      </c>
      <c r="E27" s="19">
        <f>D27/C27</f>
        <v>22.029014137253068</v>
      </c>
    </row>
    <row r="28" spans="1:5" x14ac:dyDescent="0.3">
      <c r="B28" s="17" t="s">
        <v>22</v>
      </c>
      <c r="C28" s="20">
        <v>72981.650000000009</v>
      </c>
      <c r="D28" s="20">
        <v>6971596.6899999995</v>
      </c>
      <c r="E28" s="21">
        <v>95.5253367113514</v>
      </c>
    </row>
    <row r="29" spans="1:5" x14ac:dyDescent="0.3">
      <c r="B29" s="22" t="s">
        <v>12</v>
      </c>
      <c r="C29" s="23">
        <f>SUM(C25:C28)</f>
        <v>514028.60800000001</v>
      </c>
      <c r="D29" s="23">
        <f>SUM(D25:D28)</f>
        <v>17742428.663999997</v>
      </c>
      <c r="E29" s="24">
        <f>IF((D29=0),0,(IF((C29=0),0,(D29/C29))))</f>
        <v>34.516422603467234</v>
      </c>
    </row>
    <row r="30" spans="1:5" x14ac:dyDescent="0.3">
      <c r="B30" s="3"/>
      <c r="C30" s="18"/>
      <c r="D30" s="18"/>
      <c r="E30" s="19"/>
    </row>
    <row r="31" spans="1:5" x14ac:dyDescent="0.3">
      <c r="A31" s="15" t="s">
        <v>23</v>
      </c>
      <c r="B31" s="16" t="s">
        <v>24</v>
      </c>
      <c r="C31" s="23">
        <f>C20-C29</f>
        <v>795889.19900000002</v>
      </c>
      <c r="D31" s="23">
        <f>D20-D29</f>
        <v>25621097.866000004</v>
      </c>
      <c r="E31" s="24">
        <f>IF((D31=0),0,(IF((C31=0),0,(D31/C31))))</f>
        <v>32.191789885064146</v>
      </c>
    </row>
    <row r="32" spans="1:5" x14ac:dyDescent="0.3">
      <c r="B32" s="3"/>
      <c r="C32" s="18"/>
      <c r="D32" s="18"/>
      <c r="E32" s="19"/>
    </row>
    <row r="33" spans="1:13" x14ac:dyDescent="0.3">
      <c r="A33" s="15" t="s">
        <v>25</v>
      </c>
      <c r="B33" s="16" t="s">
        <v>26</v>
      </c>
      <c r="C33" s="23">
        <f>+C29+C31</f>
        <v>1309917.807</v>
      </c>
      <c r="D33" s="23">
        <f>+D29+D31</f>
        <v>43363526.530000001</v>
      </c>
      <c r="E33" s="24">
        <f>IF((D33=0),0,(IF((C33=0),0,(D33/C33))))</f>
        <v>33.104005685144486</v>
      </c>
    </row>
    <row r="34" spans="1:13" x14ac:dyDescent="0.3">
      <c r="A34" s="15"/>
      <c r="B34" s="8"/>
      <c r="C34" s="18"/>
      <c r="D34" s="18"/>
      <c r="E34" s="19"/>
    </row>
    <row r="35" spans="1:13" x14ac:dyDescent="0.3">
      <c r="A35" s="15"/>
      <c r="B35" s="8"/>
      <c r="C35" s="18"/>
      <c r="D35" s="18"/>
      <c r="E35" s="19"/>
    </row>
    <row r="36" spans="1:13" x14ac:dyDescent="0.3">
      <c r="C36" s="18"/>
      <c r="D36" s="18"/>
      <c r="E36" s="19"/>
    </row>
    <row r="37" spans="1:13" x14ac:dyDescent="0.3">
      <c r="A37" s="15" t="s">
        <v>27</v>
      </c>
      <c r="B37" s="8" t="s">
        <v>28</v>
      </c>
      <c r="C37" s="18">
        <f>C31</f>
        <v>795889.19900000002</v>
      </c>
      <c r="D37" s="18">
        <f>D31</f>
        <v>25621097.866000004</v>
      </c>
      <c r="E37" s="19">
        <f t="shared" ref="E37:E43" si="0">IF((D37=0),0,(IF((C37=0),0,(D37/C37))))</f>
        <v>32.191789885064146</v>
      </c>
    </row>
    <row r="38" spans="1:13" ht="14.25" thickBot="1" x14ac:dyDescent="0.35">
      <c r="A38" s="15" t="s">
        <v>29</v>
      </c>
      <c r="B38" s="17" t="s">
        <v>30</v>
      </c>
      <c r="C38" s="25">
        <v>0</v>
      </c>
      <c r="D38" s="18">
        <v>0</v>
      </c>
      <c r="E38" s="19">
        <f t="shared" si="0"/>
        <v>0</v>
      </c>
    </row>
    <row r="39" spans="1:13" ht="14.25" thickBot="1" x14ac:dyDescent="0.35">
      <c r="A39" s="27" t="s">
        <v>31</v>
      </c>
      <c r="B39" s="28" t="s">
        <v>32</v>
      </c>
      <c r="C39" s="29">
        <f>C43-C42</f>
        <v>795889.19900000002</v>
      </c>
      <c r="D39" s="29">
        <f>(SUM(D37))+D38</f>
        <v>25621097.866000004</v>
      </c>
      <c r="E39" s="30">
        <f t="shared" si="0"/>
        <v>32.191789885064146</v>
      </c>
      <c r="K39" s="34"/>
      <c r="L39" s="34"/>
      <c r="M39" s="34"/>
    </row>
    <row r="40" spans="1:13" x14ac:dyDescent="0.3">
      <c r="A40" s="15" t="s">
        <v>33</v>
      </c>
      <c r="B40" s="17" t="s">
        <v>34</v>
      </c>
      <c r="C40" s="25">
        <f>-389.731814+1099</f>
        <v>709.26818600000001</v>
      </c>
      <c r="D40" s="18">
        <f>-10068.607167042+16959</f>
        <v>6890.3928329579994</v>
      </c>
      <c r="E40" s="19">
        <f t="shared" si="0"/>
        <v>9.7147919065948347</v>
      </c>
      <c r="K40" s="34"/>
      <c r="L40" s="34"/>
      <c r="M40" s="34"/>
    </row>
    <row r="41" spans="1:13" x14ac:dyDescent="0.3">
      <c r="A41" s="15" t="s">
        <v>35</v>
      </c>
      <c r="B41" s="17" t="s">
        <v>36</v>
      </c>
      <c r="C41" s="25">
        <f>389.731814-1099</f>
        <v>-709.26818600000001</v>
      </c>
      <c r="D41" s="18">
        <f>10068.607167042-16959</f>
        <v>-6890.3928329579994</v>
      </c>
      <c r="E41" s="19">
        <f t="shared" si="0"/>
        <v>9.7147919065948347</v>
      </c>
      <c r="K41" s="34"/>
      <c r="L41" s="34"/>
      <c r="M41" s="34"/>
    </row>
    <row r="42" spans="1:13" ht="14.25" thickBot="1" x14ac:dyDescent="0.35">
      <c r="A42" s="15" t="s">
        <v>37</v>
      </c>
      <c r="B42" s="8" t="s">
        <v>38</v>
      </c>
      <c r="C42" s="31">
        <v>0</v>
      </c>
      <c r="D42" s="25">
        <v>0</v>
      </c>
      <c r="E42" s="26">
        <f t="shared" si="0"/>
        <v>0</v>
      </c>
      <c r="K42" s="34"/>
      <c r="L42" s="34"/>
      <c r="M42" s="34"/>
    </row>
    <row r="43" spans="1:13" ht="14.25" thickBot="1" x14ac:dyDescent="0.35">
      <c r="A43" s="27" t="s">
        <v>39</v>
      </c>
      <c r="B43" s="28" t="s">
        <v>40</v>
      </c>
      <c r="C43" s="32">
        <f>C37+C38+C40+C41</f>
        <v>795889.19900000002</v>
      </c>
      <c r="D43" s="32">
        <f>D37+D38+D40+D41</f>
        <v>25621097.866000004</v>
      </c>
      <c r="E43" s="33">
        <f t="shared" si="0"/>
        <v>32.191789885064146</v>
      </c>
      <c r="K43" s="34"/>
      <c r="L43" s="34"/>
      <c r="M43" s="34"/>
    </row>
    <row r="44" spans="1:13" ht="14.25" x14ac:dyDescent="0.3">
      <c r="A44" s="128" t="s">
        <v>4</v>
      </c>
      <c r="B44" s="126" t="s">
        <v>4</v>
      </c>
      <c r="C44" s="126"/>
      <c r="D44" s="126"/>
      <c r="E44" s="126"/>
      <c r="K44" s="34"/>
      <c r="L44" s="34"/>
      <c r="M44" s="34"/>
    </row>
    <row r="45" spans="1:13" ht="15.75" x14ac:dyDescent="0.3">
      <c r="A45" s="125"/>
      <c r="B45" s="127" t="s">
        <v>4</v>
      </c>
      <c r="C45" s="125"/>
      <c r="D45" s="125"/>
      <c r="E45" s="125"/>
      <c r="K45" s="34"/>
      <c r="L45" s="34"/>
      <c r="M45" s="34"/>
    </row>
    <row r="46" spans="1:13" x14ac:dyDescent="0.3">
      <c r="B46" s="3"/>
      <c r="C46" s="18"/>
      <c r="D46" s="18"/>
      <c r="E46" s="3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selection activeCell="B11" sqref="B11"/>
    </sheetView>
  </sheetViews>
  <sheetFormatPr defaultColWidth="9.85546875" defaultRowHeight="13.5" x14ac:dyDescent="0.3"/>
  <cols>
    <col min="1" max="1" width="3.28515625" style="1" bestFit="1" customWidth="1"/>
    <col min="2" max="2" width="51.7109375" style="6" bestFit="1" customWidth="1"/>
    <col min="3" max="3" width="11.28515625" style="6" customWidth="1"/>
    <col min="4" max="4" width="19.7109375" style="6" customWidth="1"/>
    <col min="5" max="5" width="16" style="6" customWidth="1"/>
    <col min="6" max="6" width="9.85546875" style="6"/>
    <col min="7" max="7" width="12" style="6" bestFit="1" customWidth="1"/>
    <col min="8" max="16384" width="9.85546875" style="6"/>
  </cols>
  <sheetData>
    <row r="1" spans="1:5" ht="16.5" x14ac:dyDescent="0.3">
      <c r="B1" s="2" t="s">
        <v>0</v>
      </c>
      <c r="C1" s="3"/>
      <c r="D1" s="4"/>
      <c r="E1" s="5"/>
    </row>
    <row r="2" spans="1:5" x14ac:dyDescent="0.3">
      <c r="B2" s="38" t="s">
        <v>4</v>
      </c>
      <c r="D2" s="7"/>
    </row>
    <row r="3" spans="1:5" x14ac:dyDescent="0.3">
      <c r="B3" s="8" t="s">
        <v>1</v>
      </c>
      <c r="D3" s="9"/>
    </row>
    <row r="4" spans="1:5" x14ac:dyDescent="0.3">
      <c r="B4" s="8" t="s">
        <v>2</v>
      </c>
    </row>
    <row r="5" spans="1:5" x14ac:dyDescent="0.3">
      <c r="B5" s="3"/>
      <c r="D5" s="8"/>
    </row>
    <row r="6" spans="1:5" x14ac:dyDescent="0.3">
      <c r="B6" s="8" t="s">
        <v>3</v>
      </c>
      <c r="D6" s="123" t="s">
        <v>44</v>
      </c>
      <c r="E6" s="10" t="s">
        <v>4</v>
      </c>
    </row>
    <row r="7" spans="1:5" x14ac:dyDescent="0.3">
      <c r="B7" s="3"/>
    </row>
    <row r="8" spans="1:5" x14ac:dyDescent="0.3">
      <c r="B8" s="11" t="s">
        <v>5</v>
      </c>
      <c r="C8" s="11" t="s">
        <v>6</v>
      </c>
      <c r="D8" s="12" t="s">
        <v>7</v>
      </c>
      <c r="E8" s="39" t="s">
        <v>8</v>
      </c>
    </row>
    <row r="9" spans="1:5" x14ac:dyDescent="0.3">
      <c r="B9" s="11"/>
      <c r="C9" s="13"/>
      <c r="D9" s="14" t="s">
        <v>9</v>
      </c>
      <c r="E9" s="13"/>
    </row>
    <row r="10" spans="1:5" x14ac:dyDescent="0.3">
      <c r="A10" s="15" t="s">
        <v>10</v>
      </c>
      <c r="B10" s="16" t="s">
        <v>11</v>
      </c>
    </row>
    <row r="11" spans="1:5" x14ac:dyDescent="0.3">
      <c r="B11" s="17" t="s">
        <v>43</v>
      </c>
      <c r="C11" s="18">
        <v>580585</v>
      </c>
      <c r="D11" s="18">
        <v>17147648.23</v>
      </c>
      <c r="E11" s="19">
        <v>29.535121007259921</v>
      </c>
    </row>
    <row r="12" spans="1:5" x14ac:dyDescent="0.3">
      <c r="B12" s="17" t="s">
        <v>41</v>
      </c>
      <c r="C12" s="18">
        <f>52281+249044</f>
        <v>301325</v>
      </c>
      <c r="D12" s="18">
        <f>1968715+7335766</f>
        <v>9304481</v>
      </c>
      <c r="E12" s="19">
        <f>D12/C12</f>
        <v>30.878556376005974</v>
      </c>
    </row>
    <row r="13" spans="1:5" x14ac:dyDescent="0.3">
      <c r="B13" s="8" t="s">
        <v>42</v>
      </c>
      <c r="C13" s="18">
        <f>94746+95240</f>
        <v>189986</v>
      </c>
      <c r="D13" s="18">
        <f>2459416+2539066</f>
        <v>4998482</v>
      </c>
      <c r="E13" s="19">
        <f>D13/C13</f>
        <v>26.309738612318803</v>
      </c>
    </row>
    <row r="14" spans="1:5" x14ac:dyDescent="0.3">
      <c r="B14" s="22" t="s">
        <v>12</v>
      </c>
      <c r="C14" s="23">
        <f>SUM(C11:C13)</f>
        <v>1071896</v>
      </c>
      <c r="D14" s="23">
        <f>SUM(D11:D13)</f>
        <v>31450611.23</v>
      </c>
      <c r="E14" s="24">
        <f>IF((D14=0),0,(IF((C14=0),0,(D14/C14))))</f>
        <v>29.341103269347027</v>
      </c>
    </row>
    <row r="15" spans="1:5" x14ac:dyDescent="0.3">
      <c r="B15" s="3"/>
      <c r="C15" s="18"/>
      <c r="D15" s="18"/>
      <c r="E15" s="19"/>
    </row>
    <row r="16" spans="1:5" x14ac:dyDescent="0.3">
      <c r="A16" s="15" t="s">
        <v>13</v>
      </c>
      <c r="B16" s="16" t="s">
        <v>14</v>
      </c>
      <c r="C16" s="18"/>
      <c r="D16" s="18"/>
      <c r="E16" s="19"/>
    </row>
    <row r="17" spans="1:5" x14ac:dyDescent="0.3">
      <c r="B17" s="8" t="s">
        <v>15</v>
      </c>
      <c r="C17" s="20">
        <v>57851.082000000002</v>
      </c>
      <c r="D17" s="20">
        <v>3210163</v>
      </c>
      <c r="E17" s="21">
        <v>55.490111662907182</v>
      </c>
    </row>
    <row r="18" spans="1:5" x14ac:dyDescent="0.3">
      <c r="B18" s="22" t="s">
        <v>12</v>
      </c>
      <c r="C18" s="23">
        <f>SUM(C17:C17)</f>
        <v>57851.082000000002</v>
      </c>
      <c r="D18" s="23">
        <f>SUM(D17:D17)</f>
        <v>3210163</v>
      </c>
      <c r="E18" s="24">
        <f>IF((D18=0),0,(IF((C18=0),0,(D18/C18))))</f>
        <v>55.490111662907182</v>
      </c>
    </row>
    <row r="19" spans="1:5" x14ac:dyDescent="0.3">
      <c r="B19" s="3"/>
      <c r="C19" s="18"/>
      <c r="D19" s="18"/>
      <c r="E19" s="19"/>
    </row>
    <row r="20" spans="1:5" x14ac:dyDescent="0.3">
      <c r="A20" s="15" t="s">
        <v>16</v>
      </c>
      <c r="B20" s="16" t="s">
        <v>17</v>
      </c>
      <c r="C20" s="23">
        <f>C14+C18</f>
        <v>1129747.0819999999</v>
      </c>
      <c r="D20" s="23">
        <f>D14+D18</f>
        <v>34660774.230000004</v>
      </c>
      <c r="E20" s="24">
        <f>IF((D20=0),0,(IF((C20=0),0,(D20/C20))))</f>
        <v>30.680118393082964</v>
      </c>
    </row>
    <row r="21" spans="1:5" x14ac:dyDescent="0.3">
      <c r="B21" s="3"/>
      <c r="C21" s="18"/>
      <c r="D21" s="18"/>
      <c r="E21" s="19"/>
    </row>
    <row r="22" spans="1:5" x14ac:dyDescent="0.3">
      <c r="B22" s="11" t="s">
        <v>18</v>
      </c>
      <c r="C22" s="18"/>
      <c r="D22" s="18"/>
      <c r="E22" s="19"/>
    </row>
    <row r="23" spans="1:5" x14ac:dyDescent="0.3">
      <c r="B23" s="11"/>
      <c r="C23" s="18"/>
      <c r="D23" s="18"/>
      <c r="E23" s="19"/>
    </row>
    <row r="24" spans="1:5" x14ac:dyDescent="0.3">
      <c r="A24" s="15" t="s">
        <v>19</v>
      </c>
      <c r="B24" s="16" t="s">
        <v>20</v>
      </c>
      <c r="D24" s="18"/>
    </row>
    <row r="25" spans="1:5" x14ac:dyDescent="0.3">
      <c r="B25" s="8" t="s">
        <v>21</v>
      </c>
      <c r="C25" s="25">
        <v>303476.57499999995</v>
      </c>
      <c r="D25" s="25">
        <v>8131635.8620000053</v>
      </c>
      <c r="E25" s="26">
        <v>26.794937507120629</v>
      </c>
    </row>
    <row r="26" spans="1:5" x14ac:dyDescent="0.3">
      <c r="B26" s="8" t="s">
        <v>41</v>
      </c>
      <c r="C26" s="25">
        <f>3248+34638</f>
        <v>37886</v>
      </c>
      <c r="D26" s="25">
        <f>77762+866167</f>
        <v>943929</v>
      </c>
      <c r="E26" s="19">
        <f>D26/C26</f>
        <v>24.914981787467667</v>
      </c>
    </row>
    <row r="27" spans="1:5" x14ac:dyDescent="0.3">
      <c r="B27" s="8" t="s">
        <v>42</v>
      </c>
      <c r="C27" s="18">
        <f>49491+38437</f>
        <v>87928</v>
      </c>
      <c r="D27" s="18">
        <f>1167489+895533</f>
        <v>2063022</v>
      </c>
      <c r="E27" s="19">
        <f>D27/C27</f>
        <v>23.462628514238922</v>
      </c>
    </row>
    <row r="28" spans="1:5" x14ac:dyDescent="0.3">
      <c r="B28" s="17" t="s">
        <v>22</v>
      </c>
      <c r="C28" s="20">
        <v>57174.224999999999</v>
      </c>
      <c r="D28" s="20">
        <v>3162603.21</v>
      </c>
      <c r="E28" s="21">
        <v>55.315191592015459</v>
      </c>
    </row>
    <row r="29" spans="1:5" x14ac:dyDescent="0.3">
      <c r="B29" s="22" t="s">
        <v>12</v>
      </c>
      <c r="C29" s="23">
        <f>SUM(C25:C28)</f>
        <v>486464.79999999993</v>
      </c>
      <c r="D29" s="23">
        <f>SUM(D25:D28)</f>
        <v>14301190.072000004</v>
      </c>
      <c r="E29" s="24">
        <f>IF((D29=0),0,(IF((C29=0),0,(D29/C29))))</f>
        <v>29.398201210036177</v>
      </c>
    </row>
    <row r="30" spans="1:5" x14ac:dyDescent="0.3">
      <c r="B30" s="3"/>
      <c r="C30" s="18"/>
      <c r="D30" s="18"/>
      <c r="E30" s="19"/>
    </row>
    <row r="31" spans="1:5" x14ac:dyDescent="0.3">
      <c r="A31" s="15" t="s">
        <v>23</v>
      </c>
      <c r="B31" s="16" t="s">
        <v>24</v>
      </c>
      <c r="C31" s="23">
        <f>C20-C29</f>
        <v>643282.28200000001</v>
      </c>
      <c r="D31" s="23">
        <f>D20-D29</f>
        <v>20359584.158</v>
      </c>
      <c r="E31" s="24">
        <f>IF((D31=0),0,(IF((C31=0),0,(D31/C31))))</f>
        <v>31.649533537129194</v>
      </c>
    </row>
    <row r="32" spans="1:5" x14ac:dyDescent="0.3">
      <c r="B32" s="3"/>
      <c r="C32" s="18"/>
      <c r="D32" s="18"/>
      <c r="E32" s="19"/>
    </row>
    <row r="33" spans="1:13" x14ac:dyDescent="0.3">
      <c r="A33" s="15" t="s">
        <v>25</v>
      </c>
      <c r="B33" s="16" t="s">
        <v>26</v>
      </c>
      <c r="C33" s="23">
        <f>+C29+C31</f>
        <v>1129747.0819999999</v>
      </c>
      <c r="D33" s="23">
        <f>+D29+D31</f>
        <v>34660774.230000004</v>
      </c>
      <c r="E33" s="24">
        <f>IF((D33=0),0,(IF((C33=0),0,(D33/C33))))</f>
        <v>30.680118393082964</v>
      </c>
    </row>
    <row r="34" spans="1:13" x14ac:dyDescent="0.3">
      <c r="A34" s="15"/>
      <c r="B34" s="8"/>
      <c r="C34" s="18"/>
      <c r="D34" s="18"/>
      <c r="E34" s="19"/>
    </row>
    <row r="35" spans="1:13" x14ac:dyDescent="0.3">
      <c r="A35" s="15"/>
      <c r="B35" s="8"/>
      <c r="C35" s="18"/>
      <c r="D35" s="18"/>
      <c r="E35" s="19"/>
    </row>
    <row r="36" spans="1:13" x14ac:dyDescent="0.3">
      <c r="C36" s="18"/>
      <c r="D36" s="18"/>
      <c r="E36" s="19"/>
    </row>
    <row r="37" spans="1:13" x14ac:dyDescent="0.3">
      <c r="A37" s="15" t="s">
        <v>27</v>
      </c>
      <c r="B37" s="8" t="s">
        <v>28</v>
      </c>
      <c r="C37" s="18">
        <f>C31</f>
        <v>643282.28200000001</v>
      </c>
      <c r="D37" s="18">
        <f>D31</f>
        <v>20359584.158</v>
      </c>
      <c r="E37" s="19">
        <f t="shared" ref="E37:E43" si="0">IF((D37=0),0,(IF((C37=0),0,(D37/C37))))</f>
        <v>31.649533537129194</v>
      </c>
      <c r="G37" s="40"/>
      <c r="K37" s="34"/>
      <c r="L37" s="34"/>
      <c r="M37" s="34"/>
    </row>
    <row r="38" spans="1:13" ht="14.25" thickBot="1" x14ac:dyDescent="0.35">
      <c r="A38" s="15" t="s">
        <v>29</v>
      </c>
      <c r="B38" s="17" t="s">
        <v>30</v>
      </c>
      <c r="C38" s="25">
        <v>0</v>
      </c>
      <c r="D38" s="18">
        <v>0</v>
      </c>
      <c r="E38" s="19">
        <f t="shared" si="0"/>
        <v>0</v>
      </c>
      <c r="K38" s="34"/>
      <c r="L38" s="34"/>
      <c r="M38" s="34"/>
    </row>
    <row r="39" spans="1:13" ht="14.25" thickBot="1" x14ac:dyDescent="0.35">
      <c r="A39" s="27" t="s">
        <v>31</v>
      </c>
      <c r="B39" s="28" t="s">
        <v>32</v>
      </c>
      <c r="C39" s="29">
        <f>C43-C42</f>
        <v>643282.28200000001</v>
      </c>
      <c r="D39" s="29">
        <f>(SUM(D37))+D38</f>
        <v>20359584.158</v>
      </c>
      <c r="E39" s="30">
        <f t="shared" si="0"/>
        <v>31.649533537129194</v>
      </c>
      <c r="K39" s="34"/>
      <c r="L39" s="34"/>
      <c r="M39" s="34"/>
    </row>
    <row r="40" spans="1:13" x14ac:dyDescent="0.3">
      <c r="A40" s="15" t="s">
        <v>33</v>
      </c>
      <c r="B40" s="17" t="s">
        <v>34</v>
      </c>
      <c r="C40" s="25">
        <v>-4004.1145173828809</v>
      </c>
      <c r="D40" s="18">
        <v>-96415.542526380566</v>
      </c>
      <c r="E40" s="19">
        <f t="shared" si="0"/>
        <v>24.079117145080676</v>
      </c>
      <c r="K40" s="34"/>
      <c r="L40" s="34"/>
      <c r="M40" s="34"/>
    </row>
    <row r="41" spans="1:13" x14ac:dyDescent="0.3">
      <c r="A41" s="15" t="s">
        <v>35</v>
      </c>
      <c r="B41" s="17" t="s">
        <v>36</v>
      </c>
      <c r="C41" s="25">
        <v>4004.1145173828809</v>
      </c>
      <c r="D41" s="18">
        <v>96415.542526380566</v>
      </c>
      <c r="E41" s="19">
        <f t="shared" si="0"/>
        <v>24.079117145080676</v>
      </c>
      <c r="K41" s="34"/>
      <c r="L41" s="34"/>
      <c r="M41" s="34"/>
    </row>
    <row r="42" spans="1:13" ht="14.25" thickBot="1" x14ac:dyDescent="0.35">
      <c r="A42" s="15" t="s">
        <v>37</v>
      </c>
      <c r="B42" s="8" t="s">
        <v>38</v>
      </c>
      <c r="C42" s="31">
        <v>0</v>
      </c>
      <c r="D42" s="25">
        <v>0</v>
      </c>
      <c r="E42" s="26">
        <f t="shared" si="0"/>
        <v>0</v>
      </c>
      <c r="K42" s="34"/>
      <c r="L42" s="34"/>
      <c r="M42" s="34"/>
    </row>
    <row r="43" spans="1:13" ht="14.25" thickBot="1" x14ac:dyDescent="0.35">
      <c r="A43" s="27" t="s">
        <v>39</v>
      </c>
      <c r="B43" s="28" t="s">
        <v>40</v>
      </c>
      <c r="C43" s="32">
        <f>C37+C38+C40+C41</f>
        <v>643282.28200000001</v>
      </c>
      <c r="D43" s="32">
        <f>D37+D38+D40+D41</f>
        <v>20359584.158</v>
      </c>
      <c r="E43" s="33">
        <f t="shared" si="0"/>
        <v>31.649533537129194</v>
      </c>
      <c r="K43" s="34"/>
      <c r="L43" s="34"/>
      <c r="M43" s="34"/>
    </row>
    <row r="44" spans="1:13" ht="14.25" x14ac:dyDescent="0.3">
      <c r="A44" s="128" t="s">
        <v>4</v>
      </c>
      <c r="B44" s="126" t="s">
        <v>4</v>
      </c>
      <c r="C44" s="126"/>
      <c r="D44" s="126"/>
      <c r="E44" s="126"/>
    </row>
    <row r="45" spans="1:13" ht="15.75" x14ac:dyDescent="0.3">
      <c r="A45" s="125"/>
      <c r="B45" s="127" t="s">
        <v>4</v>
      </c>
      <c r="C45" s="125"/>
      <c r="D45" s="125"/>
      <c r="E45" s="125"/>
    </row>
    <row r="46" spans="1:13" x14ac:dyDescent="0.3">
      <c r="B46" s="3"/>
      <c r="C46" s="18"/>
      <c r="D46" s="18"/>
      <c r="E46" s="35"/>
    </row>
  </sheetData>
  <pageMargins left="0.7" right="0.7" top="0.75" bottom="0.75" header="0.3" footer="0.3"/>
  <pageSetup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selection activeCell="B2" sqref="B2"/>
    </sheetView>
  </sheetViews>
  <sheetFormatPr defaultColWidth="9.85546875" defaultRowHeight="13.5" x14ac:dyDescent="0.3"/>
  <cols>
    <col min="1" max="1" width="3.28515625" style="1" bestFit="1" customWidth="1"/>
    <col min="2" max="2" width="56.140625" style="6" customWidth="1"/>
    <col min="3" max="3" width="11.42578125" style="6" customWidth="1"/>
    <col min="4" max="4" width="18.85546875" style="6" customWidth="1"/>
    <col min="5" max="5" width="11" style="6" bestFit="1" customWidth="1"/>
    <col min="6" max="6" width="9.85546875" style="6"/>
    <col min="7" max="7" width="12" style="6" bestFit="1" customWidth="1"/>
    <col min="8" max="16384" width="9.85546875" style="6"/>
  </cols>
  <sheetData>
    <row r="1" spans="1:5" ht="16.5" x14ac:dyDescent="0.3">
      <c r="B1" s="2" t="s">
        <v>0</v>
      </c>
      <c r="C1" s="3"/>
      <c r="D1" s="4"/>
      <c r="E1" s="5"/>
    </row>
    <row r="2" spans="1:5" x14ac:dyDescent="0.3">
      <c r="D2" s="7"/>
    </row>
    <row r="3" spans="1:5" x14ac:dyDescent="0.3">
      <c r="B3" s="8" t="s">
        <v>1</v>
      </c>
      <c r="D3" s="9"/>
    </row>
    <row r="4" spans="1:5" x14ac:dyDescent="0.3">
      <c r="B4" s="8" t="s">
        <v>2</v>
      </c>
    </row>
    <row r="5" spans="1:5" x14ac:dyDescent="0.3">
      <c r="B5" s="3"/>
      <c r="D5" s="8"/>
    </row>
    <row r="6" spans="1:5" x14ac:dyDescent="0.3">
      <c r="B6" s="8" t="s">
        <v>3</v>
      </c>
      <c r="D6" s="7" t="str">
        <f>'[5]Input Sheet'!B1</f>
        <v>March 2014 ACTUAL</v>
      </c>
      <c r="E6" s="10" t="s">
        <v>4</v>
      </c>
    </row>
    <row r="7" spans="1:5" x14ac:dyDescent="0.3">
      <c r="B7" s="3"/>
    </row>
    <row r="8" spans="1:5" x14ac:dyDescent="0.3">
      <c r="B8" s="11" t="s">
        <v>5</v>
      </c>
      <c r="C8" s="11" t="s">
        <v>6</v>
      </c>
      <c r="D8" s="12" t="s">
        <v>7</v>
      </c>
      <c r="E8" s="39" t="s">
        <v>8</v>
      </c>
    </row>
    <row r="9" spans="1:5" x14ac:dyDescent="0.3">
      <c r="B9" s="11"/>
      <c r="C9" s="13"/>
      <c r="D9" s="14" t="s">
        <v>9</v>
      </c>
      <c r="E9" s="13"/>
    </row>
    <row r="10" spans="1:5" x14ac:dyDescent="0.3">
      <c r="A10" s="15" t="s">
        <v>10</v>
      </c>
      <c r="B10" s="16" t="s">
        <v>11</v>
      </c>
    </row>
    <row r="11" spans="1:5" x14ac:dyDescent="0.3">
      <c r="B11" s="17" t="s">
        <v>43</v>
      </c>
      <c r="C11" s="18">
        <v>295855</v>
      </c>
      <c r="D11" s="18">
        <v>9283759.3399999999</v>
      </c>
      <c r="E11" s="19">
        <v>31.379423501377364</v>
      </c>
    </row>
    <row r="12" spans="1:5" x14ac:dyDescent="0.3">
      <c r="B12" s="17" t="s">
        <v>41</v>
      </c>
      <c r="C12" s="18">
        <f>180246+250451</f>
        <v>430697</v>
      </c>
      <c r="D12" s="18">
        <f>5522942+6347642</f>
        <v>11870584</v>
      </c>
      <c r="E12" s="19">
        <f>D12/C12</f>
        <v>27.561334302305333</v>
      </c>
    </row>
    <row r="13" spans="1:5" x14ac:dyDescent="0.3">
      <c r="B13" s="8" t="s">
        <v>42</v>
      </c>
      <c r="C13" s="18">
        <f>143800+138629</f>
        <v>282429</v>
      </c>
      <c r="D13" s="18">
        <f>3191497+3081680</f>
        <v>6273177</v>
      </c>
      <c r="E13" s="19">
        <f>D13/C13</f>
        <v>22.211518647164421</v>
      </c>
    </row>
    <row r="14" spans="1:5" x14ac:dyDescent="0.3">
      <c r="B14" s="22" t="s">
        <v>12</v>
      </c>
      <c r="C14" s="23">
        <f>SUM(C11:C13)</f>
        <v>1008981</v>
      </c>
      <c r="D14" s="23">
        <f>SUM(D11:D13)</f>
        <v>27427520.34</v>
      </c>
      <c r="E14" s="24">
        <f>IF((D14=0),0,(IF((C14=0),0,(D14/C14))))</f>
        <v>27.183386347215656</v>
      </c>
    </row>
    <row r="15" spans="1:5" x14ac:dyDescent="0.3">
      <c r="B15" s="3"/>
      <c r="C15" s="18"/>
      <c r="D15" s="18"/>
      <c r="E15" s="19"/>
    </row>
    <row r="16" spans="1:5" x14ac:dyDescent="0.3">
      <c r="A16" s="15" t="s">
        <v>13</v>
      </c>
      <c r="B16" s="16" t="s">
        <v>14</v>
      </c>
      <c r="C16" s="18"/>
      <c r="D16" s="18"/>
      <c r="E16" s="19"/>
    </row>
    <row r="17" spans="1:5" x14ac:dyDescent="0.3">
      <c r="B17" s="8" t="s">
        <v>15</v>
      </c>
      <c r="C17" s="20">
        <v>42405.760999999999</v>
      </c>
      <c r="D17" s="20">
        <v>2740091.89</v>
      </c>
      <c r="E17" s="21">
        <v>64.616029175847132</v>
      </c>
    </row>
    <row r="18" spans="1:5" x14ac:dyDescent="0.3">
      <c r="B18" s="22" t="s">
        <v>12</v>
      </c>
      <c r="C18" s="23">
        <f>SUM(C17:C17)</f>
        <v>42405.760999999999</v>
      </c>
      <c r="D18" s="23">
        <f>SUM(D17:D17)</f>
        <v>2740091.89</v>
      </c>
      <c r="E18" s="24">
        <f>IF((D18=0),0,(IF((C18=0),0,(D18/C18))))</f>
        <v>64.616029175847132</v>
      </c>
    </row>
    <row r="19" spans="1:5" x14ac:dyDescent="0.3">
      <c r="B19" s="3"/>
      <c r="C19" s="18"/>
      <c r="D19" s="18"/>
      <c r="E19" s="19"/>
    </row>
    <row r="20" spans="1:5" x14ac:dyDescent="0.3">
      <c r="A20" s="15" t="s">
        <v>16</v>
      </c>
      <c r="B20" s="16" t="s">
        <v>17</v>
      </c>
      <c r="C20" s="23">
        <f>C14+C18</f>
        <v>1051386.7609999999</v>
      </c>
      <c r="D20" s="23">
        <f>D14+D18</f>
        <v>30167612.23</v>
      </c>
      <c r="E20" s="24">
        <f>IF((D20=0),0,(IF((C20=0),0,(D20/C20))))</f>
        <v>28.693163495141253</v>
      </c>
    </row>
    <row r="21" spans="1:5" x14ac:dyDescent="0.3">
      <c r="B21" s="3"/>
      <c r="C21" s="18"/>
      <c r="D21" s="18"/>
      <c r="E21" s="19"/>
    </row>
    <row r="22" spans="1:5" x14ac:dyDescent="0.3">
      <c r="B22" s="11" t="s">
        <v>18</v>
      </c>
      <c r="C22" s="18"/>
      <c r="D22" s="18"/>
      <c r="E22" s="19"/>
    </row>
    <row r="23" spans="1:5" x14ac:dyDescent="0.3">
      <c r="B23" s="11"/>
      <c r="C23" s="18"/>
      <c r="D23" s="18"/>
      <c r="E23" s="19"/>
    </row>
    <row r="24" spans="1:5" x14ac:dyDescent="0.3">
      <c r="A24" s="15" t="s">
        <v>19</v>
      </c>
      <c r="B24" s="16" t="s">
        <v>20</v>
      </c>
      <c r="D24" s="18"/>
    </row>
    <row r="25" spans="1:5" x14ac:dyDescent="0.3">
      <c r="B25" s="8" t="s">
        <v>43</v>
      </c>
      <c r="C25" s="25">
        <v>143704.15200000003</v>
      </c>
      <c r="D25" s="25">
        <v>3767732.6480000024</v>
      </c>
      <c r="E25" s="26">
        <v>26.218676326067474</v>
      </c>
    </row>
    <row r="26" spans="1:5" x14ac:dyDescent="0.3">
      <c r="B26" s="8" t="s">
        <v>41</v>
      </c>
      <c r="C26" s="25">
        <f>79491+74136</f>
        <v>153627</v>
      </c>
      <c r="D26" s="25">
        <f>1960975+1738603</f>
        <v>3699578</v>
      </c>
      <c r="E26" s="19">
        <f>D26/C26</f>
        <v>24.081561183906476</v>
      </c>
    </row>
    <row r="27" spans="1:5" x14ac:dyDescent="0.3">
      <c r="B27" s="8" t="s">
        <v>42</v>
      </c>
      <c r="C27" s="18">
        <f>53897+45385</f>
        <v>99282</v>
      </c>
      <c r="D27" s="18">
        <f>1207738+997263</f>
        <v>2205001</v>
      </c>
      <c r="E27" s="19">
        <f>D27/C27</f>
        <v>22.209474023488649</v>
      </c>
    </row>
    <row r="28" spans="1:5" x14ac:dyDescent="0.3">
      <c r="B28" s="17" t="s">
        <v>22</v>
      </c>
      <c r="C28" s="20">
        <v>39259.809000000001</v>
      </c>
      <c r="D28" s="20">
        <v>2524811.29</v>
      </c>
      <c r="E28" s="21">
        <v>64.31033044506151</v>
      </c>
    </row>
    <row r="29" spans="1:5" x14ac:dyDescent="0.3">
      <c r="B29" s="22" t="s">
        <v>12</v>
      </c>
      <c r="C29" s="23">
        <f>SUM(C25:C28)</f>
        <v>435872.96100000001</v>
      </c>
      <c r="D29" s="23">
        <f>SUM(D25:D28)</f>
        <v>12197122.938000001</v>
      </c>
      <c r="E29" s="24">
        <f>IF((D29=0),0,(IF((C29=0),0,(D29/C29))))</f>
        <v>27.983206184702979</v>
      </c>
    </row>
    <row r="30" spans="1:5" x14ac:dyDescent="0.3">
      <c r="B30" s="3"/>
      <c r="C30" s="18"/>
      <c r="D30" s="18"/>
      <c r="E30" s="19"/>
    </row>
    <row r="31" spans="1:5" x14ac:dyDescent="0.3">
      <c r="A31" s="15" t="s">
        <v>23</v>
      </c>
      <c r="B31" s="16" t="s">
        <v>24</v>
      </c>
      <c r="C31" s="23">
        <f>C20-C29</f>
        <v>615513.79999999993</v>
      </c>
      <c r="D31" s="23">
        <f>D20-D29</f>
        <v>17970489.291999999</v>
      </c>
      <c r="E31" s="24">
        <f>IF((D31=0),0,(IF((C31=0),0,(D31/C31))))</f>
        <v>29.195916146802883</v>
      </c>
    </row>
    <row r="32" spans="1:5" x14ac:dyDescent="0.3">
      <c r="B32" s="3"/>
      <c r="C32" s="18"/>
      <c r="D32" s="18"/>
      <c r="E32" s="19"/>
    </row>
    <row r="33" spans="1:13" x14ac:dyDescent="0.3">
      <c r="A33" s="15" t="s">
        <v>25</v>
      </c>
      <c r="B33" s="16" t="s">
        <v>26</v>
      </c>
      <c r="C33" s="23">
        <f>+C29+C31</f>
        <v>1051386.7609999999</v>
      </c>
      <c r="D33" s="23">
        <f>+D29+D31</f>
        <v>30167612.23</v>
      </c>
      <c r="E33" s="24">
        <f>IF((D33=0),0,(IF((C33=0),0,(D33/C33))))</f>
        <v>28.693163495141253</v>
      </c>
    </row>
    <row r="34" spans="1:13" x14ac:dyDescent="0.3">
      <c r="A34" s="15"/>
      <c r="B34" s="8"/>
      <c r="C34" s="18"/>
      <c r="D34" s="18"/>
      <c r="E34" s="19"/>
    </row>
    <row r="35" spans="1:13" x14ac:dyDescent="0.3">
      <c r="A35" s="15"/>
      <c r="B35" s="8"/>
      <c r="C35" s="18"/>
      <c r="D35" s="18"/>
      <c r="E35" s="19"/>
    </row>
    <row r="36" spans="1:13" x14ac:dyDescent="0.3">
      <c r="C36" s="18"/>
      <c r="D36" s="18"/>
      <c r="E36" s="19"/>
    </row>
    <row r="37" spans="1:13" x14ac:dyDescent="0.3">
      <c r="A37" s="15" t="s">
        <v>27</v>
      </c>
      <c r="B37" s="8" t="s">
        <v>28</v>
      </c>
      <c r="C37" s="18">
        <f>C31</f>
        <v>615513.79999999993</v>
      </c>
      <c r="D37" s="18">
        <f>D31</f>
        <v>17970489.291999999</v>
      </c>
      <c r="E37" s="19">
        <f t="shared" ref="E37:E43" si="0">IF((D37=0),0,(IF((C37=0),0,(D37/C37))))</f>
        <v>29.195916146802883</v>
      </c>
      <c r="G37" s="40"/>
      <c r="K37" s="34"/>
      <c r="L37" s="34"/>
      <c r="M37" s="34"/>
    </row>
    <row r="38" spans="1:13" ht="14.25" thickBot="1" x14ac:dyDescent="0.35">
      <c r="A38" s="15" t="s">
        <v>29</v>
      </c>
      <c r="B38" s="17" t="s">
        <v>30</v>
      </c>
      <c r="C38" s="25">
        <v>0</v>
      </c>
      <c r="D38" s="18">
        <v>0</v>
      </c>
      <c r="E38" s="19">
        <f t="shared" si="0"/>
        <v>0</v>
      </c>
      <c r="K38" s="34"/>
      <c r="L38" s="34"/>
      <c r="M38" s="34"/>
    </row>
    <row r="39" spans="1:13" ht="14.25" thickBot="1" x14ac:dyDescent="0.35">
      <c r="A39" s="27" t="s">
        <v>31</v>
      </c>
      <c r="B39" s="28" t="s">
        <v>32</v>
      </c>
      <c r="C39" s="29">
        <f>SUM(C37:C38)</f>
        <v>615513.79999999993</v>
      </c>
      <c r="D39" s="29">
        <f>(SUM(D37))+D38</f>
        <v>17970489.291999999</v>
      </c>
      <c r="E39" s="30">
        <f t="shared" si="0"/>
        <v>29.195916146802883</v>
      </c>
      <c r="K39" s="34"/>
      <c r="L39" s="34"/>
      <c r="M39" s="34"/>
    </row>
    <row r="40" spans="1:13" x14ac:dyDescent="0.3">
      <c r="A40" s="15" t="s">
        <v>33</v>
      </c>
      <c r="B40" s="17" t="s">
        <v>45</v>
      </c>
      <c r="C40" s="25">
        <f>'[5]Input Sheet'!C173</f>
        <v>-4917.6000000000004</v>
      </c>
      <c r="D40" s="18">
        <f>'[5]Input Sheet'!D173</f>
        <v>-486122.53</v>
      </c>
      <c r="E40" s="19">
        <f t="shared" si="0"/>
        <v>98.85361355132585</v>
      </c>
      <c r="K40" s="34"/>
      <c r="L40" s="34"/>
      <c r="M40" s="34"/>
    </row>
    <row r="41" spans="1:13" x14ac:dyDescent="0.3">
      <c r="A41" s="15" t="s">
        <v>35</v>
      </c>
      <c r="B41" s="17" t="s">
        <v>46</v>
      </c>
      <c r="C41" s="25">
        <v>0</v>
      </c>
      <c r="D41" s="18">
        <v>0</v>
      </c>
      <c r="E41" s="19">
        <f t="shared" si="0"/>
        <v>0</v>
      </c>
      <c r="K41" s="34"/>
      <c r="L41" s="34"/>
      <c r="M41" s="34"/>
    </row>
    <row r="42" spans="1:13" ht="14.25" thickBot="1" x14ac:dyDescent="0.35">
      <c r="A42" s="15" t="s">
        <v>37</v>
      </c>
      <c r="B42" s="8" t="s">
        <v>38</v>
      </c>
      <c r="C42" s="31">
        <v>0</v>
      </c>
      <c r="D42" s="25">
        <v>0</v>
      </c>
      <c r="E42" s="26">
        <f t="shared" si="0"/>
        <v>0</v>
      </c>
      <c r="K42" s="34"/>
      <c r="L42" s="34"/>
      <c r="M42" s="34"/>
    </row>
    <row r="43" spans="1:13" ht="14.25" thickBot="1" x14ac:dyDescent="0.35">
      <c r="A43" s="27" t="s">
        <v>39</v>
      </c>
      <c r="B43" s="28" t="s">
        <v>40</v>
      </c>
      <c r="C43" s="32">
        <f>C37+C38+C40+C41</f>
        <v>610596.19999999995</v>
      </c>
      <c r="D43" s="32">
        <f>D37+D38+D40+D41</f>
        <v>17484366.761999998</v>
      </c>
      <c r="E43" s="33">
        <f t="shared" si="0"/>
        <v>28.634909228062671</v>
      </c>
      <c r="K43" s="34"/>
      <c r="L43" s="34"/>
      <c r="M43" s="34"/>
    </row>
    <row r="44" spans="1:13" ht="14.25" x14ac:dyDescent="0.3">
      <c r="A44" s="128" t="s">
        <v>4</v>
      </c>
      <c r="B44" s="126" t="s">
        <v>4</v>
      </c>
      <c r="C44" s="126"/>
      <c r="D44" s="126"/>
      <c r="E44" s="126"/>
    </row>
    <row r="45" spans="1:13" ht="15.75" x14ac:dyDescent="0.3">
      <c r="A45" s="125"/>
      <c r="B45" s="127" t="s">
        <v>4</v>
      </c>
      <c r="C45" s="125"/>
      <c r="D45" s="125"/>
      <c r="E45" s="125"/>
    </row>
    <row r="46" spans="1:13" x14ac:dyDescent="0.3">
      <c r="B46" s="3"/>
      <c r="C46" s="18"/>
      <c r="D46" s="18"/>
      <c r="E46" s="35"/>
    </row>
  </sheetData>
  <pageMargins left="0.7" right="0.7" top="0.75" bottom="0.75" header="0.3" footer="0.3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selection activeCell="B5" sqref="B5"/>
    </sheetView>
  </sheetViews>
  <sheetFormatPr defaultColWidth="9.85546875" defaultRowHeight="13.5" x14ac:dyDescent="0.3"/>
  <cols>
    <col min="1" max="1" width="3.28515625" style="1" bestFit="1" customWidth="1"/>
    <col min="2" max="2" width="56.140625" style="6" customWidth="1"/>
    <col min="3" max="3" width="11.7109375" style="6" customWidth="1"/>
    <col min="4" max="4" width="15.7109375" style="6" customWidth="1"/>
    <col min="5" max="5" width="11" style="6" bestFit="1" customWidth="1"/>
    <col min="6" max="6" width="9.85546875" style="6"/>
    <col min="7" max="7" width="12" style="6" bestFit="1" customWidth="1"/>
    <col min="8" max="16384" width="9.85546875" style="6"/>
  </cols>
  <sheetData>
    <row r="1" spans="1:5" ht="16.5" x14ac:dyDescent="0.3">
      <c r="B1" s="2" t="s">
        <v>0</v>
      </c>
      <c r="C1" s="3"/>
      <c r="D1" s="4"/>
      <c r="E1" s="5"/>
    </row>
    <row r="2" spans="1:5" x14ac:dyDescent="0.3">
      <c r="D2" s="7"/>
    </row>
    <row r="3" spans="1:5" x14ac:dyDescent="0.3">
      <c r="B3" s="8" t="s">
        <v>1</v>
      </c>
      <c r="D3" s="9"/>
    </row>
    <row r="4" spans="1:5" x14ac:dyDescent="0.3">
      <c r="B4" s="8" t="s">
        <v>2</v>
      </c>
    </row>
    <row r="5" spans="1:5" x14ac:dyDescent="0.3">
      <c r="B5" s="3"/>
      <c r="D5" s="8"/>
    </row>
    <row r="6" spans="1:5" x14ac:dyDescent="0.3">
      <c r="B6" s="8" t="s">
        <v>3</v>
      </c>
      <c r="D6" s="41" t="str">
        <f>'[6]Input Sheet'!B1</f>
        <v>April 2014 ACTUAL</v>
      </c>
      <c r="E6" s="10" t="s">
        <v>4</v>
      </c>
    </row>
    <row r="7" spans="1:5" x14ac:dyDescent="0.3">
      <c r="B7" s="3"/>
    </row>
    <row r="8" spans="1:5" x14ac:dyDescent="0.3">
      <c r="B8" s="11" t="s">
        <v>5</v>
      </c>
      <c r="C8" s="11" t="s">
        <v>6</v>
      </c>
      <c r="D8" s="12" t="s">
        <v>7</v>
      </c>
      <c r="E8" s="39" t="s">
        <v>8</v>
      </c>
    </row>
    <row r="9" spans="1:5" x14ac:dyDescent="0.3">
      <c r="B9" s="11"/>
      <c r="C9" s="13"/>
      <c r="D9" s="14" t="s">
        <v>9</v>
      </c>
      <c r="E9" s="13"/>
    </row>
    <row r="10" spans="1:5" x14ac:dyDescent="0.3">
      <c r="A10" s="15" t="s">
        <v>10</v>
      </c>
      <c r="B10" s="16" t="s">
        <v>11</v>
      </c>
    </row>
    <row r="11" spans="1:5" x14ac:dyDescent="0.3">
      <c r="B11" s="17" t="s">
        <v>43</v>
      </c>
      <c r="C11" s="18">
        <v>478140</v>
      </c>
      <c r="D11" s="18">
        <v>14450191.76</v>
      </c>
      <c r="E11" s="19">
        <v>30.221675157903544</v>
      </c>
    </row>
    <row r="12" spans="1:5" x14ac:dyDescent="0.3">
      <c r="B12" s="17" t="s">
        <v>41</v>
      </c>
      <c r="C12" s="18">
        <f>217935+150979</f>
        <v>368914</v>
      </c>
      <c r="D12" s="18">
        <f>5255914+4294641</f>
        <v>9550555</v>
      </c>
      <c r="E12" s="19">
        <f>D12/C12</f>
        <v>25.888296459337408</v>
      </c>
    </row>
    <row r="13" spans="1:5" x14ac:dyDescent="0.3">
      <c r="B13" s="8" t="s">
        <v>42</v>
      </c>
      <c r="C13" s="18">
        <f>109938+90024</f>
        <v>199962</v>
      </c>
      <c r="D13" s="18">
        <f>2790045+2352528</f>
        <v>5142573</v>
      </c>
      <c r="E13" s="19">
        <f>D13/C13</f>
        <v>25.717751372760823</v>
      </c>
    </row>
    <row r="14" spans="1:5" x14ac:dyDescent="0.3">
      <c r="B14" s="22" t="s">
        <v>12</v>
      </c>
      <c r="C14" s="23">
        <f>SUM(C11:C13)</f>
        <v>1047016</v>
      </c>
      <c r="D14" s="23">
        <f>SUM(D11:D13)</f>
        <v>29143319.759999998</v>
      </c>
      <c r="E14" s="24">
        <f>IF((D14=0),0,(IF((C14=0),0,(D14/C14))))</f>
        <v>27.834646041703277</v>
      </c>
    </row>
    <row r="15" spans="1:5" x14ac:dyDescent="0.3">
      <c r="B15" s="3"/>
      <c r="C15" s="18"/>
      <c r="D15" s="18"/>
      <c r="E15" s="19"/>
    </row>
    <row r="16" spans="1:5" x14ac:dyDescent="0.3">
      <c r="A16" s="15" t="s">
        <v>13</v>
      </c>
      <c r="B16" s="16" t="s">
        <v>14</v>
      </c>
      <c r="C16" s="18"/>
      <c r="D16" s="18"/>
      <c r="E16" s="19"/>
    </row>
    <row r="17" spans="1:5" x14ac:dyDescent="0.3">
      <c r="B17" s="8" t="s">
        <v>15</v>
      </c>
      <c r="C17" s="20">
        <v>55634.780999999995</v>
      </c>
      <c r="D17" s="20">
        <v>2042947.33</v>
      </c>
      <c r="E17" s="21">
        <v>36.720686111804774</v>
      </c>
    </row>
    <row r="18" spans="1:5" x14ac:dyDescent="0.3">
      <c r="B18" s="22" t="s">
        <v>12</v>
      </c>
      <c r="C18" s="23">
        <f>SUM(C17:C17)</f>
        <v>55634.780999999995</v>
      </c>
      <c r="D18" s="23">
        <f>SUM(D17:D17)</f>
        <v>2042947.33</v>
      </c>
      <c r="E18" s="24">
        <f>IF((D18=0),0,(IF((C18=0),0,(D18/C18))))</f>
        <v>36.720686111804774</v>
      </c>
    </row>
    <row r="19" spans="1:5" x14ac:dyDescent="0.3">
      <c r="B19" s="3"/>
      <c r="C19" s="18"/>
      <c r="D19" s="18"/>
      <c r="E19" s="19"/>
    </row>
    <row r="20" spans="1:5" x14ac:dyDescent="0.3">
      <c r="A20" s="15" t="s">
        <v>16</v>
      </c>
      <c r="B20" s="16" t="s">
        <v>17</v>
      </c>
      <c r="C20" s="23">
        <f>C14+C18</f>
        <v>1102650.781</v>
      </c>
      <c r="D20" s="23">
        <f>D14+D18</f>
        <v>31186267.089999996</v>
      </c>
      <c r="E20" s="24">
        <f>IF((D20=0),0,(IF((C20=0),0,(D20/C20))))</f>
        <v>28.28299551170408</v>
      </c>
    </row>
    <row r="21" spans="1:5" x14ac:dyDescent="0.3">
      <c r="B21" s="3"/>
      <c r="C21" s="18"/>
      <c r="D21" s="18"/>
      <c r="E21" s="19"/>
    </row>
    <row r="22" spans="1:5" x14ac:dyDescent="0.3">
      <c r="B22" s="11" t="s">
        <v>18</v>
      </c>
      <c r="C22" s="18"/>
      <c r="D22" s="18"/>
      <c r="E22" s="19"/>
    </row>
    <row r="23" spans="1:5" x14ac:dyDescent="0.3">
      <c r="B23" s="11"/>
      <c r="C23" s="18"/>
      <c r="D23" s="18"/>
      <c r="E23" s="19"/>
    </row>
    <row r="24" spans="1:5" x14ac:dyDescent="0.3">
      <c r="A24" s="15" t="s">
        <v>19</v>
      </c>
      <c r="B24" s="16" t="s">
        <v>20</v>
      </c>
      <c r="D24" s="18"/>
    </row>
    <row r="25" spans="1:5" x14ac:dyDescent="0.3">
      <c r="B25" s="8" t="s">
        <v>43</v>
      </c>
      <c r="C25" s="25">
        <v>284640.34799999988</v>
      </c>
      <c r="D25" s="25">
        <v>7045907.9920000024</v>
      </c>
      <c r="E25" s="26">
        <v>24.753721815994989</v>
      </c>
    </row>
    <row r="26" spans="1:5" x14ac:dyDescent="0.3">
      <c r="B26" s="8" t="s">
        <v>41</v>
      </c>
      <c r="C26" s="25">
        <f>103339+67373</f>
        <v>170712</v>
      </c>
      <c r="D26" s="25">
        <f>1881980+1207183</f>
        <v>3089163</v>
      </c>
      <c r="E26" s="19">
        <f>D26/C26</f>
        <v>18.095757767468015</v>
      </c>
    </row>
    <row r="27" spans="1:5" x14ac:dyDescent="0.3">
      <c r="B27" s="8" t="s">
        <v>42</v>
      </c>
      <c r="C27" s="18">
        <f>64711+50853</f>
        <v>115564</v>
      </c>
      <c r="D27" s="18">
        <f>1480584+1150852</f>
        <v>2631436</v>
      </c>
      <c r="E27" s="19">
        <f>D27/C27</f>
        <v>22.770378318507493</v>
      </c>
    </row>
    <row r="28" spans="1:5" x14ac:dyDescent="0.3">
      <c r="B28" s="17" t="s">
        <v>22</v>
      </c>
      <c r="C28" s="20">
        <v>55581.937999999995</v>
      </c>
      <c r="D28" s="20">
        <v>2042072.77</v>
      </c>
      <c r="E28" s="21">
        <v>36.739862687047726</v>
      </c>
    </row>
    <row r="29" spans="1:5" x14ac:dyDescent="0.3">
      <c r="B29" s="22" t="s">
        <v>12</v>
      </c>
      <c r="C29" s="23">
        <f>SUM(C25:C28)</f>
        <v>626498.28599999985</v>
      </c>
      <c r="D29" s="23">
        <f>SUM(D25:D28)</f>
        <v>14808579.762000002</v>
      </c>
      <c r="E29" s="24">
        <f>IF((D29=0),0,(IF((C29=0),0,(D29/C29))))</f>
        <v>23.63706348910906</v>
      </c>
    </row>
    <row r="30" spans="1:5" x14ac:dyDescent="0.3">
      <c r="B30" s="3"/>
      <c r="C30" s="18"/>
      <c r="D30" s="18"/>
      <c r="E30" s="19"/>
    </row>
    <row r="31" spans="1:5" x14ac:dyDescent="0.3">
      <c r="A31" s="15" t="s">
        <v>23</v>
      </c>
      <c r="B31" s="16" t="s">
        <v>24</v>
      </c>
      <c r="C31" s="23">
        <f>C20-C29</f>
        <v>476152.49500000011</v>
      </c>
      <c r="D31" s="23">
        <f>D20-D29</f>
        <v>16377687.327999994</v>
      </c>
      <c r="E31" s="24">
        <f>IF((D31=0),0,(IF((C31=0),0,(D31/C31))))</f>
        <v>34.395886821930837</v>
      </c>
    </row>
    <row r="32" spans="1:5" x14ac:dyDescent="0.3">
      <c r="B32" s="3"/>
      <c r="C32" s="18"/>
      <c r="D32" s="18"/>
      <c r="E32" s="19"/>
    </row>
    <row r="33" spans="1:13" x14ac:dyDescent="0.3">
      <c r="A33" s="15" t="s">
        <v>25</v>
      </c>
      <c r="B33" s="16" t="s">
        <v>26</v>
      </c>
      <c r="C33" s="23">
        <f>+C29+C31</f>
        <v>1102650.781</v>
      </c>
      <c r="D33" s="23">
        <f>+D29+D31</f>
        <v>31186267.089999996</v>
      </c>
      <c r="E33" s="24">
        <f>IF((D33=0),0,(IF((C33=0),0,(D33/C33))))</f>
        <v>28.28299551170408</v>
      </c>
    </row>
    <row r="34" spans="1:13" x14ac:dyDescent="0.3">
      <c r="A34" s="15"/>
      <c r="B34" s="8"/>
      <c r="C34" s="18"/>
      <c r="D34" s="18"/>
      <c r="E34" s="19"/>
    </row>
    <row r="35" spans="1:13" x14ac:dyDescent="0.3">
      <c r="A35" s="15"/>
      <c r="B35" s="8"/>
      <c r="C35" s="18"/>
      <c r="D35" s="18"/>
      <c r="E35" s="19"/>
    </row>
    <row r="36" spans="1:13" x14ac:dyDescent="0.3">
      <c r="C36" s="18"/>
      <c r="D36" s="18"/>
      <c r="E36" s="19"/>
    </row>
    <row r="37" spans="1:13" x14ac:dyDescent="0.3">
      <c r="A37" s="15" t="s">
        <v>27</v>
      </c>
      <c r="B37" s="8" t="s">
        <v>28</v>
      </c>
      <c r="C37" s="18">
        <f>C31</f>
        <v>476152.49500000011</v>
      </c>
      <c r="D37" s="18">
        <f>D31</f>
        <v>16377687.327999994</v>
      </c>
      <c r="E37" s="19">
        <f t="shared" ref="E37:E43" si="0">IF((D37=0),0,(IF((C37=0),0,(D37/C37))))</f>
        <v>34.395886821930837</v>
      </c>
      <c r="G37" s="40"/>
      <c r="K37" s="34"/>
      <c r="L37" s="34"/>
      <c r="M37" s="34"/>
    </row>
    <row r="38" spans="1:13" ht="14.25" thickBot="1" x14ac:dyDescent="0.35">
      <c r="A38" s="15" t="s">
        <v>29</v>
      </c>
      <c r="B38" s="17" t="s">
        <v>30</v>
      </c>
      <c r="C38" s="25">
        <v>0</v>
      </c>
      <c r="D38" s="18">
        <v>0</v>
      </c>
      <c r="E38" s="19">
        <f t="shared" si="0"/>
        <v>0</v>
      </c>
      <c r="K38" s="34"/>
      <c r="L38" s="34"/>
      <c r="M38" s="34"/>
    </row>
    <row r="39" spans="1:13" ht="14.25" thickBot="1" x14ac:dyDescent="0.35">
      <c r="A39" s="27" t="s">
        <v>31</v>
      </c>
      <c r="B39" s="28" t="s">
        <v>32</v>
      </c>
      <c r="C39" s="29">
        <f>C43-C42</f>
        <v>474338.34500000009</v>
      </c>
      <c r="D39" s="29">
        <f>(SUM(D37))+D38</f>
        <v>16377687.327999994</v>
      </c>
      <c r="E39" s="30">
        <f t="shared" si="0"/>
        <v>34.527437009124768</v>
      </c>
      <c r="K39" s="34"/>
      <c r="L39" s="34"/>
      <c r="M39" s="34"/>
    </row>
    <row r="40" spans="1:13" x14ac:dyDescent="0.3">
      <c r="A40" s="15" t="s">
        <v>33</v>
      </c>
      <c r="B40" s="17" t="s">
        <v>45</v>
      </c>
      <c r="C40" s="25">
        <f>'[6]Input Sheet'!C173</f>
        <v>-1814.15</v>
      </c>
      <c r="D40" s="18">
        <f>'[6]Input Sheet'!D173</f>
        <v>-121701.5</v>
      </c>
      <c r="E40" s="19">
        <f t="shared" si="0"/>
        <v>67.084585067386925</v>
      </c>
      <c r="K40" s="34"/>
      <c r="L40" s="34"/>
      <c r="M40" s="34"/>
    </row>
    <row r="41" spans="1:13" x14ac:dyDescent="0.3">
      <c r="A41" s="15" t="s">
        <v>35</v>
      </c>
      <c r="B41" s="17" t="s">
        <v>46</v>
      </c>
      <c r="C41" s="25">
        <v>0</v>
      </c>
      <c r="D41" s="18">
        <v>0</v>
      </c>
      <c r="E41" s="19">
        <f t="shared" si="0"/>
        <v>0</v>
      </c>
      <c r="K41" s="34"/>
      <c r="L41" s="34"/>
      <c r="M41" s="34"/>
    </row>
    <row r="42" spans="1:13" ht="14.25" thickBot="1" x14ac:dyDescent="0.35">
      <c r="A42" s="15" t="s">
        <v>37</v>
      </c>
      <c r="B42" s="8" t="s">
        <v>38</v>
      </c>
      <c r="C42" s="31">
        <v>0</v>
      </c>
      <c r="D42" s="25">
        <v>0</v>
      </c>
      <c r="E42" s="26">
        <f t="shared" si="0"/>
        <v>0</v>
      </c>
      <c r="K42" s="34"/>
      <c r="L42" s="34"/>
      <c r="M42" s="34"/>
    </row>
    <row r="43" spans="1:13" ht="14.25" thickBot="1" x14ac:dyDescent="0.35">
      <c r="A43" s="27" t="s">
        <v>39</v>
      </c>
      <c r="B43" s="28" t="s">
        <v>40</v>
      </c>
      <c r="C43" s="32">
        <f>C37+C38+C40+C41</f>
        <v>474338.34500000009</v>
      </c>
      <c r="D43" s="32">
        <f>D37+D38+D40+D41</f>
        <v>16255985.827999994</v>
      </c>
      <c r="E43" s="33">
        <f t="shared" si="0"/>
        <v>34.270865932207087</v>
      </c>
      <c r="K43" s="34"/>
      <c r="L43" s="34"/>
      <c r="M43" s="34"/>
    </row>
    <row r="44" spans="1:13" ht="14.25" x14ac:dyDescent="0.3">
      <c r="A44" s="128" t="s">
        <v>4</v>
      </c>
      <c r="B44" s="126" t="s">
        <v>4</v>
      </c>
      <c r="C44" s="126"/>
      <c r="D44" s="126"/>
      <c r="E44" s="126"/>
    </row>
    <row r="45" spans="1:13" ht="15.75" x14ac:dyDescent="0.3">
      <c r="A45" s="125"/>
      <c r="B45" s="127" t="s">
        <v>4</v>
      </c>
      <c r="C45" s="125"/>
      <c r="D45" s="125"/>
      <c r="E45" s="125"/>
    </row>
    <row r="46" spans="1:13" x14ac:dyDescent="0.3">
      <c r="B46" s="3"/>
      <c r="C46" s="18"/>
      <c r="D46" s="18"/>
      <c r="E46" s="35"/>
    </row>
  </sheetData>
  <pageMargins left="0.7" right="0.7" top="0.75" bottom="0.75" header="0.3" footer="0.3"/>
  <pageSetup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N50"/>
  <sheetViews>
    <sheetView zoomScale="85" zoomScaleNormal="85" workbookViewId="0">
      <selection activeCell="B6" sqref="B6"/>
    </sheetView>
  </sheetViews>
  <sheetFormatPr defaultColWidth="9.85546875" defaultRowHeight="13.5" x14ac:dyDescent="0.3"/>
  <cols>
    <col min="1" max="1" width="3.28515625" style="49" bestFit="1" customWidth="1"/>
    <col min="2" max="2" width="56.140625" style="54" customWidth="1"/>
    <col min="3" max="3" width="9.42578125" style="54" bestFit="1" customWidth="1"/>
    <col min="4" max="4" width="10.85546875" style="54" bestFit="1" customWidth="1"/>
    <col min="5" max="5" width="11" style="54" bestFit="1" customWidth="1"/>
    <col min="6" max="6" width="9.85546875" style="54"/>
    <col min="7" max="7" width="12" style="54" bestFit="1" customWidth="1"/>
    <col min="8" max="8" width="9.85546875" style="54"/>
    <col min="9" max="9" width="11.42578125" style="54" customWidth="1"/>
    <col min="10" max="16384" width="9.85546875" style="54"/>
  </cols>
  <sheetData>
    <row r="1" spans="1:5" ht="16.5" x14ac:dyDescent="0.3">
      <c r="B1" s="50" t="s">
        <v>0</v>
      </c>
      <c r="C1" s="51"/>
      <c r="D1" s="52"/>
      <c r="E1" s="53"/>
    </row>
    <row r="2" spans="1:5" x14ac:dyDescent="0.3">
      <c r="B2" s="54" t="str">
        <f>'[7]Input Sheet'!B1</f>
        <v>May 2014 ACTUAL</v>
      </c>
      <c r="D2" s="55"/>
    </row>
    <row r="3" spans="1:5" x14ac:dyDescent="0.3">
      <c r="B3" s="56" t="s">
        <v>1</v>
      </c>
      <c r="D3" s="57"/>
    </row>
    <row r="4" spans="1:5" x14ac:dyDescent="0.3">
      <c r="B4" s="56" t="s">
        <v>2</v>
      </c>
    </row>
    <row r="5" spans="1:5" x14ac:dyDescent="0.3">
      <c r="B5" s="51"/>
      <c r="D5" s="56"/>
    </row>
    <row r="6" spans="1:5" x14ac:dyDescent="0.3">
      <c r="B6" s="56" t="s">
        <v>3</v>
      </c>
      <c r="D6" s="58"/>
      <c r="E6" s="59" t="s">
        <v>4</v>
      </c>
    </row>
    <row r="7" spans="1:5" x14ac:dyDescent="0.3">
      <c r="B7" s="51"/>
    </row>
    <row r="8" spans="1:5" x14ac:dyDescent="0.3">
      <c r="B8" s="60" t="s">
        <v>5</v>
      </c>
      <c r="C8" s="60" t="s">
        <v>6</v>
      </c>
      <c r="D8" s="61" t="s">
        <v>7</v>
      </c>
      <c r="E8" s="134" t="s">
        <v>8</v>
      </c>
    </row>
    <row r="9" spans="1:5" x14ac:dyDescent="0.3">
      <c r="B9" s="60"/>
      <c r="C9" s="62"/>
      <c r="D9" s="63" t="s">
        <v>9</v>
      </c>
      <c r="E9" s="62"/>
    </row>
    <row r="10" spans="1:5" x14ac:dyDescent="0.3">
      <c r="A10" s="64" t="s">
        <v>10</v>
      </c>
      <c r="B10" s="65" t="s">
        <v>11</v>
      </c>
    </row>
    <row r="11" spans="1:5" x14ac:dyDescent="0.3">
      <c r="B11" s="66" t="s">
        <v>62</v>
      </c>
      <c r="C11" s="67">
        <v>378896</v>
      </c>
      <c r="D11" s="67">
        <v>12354119.220000003</v>
      </c>
      <c r="E11" s="68">
        <f t="shared" ref="E11:E16" si="0">IF((D11=0),0,(IF((C11=0),0,(D11/C11))))</f>
        <v>32.605567807525027</v>
      </c>
    </row>
    <row r="12" spans="1:5" x14ac:dyDescent="0.3">
      <c r="B12" s="56" t="s">
        <v>63</v>
      </c>
      <c r="C12" s="67">
        <v>155948</v>
      </c>
      <c r="D12" s="67">
        <v>4025787.8175036004</v>
      </c>
      <c r="E12" s="68">
        <f t="shared" si="0"/>
        <v>25.814937142532127</v>
      </c>
    </row>
    <row r="13" spans="1:5" x14ac:dyDescent="0.3">
      <c r="B13" s="56" t="s">
        <v>64</v>
      </c>
      <c r="C13" s="67">
        <v>161318</v>
      </c>
      <c r="D13" s="67">
        <v>3922670.1101626004</v>
      </c>
      <c r="E13" s="68">
        <f t="shared" si="0"/>
        <v>24.316381991858318</v>
      </c>
    </row>
    <row r="14" spans="1:5" x14ac:dyDescent="0.3">
      <c r="B14" s="56" t="s">
        <v>65</v>
      </c>
      <c r="C14" s="67">
        <v>0</v>
      </c>
      <c r="D14" s="67">
        <v>640.14449999999999</v>
      </c>
      <c r="E14" s="68">
        <f t="shared" si="0"/>
        <v>0</v>
      </c>
    </row>
    <row r="15" spans="1:5" x14ac:dyDescent="0.3">
      <c r="B15" s="56" t="s">
        <v>66</v>
      </c>
      <c r="C15" s="69">
        <v>137997.74999999988</v>
      </c>
      <c r="D15" s="69">
        <v>3642025.0889999983</v>
      </c>
      <c r="E15" s="70">
        <f t="shared" si="0"/>
        <v>26.391916455159606</v>
      </c>
    </row>
    <row r="16" spans="1:5" x14ac:dyDescent="0.3">
      <c r="B16" s="71" t="s">
        <v>12</v>
      </c>
      <c r="C16" s="72">
        <f>SUM(C11:C15)</f>
        <v>834159.74999999988</v>
      </c>
      <c r="D16" s="72">
        <f>SUM(D11:D15)</f>
        <v>23945242.381166201</v>
      </c>
      <c r="E16" s="73">
        <f t="shared" si="0"/>
        <v>28.705823292440332</v>
      </c>
    </row>
    <row r="17" spans="1:14" x14ac:dyDescent="0.3">
      <c r="B17" s="51"/>
      <c r="C17" s="67"/>
      <c r="D17" s="67"/>
      <c r="E17" s="68"/>
    </row>
    <row r="18" spans="1:14" x14ac:dyDescent="0.3">
      <c r="A18" s="64" t="s">
        <v>13</v>
      </c>
      <c r="B18" s="65" t="s">
        <v>14</v>
      </c>
      <c r="C18" s="67"/>
      <c r="D18" s="67"/>
      <c r="E18" s="68"/>
    </row>
    <row r="19" spans="1:14" x14ac:dyDescent="0.3">
      <c r="B19" s="56" t="s">
        <v>15</v>
      </c>
      <c r="C19" s="69">
        <v>74853.971000000005</v>
      </c>
      <c r="D19" s="69">
        <v>3958473.4800000004</v>
      </c>
      <c r="E19" s="70">
        <f>IF((D19=0),0,(IF((C19=0),0,(D19/C19))))</f>
        <v>52.882611665318336</v>
      </c>
    </row>
    <row r="20" spans="1:14" x14ac:dyDescent="0.3">
      <c r="B20" s="71" t="s">
        <v>12</v>
      </c>
      <c r="C20" s="72">
        <f>SUM(C19:C19)</f>
        <v>74853.971000000005</v>
      </c>
      <c r="D20" s="72">
        <f>SUM(D19:D19)</f>
        <v>3958473.4800000004</v>
      </c>
      <c r="E20" s="73">
        <f>IF((D20=0),0,(IF((C20=0),0,(D20/C20))))</f>
        <v>52.882611665318336</v>
      </c>
    </row>
    <row r="21" spans="1:14" x14ac:dyDescent="0.3">
      <c r="B21" s="51"/>
      <c r="C21" s="67"/>
      <c r="D21" s="67"/>
      <c r="E21" s="68"/>
    </row>
    <row r="22" spans="1:14" x14ac:dyDescent="0.3">
      <c r="A22" s="64" t="s">
        <v>16</v>
      </c>
      <c r="B22" s="65" t="s">
        <v>17</v>
      </c>
      <c r="C22" s="72">
        <f>C16+C20</f>
        <v>909013.7209999999</v>
      </c>
      <c r="D22" s="72">
        <f>D16+D20</f>
        <v>27903715.861166202</v>
      </c>
      <c r="E22" s="73">
        <f>IF((D22=0),0,(IF((C22=0),0,(D22/C22))))</f>
        <v>30.696693808394343</v>
      </c>
    </row>
    <row r="23" spans="1:14" x14ac:dyDescent="0.3">
      <c r="B23" s="51"/>
      <c r="C23" s="67"/>
      <c r="D23" s="67"/>
      <c r="E23" s="68"/>
    </row>
    <row r="24" spans="1:14" x14ac:dyDescent="0.3">
      <c r="B24" s="60" t="s">
        <v>18</v>
      </c>
      <c r="C24" s="67"/>
      <c r="D24" s="67"/>
      <c r="E24" s="68"/>
    </row>
    <row r="25" spans="1:14" x14ac:dyDescent="0.3">
      <c r="B25" s="60"/>
      <c r="C25" s="67"/>
      <c r="D25" s="67"/>
      <c r="E25" s="68"/>
    </row>
    <row r="26" spans="1:14" ht="15.75" x14ac:dyDescent="0.3">
      <c r="A26" s="64" t="s">
        <v>19</v>
      </c>
      <c r="B26" s="65" t="s">
        <v>20</v>
      </c>
      <c r="D26" s="67"/>
      <c r="H26" s="125"/>
      <c r="I26" s="125"/>
      <c r="J26" s="125"/>
      <c r="K26" s="125"/>
      <c r="L26" s="125"/>
      <c r="M26" s="125"/>
      <c r="N26" s="125"/>
    </row>
    <row r="27" spans="1:14" ht="15.75" x14ac:dyDescent="0.3">
      <c r="B27" s="56" t="s">
        <v>21</v>
      </c>
      <c r="C27" s="74">
        <v>145291.38900000002</v>
      </c>
      <c r="D27" s="74">
        <v>3623221.8829999981</v>
      </c>
      <c r="E27" s="75">
        <f>IF((D27=0),0,(IF((C27=0),0,(D27/C27))))</f>
        <v>24.937622992922158</v>
      </c>
      <c r="F27" s="54" t="s">
        <v>67</v>
      </c>
      <c r="H27" s="125"/>
      <c r="I27" s="125"/>
      <c r="J27" s="125"/>
      <c r="K27" s="125"/>
      <c r="L27" s="125"/>
      <c r="M27" s="125"/>
      <c r="N27" s="125"/>
    </row>
    <row r="28" spans="1:14" ht="15.75" x14ac:dyDescent="0.3">
      <c r="B28" s="56" t="s">
        <v>63</v>
      </c>
      <c r="C28" s="74">
        <v>64037.371000000057</v>
      </c>
      <c r="D28" s="74">
        <v>1291699.6190000004</v>
      </c>
      <c r="E28" s="75">
        <f t="shared" ref="E28:E33" si="1">IF((D28=0),0,(IF((C28=0),0,(D28/C28))))</f>
        <v>20.1710282422431</v>
      </c>
      <c r="F28" s="54" t="s">
        <v>67</v>
      </c>
      <c r="H28" s="125"/>
      <c r="I28" s="125"/>
      <c r="J28" s="125"/>
      <c r="K28" s="125"/>
      <c r="L28" s="125"/>
      <c r="M28" s="125"/>
      <c r="N28" s="125"/>
    </row>
    <row r="29" spans="1:14" ht="15.75" x14ac:dyDescent="0.3">
      <c r="B29" s="56" t="s">
        <v>64</v>
      </c>
      <c r="C29" s="67">
        <v>121145.36300000001</v>
      </c>
      <c r="D29" s="67">
        <v>2932043.142</v>
      </c>
      <c r="E29" s="68">
        <f t="shared" si="1"/>
        <v>24.202685677701091</v>
      </c>
      <c r="F29" s="54" t="s">
        <v>67</v>
      </c>
      <c r="H29" s="125"/>
      <c r="I29" s="125"/>
      <c r="J29" s="125"/>
      <c r="K29" s="125"/>
      <c r="L29" s="125"/>
      <c r="M29" s="125"/>
      <c r="N29" s="125"/>
    </row>
    <row r="30" spans="1:14" ht="15.75" x14ac:dyDescent="0.3">
      <c r="B30" s="56" t="s">
        <v>65</v>
      </c>
      <c r="C30" s="67">
        <v>-23920.496999999999</v>
      </c>
      <c r="D30" s="67">
        <v>-551003.57999999996</v>
      </c>
      <c r="E30" s="68">
        <f t="shared" si="1"/>
        <v>23.034788114979381</v>
      </c>
      <c r="F30" s="54" t="s">
        <v>67</v>
      </c>
      <c r="H30" s="125"/>
      <c r="I30" s="125"/>
      <c r="J30" s="125"/>
      <c r="K30" s="125"/>
      <c r="L30" s="125"/>
      <c r="M30" s="125"/>
      <c r="N30" s="125"/>
    </row>
    <row r="31" spans="1:14" ht="15.75" x14ac:dyDescent="0.3">
      <c r="B31" s="56" t="s">
        <v>66</v>
      </c>
      <c r="C31" s="67">
        <v>33577.305000000022</v>
      </c>
      <c r="D31" s="67">
        <v>838488.56300000055</v>
      </c>
      <c r="E31" s="68">
        <f t="shared" si="1"/>
        <v>24.97188392576474</v>
      </c>
      <c r="F31" s="54" t="s">
        <v>67</v>
      </c>
      <c r="H31" s="125"/>
      <c r="I31" s="125"/>
      <c r="J31" s="125"/>
      <c r="K31" s="125"/>
      <c r="L31" s="125"/>
      <c r="M31" s="125"/>
      <c r="N31" s="125"/>
    </row>
    <row r="32" spans="1:14" ht="15.75" x14ac:dyDescent="0.3">
      <c r="B32" s="66" t="s">
        <v>22</v>
      </c>
      <c r="C32" s="69">
        <v>60890.554999999993</v>
      </c>
      <c r="D32" s="69">
        <v>3360256.9599999995</v>
      </c>
      <c r="E32" s="70">
        <f>IF((D32=0),0,(IF((C32=0),0,(D32/C32))))</f>
        <v>55.185191857751995</v>
      </c>
      <c r="F32" s="54" t="s">
        <v>67</v>
      </c>
      <c r="H32" s="125"/>
      <c r="I32" s="125"/>
      <c r="J32" s="125"/>
      <c r="K32" s="125"/>
      <c r="L32" s="125"/>
      <c r="M32" s="125"/>
      <c r="N32" s="125"/>
    </row>
    <row r="33" spans="1:14" ht="15.75" x14ac:dyDescent="0.3">
      <c r="B33" s="71" t="s">
        <v>12</v>
      </c>
      <c r="C33" s="72">
        <f>SUM(C27:C32)</f>
        <v>401021.48600000009</v>
      </c>
      <c r="D33" s="72">
        <f>SUM(D27:D32)</f>
        <v>11494706.586999997</v>
      </c>
      <c r="E33" s="73">
        <f t="shared" si="1"/>
        <v>28.663567884240486</v>
      </c>
      <c r="H33" s="125"/>
      <c r="I33" s="125"/>
      <c r="J33" s="125"/>
      <c r="K33" s="125"/>
      <c r="L33" s="125"/>
      <c r="M33" s="125"/>
      <c r="N33" s="125"/>
    </row>
    <row r="34" spans="1:14" ht="15.75" x14ac:dyDescent="0.3">
      <c r="B34" s="51"/>
      <c r="C34" s="67"/>
      <c r="D34" s="67"/>
      <c r="E34" s="68"/>
      <c r="H34" s="125"/>
      <c r="I34" s="125"/>
      <c r="J34" s="125"/>
      <c r="K34" s="125"/>
      <c r="L34" s="125"/>
      <c r="M34" s="125"/>
      <c r="N34" s="125"/>
    </row>
    <row r="35" spans="1:14" ht="15.75" x14ac:dyDescent="0.3">
      <c r="A35" s="64" t="s">
        <v>23</v>
      </c>
      <c r="B35" s="65" t="s">
        <v>24</v>
      </c>
      <c r="C35" s="72">
        <f>C22-C33</f>
        <v>507992.23499999981</v>
      </c>
      <c r="D35" s="72">
        <f>D22-D33</f>
        <v>16409009.274166204</v>
      </c>
      <c r="E35" s="73">
        <f>IF((D35=0),0,(IF((C35=0),0,(D35/C35))))</f>
        <v>32.301693103962918</v>
      </c>
      <c r="H35" s="125"/>
      <c r="I35" s="125"/>
      <c r="J35" s="125"/>
      <c r="K35" s="125"/>
      <c r="L35" s="125"/>
      <c r="M35" s="125"/>
      <c r="N35" s="125"/>
    </row>
    <row r="36" spans="1:14" ht="15.75" x14ac:dyDescent="0.3">
      <c r="B36" s="51"/>
      <c r="C36" s="67"/>
      <c r="D36" s="67"/>
      <c r="E36" s="68"/>
      <c r="H36" s="125"/>
      <c r="I36" s="125"/>
      <c r="J36" s="125"/>
      <c r="K36" s="125"/>
      <c r="L36" s="125"/>
      <c r="M36" s="125"/>
      <c r="N36" s="125"/>
    </row>
    <row r="37" spans="1:14" x14ac:dyDescent="0.3">
      <c r="A37" s="64" t="s">
        <v>25</v>
      </c>
      <c r="B37" s="65" t="s">
        <v>26</v>
      </c>
      <c r="C37" s="72">
        <f>+C33+C35</f>
        <v>909013.7209999999</v>
      </c>
      <c r="D37" s="72">
        <f>+D33+D35</f>
        <v>27903715.861166202</v>
      </c>
      <c r="E37" s="73">
        <f>IF((D37=0),0,(IF((C37=0),0,(D37/C37))))</f>
        <v>30.696693808394343</v>
      </c>
    </row>
    <row r="38" spans="1:14" x14ac:dyDescent="0.3">
      <c r="A38" s="64"/>
      <c r="B38" s="56"/>
      <c r="C38" s="67"/>
      <c r="D38" s="67"/>
      <c r="E38" s="68"/>
    </row>
    <row r="39" spans="1:14" x14ac:dyDescent="0.3">
      <c r="A39" s="64"/>
      <c r="B39" s="56"/>
      <c r="C39" s="67"/>
      <c r="D39" s="67"/>
      <c r="E39" s="68"/>
    </row>
    <row r="40" spans="1:14" x14ac:dyDescent="0.3">
      <c r="C40" s="67"/>
      <c r="D40" s="67"/>
      <c r="E40" s="68"/>
    </row>
    <row r="41" spans="1:14" x14ac:dyDescent="0.3">
      <c r="A41" s="64" t="s">
        <v>27</v>
      </c>
      <c r="B41" s="56" t="s">
        <v>28</v>
      </c>
      <c r="C41" s="67">
        <f>C35</f>
        <v>507992.23499999981</v>
      </c>
      <c r="D41" s="67">
        <f>D35</f>
        <v>16409009.274166204</v>
      </c>
      <c r="E41" s="68">
        <f t="shared" ref="E41:E47" si="2">IF((D41=0),0,(IF((C41=0),0,(D41/C41))))</f>
        <v>32.301693103962918</v>
      </c>
      <c r="G41" s="76"/>
      <c r="H41" s="77"/>
      <c r="K41" s="77"/>
      <c r="L41" s="77"/>
      <c r="M41" s="77"/>
    </row>
    <row r="42" spans="1:14" ht="14.25" thickBot="1" x14ac:dyDescent="0.35">
      <c r="A42" s="64" t="s">
        <v>29</v>
      </c>
      <c r="B42" s="66" t="s">
        <v>30</v>
      </c>
      <c r="C42" s="74">
        <v>0</v>
      </c>
      <c r="D42" s="67">
        <v>0</v>
      </c>
      <c r="E42" s="68">
        <f t="shared" si="2"/>
        <v>0</v>
      </c>
      <c r="K42" s="77"/>
      <c r="L42" s="77"/>
      <c r="M42" s="77"/>
    </row>
    <row r="43" spans="1:14" ht="14.25" thickBot="1" x14ac:dyDescent="0.35">
      <c r="A43" s="78" t="s">
        <v>31</v>
      </c>
      <c r="B43" s="79" t="s">
        <v>32</v>
      </c>
      <c r="C43" s="80">
        <f>SUM(C41:C42)</f>
        <v>507992.23499999981</v>
      </c>
      <c r="D43" s="80">
        <f>(SUM(D41))+D42</f>
        <v>16409009.274166204</v>
      </c>
      <c r="E43" s="81">
        <f t="shared" si="2"/>
        <v>32.301693103962918</v>
      </c>
      <c r="K43" s="77"/>
      <c r="L43" s="77"/>
      <c r="M43" s="77"/>
    </row>
    <row r="44" spans="1:14" x14ac:dyDescent="0.3">
      <c r="A44" s="64" t="s">
        <v>33</v>
      </c>
      <c r="B44" s="66" t="s">
        <v>45</v>
      </c>
      <c r="C44" s="74">
        <v>-1519.898959715907</v>
      </c>
      <c r="D44" s="67">
        <v>-134323.58932846339</v>
      </c>
      <c r="E44" s="68">
        <f t="shared" si="2"/>
        <v>88.376657191456061</v>
      </c>
      <c r="K44" s="77"/>
      <c r="L44" s="77"/>
      <c r="M44" s="77"/>
    </row>
    <row r="45" spans="1:14" x14ac:dyDescent="0.3">
      <c r="A45" s="64" t="s">
        <v>35</v>
      </c>
      <c r="B45" s="66" t="s">
        <v>46</v>
      </c>
      <c r="C45" s="74">
        <v>0</v>
      </c>
      <c r="D45" s="67">
        <v>0</v>
      </c>
      <c r="E45" s="68">
        <f t="shared" si="2"/>
        <v>0</v>
      </c>
      <c r="K45" s="77"/>
      <c r="L45" s="77"/>
      <c r="M45" s="77"/>
    </row>
    <row r="46" spans="1:14" ht="14.25" thickBot="1" x14ac:dyDescent="0.35">
      <c r="A46" s="64" t="s">
        <v>37</v>
      </c>
      <c r="B46" s="56" t="s">
        <v>38</v>
      </c>
      <c r="C46" s="82">
        <v>0</v>
      </c>
      <c r="D46" s="74">
        <v>0</v>
      </c>
      <c r="E46" s="75">
        <f t="shared" si="2"/>
        <v>0</v>
      </c>
      <c r="K46" s="77"/>
      <c r="L46" s="77"/>
      <c r="M46" s="77"/>
    </row>
    <row r="47" spans="1:14" ht="14.25" thickBot="1" x14ac:dyDescent="0.35">
      <c r="A47" s="78" t="s">
        <v>39</v>
      </c>
      <c r="B47" s="79" t="s">
        <v>40</v>
      </c>
      <c r="C47" s="83">
        <f>C41+C42+C44+C45</f>
        <v>506472.3360402839</v>
      </c>
      <c r="D47" s="83">
        <f>D41+D42+D44+D45</f>
        <v>16274685.68483774</v>
      </c>
      <c r="E47" s="84">
        <f t="shared" si="2"/>
        <v>32.133414851592761</v>
      </c>
      <c r="K47" s="77"/>
      <c r="L47" s="77"/>
      <c r="M47" s="77"/>
    </row>
    <row r="48" spans="1:14" ht="14.25" x14ac:dyDescent="0.3">
      <c r="A48" s="135" t="s">
        <v>4</v>
      </c>
      <c r="B48" s="136" t="s">
        <v>4</v>
      </c>
      <c r="C48" s="136"/>
      <c r="D48" s="136"/>
      <c r="E48" s="136"/>
    </row>
    <row r="49" spans="1:5" ht="14.25" x14ac:dyDescent="0.3">
      <c r="A49" s="137"/>
      <c r="B49" s="138" t="s">
        <v>4</v>
      </c>
      <c r="C49" s="137"/>
      <c r="D49" s="137"/>
      <c r="E49" s="137"/>
    </row>
    <row r="50" spans="1:5" x14ac:dyDescent="0.3">
      <c r="B50" s="54" t="s">
        <v>68</v>
      </c>
      <c r="C50" s="67"/>
      <c r="D50" s="67"/>
      <c r="E50" s="85"/>
    </row>
  </sheetData>
  <printOptions horizontalCentered="1" verticalCentered="1"/>
  <pageMargins left="0.75" right="0.75" top="0.75" bottom="0.75" header="0.5" footer="0.5"/>
  <pageSetup scale="85" orientation="portrait" cellComments="asDisplayed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M50"/>
  <sheetViews>
    <sheetView zoomScale="85" zoomScaleNormal="85" workbookViewId="0">
      <selection activeCell="C17" sqref="C17"/>
    </sheetView>
  </sheetViews>
  <sheetFormatPr defaultColWidth="9.85546875" defaultRowHeight="13.5" x14ac:dyDescent="0.3"/>
  <cols>
    <col min="1" max="1" width="3.28515625" style="49" bestFit="1" customWidth="1"/>
    <col min="2" max="2" width="56.140625" style="54" customWidth="1"/>
    <col min="3" max="3" width="9.42578125" style="54" bestFit="1" customWidth="1"/>
    <col min="4" max="4" width="10.85546875" style="54" bestFit="1" customWidth="1"/>
    <col min="5" max="5" width="11" style="54" bestFit="1" customWidth="1"/>
    <col min="6" max="6" width="9.85546875" style="54"/>
    <col min="7" max="7" width="12" style="54" bestFit="1" customWidth="1"/>
    <col min="8" max="16384" width="9.85546875" style="54"/>
  </cols>
  <sheetData>
    <row r="1" spans="1:5" ht="16.5" x14ac:dyDescent="0.3">
      <c r="B1" s="50" t="s">
        <v>0</v>
      </c>
      <c r="C1" s="51"/>
      <c r="D1" s="52"/>
      <c r="E1" s="53"/>
    </row>
    <row r="2" spans="1:5" x14ac:dyDescent="0.3">
      <c r="B2" s="54" t="str">
        <f>'[8]Input Sheet'!B1</f>
        <v>June 2014 ACTUAL</v>
      </c>
      <c r="D2" s="55"/>
    </row>
    <row r="3" spans="1:5" x14ac:dyDescent="0.3">
      <c r="B3" s="56" t="s">
        <v>1</v>
      </c>
      <c r="D3" s="57"/>
    </row>
    <row r="4" spans="1:5" x14ac:dyDescent="0.3">
      <c r="B4" s="56" t="s">
        <v>2</v>
      </c>
    </row>
    <row r="5" spans="1:5" x14ac:dyDescent="0.3">
      <c r="B5" s="51"/>
      <c r="D5" s="56"/>
    </row>
    <row r="6" spans="1:5" x14ac:dyDescent="0.3">
      <c r="B6" s="56" t="s">
        <v>3</v>
      </c>
      <c r="D6" s="58"/>
      <c r="E6" s="59" t="s">
        <v>4</v>
      </c>
    </row>
    <row r="7" spans="1:5" x14ac:dyDescent="0.3">
      <c r="B7" s="51"/>
    </row>
    <row r="8" spans="1:5" x14ac:dyDescent="0.3">
      <c r="B8" s="60" t="s">
        <v>5</v>
      </c>
      <c r="C8" s="60" t="s">
        <v>6</v>
      </c>
      <c r="D8" s="61" t="s">
        <v>7</v>
      </c>
      <c r="E8" s="134" t="s">
        <v>8</v>
      </c>
    </row>
    <row r="9" spans="1:5" x14ac:dyDescent="0.3">
      <c r="B9" s="60"/>
      <c r="C9" s="62"/>
      <c r="D9" s="63" t="s">
        <v>9</v>
      </c>
      <c r="E9" s="62"/>
    </row>
    <row r="10" spans="1:5" x14ac:dyDescent="0.3">
      <c r="A10" s="64" t="s">
        <v>10</v>
      </c>
      <c r="B10" s="65" t="s">
        <v>11</v>
      </c>
    </row>
    <row r="11" spans="1:5" x14ac:dyDescent="0.3">
      <c r="B11" s="66" t="s">
        <v>62</v>
      </c>
      <c r="C11" s="67">
        <v>574116</v>
      </c>
      <c r="D11" s="67">
        <v>17404939.77</v>
      </c>
      <c r="E11" s="68">
        <f t="shared" ref="E11:E16" si="0">IF((D11=0),0,(IF((C11=0),0,(D11/C11))))</f>
        <v>30.316068129088894</v>
      </c>
    </row>
    <row r="12" spans="1:5" x14ac:dyDescent="0.3">
      <c r="B12" s="56" t="s">
        <v>63</v>
      </c>
      <c r="C12" s="67">
        <v>138199</v>
      </c>
      <c r="D12" s="67">
        <v>3749430.6093974994</v>
      </c>
      <c r="E12" s="68">
        <f t="shared" si="0"/>
        <v>27.130663820993636</v>
      </c>
    </row>
    <row r="13" spans="1:5" x14ac:dyDescent="0.3">
      <c r="B13" s="56" t="s">
        <v>64</v>
      </c>
      <c r="C13" s="67">
        <v>211280</v>
      </c>
      <c r="D13" s="67">
        <v>5268780.5688904021</v>
      </c>
      <c r="E13" s="68">
        <f t="shared" si="0"/>
        <v>24.937431696755027</v>
      </c>
    </row>
    <row r="14" spans="1:5" x14ac:dyDescent="0.3">
      <c r="B14" s="56" t="s">
        <v>65</v>
      </c>
      <c r="C14" s="67">
        <v>103458.45000000016</v>
      </c>
      <c r="D14" s="67">
        <v>2756486.5620000027</v>
      </c>
      <c r="E14" s="68">
        <f t="shared" si="0"/>
        <v>26.643416385998425</v>
      </c>
    </row>
    <row r="15" spans="1:5" x14ac:dyDescent="0.3">
      <c r="B15" s="56" t="s">
        <v>66</v>
      </c>
      <c r="C15" s="69">
        <v>112324.05000000003</v>
      </c>
      <c r="D15" s="69">
        <v>2913963.0285000019</v>
      </c>
      <c r="E15" s="70">
        <f t="shared" si="0"/>
        <v>25.942467606002463</v>
      </c>
    </row>
    <row r="16" spans="1:5" x14ac:dyDescent="0.3">
      <c r="B16" s="71" t="s">
        <v>12</v>
      </c>
      <c r="C16" s="72">
        <f>SUM(C11:C15)</f>
        <v>1139377.5000000002</v>
      </c>
      <c r="D16" s="72">
        <f>SUM(D11:D15)</f>
        <v>32093600.538787909</v>
      </c>
      <c r="E16" s="73">
        <f t="shared" si="0"/>
        <v>28.167662200445331</v>
      </c>
    </row>
    <row r="17" spans="1:5" x14ac:dyDescent="0.3">
      <c r="B17" s="51"/>
      <c r="C17" s="67"/>
      <c r="D17" s="67"/>
      <c r="E17" s="68"/>
    </row>
    <row r="18" spans="1:5" x14ac:dyDescent="0.3">
      <c r="A18" s="64" t="s">
        <v>13</v>
      </c>
      <c r="B18" s="65" t="s">
        <v>14</v>
      </c>
      <c r="C18" s="67"/>
      <c r="D18" s="67"/>
      <c r="E18" s="68"/>
    </row>
    <row r="19" spans="1:5" x14ac:dyDescent="0.3">
      <c r="B19" s="56" t="s">
        <v>15</v>
      </c>
      <c r="C19" s="69">
        <v>74632.903000000006</v>
      </c>
      <c r="D19" s="69">
        <v>3301338</v>
      </c>
      <c r="E19" s="70">
        <f>IF((D19=0),0,(IF((C19=0),0,(D19/C19))))</f>
        <v>44.234350632186981</v>
      </c>
    </row>
    <row r="20" spans="1:5" x14ac:dyDescent="0.3">
      <c r="B20" s="71" t="s">
        <v>12</v>
      </c>
      <c r="C20" s="72">
        <f>SUM(C19:C19)</f>
        <v>74632.903000000006</v>
      </c>
      <c r="D20" s="72">
        <f>SUM(D19:D19)</f>
        <v>3301338</v>
      </c>
      <c r="E20" s="73">
        <f>IF((D20=0),0,(IF((C20=0),0,(D20/C20))))</f>
        <v>44.234350632186981</v>
      </c>
    </row>
    <row r="21" spans="1:5" x14ac:dyDescent="0.3">
      <c r="B21" s="51"/>
      <c r="C21" s="67"/>
      <c r="D21" s="67"/>
      <c r="E21" s="68"/>
    </row>
    <row r="22" spans="1:5" x14ac:dyDescent="0.3">
      <c r="A22" s="64" t="s">
        <v>16</v>
      </c>
      <c r="B22" s="65" t="s">
        <v>17</v>
      </c>
      <c r="C22" s="72">
        <f>C16+C20</f>
        <v>1214010.4030000002</v>
      </c>
      <c r="D22" s="72">
        <f>D16+D20</f>
        <v>35394938.538787909</v>
      </c>
      <c r="E22" s="73">
        <f>IF((D22=0),0,(IF((C22=0),0,(D22/C22))))</f>
        <v>29.155383225153386</v>
      </c>
    </row>
    <row r="23" spans="1:5" x14ac:dyDescent="0.3">
      <c r="B23" s="51"/>
      <c r="C23" s="67"/>
      <c r="D23" s="67"/>
      <c r="E23" s="68"/>
    </row>
    <row r="24" spans="1:5" x14ac:dyDescent="0.3">
      <c r="B24" s="60" t="s">
        <v>18</v>
      </c>
      <c r="C24" s="67"/>
      <c r="D24" s="67"/>
      <c r="E24" s="68"/>
    </row>
    <row r="25" spans="1:5" x14ac:dyDescent="0.3">
      <c r="B25" s="60"/>
      <c r="C25" s="67"/>
      <c r="D25" s="67"/>
      <c r="E25" s="68"/>
    </row>
    <row r="26" spans="1:5" x14ac:dyDescent="0.3">
      <c r="A26" s="64" t="s">
        <v>19</v>
      </c>
      <c r="B26" s="65" t="s">
        <v>20</v>
      </c>
      <c r="D26" s="67"/>
    </row>
    <row r="27" spans="1:5" x14ac:dyDescent="0.3">
      <c r="B27" s="56" t="s">
        <v>21</v>
      </c>
      <c r="C27" s="74">
        <v>322770.60400000011</v>
      </c>
      <c r="D27" s="74">
        <v>7792177.9089999981</v>
      </c>
      <c r="E27" s="75">
        <f>IF((D27=0),0,(IF((C27=0),0,(D27/C27))))</f>
        <v>24.141535234106993</v>
      </c>
    </row>
    <row r="28" spans="1:5" x14ac:dyDescent="0.3">
      <c r="B28" s="56" t="s">
        <v>63</v>
      </c>
      <c r="C28" s="74">
        <v>66548.465999999971</v>
      </c>
      <c r="D28" s="74">
        <v>1137094.8900000008</v>
      </c>
      <c r="E28" s="75">
        <f t="shared" ref="E28:E33" si="1">IF((D28=0),0,(IF((C28=0),0,(D28/C28))))</f>
        <v>17.086718272364106</v>
      </c>
    </row>
    <row r="29" spans="1:5" x14ac:dyDescent="0.3">
      <c r="B29" s="56" t="s">
        <v>64</v>
      </c>
      <c r="C29" s="67">
        <v>93711.182999999946</v>
      </c>
      <c r="D29" s="67">
        <v>1833577.7770000005</v>
      </c>
      <c r="E29" s="68">
        <f t="shared" si="1"/>
        <v>19.566264327278866</v>
      </c>
    </row>
    <row r="30" spans="1:5" x14ac:dyDescent="0.3">
      <c r="B30" s="56" t="s">
        <v>65</v>
      </c>
      <c r="C30" s="67">
        <v>58175.917999999976</v>
      </c>
      <c r="D30" s="67">
        <v>1350534.5020000003</v>
      </c>
      <c r="E30" s="68">
        <f t="shared" si="1"/>
        <v>23.214665937888611</v>
      </c>
    </row>
    <row r="31" spans="1:5" x14ac:dyDescent="0.3">
      <c r="B31" s="56" t="s">
        <v>66</v>
      </c>
      <c r="C31" s="67">
        <v>60631.721000000005</v>
      </c>
      <c r="D31" s="67">
        <v>1403394.3069999982</v>
      </c>
      <c r="E31" s="68">
        <f t="shared" si="1"/>
        <v>23.146206042873136</v>
      </c>
    </row>
    <row r="32" spans="1:5" x14ac:dyDescent="0.3">
      <c r="B32" s="66" t="s">
        <v>22</v>
      </c>
      <c r="C32" s="69">
        <v>73983.854999999996</v>
      </c>
      <c r="D32" s="69">
        <v>3293074.88</v>
      </c>
      <c r="E32" s="70">
        <f>IF((D32=0),0,(IF((C32=0),0,(D32/C32))))</f>
        <v>44.510723048967911</v>
      </c>
    </row>
    <row r="33" spans="1:13" x14ac:dyDescent="0.3">
      <c r="B33" s="71" t="s">
        <v>12</v>
      </c>
      <c r="C33" s="72">
        <f>SUM(C27:C32)</f>
        <v>675821.74699999997</v>
      </c>
      <c r="D33" s="72">
        <f>SUM(D27:D32)</f>
        <v>16809854.264999997</v>
      </c>
      <c r="E33" s="73">
        <f t="shared" si="1"/>
        <v>24.873207083997546</v>
      </c>
    </row>
    <row r="34" spans="1:13" x14ac:dyDescent="0.3">
      <c r="B34" s="51"/>
      <c r="C34" s="67"/>
      <c r="D34" s="67"/>
      <c r="E34" s="68"/>
    </row>
    <row r="35" spans="1:13" x14ac:dyDescent="0.3">
      <c r="A35" s="64" t="s">
        <v>23</v>
      </c>
      <c r="B35" s="65" t="s">
        <v>24</v>
      </c>
      <c r="C35" s="72">
        <f>C22-C33</f>
        <v>538188.65600000019</v>
      </c>
      <c r="D35" s="72">
        <f>D22-D33</f>
        <v>18585084.273787912</v>
      </c>
      <c r="E35" s="73">
        <f>IF((D35=0),0,(IF((C35=0),0,(D35/C35))))</f>
        <v>34.532657027590538</v>
      </c>
    </row>
    <row r="36" spans="1:13" x14ac:dyDescent="0.3">
      <c r="B36" s="51"/>
      <c r="C36" s="67"/>
      <c r="D36" s="67"/>
      <c r="E36" s="68"/>
    </row>
    <row r="37" spans="1:13" x14ac:dyDescent="0.3">
      <c r="A37" s="64" t="s">
        <v>25</v>
      </c>
      <c r="B37" s="65" t="s">
        <v>26</v>
      </c>
      <c r="C37" s="72">
        <f>+C33+C35</f>
        <v>1214010.4030000002</v>
      </c>
      <c r="D37" s="72">
        <f>+D33+D35</f>
        <v>35394938.538787909</v>
      </c>
      <c r="E37" s="73">
        <f>IF((D37=0),0,(IF((C37=0),0,(D37/C37))))</f>
        <v>29.155383225153386</v>
      </c>
    </row>
    <row r="38" spans="1:13" x14ac:dyDescent="0.3">
      <c r="A38" s="64"/>
      <c r="B38" s="56"/>
      <c r="C38" s="67"/>
      <c r="D38" s="67"/>
      <c r="E38" s="68"/>
    </row>
    <row r="39" spans="1:13" x14ac:dyDescent="0.3">
      <c r="A39" s="64"/>
      <c r="B39" s="56"/>
      <c r="C39" s="67"/>
      <c r="D39" s="67"/>
      <c r="E39" s="68"/>
    </row>
    <row r="40" spans="1:13" x14ac:dyDescent="0.3">
      <c r="C40" s="67"/>
      <c r="D40" s="67"/>
      <c r="E40" s="68"/>
    </row>
    <row r="41" spans="1:13" x14ac:dyDescent="0.3">
      <c r="A41" s="64" t="s">
        <v>27</v>
      </c>
      <c r="B41" s="56" t="s">
        <v>28</v>
      </c>
      <c r="C41" s="67">
        <f>C35</f>
        <v>538188.65600000019</v>
      </c>
      <c r="D41" s="67">
        <f>D35</f>
        <v>18585084.273787912</v>
      </c>
      <c r="E41" s="68">
        <f t="shared" ref="E41:E47" si="2">IF((D41=0),0,(IF((C41=0),0,(D41/C41))))</f>
        <v>34.532657027590538</v>
      </c>
      <c r="G41" s="76"/>
      <c r="K41" s="77"/>
      <c r="L41" s="77"/>
      <c r="M41" s="77"/>
    </row>
    <row r="42" spans="1:13" ht="14.25" thickBot="1" x14ac:dyDescent="0.35">
      <c r="A42" s="64" t="s">
        <v>29</v>
      </c>
      <c r="B42" s="66" t="s">
        <v>30</v>
      </c>
      <c r="C42" s="74">
        <v>0</v>
      </c>
      <c r="D42" s="67">
        <v>0</v>
      </c>
      <c r="E42" s="68">
        <f t="shared" si="2"/>
        <v>0</v>
      </c>
      <c r="K42" s="77"/>
      <c r="L42" s="77"/>
      <c r="M42" s="77"/>
    </row>
    <row r="43" spans="1:13" ht="14.25" thickBot="1" x14ac:dyDescent="0.35">
      <c r="A43" s="78" t="s">
        <v>31</v>
      </c>
      <c r="B43" s="79" t="s">
        <v>32</v>
      </c>
      <c r="C43" s="80">
        <f>SUM(C41:C42)</f>
        <v>538188.65600000019</v>
      </c>
      <c r="D43" s="80">
        <f>(SUM(D41))+D42</f>
        <v>18585084.273787912</v>
      </c>
      <c r="E43" s="81">
        <f t="shared" si="2"/>
        <v>34.532657027590538</v>
      </c>
      <c r="K43" s="77"/>
      <c r="L43" s="77"/>
      <c r="M43" s="77"/>
    </row>
    <row r="44" spans="1:13" x14ac:dyDescent="0.3">
      <c r="A44" s="64" t="s">
        <v>33</v>
      </c>
      <c r="B44" s="66" t="s">
        <v>45</v>
      </c>
      <c r="C44" s="74">
        <v>-721.73</v>
      </c>
      <c r="D44" s="67">
        <v>-27468.82</v>
      </c>
      <c r="E44" s="68">
        <f t="shared" si="2"/>
        <v>38.059689911739845</v>
      </c>
      <c r="K44" s="77"/>
      <c r="L44" s="77"/>
      <c r="M44" s="77"/>
    </row>
    <row r="45" spans="1:13" x14ac:dyDescent="0.3">
      <c r="A45" s="64" t="s">
        <v>35</v>
      </c>
      <c r="B45" s="66" t="s">
        <v>46</v>
      </c>
      <c r="C45" s="74">
        <v>0</v>
      </c>
      <c r="D45" s="67">
        <v>0</v>
      </c>
      <c r="E45" s="68">
        <f t="shared" si="2"/>
        <v>0</v>
      </c>
      <c r="K45" s="77"/>
      <c r="L45" s="77"/>
      <c r="M45" s="77"/>
    </row>
    <row r="46" spans="1:13" ht="14.25" thickBot="1" x14ac:dyDescent="0.35">
      <c r="A46" s="64" t="s">
        <v>37</v>
      </c>
      <c r="B46" s="56" t="s">
        <v>38</v>
      </c>
      <c r="C46" s="82">
        <v>0</v>
      </c>
      <c r="D46" s="74">
        <v>0</v>
      </c>
      <c r="E46" s="75">
        <f t="shared" si="2"/>
        <v>0</v>
      </c>
      <c r="K46" s="77"/>
      <c r="L46" s="77"/>
      <c r="M46" s="77"/>
    </row>
    <row r="47" spans="1:13" ht="14.25" thickBot="1" x14ac:dyDescent="0.35">
      <c r="A47" s="78" t="s">
        <v>39</v>
      </c>
      <c r="B47" s="79" t="s">
        <v>40</v>
      </c>
      <c r="C47" s="83">
        <f>C41+C42+C44+C45</f>
        <v>537466.92600000021</v>
      </c>
      <c r="D47" s="83">
        <f>D41+D42+D44+D45</f>
        <v>18557615.453787912</v>
      </c>
      <c r="E47" s="84">
        <f t="shared" si="2"/>
        <v>34.527920800447362</v>
      </c>
      <c r="K47" s="77"/>
      <c r="L47" s="77"/>
      <c r="M47" s="77"/>
    </row>
    <row r="48" spans="1:13" ht="14.25" x14ac:dyDescent="0.3">
      <c r="A48" s="135" t="s">
        <v>4</v>
      </c>
      <c r="B48" s="136" t="s">
        <v>4</v>
      </c>
      <c r="C48" s="136"/>
      <c r="D48" s="136"/>
      <c r="E48" s="136"/>
    </row>
    <row r="49" spans="1:5" ht="14.25" x14ac:dyDescent="0.3">
      <c r="A49" s="137"/>
      <c r="B49" s="138" t="s">
        <v>4</v>
      </c>
      <c r="C49" s="137"/>
      <c r="D49" s="137"/>
      <c r="E49" s="137"/>
    </row>
    <row r="50" spans="1:5" x14ac:dyDescent="0.3">
      <c r="B50" s="51"/>
      <c r="C50" s="67"/>
      <c r="D50" s="67"/>
      <c r="E50" s="85"/>
    </row>
  </sheetData>
  <printOptions horizontalCentered="1" verticalCentered="1"/>
  <pageMargins left="0.75" right="0.75" top="0.75" bottom="0.75" header="0.5" footer="0.5"/>
  <pageSetup scale="85" orientation="portrait" cellComments="asDisplayed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October 2013</vt:lpstr>
      <vt:lpstr>November 2013</vt:lpstr>
      <vt:lpstr>December 2013</vt:lpstr>
      <vt:lpstr>January 2014</vt:lpstr>
      <vt:lpstr>February 2014</vt:lpstr>
      <vt:lpstr>March 2014</vt:lpstr>
      <vt:lpstr>April 2014</vt:lpstr>
      <vt:lpstr>May 14</vt:lpstr>
      <vt:lpstr>June 14</vt:lpstr>
      <vt:lpstr>July 14</vt:lpstr>
      <vt:lpstr>Aug 14</vt:lpstr>
      <vt:lpstr>Sept 14</vt:lpstr>
      <vt:lpstr>'November 2013'!Print_Area</vt:lpstr>
      <vt:lpstr>'October 2013'!Print_Area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Jim Martin</cp:lastModifiedBy>
  <cp:lastPrinted>2015-02-02T18:44:30Z</cp:lastPrinted>
  <dcterms:created xsi:type="dcterms:W3CDTF">2014-06-25T16:05:33Z</dcterms:created>
  <dcterms:modified xsi:type="dcterms:W3CDTF">2015-02-02T18:48:43Z</dcterms:modified>
</cp:coreProperties>
</file>