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120" windowHeight="11250" tabRatio="924"/>
  </bookViews>
  <sheets>
    <sheet name="2014 Wind Storm #7" sheetId="11" r:id="rId1"/>
    <sheet name="2014 Wind Storm #3" sheetId="3" r:id="rId2"/>
    <sheet name="2013 Thunderstorm #1" sheetId="5" r:id="rId3"/>
    <sheet name="2012 Hurricane Sandy #7" sheetId="10" r:id="rId4"/>
    <sheet name="2012 Thunderstorm #4" sheetId="9" r:id="rId5"/>
    <sheet name="2012 Derecho #3" sheetId="8" r:id="rId6"/>
    <sheet name="2012 Tornado #2" sheetId="7" r:id="rId7"/>
    <sheet name="2012 Snow Storm #1" sheetId="6" r:id="rId8"/>
  </sheets>
  <externalReferences>
    <externalReference r:id="rId9"/>
  </externalReferences>
  <definedNames>
    <definedName name="_xlnm.Print_Area" localSheetId="5">'2012 Derecho #3'!$A$2:$R$118</definedName>
    <definedName name="_xlnm.Print_Area" localSheetId="3">'2012 Hurricane Sandy #7'!$A$2:$Q$88</definedName>
    <definedName name="_xlnm.Print_Area" localSheetId="7">'2012 Snow Storm #1'!$A$2:$R$101</definedName>
    <definedName name="_xlnm.Print_Area" localSheetId="4">'2012 Thunderstorm #4'!$A$2:$R$100</definedName>
    <definedName name="_xlnm.Print_Area" localSheetId="6">'2012 Tornado #2'!$A$2:$R$110</definedName>
    <definedName name="_xlnm.Print_Area" localSheetId="2">'2013 Thunderstorm #1'!$A$2:$R$92</definedName>
    <definedName name="_xlnm.Print_Area" localSheetId="1">'2014 Wind Storm #3'!$A$2:$R$86</definedName>
    <definedName name="_xlnm.Print_Area" localSheetId="0">'2014 Wind Storm #7'!$A$1:$R$107</definedName>
    <definedName name="_xlnm.Print_Titles" localSheetId="5">'2012 Derecho #3'!$2:$9</definedName>
    <definedName name="_xlnm.Print_Titles" localSheetId="3">'2012 Hurricane Sandy #7'!$2:$9</definedName>
    <definedName name="_xlnm.Print_Titles" localSheetId="7">'2012 Snow Storm #1'!$2:$9</definedName>
    <definedName name="_xlnm.Print_Titles" localSheetId="4">'2012 Thunderstorm #4'!$2:$9</definedName>
    <definedName name="_xlnm.Print_Titles" localSheetId="6">'2012 Tornado #2'!$2:$9</definedName>
    <definedName name="_xlnm.Print_Titles" localSheetId="2">'2013 Thunderstorm #1'!$2:$9</definedName>
    <definedName name="_xlnm.Print_Titles" localSheetId="1">'2014 Wind Storm #3'!$2:$9</definedName>
    <definedName name="_xlnm.Print_Titles" localSheetId="0">'2014 Wind Storm #7'!$2:$9</definedName>
    <definedName name="TotalOTHours" localSheetId="5">'2012 Derecho #3'!$Q$14</definedName>
    <definedName name="TotalOTHours" localSheetId="3">'2012 Hurricane Sandy #7'!$Q$14</definedName>
    <definedName name="TotalOTHours" localSheetId="7">'2012 Snow Storm #1'!$Q$14</definedName>
    <definedName name="TotalOTHours" localSheetId="4">'2012 Thunderstorm #4'!$Q$14</definedName>
    <definedName name="TotalOTHours" localSheetId="6">'2012 Tornado #2'!$Q$14</definedName>
    <definedName name="TotalOTHours" localSheetId="2">'2013 Thunderstorm #1'!$Q$14</definedName>
    <definedName name="TotalOTHours" localSheetId="1">'2014 Wind Storm #3'!$Q$14</definedName>
    <definedName name="TotalOTHours" localSheetId="0">'2014 Wind Storm #7'!$Q$14</definedName>
    <definedName name="TotalOTHours">#REF!</definedName>
  </definedNames>
  <calcPr calcId="145621"/>
</workbook>
</file>

<file path=xl/calcChain.xml><?xml version="1.0" encoding="utf-8"?>
<calcChain xmlns="http://schemas.openxmlformats.org/spreadsheetml/2006/main">
  <c r="H140" i="11" l="1"/>
  <c r="I139" i="11"/>
  <c r="I140" i="11" s="1"/>
  <c r="I141" i="11" s="1"/>
  <c r="I129" i="11" s="1"/>
  <c r="K135" i="11"/>
  <c r="K134" i="11"/>
  <c r="K136" i="11" s="1"/>
  <c r="H141" i="11" s="1"/>
  <c r="L106" i="11"/>
  <c r="J103" i="11"/>
  <c r="J102" i="11"/>
  <c r="Q100" i="11"/>
  <c r="P100" i="11"/>
  <c r="Q98" i="11"/>
  <c r="P98" i="11"/>
  <c r="Q97" i="11"/>
  <c r="P97" i="11"/>
  <c r="Q95" i="11"/>
  <c r="P95" i="11"/>
  <c r="Q94" i="11"/>
  <c r="P94" i="11"/>
  <c r="Q92" i="11"/>
  <c r="P92" i="11"/>
  <c r="Q91" i="11"/>
  <c r="P91" i="11"/>
  <c r="Q89" i="11"/>
  <c r="P89" i="11"/>
  <c r="Q88" i="11"/>
  <c r="P88" i="11"/>
  <c r="Q86" i="11"/>
  <c r="P86" i="11"/>
  <c r="Q85" i="11"/>
  <c r="P85" i="11"/>
  <c r="Q83" i="11"/>
  <c r="P83" i="11"/>
  <c r="Q82" i="11"/>
  <c r="P82" i="11"/>
  <c r="Q80" i="11"/>
  <c r="P80" i="11"/>
  <c r="Q79" i="11"/>
  <c r="P79" i="11"/>
  <c r="Q77" i="11"/>
  <c r="P77" i="11"/>
  <c r="Q76" i="11"/>
  <c r="P76" i="11"/>
  <c r="Q74" i="11"/>
  <c r="P74" i="11"/>
  <c r="Q73" i="11"/>
  <c r="P73" i="11"/>
  <c r="Q71" i="11"/>
  <c r="P71" i="11"/>
  <c r="Q70" i="11"/>
  <c r="P70" i="11"/>
  <c r="Q68" i="11"/>
  <c r="P68" i="11"/>
  <c r="Q67" i="11"/>
  <c r="P67" i="11"/>
  <c r="Q65" i="11"/>
  <c r="P65" i="11"/>
  <c r="Q64" i="11"/>
  <c r="P64" i="11"/>
  <c r="P102" i="11" s="1"/>
  <c r="X62" i="11"/>
  <c r="Q62" i="11"/>
  <c r="P62" i="11"/>
  <c r="P103" i="11" s="1"/>
  <c r="N62" i="11"/>
  <c r="M62" i="11"/>
  <c r="I62" i="11"/>
  <c r="Q61" i="11"/>
  <c r="P61" i="11"/>
  <c r="O61" i="11"/>
  <c r="N61" i="11"/>
  <c r="M61" i="11"/>
  <c r="I61" i="11"/>
  <c r="Q54" i="11"/>
  <c r="K54" i="11"/>
  <c r="J52" i="11"/>
  <c r="I52" i="11"/>
  <c r="H52" i="11"/>
  <c r="G52" i="11"/>
  <c r="K52" i="11" s="1"/>
  <c r="P51" i="11"/>
  <c r="O51" i="11"/>
  <c r="N51" i="11"/>
  <c r="M51" i="11"/>
  <c r="Q51" i="11" s="1"/>
  <c r="K51" i="11"/>
  <c r="P48" i="11"/>
  <c r="O48" i="11"/>
  <c r="N48" i="11"/>
  <c r="M48" i="11"/>
  <c r="Q48" i="11" s="1"/>
  <c r="K48" i="11"/>
  <c r="P46" i="11"/>
  <c r="O46" i="11"/>
  <c r="N46" i="11"/>
  <c r="M46" i="11"/>
  <c r="K46" i="11"/>
  <c r="P44" i="11"/>
  <c r="O44" i="11"/>
  <c r="N44" i="11"/>
  <c r="M44" i="11"/>
  <c r="K44" i="11"/>
  <c r="P42" i="11"/>
  <c r="O42" i="11"/>
  <c r="N42" i="11"/>
  <c r="M42" i="11"/>
  <c r="Q42" i="11" s="1"/>
  <c r="K42" i="11"/>
  <c r="P40" i="11"/>
  <c r="O40" i="11"/>
  <c r="N40" i="11"/>
  <c r="M40" i="11"/>
  <c r="Q40" i="11" s="1"/>
  <c r="K40" i="11"/>
  <c r="P39" i="11"/>
  <c r="O39" i="11"/>
  <c r="N39" i="11"/>
  <c r="M39" i="11"/>
  <c r="K39" i="11"/>
  <c r="P38" i="11"/>
  <c r="P52" i="11" s="1"/>
  <c r="O38" i="11"/>
  <c r="N38" i="11"/>
  <c r="M38" i="11"/>
  <c r="K38" i="11"/>
  <c r="P37" i="11"/>
  <c r="O37" i="11"/>
  <c r="N37" i="11"/>
  <c r="M37" i="11"/>
  <c r="Q37" i="11" s="1"/>
  <c r="K37" i="11"/>
  <c r="P35" i="11"/>
  <c r="Q35" i="11" s="1"/>
  <c r="O35" i="11"/>
  <c r="N35" i="11"/>
  <c r="M35" i="11"/>
  <c r="M52" i="11" s="1"/>
  <c r="K35" i="11"/>
  <c r="P34" i="11"/>
  <c r="O34" i="11"/>
  <c r="O52" i="11" s="1"/>
  <c r="N34" i="11"/>
  <c r="N52" i="11" s="1"/>
  <c r="M34" i="11"/>
  <c r="K34" i="11"/>
  <c r="P32" i="11"/>
  <c r="J32" i="11"/>
  <c r="I32" i="11"/>
  <c r="H32" i="11"/>
  <c r="G32" i="11"/>
  <c r="K32" i="11" s="1"/>
  <c r="P31" i="11"/>
  <c r="O31" i="11"/>
  <c r="N31" i="11"/>
  <c r="M31" i="11"/>
  <c r="Q31" i="11" s="1"/>
  <c r="K31" i="11"/>
  <c r="P30" i="11"/>
  <c r="Q30" i="11" s="1"/>
  <c r="O30" i="11"/>
  <c r="N30" i="11"/>
  <c r="M30" i="11"/>
  <c r="K30" i="11"/>
  <c r="Q29" i="11"/>
  <c r="K29" i="11"/>
  <c r="P28" i="11"/>
  <c r="O28" i="11"/>
  <c r="O32" i="11" s="1"/>
  <c r="N28" i="11"/>
  <c r="N32" i="11" s="1"/>
  <c r="M28" i="11"/>
  <c r="M32" i="11" s="1"/>
  <c r="Q32" i="11" s="1"/>
  <c r="K28" i="11"/>
  <c r="Q27" i="11"/>
  <c r="K27" i="11"/>
  <c r="P25" i="11"/>
  <c r="J25" i="11"/>
  <c r="I25" i="11"/>
  <c r="H25" i="11"/>
  <c r="G25" i="11"/>
  <c r="K25" i="11" s="1"/>
  <c r="K24" i="11"/>
  <c r="J22" i="11"/>
  <c r="J57" i="11" s="1"/>
  <c r="J106" i="11" s="1"/>
  <c r="I22" i="11"/>
  <c r="I57" i="11" s="1"/>
  <c r="H22" i="11"/>
  <c r="G22" i="11"/>
  <c r="G57" i="11" s="1"/>
  <c r="X21" i="11"/>
  <c r="Q21" i="11"/>
  <c r="K21" i="11"/>
  <c r="P20" i="11"/>
  <c r="O20" i="11"/>
  <c r="N20" i="11"/>
  <c r="M20" i="11"/>
  <c r="Q20" i="11" s="1"/>
  <c r="K20" i="11"/>
  <c r="Q19" i="11"/>
  <c r="K19" i="11"/>
  <c r="X18" i="11"/>
  <c r="Q18" i="11"/>
  <c r="K18" i="11"/>
  <c r="P17" i="11"/>
  <c r="Q17" i="11" s="1"/>
  <c r="O17" i="11"/>
  <c r="O22" i="11" s="1"/>
  <c r="N17" i="11"/>
  <c r="M17" i="11"/>
  <c r="K17" i="11"/>
  <c r="Q16" i="11"/>
  <c r="K16" i="11"/>
  <c r="O14" i="11"/>
  <c r="Q14" i="11" s="1"/>
  <c r="N14" i="11"/>
  <c r="M14" i="11"/>
  <c r="K14" i="11"/>
  <c r="P13" i="11"/>
  <c r="O13" i="11"/>
  <c r="N13" i="11"/>
  <c r="N22" i="11" s="1"/>
  <c r="M13" i="11"/>
  <c r="Q13" i="11" s="1"/>
  <c r="K13" i="11"/>
  <c r="O11" i="11"/>
  <c r="N11" i="11"/>
  <c r="M11" i="11"/>
  <c r="Q11" i="11" s="1"/>
  <c r="K11" i="11"/>
  <c r="Q10" i="11"/>
  <c r="K10" i="11"/>
  <c r="Q22" i="11" l="1"/>
  <c r="I100" i="11"/>
  <c r="O100" i="11" s="1"/>
  <c r="I98" i="11"/>
  <c r="O98" i="11" s="1"/>
  <c r="I97" i="11"/>
  <c r="O97" i="11" s="1"/>
  <c r="I95" i="11"/>
  <c r="O95" i="11" s="1"/>
  <c r="I94" i="11"/>
  <c r="O94" i="11" s="1"/>
  <c r="I92" i="11"/>
  <c r="O92" i="11" s="1"/>
  <c r="I91" i="11"/>
  <c r="O91" i="11" s="1"/>
  <c r="I89" i="11"/>
  <c r="O89" i="11" s="1"/>
  <c r="I88" i="11"/>
  <c r="O88" i="11" s="1"/>
  <c r="I86" i="11"/>
  <c r="O86" i="11" s="1"/>
  <c r="I85" i="11"/>
  <c r="O85" i="11" s="1"/>
  <c r="I83" i="11"/>
  <c r="O83" i="11" s="1"/>
  <c r="I82" i="11"/>
  <c r="O82" i="11" s="1"/>
  <c r="I80" i="11"/>
  <c r="O80" i="11" s="1"/>
  <c r="I79" i="11"/>
  <c r="O79" i="11" s="1"/>
  <c r="I77" i="11"/>
  <c r="O77" i="11" s="1"/>
  <c r="I76" i="11"/>
  <c r="O76" i="11" s="1"/>
  <c r="I74" i="11"/>
  <c r="O74" i="11" s="1"/>
  <c r="I73" i="11"/>
  <c r="O73" i="11" s="1"/>
  <c r="I71" i="11"/>
  <c r="O71" i="11" s="1"/>
  <c r="I70" i="11"/>
  <c r="I68" i="11"/>
  <c r="O68" i="11" s="1"/>
  <c r="I67" i="11"/>
  <c r="O67" i="11" s="1"/>
  <c r="I65" i="11"/>
  <c r="O65" i="11" s="1"/>
  <c r="I64" i="11"/>
  <c r="O70" i="11"/>
  <c r="O102" i="11" s="1"/>
  <c r="O64" i="11"/>
  <c r="G141" i="11"/>
  <c r="G129" i="11" s="1"/>
  <c r="H129" i="11"/>
  <c r="K22" i="11"/>
  <c r="Q52" i="11"/>
  <c r="M22" i="11"/>
  <c r="P22" i="11"/>
  <c r="P57" i="11" s="1"/>
  <c r="P106" i="11" s="1"/>
  <c r="Q38" i="11"/>
  <c r="Q44" i="11"/>
  <c r="O62" i="11"/>
  <c r="X24" i="11"/>
  <c r="Q34" i="11"/>
  <c r="Q39" i="11"/>
  <c r="Q46" i="11"/>
  <c r="Q24" i="11"/>
  <c r="H57" i="11"/>
  <c r="Q28" i="11"/>
  <c r="G168" i="10"/>
  <c r="K168" i="10" s="1"/>
  <c r="J159" i="10"/>
  <c r="K158" i="10"/>
  <c r="D154" i="10"/>
  <c r="I149" i="10" s="1"/>
  <c r="D153" i="10"/>
  <c r="D157" i="10" s="1"/>
  <c r="D150" i="10"/>
  <c r="D159" i="10" s="1"/>
  <c r="G148" i="10"/>
  <c r="G150" i="10" s="1"/>
  <c r="G147" i="10"/>
  <c r="I146" i="10"/>
  <c r="H146" i="10"/>
  <c r="G146" i="10"/>
  <c r="D145" i="10"/>
  <c r="D144" i="10"/>
  <c r="D143" i="10"/>
  <c r="D142" i="10"/>
  <c r="G141" i="10"/>
  <c r="D140" i="10"/>
  <c r="I139" i="10"/>
  <c r="I141" i="10" s="1"/>
  <c r="I147" i="10" s="1"/>
  <c r="H139" i="10"/>
  <c r="H141" i="10" s="1"/>
  <c r="H147" i="10" s="1"/>
  <c r="H148" i="10" s="1"/>
  <c r="H150" i="10" s="1"/>
  <c r="H130" i="10"/>
  <c r="I129" i="10"/>
  <c r="I130" i="10" s="1"/>
  <c r="K125" i="10"/>
  <c r="K119" i="10"/>
  <c r="K124" i="10" s="1"/>
  <c r="L87" i="10"/>
  <c r="P84" i="10"/>
  <c r="J84" i="10"/>
  <c r="J83" i="10"/>
  <c r="Q81" i="10"/>
  <c r="P81" i="10"/>
  <c r="O81" i="10"/>
  <c r="N81" i="10"/>
  <c r="M81" i="10"/>
  <c r="Q79" i="10"/>
  <c r="P79" i="10"/>
  <c r="Q77" i="10"/>
  <c r="P77" i="10"/>
  <c r="Q76" i="10"/>
  <c r="P76" i="10"/>
  <c r="Q74" i="10"/>
  <c r="P74" i="10"/>
  <c r="Q73" i="10"/>
  <c r="P73" i="10"/>
  <c r="Q71" i="10"/>
  <c r="P71" i="10"/>
  <c r="Q70" i="10"/>
  <c r="P70" i="10"/>
  <c r="Q68" i="10"/>
  <c r="P68" i="10"/>
  <c r="Q67" i="10"/>
  <c r="P67" i="10"/>
  <c r="Q65" i="10"/>
  <c r="P65" i="10"/>
  <c r="Q64" i="10"/>
  <c r="P64" i="10"/>
  <c r="W62" i="10"/>
  <c r="Q62" i="10"/>
  <c r="P62" i="10"/>
  <c r="O62" i="10"/>
  <c r="N62" i="10"/>
  <c r="M62" i="10"/>
  <c r="I62" i="10"/>
  <c r="Q61" i="10"/>
  <c r="O61" i="10" s="1"/>
  <c r="P61" i="10"/>
  <c r="P83" i="10" s="1"/>
  <c r="N61" i="10"/>
  <c r="M61" i="10"/>
  <c r="I61" i="10"/>
  <c r="Q54" i="10"/>
  <c r="K54" i="10"/>
  <c r="J52" i="10"/>
  <c r="I52" i="10"/>
  <c r="H52" i="10"/>
  <c r="G52" i="10"/>
  <c r="K52" i="10" s="1"/>
  <c r="P51" i="10"/>
  <c r="O51" i="10"/>
  <c r="N51" i="10"/>
  <c r="M51" i="10"/>
  <c r="Q51" i="10" s="1"/>
  <c r="K51" i="10"/>
  <c r="P48" i="10"/>
  <c r="O48" i="10"/>
  <c r="N48" i="10"/>
  <c r="M48" i="10"/>
  <c r="K48" i="10"/>
  <c r="P46" i="10"/>
  <c r="O46" i="10"/>
  <c r="N46" i="10"/>
  <c r="M46" i="10"/>
  <c r="K46" i="10"/>
  <c r="P44" i="10"/>
  <c r="O44" i="10"/>
  <c r="N44" i="10"/>
  <c r="M44" i="10"/>
  <c r="Q44" i="10" s="1"/>
  <c r="K44" i="10"/>
  <c r="P42" i="10"/>
  <c r="O42" i="10"/>
  <c r="N42" i="10"/>
  <c r="M42" i="10"/>
  <c r="Q42" i="10" s="1"/>
  <c r="K42" i="10"/>
  <c r="P40" i="10"/>
  <c r="O40" i="10"/>
  <c r="N40" i="10"/>
  <c r="M40" i="10"/>
  <c r="K40" i="10"/>
  <c r="P39" i="10"/>
  <c r="O39" i="10"/>
  <c r="N39" i="10"/>
  <c r="M39" i="10"/>
  <c r="K39" i="10"/>
  <c r="P38" i="10"/>
  <c r="O38" i="10"/>
  <c r="N38" i="10"/>
  <c r="M38" i="10"/>
  <c r="Q38" i="10" s="1"/>
  <c r="K38" i="10"/>
  <c r="P37" i="10"/>
  <c r="O37" i="10"/>
  <c r="N37" i="10"/>
  <c r="M37" i="10"/>
  <c r="Q37" i="10" s="1"/>
  <c r="K37" i="10"/>
  <c r="P35" i="10"/>
  <c r="O35" i="10"/>
  <c r="O52" i="10" s="1"/>
  <c r="N35" i="10"/>
  <c r="N52" i="10" s="1"/>
  <c r="M35" i="10"/>
  <c r="K35" i="10"/>
  <c r="P34" i="10"/>
  <c r="P52" i="10" s="1"/>
  <c r="O34" i="10"/>
  <c r="N34" i="10"/>
  <c r="M34" i="10"/>
  <c r="M52" i="10" s="1"/>
  <c r="K34" i="10"/>
  <c r="P32" i="10"/>
  <c r="N32" i="10"/>
  <c r="J32" i="10"/>
  <c r="I32" i="10"/>
  <c r="H32" i="10"/>
  <c r="G32" i="10"/>
  <c r="O31" i="10"/>
  <c r="Q31" i="10" s="1"/>
  <c r="N31" i="10"/>
  <c r="M31" i="10"/>
  <c r="K31" i="10"/>
  <c r="Q30" i="10"/>
  <c r="O30" i="10"/>
  <c r="N30" i="10"/>
  <c r="M30" i="10"/>
  <c r="M32" i="10" s="1"/>
  <c r="K30" i="10"/>
  <c r="Q29" i="10"/>
  <c r="K29" i="10"/>
  <c r="O28" i="10"/>
  <c r="N28" i="10"/>
  <c r="M28" i="10"/>
  <c r="K28" i="10"/>
  <c r="Q27" i="10"/>
  <c r="K27" i="10"/>
  <c r="P25" i="10"/>
  <c r="J25" i="10"/>
  <c r="I25" i="10"/>
  <c r="H25" i="10"/>
  <c r="G25" i="10"/>
  <c r="K25" i="10" s="1"/>
  <c r="K24" i="10"/>
  <c r="P22" i="10"/>
  <c r="J22" i="10"/>
  <c r="J57" i="10" s="1"/>
  <c r="J87" i="10" s="1"/>
  <c r="G22" i="10"/>
  <c r="W21" i="10"/>
  <c r="W24" i="10" s="1"/>
  <c r="Q21" i="10"/>
  <c r="I21" i="10"/>
  <c r="H21" i="10"/>
  <c r="G21" i="10"/>
  <c r="O20" i="10"/>
  <c r="N20" i="10"/>
  <c r="M20" i="10"/>
  <c r="K20" i="10"/>
  <c r="Q19" i="10"/>
  <c r="K19" i="10"/>
  <c r="W18" i="10"/>
  <c r="Q18" i="10"/>
  <c r="I18" i="10"/>
  <c r="I22" i="10" s="1"/>
  <c r="I57" i="10" s="1"/>
  <c r="H18" i="10"/>
  <c r="H22" i="10" s="1"/>
  <c r="H57" i="10" s="1"/>
  <c r="G18" i="10"/>
  <c r="O17" i="10"/>
  <c r="Q17" i="10" s="1"/>
  <c r="N17" i="10"/>
  <c r="M17" i="10"/>
  <c r="K17" i="10"/>
  <c r="Q16" i="10"/>
  <c r="K16" i="10"/>
  <c r="O14" i="10"/>
  <c r="N14" i="10"/>
  <c r="M14" i="10"/>
  <c r="Q14" i="10" s="1"/>
  <c r="K14" i="10"/>
  <c r="O13" i="10"/>
  <c r="O22" i="10" s="1"/>
  <c r="N13" i="10"/>
  <c r="N22" i="10" s="1"/>
  <c r="M13" i="10"/>
  <c r="M22" i="10" s="1"/>
  <c r="K13" i="10"/>
  <c r="Q11" i="10"/>
  <c r="O11" i="10"/>
  <c r="N11" i="10"/>
  <c r="M11" i="10"/>
  <c r="K11" i="10"/>
  <c r="Q10" i="10"/>
  <c r="K10" i="10"/>
  <c r="G165" i="9"/>
  <c r="K165" i="9" s="1"/>
  <c r="I158" i="9"/>
  <c r="J156" i="9"/>
  <c r="K155" i="9"/>
  <c r="G154" i="9"/>
  <c r="I146" i="9"/>
  <c r="I143" i="9"/>
  <c r="H143" i="9"/>
  <c r="H145" i="9" s="1"/>
  <c r="H147" i="9" s="1"/>
  <c r="G143" i="9"/>
  <c r="H139" i="9"/>
  <c r="H144" i="9" s="1"/>
  <c r="G139" i="9"/>
  <c r="G144" i="9" s="1"/>
  <c r="G145" i="9" s="1"/>
  <c r="G147" i="9" s="1"/>
  <c r="I137" i="9"/>
  <c r="I139" i="9" s="1"/>
  <c r="I154" i="9" s="1"/>
  <c r="I156" i="9" s="1"/>
  <c r="I163" i="9" s="1"/>
  <c r="I168" i="9" s="1"/>
  <c r="H137" i="9"/>
  <c r="G137" i="9"/>
  <c r="I132" i="9"/>
  <c r="H132" i="9"/>
  <c r="H133" i="9" s="1"/>
  <c r="I131" i="9"/>
  <c r="K127" i="9"/>
  <c r="K126" i="9"/>
  <c r="K128" i="9" s="1"/>
  <c r="I133" i="9" s="1"/>
  <c r="I117" i="9" s="1"/>
  <c r="K122" i="9"/>
  <c r="L99" i="9"/>
  <c r="J99" i="9"/>
  <c r="J96" i="9"/>
  <c r="P95" i="9"/>
  <c r="J95" i="9"/>
  <c r="Q93" i="9"/>
  <c r="P93" i="9"/>
  <c r="O93" i="9"/>
  <c r="N93" i="9"/>
  <c r="M93" i="9"/>
  <c r="Q91" i="9"/>
  <c r="P91" i="9"/>
  <c r="Q89" i="9"/>
  <c r="P89" i="9"/>
  <c r="Q88" i="9"/>
  <c r="P88" i="9"/>
  <c r="Q86" i="9"/>
  <c r="P86" i="9"/>
  <c r="Q85" i="9"/>
  <c r="P85" i="9"/>
  <c r="Q83" i="9"/>
  <c r="P83" i="9"/>
  <c r="Q82" i="9"/>
  <c r="P82" i="9"/>
  <c r="Q80" i="9"/>
  <c r="P80" i="9"/>
  <c r="Q79" i="9"/>
  <c r="P79" i="9"/>
  <c r="Q77" i="9"/>
  <c r="P77" i="9"/>
  <c r="Q76" i="9"/>
  <c r="P76" i="9"/>
  <c r="Q74" i="9"/>
  <c r="P74" i="9"/>
  <c r="Q73" i="9"/>
  <c r="P73" i="9"/>
  <c r="Q71" i="9"/>
  <c r="P71" i="9"/>
  <c r="Q70" i="9"/>
  <c r="P70" i="9"/>
  <c r="Q68" i="9"/>
  <c r="P68" i="9"/>
  <c r="Q67" i="9"/>
  <c r="P67" i="9"/>
  <c r="Q65" i="9"/>
  <c r="P65" i="9"/>
  <c r="Q64" i="9"/>
  <c r="P64" i="9"/>
  <c r="K64" i="9"/>
  <c r="AC62" i="9"/>
  <c r="Q62" i="9"/>
  <c r="P62" i="9"/>
  <c r="P96" i="9" s="1"/>
  <c r="N62" i="9"/>
  <c r="M62" i="9"/>
  <c r="I62" i="9"/>
  <c r="Q61" i="9"/>
  <c r="P61" i="9"/>
  <c r="O61" i="9"/>
  <c r="N61" i="9"/>
  <c r="M61" i="9"/>
  <c r="I61" i="9"/>
  <c r="Q54" i="9"/>
  <c r="K54" i="9"/>
  <c r="J52" i="9"/>
  <c r="I52" i="9"/>
  <c r="H52" i="9"/>
  <c r="G52" i="9"/>
  <c r="K52" i="9" s="1"/>
  <c r="P51" i="9"/>
  <c r="O51" i="9"/>
  <c r="N51" i="9"/>
  <c r="M51" i="9"/>
  <c r="Q51" i="9" s="1"/>
  <c r="K51" i="9"/>
  <c r="P48" i="9"/>
  <c r="O48" i="9"/>
  <c r="N48" i="9"/>
  <c r="M48" i="9"/>
  <c r="Q48" i="9" s="1"/>
  <c r="K48" i="9"/>
  <c r="P46" i="9"/>
  <c r="O46" i="9"/>
  <c r="N46" i="9"/>
  <c r="M46" i="9"/>
  <c r="Q46" i="9" s="1"/>
  <c r="K46" i="9"/>
  <c r="P44" i="9"/>
  <c r="O44" i="9"/>
  <c r="N44" i="9"/>
  <c r="M44" i="9"/>
  <c r="Q44" i="9" s="1"/>
  <c r="K44" i="9"/>
  <c r="P42" i="9"/>
  <c r="O42" i="9"/>
  <c r="N42" i="9"/>
  <c r="M42" i="9"/>
  <c r="K42" i="9"/>
  <c r="P40" i="9"/>
  <c r="O40" i="9"/>
  <c r="N40" i="9"/>
  <c r="M40" i="9"/>
  <c r="Q40" i="9" s="1"/>
  <c r="K40" i="9"/>
  <c r="P39" i="9"/>
  <c r="O39" i="9"/>
  <c r="N39" i="9"/>
  <c r="M39" i="9"/>
  <c r="K39" i="9"/>
  <c r="P38" i="9"/>
  <c r="O38" i="9"/>
  <c r="N38" i="9"/>
  <c r="M38" i="9"/>
  <c r="Q38" i="9" s="1"/>
  <c r="K38" i="9"/>
  <c r="P37" i="9"/>
  <c r="O37" i="9"/>
  <c r="N37" i="9"/>
  <c r="M37" i="9"/>
  <c r="Q37" i="9" s="1"/>
  <c r="K37" i="9"/>
  <c r="P35" i="9"/>
  <c r="P52" i="9" s="1"/>
  <c r="O35" i="9"/>
  <c r="N35" i="9"/>
  <c r="M35" i="9"/>
  <c r="K35" i="9"/>
  <c r="P34" i="9"/>
  <c r="O34" i="9"/>
  <c r="N34" i="9"/>
  <c r="M34" i="9"/>
  <c r="Q34" i="9" s="1"/>
  <c r="K34" i="9"/>
  <c r="P32" i="9"/>
  <c r="P57" i="9" s="1"/>
  <c r="P99" i="9" s="1"/>
  <c r="J32" i="9"/>
  <c r="J57" i="9" s="1"/>
  <c r="I32" i="9"/>
  <c r="H32" i="9"/>
  <c r="G32" i="9"/>
  <c r="K32" i="9" s="1"/>
  <c r="O31" i="9"/>
  <c r="N31" i="9"/>
  <c r="M31" i="9"/>
  <c r="Q31" i="9" s="1"/>
  <c r="K31" i="9"/>
  <c r="O30" i="9"/>
  <c r="O32" i="9" s="1"/>
  <c r="N30" i="9"/>
  <c r="M30" i="9"/>
  <c r="Q30" i="9" s="1"/>
  <c r="K30" i="9"/>
  <c r="Q29" i="9"/>
  <c r="K29" i="9"/>
  <c r="O28" i="9"/>
  <c r="N28" i="9"/>
  <c r="N32" i="9" s="1"/>
  <c r="M28" i="9"/>
  <c r="K28" i="9"/>
  <c r="Q27" i="9"/>
  <c r="K27" i="9"/>
  <c r="P25" i="9"/>
  <c r="J25" i="9"/>
  <c r="I25" i="9"/>
  <c r="H25" i="9"/>
  <c r="G25" i="9"/>
  <c r="K25" i="9" s="1"/>
  <c r="K24" i="9"/>
  <c r="P22" i="9"/>
  <c r="N22" i="9"/>
  <c r="J22" i="9"/>
  <c r="I22" i="9"/>
  <c r="I57" i="9" s="1"/>
  <c r="H22" i="9"/>
  <c r="AC21" i="9"/>
  <c r="Q21" i="9"/>
  <c r="I21" i="9"/>
  <c r="H21" i="9"/>
  <c r="G21" i="9"/>
  <c r="G22" i="9" s="1"/>
  <c r="K22" i="9" s="1"/>
  <c r="O20" i="9"/>
  <c r="N20" i="9"/>
  <c r="M20" i="9"/>
  <c r="Q20" i="9" s="1"/>
  <c r="K20" i="9"/>
  <c r="Q19" i="9"/>
  <c r="K19" i="9"/>
  <c r="AC18" i="9"/>
  <c r="Q18" i="9"/>
  <c r="K18" i="9"/>
  <c r="H18" i="9"/>
  <c r="Q17" i="9"/>
  <c r="O17" i="9"/>
  <c r="N17" i="9"/>
  <c r="M17" i="9"/>
  <c r="K17" i="9"/>
  <c r="Q16" i="9"/>
  <c r="K16" i="9"/>
  <c r="O14" i="9"/>
  <c r="N14" i="9"/>
  <c r="M14" i="9"/>
  <c r="K14" i="9"/>
  <c r="O13" i="9"/>
  <c r="O22" i="9" s="1"/>
  <c r="N13" i="9"/>
  <c r="M13" i="9"/>
  <c r="K13" i="9"/>
  <c r="Q11" i="9"/>
  <c r="O11" i="9"/>
  <c r="N11" i="9"/>
  <c r="M11" i="9"/>
  <c r="K11" i="9"/>
  <c r="Q10" i="9"/>
  <c r="K10" i="9"/>
  <c r="G186" i="8"/>
  <c r="K186" i="8" s="1"/>
  <c r="L183" i="8"/>
  <c r="J177" i="8"/>
  <c r="K176" i="8"/>
  <c r="G175" i="8"/>
  <c r="I167" i="8"/>
  <c r="G166" i="8"/>
  <c r="G168" i="8" s="1"/>
  <c r="I164" i="8"/>
  <c r="I166" i="8" s="1"/>
  <c r="I168" i="8" s="1"/>
  <c r="H164" i="8"/>
  <c r="H166" i="8" s="1"/>
  <c r="H168" i="8" s="1"/>
  <c r="G164" i="8"/>
  <c r="I160" i="8"/>
  <c r="I175" i="8" s="1"/>
  <c r="I177" i="8" s="1"/>
  <c r="I184" i="8" s="1"/>
  <c r="I189" i="8" s="1"/>
  <c r="H160" i="8"/>
  <c r="H175" i="8" s="1"/>
  <c r="H177" i="8" s="1"/>
  <c r="G160" i="8"/>
  <c r="I152" i="8"/>
  <c r="I151" i="8"/>
  <c r="I153" i="8" s="1"/>
  <c r="H151" i="8"/>
  <c r="H153" i="8" s="1"/>
  <c r="G151" i="8"/>
  <c r="K148" i="8"/>
  <c r="K141" i="8"/>
  <c r="K147" i="8" s="1"/>
  <c r="K149" i="8" s="1"/>
  <c r="L117" i="8"/>
  <c r="J114" i="8"/>
  <c r="J113" i="8"/>
  <c r="Q111" i="8"/>
  <c r="P111" i="8"/>
  <c r="O111" i="8"/>
  <c r="N111" i="8"/>
  <c r="M111" i="8"/>
  <c r="Q109" i="8"/>
  <c r="P109" i="8"/>
  <c r="Q107" i="8"/>
  <c r="P107" i="8"/>
  <c r="P106" i="8"/>
  <c r="K106" i="8"/>
  <c r="Q106" i="8" s="1"/>
  <c r="Q104" i="8"/>
  <c r="P104" i="8"/>
  <c r="P103" i="8"/>
  <c r="P113" i="8" s="1"/>
  <c r="K103" i="8"/>
  <c r="Q103" i="8" s="1"/>
  <c r="Q101" i="8"/>
  <c r="P101" i="8"/>
  <c r="Q100" i="8"/>
  <c r="P100" i="8"/>
  <c r="Q98" i="8"/>
  <c r="P98" i="8"/>
  <c r="Q97" i="8"/>
  <c r="P97" i="8"/>
  <c r="Q95" i="8"/>
  <c r="P95" i="8"/>
  <c r="P94" i="8"/>
  <c r="K94" i="8"/>
  <c r="Q94" i="8" s="1"/>
  <c r="Q92" i="8"/>
  <c r="P92" i="8"/>
  <c r="Q91" i="8"/>
  <c r="P91" i="8"/>
  <c r="Q89" i="8"/>
  <c r="P89" i="8"/>
  <c r="Q88" i="8"/>
  <c r="P88" i="8"/>
  <c r="Q86" i="8"/>
  <c r="P86" i="8"/>
  <c r="Q85" i="8"/>
  <c r="P85" i="8"/>
  <c r="Q83" i="8"/>
  <c r="P83" i="8"/>
  <c r="Q82" i="8"/>
  <c r="P82" i="8"/>
  <c r="Q80" i="8"/>
  <c r="P80" i="8"/>
  <c r="Q79" i="8"/>
  <c r="P79" i="8"/>
  <c r="Q77" i="8"/>
  <c r="P77" i="8"/>
  <c r="Q76" i="8"/>
  <c r="P76" i="8"/>
  <c r="Q74" i="8"/>
  <c r="P74" i="8"/>
  <c r="Q73" i="8"/>
  <c r="P73" i="8"/>
  <c r="Q71" i="8"/>
  <c r="P71" i="8"/>
  <c r="Q70" i="8"/>
  <c r="P70" i="8"/>
  <c r="Q68" i="8"/>
  <c r="P68" i="8"/>
  <c r="Q67" i="8"/>
  <c r="P67" i="8"/>
  <c r="Q65" i="8"/>
  <c r="P65" i="8"/>
  <c r="Q64" i="8"/>
  <c r="P64" i="8"/>
  <c r="K64" i="8"/>
  <c r="AB62" i="8"/>
  <c r="Q62" i="8"/>
  <c r="P62" i="8"/>
  <c r="P114" i="8" s="1"/>
  <c r="N62" i="8"/>
  <c r="M62" i="8"/>
  <c r="I62" i="8"/>
  <c r="O62" i="8" s="1"/>
  <c r="Q61" i="8"/>
  <c r="P61" i="8"/>
  <c r="O61" i="8"/>
  <c r="N61" i="8"/>
  <c r="M61" i="8"/>
  <c r="I61" i="8"/>
  <c r="Q54" i="8"/>
  <c r="K54" i="8"/>
  <c r="J52" i="8"/>
  <c r="I52" i="8"/>
  <c r="H52" i="8"/>
  <c r="G52" i="8"/>
  <c r="K52" i="8" s="1"/>
  <c r="P51" i="8"/>
  <c r="O51" i="8"/>
  <c r="N51" i="8"/>
  <c r="M51" i="8"/>
  <c r="Q51" i="8" s="1"/>
  <c r="K51" i="8"/>
  <c r="P48" i="8"/>
  <c r="O48" i="8"/>
  <c r="N48" i="8"/>
  <c r="M48" i="8"/>
  <c r="Q48" i="8" s="1"/>
  <c r="K48" i="8"/>
  <c r="P46" i="8"/>
  <c r="O46" i="8"/>
  <c r="N46" i="8"/>
  <c r="M46" i="8"/>
  <c r="Q46" i="8" s="1"/>
  <c r="K46" i="8"/>
  <c r="P44" i="8"/>
  <c r="O44" i="8"/>
  <c r="N44" i="8"/>
  <c r="M44" i="8"/>
  <c r="Q44" i="8" s="1"/>
  <c r="K44" i="8"/>
  <c r="P42" i="8"/>
  <c r="O42" i="8"/>
  <c r="N42" i="8"/>
  <c r="M42" i="8"/>
  <c r="K42" i="8"/>
  <c r="P40" i="8"/>
  <c r="O40" i="8"/>
  <c r="N40" i="8"/>
  <c r="M40" i="8"/>
  <c r="Q40" i="8" s="1"/>
  <c r="K40" i="8"/>
  <c r="P39" i="8"/>
  <c r="O39" i="8"/>
  <c r="N39" i="8"/>
  <c r="M39" i="8"/>
  <c r="K39" i="8"/>
  <c r="P38" i="8"/>
  <c r="O38" i="8"/>
  <c r="N38" i="8"/>
  <c r="M38" i="8"/>
  <c r="M52" i="8" s="1"/>
  <c r="K38" i="8"/>
  <c r="P37" i="8"/>
  <c r="O37" i="8"/>
  <c r="N37" i="8"/>
  <c r="M37" i="8"/>
  <c r="Q37" i="8" s="1"/>
  <c r="K37" i="8"/>
  <c r="P35" i="8"/>
  <c r="P52" i="8" s="1"/>
  <c r="O35" i="8"/>
  <c r="N35" i="8"/>
  <c r="M35" i="8"/>
  <c r="Q35" i="8" s="1"/>
  <c r="K35" i="8"/>
  <c r="P34" i="8"/>
  <c r="O34" i="8"/>
  <c r="N34" i="8"/>
  <c r="M34" i="8"/>
  <c r="Q34" i="8" s="1"/>
  <c r="K34" i="8"/>
  <c r="P32" i="8"/>
  <c r="M32" i="8"/>
  <c r="J32" i="8"/>
  <c r="H32" i="8"/>
  <c r="G32" i="8"/>
  <c r="P31" i="8"/>
  <c r="N31" i="8"/>
  <c r="M31" i="8"/>
  <c r="I31" i="8"/>
  <c r="P30" i="8"/>
  <c r="O30" i="8"/>
  <c r="N30" i="8"/>
  <c r="M30" i="8"/>
  <c r="Q30" i="8" s="1"/>
  <c r="K30" i="8"/>
  <c r="Q29" i="8"/>
  <c r="K29" i="8"/>
  <c r="P28" i="8"/>
  <c r="O28" i="8"/>
  <c r="N28" i="8"/>
  <c r="N32" i="8" s="1"/>
  <c r="M28" i="8"/>
  <c r="Q28" i="8" s="1"/>
  <c r="K28" i="8"/>
  <c r="Q27" i="8"/>
  <c r="K27" i="8"/>
  <c r="P25" i="8"/>
  <c r="J25" i="8"/>
  <c r="I25" i="8"/>
  <c r="H25" i="8"/>
  <c r="G25" i="8"/>
  <c r="K25" i="8" s="1"/>
  <c r="K24" i="8"/>
  <c r="J22" i="8"/>
  <c r="J57" i="8" s="1"/>
  <c r="J117" i="8" s="1"/>
  <c r="I22" i="8"/>
  <c r="H22" i="8"/>
  <c r="H57" i="8" s="1"/>
  <c r="AB21" i="8"/>
  <c r="Q21" i="8"/>
  <c r="K21" i="8"/>
  <c r="I21" i="8"/>
  <c r="H21" i="8"/>
  <c r="G21" i="8"/>
  <c r="G22" i="8" s="1"/>
  <c r="P20" i="8"/>
  <c r="O20" i="8"/>
  <c r="N20" i="8"/>
  <c r="M20" i="8"/>
  <c r="Q20" i="8" s="1"/>
  <c r="K20" i="8"/>
  <c r="Q19" i="8"/>
  <c r="K19" i="8"/>
  <c r="AB18" i="8"/>
  <c r="Q18" i="8"/>
  <c r="K18" i="8"/>
  <c r="P17" i="8"/>
  <c r="O17" i="8"/>
  <c r="N17" i="8"/>
  <c r="M17" i="8"/>
  <c r="Q17" i="8" s="1"/>
  <c r="K17" i="8"/>
  <c r="Q16" i="8"/>
  <c r="K16" i="8"/>
  <c r="O14" i="8"/>
  <c r="Q14" i="8" s="1"/>
  <c r="N14" i="8"/>
  <c r="M14" i="8"/>
  <c r="K14" i="8"/>
  <c r="P13" i="8"/>
  <c r="O13" i="8"/>
  <c r="O22" i="8" s="1"/>
  <c r="N13" i="8"/>
  <c r="N22" i="8" s="1"/>
  <c r="M13" i="8"/>
  <c r="M22" i="8" s="1"/>
  <c r="K13" i="8"/>
  <c r="O11" i="8"/>
  <c r="N11" i="8"/>
  <c r="M11" i="8"/>
  <c r="Q11" i="8" s="1"/>
  <c r="K11" i="8"/>
  <c r="Q10" i="8"/>
  <c r="K10" i="8"/>
  <c r="I140" i="7"/>
  <c r="H140" i="7"/>
  <c r="H141" i="7" s="1"/>
  <c r="I139" i="7"/>
  <c r="K135" i="7"/>
  <c r="K134" i="7"/>
  <c r="K136" i="7" s="1"/>
  <c r="I141" i="7" s="1"/>
  <c r="I129" i="7" s="1"/>
  <c r="L109" i="7"/>
  <c r="J106" i="7"/>
  <c r="J105" i="7"/>
  <c r="Q103" i="7"/>
  <c r="P103" i="7"/>
  <c r="Q101" i="7"/>
  <c r="P101" i="7"/>
  <c r="P100" i="7"/>
  <c r="K100" i="7"/>
  <c r="Q100" i="7" s="1"/>
  <c r="Q98" i="7"/>
  <c r="P98" i="7"/>
  <c r="Q97" i="7"/>
  <c r="P97" i="7"/>
  <c r="Q95" i="7"/>
  <c r="P95" i="7"/>
  <c r="Q94" i="7"/>
  <c r="P94" i="7"/>
  <c r="K94" i="7"/>
  <c r="Q92" i="7"/>
  <c r="P92" i="7"/>
  <c r="Q91" i="7"/>
  <c r="P91" i="7"/>
  <c r="Q89" i="7"/>
  <c r="P89" i="7"/>
  <c r="Q88" i="7"/>
  <c r="P88" i="7"/>
  <c r="Q86" i="7"/>
  <c r="P86" i="7"/>
  <c r="Q85" i="7"/>
  <c r="P85" i="7"/>
  <c r="Q83" i="7"/>
  <c r="P83" i="7"/>
  <c r="Q82" i="7"/>
  <c r="P82" i="7"/>
  <c r="Q80" i="7"/>
  <c r="P80" i="7"/>
  <c r="Q79" i="7"/>
  <c r="P79" i="7"/>
  <c r="Q77" i="7"/>
  <c r="P77" i="7"/>
  <c r="Q76" i="7"/>
  <c r="P76" i="7"/>
  <c r="Q74" i="7"/>
  <c r="P74" i="7"/>
  <c r="Q73" i="7"/>
  <c r="P73" i="7"/>
  <c r="Q71" i="7"/>
  <c r="P71" i="7"/>
  <c r="Q70" i="7"/>
  <c r="P70" i="7"/>
  <c r="Q68" i="7"/>
  <c r="P68" i="7"/>
  <c r="Q67" i="7"/>
  <c r="P67" i="7"/>
  <c r="Q65" i="7"/>
  <c r="P65" i="7"/>
  <c r="Q64" i="7"/>
  <c r="P64" i="7"/>
  <c r="K64" i="7"/>
  <c r="I64" i="7"/>
  <c r="Y62" i="7"/>
  <c r="Q62" i="7"/>
  <c r="P62" i="7"/>
  <c r="P106" i="7" s="1"/>
  <c r="N62" i="7"/>
  <c r="M62" i="7"/>
  <c r="I62" i="7"/>
  <c r="Q61" i="7"/>
  <c r="P61" i="7"/>
  <c r="O61" i="7"/>
  <c r="N61" i="7"/>
  <c r="M61" i="7"/>
  <c r="I61" i="7"/>
  <c r="G57" i="7"/>
  <c r="Q54" i="7"/>
  <c r="K54" i="7"/>
  <c r="J52" i="7"/>
  <c r="I52" i="7"/>
  <c r="H52" i="7"/>
  <c r="G52" i="7"/>
  <c r="K52" i="7" s="1"/>
  <c r="P51" i="7"/>
  <c r="O51" i="7"/>
  <c r="N51" i="7"/>
  <c r="M51" i="7"/>
  <c r="K51" i="7"/>
  <c r="P48" i="7"/>
  <c r="O48" i="7"/>
  <c r="N48" i="7"/>
  <c r="M48" i="7"/>
  <c r="Q48" i="7" s="1"/>
  <c r="K48" i="7"/>
  <c r="P46" i="7"/>
  <c r="O46" i="7"/>
  <c r="N46" i="7"/>
  <c r="M46" i="7"/>
  <c r="Q46" i="7" s="1"/>
  <c r="K46" i="7"/>
  <c r="P44" i="7"/>
  <c r="O44" i="7"/>
  <c r="N44" i="7"/>
  <c r="M44" i="7"/>
  <c r="K44" i="7"/>
  <c r="P42" i="7"/>
  <c r="O42" i="7"/>
  <c r="N42" i="7"/>
  <c r="M42" i="7"/>
  <c r="Q42" i="7" s="1"/>
  <c r="K42" i="7"/>
  <c r="P40" i="7"/>
  <c r="O40" i="7"/>
  <c r="N40" i="7"/>
  <c r="M40" i="7"/>
  <c r="Q40" i="7" s="1"/>
  <c r="K40" i="7"/>
  <c r="P39" i="7"/>
  <c r="O39" i="7"/>
  <c r="N39" i="7"/>
  <c r="M39" i="7"/>
  <c r="K39" i="7"/>
  <c r="P38" i="7"/>
  <c r="O38" i="7"/>
  <c r="N38" i="7"/>
  <c r="M38" i="7"/>
  <c r="Q38" i="7" s="1"/>
  <c r="K38" i="7"/>
  <c r="P37" i="7"/>
  <c r="O37" i="7"/>
  <c r="N37" i="7"/>
  <c r="M37" i="7"/>
  <c r="K37" i="7"/>
  <c r="P35" i="7"/>
  <c r="P52" i="7" s="1"/>
  <c r="O35" i="7"/>
  <c r="N35" i="7"/>
  <c r="M35" i="7"/>
  <c r="M52" i="7" s="1"/>
  <c r="K35" i="7"/>
  <c r="P34" i="7"/>
  <c r="O34" i="7"/>
  <c r="N34" i="7"/>
  <c r="M34" i="7"/>
  <c r="Q34" i="7" s="1"/>
  <c r="K34" i="7"/>
  <c r="P32" i="7"/>
  <c r="M32" i="7"/>
  <c r="J32" i="7"/>
  <c r="H32" i="7"/>
  <c r="G32" i="7"/>
  <c r="P31" i="7"/>
  <c r="O31" i="7"/>
  <c r="N31" i="7"/>
  <c r="M31" i="7"/>
  <c r="Q31" i="7" s="1"/>
  <c r="I31" i="7"/>
  <c r="K31" i="7" s="1"/>
  <c r="P30" i="7"/>
  <c r="O30" i="7"/>
  <c r="N30" i="7"/>
  <c r="M30" i="7"/>
  <c r="Q30" i="7" s="1"/>
  <c r="K30" i="7"/>
  <c r="Q29" i="7"/>
  <c r="K29" i="7"/>
  <c r="P28" i="7"/>
  <c r="N28" i="7"/>
  <c r="M28" i="7"/>
  <c r="K28" i="7"/>
  <c r="I28" i="7"/>
  <c r="I32" i="7" s="1"/>
  <c r="Q27" i="7"/>
  <c r="K27" i="7"/>
  <c r="P25" i="7"/>
  <c r="J25" i="7"/>
  <c r="I25" i="7"/>
  <c r="H25" i="7"/>
  <c r="G25" i="7"/>
  <c r="K25" i="7" s="1"/>
  <c r="K24" i="7"/>
  <c r="Q24" i="7" s="1"/>
  <c r="J22" i="7"/>
  <c r="J57" i="7" s="1"/>
  <c r="J109" i="7" s="1"/>
  <c r="Y21" i="7"/>
  <c r="Y24" i="7" s="1"/>
  <c r="Q21" i="7"/>
  <c r="I21" i="7"/>
  <c r="H21" i="7"/>
  <c r="G21" i="7"/>
  <c r="P20" i="7"/>
  <c r="O20" i="7"/>
  <c r="O22" i="7" s="1"/>
  <c r="N20" i="7"/>
  <c r="M20" i="7"/>
  <c r="K20" i="7"/>
  <c r="Q19" i="7"/>
  <c r="K19" i="7"/>
  <c r="Y18" i="7"/>
  <c r="Q18" i="7"/>
  <c r="I18" i="7"/>
  <c r="K18" i="7" s="1"/>
  <c r="H18" i="7"/>
  <c r="G18" i="7"/>
  <c r="G22" i="7" s="1"/>
  <c r="P17" i="7"/>
  <c r="Q17" i="7" s="1"/>
  <c r="O17" i="7"/>
  <c r="N17" i="7"/>
  <c r="M17" i="7"/>
  <c r="K17" i="7"/>
  <c r="Q16" i="7"/>
  <c r="K16" i="7"/>
  <c r="O14" i="7"/>
  <c r="Q14" i="7" s="1"/>
  <c r="N14" i="7"/>
  <c r="M14" i="7"/>
  <c r="K14" i="7"/>
  <c r="Q13" i="7"/>
  <c r="P13" i="7"/>
  <c r="O13" i="7"/>
  <c r="N13" i="7"/>
  <c r="M13" i="7"/>
  <c r="M22" i="7" s="1"/>
  <c r="K13" i="7"/>
  <c r="O11" i="7"/>
  <c r="N11" i="7"/>
  <c r="M11" i="7"/>
  <c r="Q11" i="7" s="1"/>
  <c r="K11" i="7"/>
  <c r="Q10" i="7"/>
  <c r="K10" i="7"/>
  <c r="I131" i="6"/>
  <c r="I132" i="6" s="1"/>
  <c r="I120" i="6" s="1"/>
  <c r="H131" i="6"/>
  <c r="I130" i="6"/>
  <c r="K126" i="6"/>
  <c r="K127" i="6" s="1"/>
  <c r="K125" i="6"/>
  <c r="L100" i="6"/>
  <c r="J97" i="6"/>
  <c r="J96" i="6"/>
  <c r="Q94" i="6"/>
  <c r="P94" i="6"/>
  <c r="Q92" i="6"/>
  <c r="P92" i="6"/>
  <c r="Q91" i="6"/>
  <c r="P91" i="6"/>
  <c r="Q89" i="6"/>
  <c r="P89" i="6"/>
  <c r="Q88" i="6"/>
  <c r="P88" i="6"/>
  <c r="Q86" i="6"/>
  <c r="P86" i="6"/>
  <c r="Q85" i="6"/>
  <c r="P85" i="6"/>
  <c r="Q83" i="6"/>
  <c r="P83" i="6"/>
  <c r="Q82" i="6"/>
  <c r="P82" i="6"/>
  <c r="Q80" i="6"/>
  <c r="P80" i="6"/>
  <c r="Q79" i="6"/>
  <c r="P79" i="6"/>
  <c r="Q77" i="6"/>
  <c r="P77" i="6"/>
  <c r="Q76" i="6"/>
  <c r="P76" i="6"/>
  <c r="Q74" i="6"/>
  <c r="P74" i="6"/>
  <c r="Q73" i="6"/>
  <c r="P73" i="6"/>
  <c r="Q71" i="6"/>
  <c r="P71" i="6"/>
  <c r="Q70" i="6"/>
  <c r="P70" i="6"/>
  <c r="Q68" i="6"/>
  <c r="P68" i="6"/>
  <c r="Q67" i="6"/>
  <c r="P67" i="6"/>
  <c r="Q65" i="6"/>
  <c r="P65" i="6"/>
  <c r="Q64" i="6"/>
  <c r="P64" i="6"/>
  <c r="Z62" i="6"/>
  <c r="Q62" i="6"/>
  <c r="P62" i="6"/>
  <c r="P97" i="6" s="1"/>
  <c r="O62" i="6"/>
  <c r="N62" i="6"/>
  <c r="M62" i="6"/>
  <c r="I62" i="6"/>
  <c r="Q61" i="6"/>
  <c r="O61" i="6" s="1"/>
  <c r="P61" i="6"/>
  <c r="P96" i="6" s="1"/>
  <c r="N61" i="6"/>
  <c r="M61" i="6"/>
  <c r="I61" i="6"/>
  <c r="Q54" i="6"/>
  <c r="K54" i="6"/>
  <c r="J52" i="6"/>
  <c r="I52" i="6"/>
  <c r="H52" i="6"/>
  <c r="G52" i="6"/>
  <c r="P51" i="6"/>
  <c r="O51" i="6"/>
  <c r="N51" i="6"/>
  <c r="M51" i="6"/>
  <c r="Q51" i="6" s="1"/>
  <c r="K51" i="6"/>
  <c r="P48" i="6"/>
  <c r="O48" i="6"/>
  <c r="N48" i="6"/>
  <c r="M48" i="6"/>
  <c r="K48" i="6"/>
  <c r="P46" i="6"/>
  <c r="O46" i="6"/>
  <c r="N46" i="6"/>
  <c r="M46" i="6"/>
  <c r="Q46" i="6" s="1"/>
  <c r="K46" i="6"/>
  <c r="P44" i="6"/>
  <c r="O44" i="6"/>
  <c r="N44" i="6"/>
  <c r="M44" i="6"/>
  <c r="Q44" i="6" s="1"/>
  <c r="K44" i="6"/>
  <c r="P42" i="6"/>
  <c r="O42" i="6"/>
  <c r="N42" i="6"/>
  <c r="M42" i="6"/>
  <c r="Q42" i="6" s="1"/>
  <c r="K42" i="6"/>
  <c r="P40" i="6"/>
  <c r="O40" i="6"/>
  <c r="N40" i="6"/>
  <c r="M40" i="6"/>
  <c r="Q40" i="6" s="1"/>
  <c r="K40" i="6"/>
  <c r="P39" i="6"/>
  <c r="O39" i="6"/>
  <c r="N39" i="6"/>
  <c r="M39" i="6"/>
  <c r="Q39" i="6" s="1"/>
  <c r="K39" i="6"/>
  <c r="P38" i="6"/>
  <c r="O38" i="6"/>
  <c r="N38" i="6"/>
  <c r="M38" i="6"/>
  <c r="K38" i="6"/>
  <c r="P37" i="6"/>
  <c r="O37" i="6"/>
  <c r="N37" i="6"/>
  <c r="M37" i="6"/>
  <c r="Q37" i="6" s="1"/>
  <c r="K37" i="6"/>
  <c r="P35" i="6"/>
  <c r="O35" i="6"/>
  <c r="O52" i="6" s="1"/>
  <c r="N35" i="6"/>
  <c r="N52" i="6" s="1"/>
  <c r="M35" i="6"/>
  <c r="K35" i="6"/>
  <c r="P34" i="6"/>
  <c r="P52" i="6" s="1"/>
  <c r="O34" i="6"/>
  <c r="N34" i="6"/>
  <c r="M34" i="6"/>
  <c r="Q34" i="6" s="1"/>
  <c r="K34" i="6"/>
  <c r="N32" i="6"/>
  <c r="J32" i="6"/>
  <c r="I32" i="6"/>
  <c r="H32" i="6"/>
  <c r="G32" i="6"/>
  <c r="P31" i="6"/>
  <c r="N31" i="6"/>
  <c r="M31" i="6"/>
  <c r="K31" i="6"/>
  <c r="I31" i="6"/>
  <c r="O31" i="6" s="1"/>
  <c r="Q31" i="6" s="1"/>
  <c r="P30" i="6"/>
  <c r="O30" i="6"/>
  <c r="N30" i="6"/>
  <c r="M30" i="6"/>
  <c r="Q30" i="6" s="1"/>
  <c r="K30" i="6"/>
  <c r="Q29" i="6"/>
  <c r="K29" i="6"/>
  <c r="P28" i="6"/>
  <c r="P32" i="6" s="1"/>
  <c r="O28" i="6"/>
  <c r="O32" i="6" s="1"/>
  <c r="N28" i="6"/>
  <c r="M28" i="6"/>
  <c r="M32" i="6" s="1"/>
  <c r="K28" i="6"/>
  <c r="Q27" i="6"/>
  <c r="K27" i="6"/>
  <c r="P25" i="6"/>
  <c r="J25" i="6"/>
  <c r="I25" i="6"/>
  <c r="H25" i="6"/>
  <c r="G25" i="6"/>
  <c r="K25" i="6" s="1"/>
  <c r="K24" i="6"/>
  <c r="J22" i="6"/>
  <c r="J57" i="6" s="1"/>
  <c r="J100" i="6" s="1"/>
  <c r="Z21" i="6"/>
  <c r="Z24" i="6" s="1"/>
  <c r="Q21" i="6"/>
  <c r="I21" i="6"/>
  <c r="H21" i="6"/>
  <c r="G21" i="6"/>
  <c r="K21" i="6" s="1"/>
  <c r="P20" i="6"/>
  <c r="P22" i="6" s="1"/>
  <c r="P57" i="6" s="1"/>
  <c r="P100" i="6" s="1"/>
  <c r="O20" i="6"/>
  <c r="N20" i="6"/>
  <c r="M20" i="6"/>
  <c r="K20" i="6"/>
  <c r="Q19" i="6"/>
  <c r="K19" i="6"/>
  <c r="Z18" i="6"/>
  <c r="Q18" i="6"/>
  <c r="I18" i="6"/>
  <c r="H18" i="6"/>
  <c r="H22" i="6" s="1"/>
  <c r="H57" i="6" s="1"/>
  <c r="G18" i="6"/>
  <c r="K18" i="6" s="1"/>
  <c r="P17" i="6"/>
  <c r="O17" i="6"/>
  <c r="N17" i="6"/>
  <c r="M17" i="6"/>
  <c r="Q17" i="6" s="1"/>
  <c r="K17" i="6"/>
  <c r="Q16" i="6"/>
  <c r="K16" i="6"/>
  <c r="O14" i="6"/>
  <c r="N14" i="6"/>
  <c r="M14" i="6"/>
  <c r="Q14" i="6" s="1"/>
  <c r="K14" i="6"/>
  <c r="P13" i="6"/>
  <c r="O13" i="6"/>
  <c r="O22" i="6" s="1"/>
  <c r="N13" i="6"/>
  <c r="N22" i="6" s="1"/>
  <c r="M13" i="6"/>
  <c r="K13" i="6"/>
  <c r="O11" i="6"/>
  <c r="Q11" i="6" s="1"/>
  <c r="N11" i="6"/>
  <c r="M11" i="6"/>
  <c r="K11" i="6"/>
  <c r="Q10" i="6"/>
  <c r="K10" i="6"/>
  <c r="I127" i="5"/>
  <c r="I128" i="5" s="1"/>
  <c r="I116" i="5" s="1"/>
  <c r="H127" i="5"/>
  <c r="H128" i="5" s="1"/>
  <c r="I126" i="5"/>
  <c r="K123" i="5"/>
  <c r="K122" i="5"/>
  <c r="K121" i="5"/>
  <c r="L91" i="5"/>
  <c r="J88" i="5"/>
  <c r="P87" i="5"/>
  <c r="J87" i="5"/>
  <c r="Q85" i="5"/>
  <c r="P85" i="5"/>
  <c r="Q83" i="5"/>
  <c r="P83" i="5"/>
  <c r="Q82" i="5"/>
  <c r="P82" i="5"/>
  <c r="Q80" i="5"/>
  <c r="P80" i="5"/>
  <c r="Q79" i="5"/>
  <c r="P79" i="5"/>
  <c r="Q77" i="5"/>
  <c r="P77" i="5"/>
  <c r="Q76" i="5"/>
  <c r="P76" i="5"/>
  <c r="Q74" i="5"/>
  <c r="P74" i="5"/>
  <c r="Q73" i="5"/>
  <c r="P73" i="5"/>
  <c r="Q71" i="5"/>
  <c r="P71" i="5"/>
  <c r="Q70" i="5"/>
  <c r="P70" i="5"/>
  <c r="Q68" i="5"/>
  <c r="P68" i="5"/>
  <c r="Q67" i="5"/>
  <c r="P67" i="5"/>
  <c r="Q65" i="5"/>
  <c r="P65" i="5"/>
  <c r="Q64" i="5"/>
  <c r="P64" i="5"/>
  <c r="X62" i="5"/>
  <c r="Q62" i="5"/>
  <c r="P62" i="5"/>
  <c r="P88" i="5" s="1"/>
  <c r="O62" i="5"/>
  <c r="N62" i="5"/>
  <c r="M62" i="5"/>
  <c r="I62" i="5"/>
  <c r="Q61" i="5"/>
  <c r="O61" i="5" s="1"/>
  <c r="P61" i="5"/>
  <c r="N61" i="5"/>
  <c r="M61" i="5"/>
  <c r="I61" i="5"/>
  <c r="Q54" i="5"/>
  <c r="K54" i="5"/>
  <c r="J52" i="5"/>
  <c r="I52" i="5"/>
  <c r="H52" i="5"/>
  <c r="G52" i="5"/>
  <c r="K52" i="5" s="1"/>
  <c r="Q51" i="5"/>
  <c r="P51" i="5"/>
  <c r="O51" i="5"/>
  <c r="N51" i="5"/>
  <c r="M51" i="5"/>
  <c r="K51" i="5"/>
  <c r="P48" i="5"/>
  <c r="O48" i="5"/>
  <c r="N48" i="5"/>
  <c r="M48" i="5"/>
  <c r="Q48" i="5" s="1"/>
  <c r="K48" i="5"/>
  <c r="P46" i="5"/>
  <c r="O46" i="5"/>
  <c r="N46" i="5"/>
  <c r="M46" i="5"/>
  <c r="Q46" i="5" s="1"/>
  <c r="K46" i="5"/>
  <c r="P44" i="5"/>
  <c r="O44" i="5"/>
  <c r="N44" i="5"/>
  <c r="M44" i="5"/>
  <c r="Q44" i="5" s="1"/>
  <c r="K44" i="5"/>
  <c r="P42" i="5"/>
  <c r="O42" i="5"/>
  <c r="N42" i="5"/>
  <c r="M42" i="5"/>
  <c r="Q42" i="5" s="1"/>
  <c r="K42" i="5"/>
  <c r="P40" i="5"/>
  <c r="O40" i="5"/>
  <c r="N40" i="5"/>
  <c r="M40" i="5"/>
  <c r="Q40" i="5" s="1"/>
  <c r="K40" i="5"/>
  <c r="P39" i="5"/>
  <c r="O39" i="5"/>
  <c r="N39" i="5"/>
  <c r="M39" i="5"/>
  <c r="Q39" i="5" s="1"/>
  <c r="K39" i="5"/>
  <c r="P38" i="5"/>
  <c r="O38" i="5"/>
  <c r="N38" i="5"/>
  <c r="M38" i="5"/>
  <c r="Q38" i="5" s="1"/>
  <c r="K38" i="5"/>
  <c r="P37" i="5"/>
  <c r="O37" i="5"/>
  <c r="N37" i="5"/>
  <c r="M37" i="5"/>
  <c r="Q37" i="5" s="1"/>
  <c r="K37" i="5"/>
  <c r="P35" i="5"/>
  <c r="O35" i="5"/>
  <c r="O52" i="5" s="1"/>
  <c r="N35" i="5"/>
  <c r="M35" i="5"/>
  <c r="Q35" i="5" s="1"/>
  <c r="K35" i="5"/>
  <c r="P34" i="5"/>
  <c r="P52" i="5" s="1"/>
  <c r="O34" i="5"/>
  <c r="N34" i="5"/>
  <c r="N52" i="5" s="1"/>
  <c r="M34" i="5"/>
  <c r="M52" i="5" s="1"/>
  <c r="K34" i="5"/>
  <c r="J32" i="5"/>
  <c r="I32" i="5"/>
  <c r="H32" i="5"/>
  <c r="G32" i="5"/>
  <c r="K32" i="5" s="1"/>
  <c r="P31" i="5"/>
  <c r="O31" i="5"/>
  <c r="N31" i="5"/>
  <c r="M31" i="5"/>
  <c r="Q31" i="5" s="1"/>
  <c r="K31" i="5"/>
  <c r="P30" i="5"/>
  <c r="O30" i="5"/>
  <c r="N30" i="5"/>
  <c r="M30" i="5"/>
  <c r="Q30" i="5" s="1"/>
  <c r="K30" i="5"/>
  <c r="Q29" i="5"/>
  <c r="K29" i="5"/>
  <c r="P28" i="5"/>
  <c r="P32" i="5" s="1"/>
  <c r="O28" i="5"/>
  <c r="O32" i="5" s="1"/>
  <c r="N28" i="5"/>
  <c r="N32" i="5" s="1"/>
  <c r="M28" i="5"/>
  <c r="M32" i="5" s="1"/>
  <c r="K28" i="5"/>
  <c r="Q27" i="5"/>
  <c r="K27" i="5"/>
  <c r="P25" i="5"/>
  <c r="J25" i="5"/>
  <c r="I25" i="5"/>
  <c r="H25" i="5"/>
  <c r="G25" i="5"/>
  <c r="K25" i="5" s="1"/>
  <c r="K24" i="5"/>
  <c r="Q24" i="5" s="1"/>
  <c r="J22" i="5"/>
  <c r="J57" i="5" s="1"/>
  <c r="J91" i="5" s="1"/>
  <c r="I22" i="5"/>
  <c r="I57" i="5" s="1"/>
  <c r="H22" i="5"/>
  <c r="H57" i="5" s="1"/>
  <c r="G22" i="5"/>
  <c r="G57" i="5" s="1"/>
  <c r="X21" i="5"/>
  <c r="X24" i="5" s="1"/>
  <c r="Q21" i="5"/>
  <c r="K21" i="5"/>
  <c r="P20" i="5"/>
  <c r="O20" i="5"/>
  <c r="N20" i="5"/>
  <c r="M20" i="5"/>
  <c r="Q20" i="5" s="1"/>
  <c r="K20" i="5"/>
  <c r="Q19" i="5"/>
  <c r="K19" i="5"/>
  <c r="X18" i="5"/>
  <c r="Q18" i="5"/>
  <c r="K18" i="5"/>
  <c r="P17" i="5"/>
  <c r="O17" i="5"/>
  <c r="O22" i="5" s="1"/>
  <c r="N17" i="5"/>
  <c r="M17" i="5"/>
  <c r="Q17" i="5" s="1"/>
  <c r="K17" i="5"/>
  <c r="Q16" i="5"/>
  <c r="K16" i="5"/>
  <c r="O14" i="5"/>
  <c r="N14" i="5"/>
  <c r="Q14" i="5" s="1"/>
  <c r="M14" i="5"/>
  <c r="K14" i="5"/>
  <c r="P13" i="5"/>
  <c r="P22" i="5" s="1"/>
  <c r="O13" i="5"/>
  <c r="N13" i="5"/>
  <c r="N22" i="5" s="1"/>
  <c r="M13" i="5"/>
  <c r="M22" i="5" s="1"/>
  <c r="K13" i="5"/>
  <c r="O11" i="5"/>
  <c r="N11" i="5"/>
  <c r="M11" i="5"/>
  <c r="Q11" i="5" s="1"/>
  <c r="K11" i="5"/>
  <c r="Q10" i="5"/>
  <c r="K10" i="5"/>
  <c r="M24" i="11" l="1"/>
  <c r="M25" i="11" s="1"/>
  <c r="N24" i="11"/>
  <c r="N25" i="11" s="1"/>
  <c r="N57" i="11" s="1"/>
  <c r="O24" i="11"/>
  <c r="O25" i="11" s="1"/>
  <c r="O57" i="11" s="1"/>
  <c r="O106" i="11" s="1"/>
  <c r="K57" i="11"/>
  <c r="I102" i="11"/>
  <c r="I106" i="11" s="1"/>
  <c r="M57" i="11"/>
  <c r="N70" i="11"/>
  <c r="N64" i="11"/>
  <c r="H100" i="11"/>
  <c r="N100" i="11" s="1"/>
  <c r="H98" i="11"/>
  <c r="N98" i="11" s="1"/>
  <c r="H97" i="11"/>
  <c r="N97" i="11" s="1"/>
  <c r="H95" i="11"/>
  <c r="N95" i="11" s="1"/>
  <c r="H94" i="11"/>
  <c r="N94" i="11" s="1"/>
  <c r="H91" i="11"/>
  <c r="N91" i="11" s="1"/>
  <c r="H89" i="11"/>
  <c r="N89" i="11" s="1"/>
  <c r="H86" i="11"/>
  <c r="N86" i="11" s="1"/>
  <c r="H83" i="11"/>
  <c r="N83" i="11" s="1"/>
  <c r="H80" i="11"/>
  <c r="N80" i="11" s="1"/>
  <c r="H77" i="11"/>
  <c r="N77" i="11" s="1"/>
  <c r="H74" i="11"/>
  <c r="N74" i="11" s="1"/>
  <c r="H71" i="11"/>
  <c r="N71" i="11" s="1"/>
  <c r="H68" i="11"/>
  <c r="N68" i="11" s="1"/>
  <c r="H65" i="11"/>
  <c r="H92" i="11"/>
  <c r="N92" i="11" s="1"/>
  <c r="H88" i="11"/>
  <c r="N88" i="11" s="1"/>
  <c r="H85" i="11"/>
  <c r="N85" i="11" s="1"/>
  <c r="H82" i="11"/>
  <c r="N82" i="11" s="1"/>
  <c r="H79" i="11"/>
  <c r="N79" i="11" s="1"/>
  <c r="H76" i="11"/>
  <c r="N76" i="11" s="1"/>
  <c r="H73" i="11"/>
  <c r="N73" i="11" s="1"/>
  <c r="H70" i="11"/>
  <c r="H67" i="11"/>
  <c r="N67" i="11" s="1"/>
  <c r="H64" i="11"/>
  <c r="G100" i="11"/>
  <c r="M100" i="11" s="1"/>
  <c r="G98" i="11"/>
  <c r="M98" i="11" s="1"/>
  <c r="G97" i="11"/>
  <c r="M97" i="11" s="1"/>
  <c r="G95" i="11"/>
  <c r="M95" i="11" s="1"/>
  <c r="G94" i="11"/>
  <c r="M94" i="11" s="1"/>
  <c r="G92" i="11"/>
  <c r="M92" i="11" s="1"/>
  <c r="G91" i="11"/>
  <c r="M91" i="11" s="1"/>
  <c r="G89" i="11"/>
  <c r="M89" i="11" s="1"/>
  <c r="G88" i="11"/>
  <c r="M88" i="11" s="1"/>
  <c r="G86" i="11"/>
  <c r="M86" i="11" s="1"/>
  <c r="G85" i="11"/>
  <c r="M85" i="11" s="1"/>
  <c r="G83" i="11"/>
  <c r="M83" i="11" s="1"/>
  <c r="G82" i="11"/>
  <c r="M82" i="11" s="1"/>
  <c r="G80" i="11"/>
  <c r="M80" i="11" s="1"/>
  <c r="G79" i="11"/>
  <c r="M79" i="11" s="1"/>
  <c r="G77" i="11"/>
  <c r="M77" i="11" s="1"/>
  <c r="G76" i="11"/>
  <c r="M76" i="11" s="1"/>
  <c r="G74" i="11"/>
  <c r="M74" i="11" s="1"/>
  <c r="G73" i="11"/>
  <c r="M73" i="11" s="1"/>
  <c r="G71" i="11"/>
  <c r="M71" i="11" s="1"/>
  <c r="G70" i="11"/>
  <c r="G68" i="11"/>
  <c r="M68" i="11" s="1"/>
  <c r="G67" i="11"/>
  <c r="M67" i="11" s="1"/>
  <c r="G65" i="11"/>
  <c r="G64" i="11"/>
  <c r="G102" i="11" s="1"/>
  <c r="M70" i="11"/>
  <c r="M64" i="11"/>
  <c r="O103" i="11"/>
  <c r="I103" i="11"/>
  <c r="Q24" i="10"/>
  <c r="I131" i="10"/>
  <c r="I114" i="10" s="1"/>
  <c r="J166" i="10"/>
  <c r="J171" i="10" s="1"/>
  <c r="J161" i="10"/>
  <c r="K18" i="10"/>
  <c r="K22" i="10"/>
  <c r="Q13" i="10"/>
  <c r="Q22" i="10" s="1"/>
  <c r="K21" i="10"/>
  <c r="Q52" i="10"/>
  <c r="Q39" i="10"/>
  <c r="Q46" i="10"/>
  <c r="H135" i="10"/>
  <c r="H137" i="10" s="1"/>
  <c r="H157" i="10" s="1"/>
  <c r="H159" i="10" s="1"/>
  <c r="K126" i="10"/>
  <c r="H131" i="10" s="1"/>
  <c r="G135" i="10"/>
  <c r="G137" i="10" s="1"/>
  <c r="G157" i="10" s="1"/>
  <c r="Q20" i="10"/>
  <c r="G57" i="10"/>
  <c r="P57" i="10"/>
  <c r="P87" i="10" s="1"/>
  <c r="O32" i="10"/>
  <c r="Q28" i="10"/>
  <c r="Q32" i="10"/>
  <c r="K32" i="10"/>
  <c r="Q35" i="10"/>
  <c r="Q40" i="10"/>
  <c r="Q48" i="10"/>
  <c r="I135" i="10"/>
  <c r="I137" i="10" s="1"/>
  <c r="I157" i="10" s="1"/>
  <c r="I159" i="10" s="1"/>
  <c r="I148" i="10"/>
  <c r="I150" i="10" s="1"/>
  <c r="Q34" i="10"/>
  <c r="O64" i="9"/>
  <c r="I91" i="9"/>
  <c r="O91" i="9" s="1"/>
  <c r="I89" i="9"/>
  <c r="O89" i="9" s="1"/>
  <c r="I88" i="9"/>
  <c r="O88" i="9" s="1"/>
  <c r="I86" i="9"/>
  <c r="O86" i="9" s="1"/>
  <c r="I85" i="9"/>
  <c r="O85" i="9" s="1"/>
  <c r="I83" i="9"/>
  <c r="O83" i="9" s="1"/>
  <c r="I82" i="9"/>
  <c r="O82" i="9" s="1"/>
  <c r="I80" i="9"/>
  <c r="O80" i="9" s="1"/>
  <c r="I79" i="9"/>
  <c r="O79" i="9" s="1"/>
  <c r="I77" i="9"/>
  <c r="O77" i="9" s="1"/>
  <c r="I76" i="9"/>
  <c r="O76" i="9" s="1"/>
  <c r="I74" i="9"/>
  <c r="O74" i="9" s="1"/>
  <c r="I73" i="9"/>
  <c r="O73" i="9" s="1"/>
  <c r="I71" i="9"/>
  <c r="O71" i="9" s="1"/>
  <c r="I70" i="9"/>
  <c r="O70" i="9" s="1"/>
  <c r="I68" i="9"/>
  <c r="O68" i="9" s="1"/>
  <c r="I67" i="9"/>
  <c r="O67" i="9" s="1"/>
  <c r="I65" i="9"/>
  <c r="O65" i="9" s="1"/>
  <c r="I64" i="9"/>
  <c r="I95" i="9" s="1"/>
  <c r="I99" i="9" s="1"/>
  <c r="G57" i="9"/>
  <c r="G133" i="9"/>
  <c r="G117" i="9" s="1"/>
  <c r="H117" i="9"/>
  <c r="Q13" i="9"/>
  <c r="Q22" i="9" s="1"/>
  <c r="AC24" i="9"/>
  <c r="Q24" i="9" s="1"/>
  <c r="M22" i="9"/>
  <c r="M32" i="9"/>
  <c r="Q32" i="9" s="1"/>
  <c r="O62" i="9"/>
  <c r="O96" i="9" s="1"/>
  <c r="G156" i="9"/>
  <c r="H57" i="9"/>
  <c r="N52" i="9"/>
  <c r="M52" i="9"/>
  <c r="Q35" i="9"/>
  <c r="Q42" i="9"/>
  <c r="Q14" i="9"/>
  <c r="K21" i="9"/>
  <c r="Q28" i="9"/>
  <c r="O52" i="9"/>
  <c r="Q39" i="9"/>
  <c r="I144" i="9"/>
  <c r="I145" i="9" s="1"/>
  <c r="I147" i="9" s="1"/>
  <c r="J163" i="9"/>
  <c r="J168" i="9" s="1"/>
  <c r="J158" i="9"/>
  <c r="H154" i="9"/>
  <c r="H156" i="9" s="1"/>
  <c r="Q52" i="8"/>
  <c r="Q13" i="8"/>
  <c r="Q22" i="8" s="1"/>
  <c r="I32" i="8"/>
  <c r="K32" i="8" s="1"/>
  <c r="K31" i="8"/>
  <c r="I154" i="8"/>
  <c r="I137" i="8" s="1"/>
  <c r="H179" i="8"/>
  <c r="H184" i="8"/>
  <c r="H189" i="8" s="1"/>
  <c r="K22" i="8"/>
  <c r="Q38" i="8"/>
  <c r="J184" i="8"/>
  <c r="J189" i="8" s="1"/>
  <c r="J179" i="8"/>
  <c r="AB24" i="8"/>
  <c r="Q24" i="8" s="1"/>
  <c r="N52" i="8"/>
  <c r="Q42" i="8"/>
  <c r="G57" i="8"/>
  <c r="I179" i="8"/>
  <c r="P22" i="8"/>
  <c r="P57" i="8" s="1"/>
  <c r="P117" i="8" s="1"/>
  <c r="O31" i="8"/>
  <c r="O32" i="8" s="1"/>
  <c r="Q32" i="8" s="1"/>
  <c r="O52" i="8"/>
  <c r="Q39" i="8"/>
  <c r="H154" i="8"/>
  <c r="K175" i="8"/>
  <c r="K177" i="8" s="1"/>
  <c r="K179" i="8" s="1"/>
  <c r="G177" i="8"/>
  <c r="Q52" i="7"/>
  <c r="I22" i="7"/>
  <c r="I57" i="7" s="1"/>
  <c r="N32" i="7"/>
  <c r="Q32" i="7" s="1"/>
  <c r="Q28" i="7"/>
  <c r="I100" i="7"/>
  <c r="O100" i="7" s="1"/>
  <c r="I98" i="7"/>
  <c r="O98" i="7" s="1"/>
  <c r="I97" i="7"/>
  <c r="O97" i="7" s="1"/>
  <c r="I95" i="7"/>
  <c r="O95" i="7" s="1"/>
  <c r="I94" i="7"/>
  <c r="O94" i="7" s="1"/>
  <c r="I92" i="7"/>
  <c r="O92" i="7" s="1"/>
  <c r="I91" i="7"/>
  <c r="O91" i="7" s="1"/>
  <c r="I89" i="7"/>
  <c r="O89" i="7" s="1"/>
  <c r="I88" i="7"/>
  <c r="O88" i="7" s="1"/>
  <c r="I86" i="7"/>
  <c r="O86" i="7" s="1"/>
  <c r="I85" i="7"/>
  <c r="O85" i="7" s="1"/>
  <c r="I83" i="7"/>
  <c r="O83" i="7" s="1"/>
  <c r="I82" i="7"/>
  <c r="O82" i="7" s="1"/>
  <c r="I80" i="7"/>
  <c r="O80" i="7" s="1"/>
  <c r="I79" i="7"/>
  <c r="O79" i="7" s="1"/>
  <c r="I77" i="7"/>
  <c r="O77" i="7" s="1"/>
  <c r="I76" i="7"/>
  <c r="O76" i="7" s="1"/>
  <c r="I74" i="7"/>
  <c r="O74" i="7" s="1"/>
  <c r="I73" i="7"/>
  <c r="O73" i="7" s="1"/>
  <c r="I71" i="7"/>
  <c r="O71" i="7" s="1"/>
  <c r="I70" i="7"/>
  <c r="I68" i="7"/>
  <c r="O68" i="7" s="1"/>
  <c r="I67" i="7"/>
  <c r="O67" i="7" s="1"/>
  <c r="I65" i="7"/>
  <c r="O65" i="7" s="1"/>
  <c r="O70" i="7"/>
  <c r="O64" i="7"/>
  <c r="I101" i="7"/>
  <c r="O101" i="7" s="1"/>
  <c r="O24" i="7"/>
  <c r="O25" i="7" s="1"/>
  <c r="N24" i="7"/>
  <c r="N25" i="7" s="1"/>
  <c r="K32" i="7"/>
  <c r="O62" i="7"/>
  <c r="I103" i="7"/>
  <c r="O103" i="7" s="1"/>
  <c r="N22" i="7"/>
  <c r="N52" i="7"/>
  <c r="Q35" i="7"/>
  <c r="Q44" i="7"/>
  <c r="G141" i="7"/>
  <c r="G129" i="7" s="1"/>
  <c r="H129" i="7"/>
  <c r="O52" i="7"/>
  <c r="Q39" i="7"/>
  <c r="O105" i="7"/>
  <c r="P22" i="7"/>
  <c r="P57" i="7" s="1"/>
  <c r="H22" i="7"/>
  <c r="H57" i="7" s="1"/>
  <c r="Q20" i="7"/>
  <c r="Q22" i="7" s="1"/>
  <c r="K21" i="7"/>
  <c r="Q37" i="7"/>
  <c r="Q51" i="7"/>
  <c r="P105" i="7"/>
  <c r="O28" i="7"/>
  <c r="O32" i="7" s="1"/>
  <c r="O57" i="7" s="1"/>
  <c r="O109" i="7" s="1"/>
  <c r="I94" i="6"/>
  <c r="O94" i="6" s="1"/>
  <c r="I92" i="6"/>
  <c r="O92" i="6" s="1"/>
  <c r="I91" i="6"/>
  <c r="O91" i="6" s="1"/>
  <c r="I89" i="6"/>
  <c r="O89" i="6" s="1"/>
  <c r="I88" i="6"/>
  <c r="O88" i="6" s="1"/>
  <c r="I86" i="6"/>
  <c r="O86" i="6" s="1"/>
  <c r="I85" i="6"/>
  <c r="O85" i="6" s="1"/>
  <c r="I83" i="6"/>
  <c r="O83" i="6" s="1"/>
  <c r="I82" i="6"/>
  <c r="O82" i="6" s="1"/>
  <c r="I80" i="6"/>
  <c r="O80" i="6" s="1"/>
  <c r="I79" i="6"/>
  <c r="O79" i="6" s="1"/>
  <c r="I77" i="6"/>
  <c r="O77" i="6" s="1"/>
  <c r="I76" i="6"/>
  <c r="O76" i="6" s="1"/>
  <c r="I74" i="6"/>
  <c r="O74" i="6" s="1"/>
  <c r="I73" i="6"/>
  <c r="O73" i="6" s="1"/>
  <c r="I71" i="6"/>
  <c r="O71" i="6" s="1"/>
  <c r="I70" i="6"/>
  <c r="I68" i="6"/>
  <c r="O68" i="6" s="1"/>
  <c r="I67" i="6"/>
  <c r="O67" i="6" s="1"/>
  <c r="I65" i="6"/>
  <c r="I64" i="6"/>
  <c r="I96" i="6" s="1"/>
  <c r="O70" i="6"/>
  <c r="O64" i="6"/>
  <c r="O96" i="6" s="1"/>
  <c r="Q20" i="6"/>
  <c r="Q32" i="6"/>
  <c r="K52" i="6"/>
  <c r="I22" i="6"/>
  <c r="I57" i="6" s="1"/>
  <c r="G22" i="6"/>
  <c r="K32" i="6"/>
  <c r="Q38" i="6"/>
  <c r="M52" i="6"/>
  <c r="Q52" i="6" s="1"/>
  <c r="Q13" i="6"/>
  <c r="Q22" i="6" s="1"/>
  <c r="Q24" i="6"/>
  <c r="Q35" i="6"/>
  <c r="Q48" i="6"/>
  <c r="H132" i="6"/>
  <c r="M22" i="6"/>
  <c r="Q28" i="6"/>
  <c r="K57" i="5"/>
  <c r="O24" i="5"/>
  <c r="O25" i="5" s="1"/>
  <c r="N24" i="5"/>
  <c r="N25" i="5" s="1"/>
  <c r="N57" i="5" s="1"/>
  <c r="O57" i="5"/>
  <c r="Q32" i="5"/>
  <c r="H116" i="5"/>
  <c r="G128" i="5"/>
  <c r="G116" i="5" s="1"/>
  <c r="Q52" i="5"/>
  <c r="I85" i="5"/>
  <c r="O85" i="5" s="1"/>
  <c r="I83" i="5"/>
  <c r="O83" i="5" s="1"/>
  <c r="I82" i="5"/>
  <c r="O82" i="5" s="1"/>
  <c r="I80" i="5"/>
  <c r="O80" i="5" s="1"/>
  <c r="I79" i="5"/>
  <c r="O79" i="5" s="1"/>
  <c r="I77" i="5"/>
  <c r="O77" i="5" s="1"/>
  <c r="I76" i="5"/>
  <c r="O76" i="5" s="1"/>
  <c r="I74" i="5"/>
  <c r="O74" i="5" s="1"/>
  <c r="I73" i="5"/>
  <c r="O73" i="5" s="1"/>
  <c r="I71" i="5"/>
  <c r="O71" i="5" s="1"/>
  <c r="I70" i="5"/>
  <c r="I68" i="5"/>
  <c r="O68" i="5" s="1"/>
  <c r="I67" i="5"/>
  <c r="O67" i="5" s="1"/>
  <c r="I65" i="5"/>
  <c r="I64" i="5"/>
  <c r="O70" i="5"/>
  <c r="O64" i="5"/>
  <c r="P57" i="5"/>
  <c r="P91" i="5" s="1"/>
  <c r="I87" i="5"/>
  <c r="I91" i="5" s="1"/>
  <c r="O87" i="5"/>
  <c r="Q34" i="5"/>
  <c r="Q13" i="5"/>
  <c r="Q22" i="5" s="1"/>
  <c r="K22" i="5"/>
  <c r="Q28" i="5"/>
  <c r="H102" i="11" l="1"/>
  <c r="H106" i="11" s="1"/>
  <c r="Q25" i="11"/>
  <c r="M102" i="11"/>
  <c r="N65" i="11"/>
  <c r="N103" i="11" s="1"/>
  <c r="H103" i="11"/>
  <c r="K102" i="11"/>
  <c r="K106" i="11" s="1"/>
  <c r="G106" i="11"/>
  <c r="M106" i="11"/>
  <c r="Q57" i="11"/>
  <c r="M65" i="11"/>
  <c r="M103" i="11" s="1"/>
  <c r="Q103" i="11" s="1"/>
  <c r="G103" i="11"/>
  <c r="N102" i="11"/>
  <c r="N106" i="11" s="1"/>
  <c r="K57" i="10"/>
  <c r="K157" i="10"/>
  <c r="K159" i="10" s="1"/>
  <c r="K161" i="10" s="1"/>
  <c r="G159" i="10"/>
  <c r="I79" i="10"/>
  <c r="O79" i="10" s="1"/>
  <c r="I77" i="10"/>
  <c r="O77" i="10" s="1"/>
  <c r="I76" i="10"/>
  <c r="O76" i="10" s="1"/>
  <c r="I74" i="10"/>
  <c r="O74" i="10" s="1"/>
  <c r="I73" i="10"/>
  <c r="O73" i="10" s="1"/>
  <c r="I71" i="10"/>
  <c r="O71" i="10" s="1"/>
  <c r="I70" i="10"/>
  <c r="I68" i="10"/>
  <c r="O68" i="10" s="1"/>
  <c r="I67" i="10"/>
  <c r="O67" i="10" s="1"/>
  <c r="I65" i="10"/>
  <c r="I64" i="10"/>
  <c r="O70" i="10"/>
  <c r="O64" i="10"/>
  <c r="G131" i="10"/>
  <c r="G114" i="10" s="1"/>
  <c r="H114" i="10"/>
  <c r="H161" i="10"/>
  <c r="H166" i="10"/>
  <c r="H171" i="10" s="1"/>
  <c r="I166" i="10"/>
  <c r="I171" i="10" s="1"/>
  <c r="I161" i="10"/>
  <c r="O24" i="10"/>
  <c r="O25" i="10" s="1"/>
  <c r="O57" i="10" s="1"/>
  <c r="N24" i="10"/>
  <c r="N25" i="10" s="1"/>
  <c r="N57" i="10" s="1"/>
  <c r="M24" i="10"/>
  <c r="M25" i="10" s="1"/>
  <c r="N24" i="9"/>
  <c r="N25" i="9" s="1"/>
  <c r="N57" i="9" s="1"/>
  <c r="M24" i="9"/>
  <c r="M25" i="9" s="1"/>
  <c r="O24" i="9"/>
  <c r="O25" i="9" s="1"/>
  <c r="O57" i="9" s="1"/>
  <c r="H158" i="9"/>
  <c r="H163" i="9"/>
  <c r="H168" i="9" s="1"/>
  <c r="Q52" i="9"/>
  <c r="G163" i="9"/>
  <c r="G158" i="9"/>
  <c r="K57" i="9"/>
  <c r="K154" i="9"/>
  <c r="K156" i="9" s="1"/>
  <c r="K158" i="9" s="1"/>
  <c r="H88" i="9"/>
  <c r="N88" i="9" s="1"/>
  <c r="H86" i="9"/>
  <c r="N86" i="9" s="1"/>
  <c r="H85" i="9"/>
  <c r="N85" i="9" s="1"/>
  <c r="H83" i="9"/>
  <c r="N83" i="9" s="1"/>
  <c r="H82" i="9"/>
  <c r="N82" i="9" s="1"/>
  <c r="H80" i="9"/>
  <c r="N80" i="9" s="1"/>
  <c r="H79" i="9"/>
  <c r="N79" i="9" s="1"/>
  <c r="H77" i="9"/>
  <c r="N77" i="9" s="1"/>
  <c r="H76" i="9"/>
  <c r="N76" i="9" s="1"/>
  <c r="H74" i="9"/>
  <c r="N74" i="9" s="1"/>
  <c r="H73" i="9"/>
  <c r="N73" i="9" s="1"/>
  <c r="H71" i="9"/>
  <c r="N71" i="9" s="1"/>
  <c r="H70" i="9"/>
  <c r="N70" i="9" s="1"/>
  <c r="H91" i="9"/>
  <c r="N91" i="9" s="1"/>
  <c r="H89" i="9"/>
  <c r="N89" i="9" s="1"/>
  <c r="H68" i="9"/>
  <c r="N68" i="9" s="1"/>
  <c r="H67" i="9"/>
  <c r="N67" i="9" s="1"/>
  <c r="H65" i="9"/>
  <c r="H64" i="9"/>
  <c r="N64" i="9"/>
  <c r="I96" i="9"/>
  <c r="M57" i="9"/>
  <c r="M64" i="9"/>
  <c r="G64" i="9"/>
  <c r="G89" i="9"/>
  <c r="M89" i="9" s="1"/>
  <c r="G91" i="9"/>
  <c r="M91" i="9" s="1"/>
  <c r="G88" i="9"/>
  <c r="M88" i="9" s="1"/>
  <c r="G86" i="9"/>
  <c r="M86" i="9" s="1"/>
  <c r="G85" i="9"/>
  <c r="M85" i="9" s="1"/>
  <c r="G83" i="9"/>
  <c r="M83" i="9" s="1"/>
  <c r="G82" i="9"/>
  <c r="M82" i="9" s="1"/>
  <c r="G80" i="9"/>
  <c r="M80" i="9" s="1"/>
  <c r="G79" i="9"/>
  <c r="M79" i="9" s="1"/>
  <c r="G77" i="9"/>
  <c r="M77" i="9" s="1"/>
  <c r="G76" i="9"/>
  <c r="M76" i="9" s="1"/>
  <c r="G74" i="9"/>
  <c r="M74" i="9" s="1"/>
  <c r="G73" i="9"/>
  <c r="M73" i="9" s="1"/>
  <c r="G71" i="9"/>
  <c r="M71" i="9" s="1"/>
  <c r="G70" i="9"/>
  <c r="M70" i="9" s="1"/>
  <c r="G68" i="9"/>
  <c r="M68" i="9" s="1"/>
  <c r="G67" i="9"/>
  <c r="M67" i="9" s="1"/>
  <c r="G65" i="9"/>
  <c r="O95" i="9"/>
  <c r="N24" i="8"/>
  <c r="N25" i="8" s="1"/>
  <c r="N57" i="8" s="1"/>
  <c r="O24" i="8"/>
  <c r="O25" i="8" s="1"/>
  <c r="O57" i="8" s="1"/>
  <c r="G179" i="8"/>
  <c r="G184" i="8"/>
  <c r="Q31" i="8"/>
  <c r="I103" i="8"/>
  <c r="O103" i="8" s="1"/>
  <c r="I101" i="8"/>
  <c r="O101" i="8" s="1"/>
  <c r="I100" i="8"/>
  <c r="O100" i="8" s="1"/>
  <c r="I98" i="8"/>
  <c r="O98" i="8" s="1"/>
  <c r="I97" i="8"/>
  <c r="O97" i="8" s="1"/>
  <c r="I95" i="8"/>
  <c r="O95" i="8" s="1"/>
  <c r="I94" i="8"/>
  <c r="O94" i="8" s="1"/>
  <c r="I92" i="8"/>
  <c r="O92" i="8" s="1"/>
  <c r="I91" i="8"/>
  <c r="O91" i="8" s="1"/>
  <c r="I89" i="8"/>
  <c r="O89" i="8" s="1"/>
  <c r="I88" i="8"/>
  <c r="O88" i="8" s="1"/>
  <c r="I86" i="8"/>
  <c r="O86" i="8" s="1"/>
  <c r="I85" i="8"/>
  <c r="O85" i="8" s="1"/>
  <c r="I83" i="8"/>
  <c r="O83" i="8" s="1"/>
  <c r="I82" i="8"/>
  <c r="O82" i="8" s="1"/>
  <c r="I80" i="8"/>
  <c r="O80" i="8" s="1"/>
  <c r="I79" i="8"/>
  <c r="O79" i="8" s="1"/>
  <c r="I77" i="8"/>
  <c r="O77" i="8" s="1"/>
  <c r="I76" i="8"/>
  <c r="O76" i="8" s="1"/>
  <c r="I74" i="8"/>
  <c r="O74" i="8" s="1"/>
  <c r="I73" i="8"/>
  <c r="O73" i="8" s="1"/>
  <c r="I71" i="8"/>
  <c r="O71" i="8" s="1"/>
  <c r="I70" i="8"/>
  <c r="O70" i="8" s="1"/>
  <c r="I68" i="8"/>
  <c r="O68" i="8" s="1"/>
  <c r="I67" i="8"/>
  <c r="O67" i="8" s="1"/>
  <c r="I65" i="8"/>
  <c r="I109" i="8"/>
  <c r="O109" i="8" s="1"/>
  <c r="I107" i="8"/>
  <c r="O107" i="8" s="1"/>
  <c r="I106" i="8"/>
  <c r="O106" i="8" s="1"/>
  <c r="I64" i="8"/>
  <c r="I104" i="8"/>
  <c r="O104" i="8" s="1"/>
  <c r="O64" i="8"/>
  <c r="I57" i="8"/>
  <c r="H137" i="8"/>
  <c r="G154" i="8"/>
  <c r="G137" i="8" s="1"/>
  <c r="H103" i="7"/>
  <c r="N103" i="7" s="1"/>
  <c r="H101" i="7"/>
  <c r="N101" i="7" s="1"/>
  <c r="H86" i="7"/>
  <c r="N86" i="7" s="1"/>
  <c r="H85" i="7"/>
  <c r="N85" i="7" s="1"/>
  <c r="H83" i="7"/>
  <c r="N83" i="7" s="1"/>
  <c r="H82" i="7"/>
  <c r="N82" i="7" s="1"/>
  <c r="H100" i="7"/>
  <c r="N100" i="7" s="1"/>
  <c r="H98" i="7"/>
  <c r="N98" i="7" s="1"/>
  <c r="H97" i="7"/>
  <c r="N97" i="7" s="1"/>
  <c r="H95" i="7"/>
  <c r="N95" i="7" s="1"/>
  <c r="H94" i="7"/>
  <c r="N94" i="7" s="1"/>
  <c r="H92" i="7"/>
  <c r="N92" i="7" s="1"/>
  <c r="H91" i="7"/>
  <c r="N91" i="7" s="1"/>
  <c r="H89" i="7"/>
  <c r="N89" i="7" s="1"/>
  <c r="H88" i="7"/>
  <c r="N88" i="7" s="1"/>
  <c r="H80" i="7"/>
  <c r="N80" i="7" s="1"/>
  <c r="H79" i="7"/>
  <c r="N79" i="7" s="1"/>
  <c r="H77" i="7"/>
  <c r="N77" i="7" s="1"/>
  <c r="H76" i="7"/>
  <c r="N76" i="7" s="1"/>
  <c r="H74" i="7"/>
  <c r="N74" i="7" s="1"/>
  <c r="H71" i="7"/>
  <c r="N71" i="7" s="1"/>
  <c r="H68" i="7"/>
  <c r="N68" i="7" s="1"/>
  <c r="H65" i="7"/>
  <c r="H64" i="7"/>
  <c r="H105" i="7" s="1"/>
  <c r="H109" i="7" s="1"/>
  <c r="N70" i="7"/>
  <c r="N64" i="7"/>
  <c r="H73" i="7"/>
  <c r="N73" i="7" s="1"/>
  <c r="H70" i="7"/>
  <c r="H67" i="7"/>
  <c r="N67" i="7" s="1"/>
  <c r="P109" i="7"/>
  <c r="M70" i="7"/>
  <c r="M64" i="7"/>
  <c r="G64" i="7"/>
  <c r="G103" i="7"/>
  <c r="M103" i="7" s="1"/>
  <c r="G101" i="7"/>
  <c r="M101" i="7" s="1"/>
  <c r="G100" i="7"/>
  <c r="M100" i="7" s="1"/>
  <c r="G98" i="7"/>
  <c r="M98" i="7" s="1"/>
  <c r="G97" i="7"/>
  <c r="M97" i="7" s="1"/>
  <c r="G95" i="7"/>
  <c r="M95" i="7" s="1"/>
  <c r="G71" i="7"/>
  <c r="M71" i="7" s="1"/>
  <c r="G68" i="7"/>
  <c r="M68" i="7" s="1"/>
  <c r="G65" i="7"/>
  <c r="G94" i="7"/>
  <c r="M94" i="7" s="1"/>
  <c r="G92" i="7"/>
  <c r="M92" i="7" s="1"/>
  <c r="G91" i="7"/>
  <c r="M91" i="7" s="1"/>
  <c r="G89" i="7"/>
  <c r="M89" i="7" s="1"/>
  <c r="G88" i="7"/>
  <c r="M88" i="7" s="1"/>
  <c r="G86" i="7"/>
  <c r="M86" i="7" s="1"/>
  <c r="G85" i="7"/>
  <c r="M85" i="7" s="1"/>
  <c r="G83" i="7"/>
  <c r="M83" i="7" s="1"/>
  <c r="G82" i="7"/>
  <c r="M82" i="7" s="1"/>
  <c r="G80" i="7"/>
  <c r="M80" i="7" s="1"/>
  <c r="G79" i="7"/>
  <c r="M79" i="7" s="1"/>
  <c r="G77" i="7"/>
  <c r="M77" i="7" s="1"/>
  <c r="G76" i="7"/>
  <c r="M76" i="7" s="1"/>
  <c r="G74" i="7"/>
  <c r="M74" i="7" s="1"/>
  <c r="G70" i="7"/>
  <c r="G73" i="7"/>
  <c r="M73" i="7" s="1"/>
  <c r="G67" i="7"/>
  <c r="M67" i="7" s="1"/>
  <c r="O106" i="7"/>
  <c r="K57" i="7"/>
  <c r="I106" i="7"/>
  <c r="K22" i="7"/>
  <c r="M24" i="7"/>
  <c r="M25" i="7" s="1"/>
  <c r="N57" i="7"/>
  <c r="I105" i="7"/>
  <c r="I109" i="7" s="1"/>
  <c r="G57" i="6"/>
  <c r="K22" i="6"/>
  <c r="I100" i="6"/>
  <c r="I97" i="6"/>
  <c r="O65" i="6"/>
  <c r="O97" i="6" s="1"/>
  <c r="G132" i="6"/>
  <c r="G120" i="6" s="1"/>
  <c r="H120" i="6"/>
  <c r="O24" i="6"/>
  <c r="O25" i="6" s="1"/>
  <c r="O57" i="6" s="1"/>
  <c r="O100" i="6" s="1"/>
  <c r="N24" i="6"/>
  <c r="N25" i="6" s="1"/>
  <c r="N57" i="6" s="1"/>
  <c r="M24" i="6"/>
  <c r="M25" i="6" s="1"/>
  <c r="N64" i="5"/>
  <c r="H85" i="5"/>
  <c r="N85" i="5" s="1"/>
  <c r="H83" i="5"/>
  <c r="N83" i="5" s="1"/>
  <c r="H82" i="5"/>
  <c r="N82" i="5" s="1"/>
  <c r="H80" i="5"/>
  <c r="N80" i="5" s="1"/>
  <c r="H79" i="5"/>
  <c r="N79" i="5" s="1"/>
  <c r="H77" i="5"/>
  <c r="N77" i="5" s="1"/>
  <c r="H76" i="5"/>
  <c r="N76" i="5" s="1"/>
  <c r="H74" i="5"/>
  <c r="N74" i="5" s="1"/>
  <c r="H73" i="5"/>
  <c r="N73" i="5" s="1"/>
  <c r="H71" i="5"/>
  <c r="N71" i="5" s="1"/>
  <c r="H70" i="5"/>
  <c r="H68" i="5"/>
  <c r="N68" i="5" s="1"/>
  <c r="H67" i="5"/>
  <c r="N67" i="5" s="1"/>
  <c r="H65" i="5"/>
  <c r="H64" i="5"/>
  <c r="H87" i="5" s="1"/>
  <c r="H91" i="5" s="1"/>
  <c r="N70" i="5"/>
  <c r="O91" i="5"/>
  <c r="O65" i="5"/>
  <c r="O88" i="5" s="1"/>
  <c r="I88" i="5"/>
  <c r="G85" i="5"/>
  <c r="M85" i="5" s="1"/>
  <c r="G83" i="5"/>
  <c r="M83" i="5" s="1"/>
  <c r="G79" i="5"/>
  <c r="M79" i="5" s="1"/>
  <c r="G71" i="5"/>
  <c r="M71" i="5" s="1"/>
  <c r="G70" i="5"/>
  <c r="G67" i="5"/>
  <c r="M67" i="5" s="1"/>
  <c r="G80" i="5"/>
  <c r="M80" i="5" s="1"/>
  <c r="G68" i="5"/>
  <c r="M68" i="5" s="1"/>
  <c r="M70" i="5"/>
  <c r="M64" i="5"/>
  <c r="G82" i="5"/>
  <c r="M82" i="5" s="1"/>
  <c r="G77" i="5"/>
  <c r="M77" i="5" s="1"/>
  <c r="G76" i="5"/>
  <c r="M76" i="5" s="1"/>
  <c r="G74" i="5"/>
  <c r="M74" i="5" s="1"/>
  <c r="G73" i="5"/>
  <c r="M73" i="5" s="1"/>
  <c r="G65" i="5"/>
  <c r="G64" i="5"/>
  <c r="M24" i="5"/>
  <c r="M25" i="5" s="1"/>
  <c r="K103" i="11" l="1"/>
  <c r="Q102" i="11"/>
  <c r="Q106" i="11" s="1"/>
  <c r="G166" i="10"/>
  <c r="G161" i="10"/>
  <c r="N70" i="10"/>
  <c r="N64" i="10"/>
  <c r="N83" i="10" s="1"/>
  <c r="H79" i="10"/>
  <c r="N79" i="10" s="1"/>
  <c r="H77" i="10"/>
  <c r="N77" i="10" s="1"/>
  <c r="H76" i="10"/>
  <c r="N76" i="10" s="1"/>
  <c r="H74" i="10"/>
  <c r="N74" i="10" s="1"/>
  <c r="H73" i="10"/>
  <c r="N73" i="10" s="1"/>
  <c r="H71" i="10"/>
  <c r="N71" i="10" s="1"/>
  <c r="H70" i="10"/>
  <c r="H68" i="10"/>
  <c r="N68" i="10" s="1"/>
  <c r="H67" i="10"/>
  <c r="N67" i="10" s="1"/>
  <c r="H65" i="10"/>
  <c r="H64" i="10"/>
  <c r="H83" i="10" s="1"/>
  <c r="H87" i="10" s="1"/>
  <c r="I83" i="10"/>
  <c r="I87" i="10" s="1"/>
  <c r="Q25" i="10"/>
  <c r="M57" i="10"/>
  <c r="G79" i="10"/>
  <c r="M79" i="10" s="1"/>
  <c r="G77" i="10"/>
  <c r="M77" i="10" s="1"/>
  <c r="G76" i="10"/>
  <c r="M76" i="10" s="1"/>
  <c r="G74" i="10"/>
  <c r="M74" i="10" s="1"/>
  <c r="G73" i="10"/>
  <c r="M73" i="10" s="1"/>
  <c r="G71" i="10"/>
  <c r="M71" i="10" s="1"/>
  <c r="G70" i="10"/>
  <c r="G68" i="10"/>
  <c r="M68" i="10" s="1"/>
  <c r="G67" i="10"/>
  <c r="M67" i="10" s="1"/>
  <c r="G65" i="10"/>
  <c r="G64" i="10"/>
  <c r="M70" i="10"/>
  <c r="M64" i="10"/>
  <c r="M83" i="10" s="1"/>
  <c r="O65" i="10"/>
  <c r="O84" i="10" s="1"/>
  <c r="I84" i="10"/>
  <c r="O87" i="10"/>
  <c r="N87" i="10"/>
  <c r="O83" i="10"/>
  <c r="G95" i="9"/>
  <c r="M95" i="9"/>
  <c r="Q95" i="9" s="1"/>
  <c r="N95" i="9"/>
  <c r="G168" i="9"/>
  <c r="K168" i="9" s="1"/>
  <c r="K163" i="9"/>
  <c r="K166" i="9" s="1"/>
  <c r="O99" i="9"/>
  <c r="N65" i="9"/>
  <c r="N96" i="9" s="1"/>
  <c r="H96" i="9"/>
  <c r="N99" i="9"/>
  <c r="G96" i="9"/>
  <c r="M65" i="9"/>
  <c r="M96" i="9" s="1"/>
  <c r="Q96" i="9" s="1"/>
  <c r="M99" i="9"/>
  <c r="Q57" i="9"/>
  <c r="Q99" i="9" s="1"/>
  <c r="H95" i="9"/>
  <c r="H99" i="9" s="1"/>
  <c r="Q25" i="9"/>
  <c r="G189" i="8"/>
  <c r="K189" i="8" s="1"/>
  <c r="K184" i="8"/>
  <c r="K187" i="8" s="1"/>
  <c r="O113" i="8"/>
  <c r="O117" i="8" s="1"/>
  <c r="G109" i="8"/>
  <c r="M109" i="8" s="1"/>
  <c r="G107" i="8"/>
  <c r="M107" i="8" s="1"/>
  <c r="M64" i="8"/>
  <c r="G64" i="8"/>
  <c r="G103" i="8"/>
  <c r="M103" i="8" s="1"/>
  <c r="G101" i="8"/>
  <c r="M101" i="8" s="1"/>
  <c r="G106" i="8"/>
  <c r="M106" i="8" s="1"/>
  <c r="G104" i="8"/>
  <c r="M104" i="8" s="1"/>
  <c r="G100" i="8"/>
  <c r="M100" i="8" s="1"/>
  <c r="G92" i="8"/>
  <c r="M92" i="8" s="1"/>
  <c r="G89" i="8"/>
  <c r="M89" i="8" s="1"/>
  <c r="G86" i="8"/>
  <c r="M86" i="8" s="1"/>
  <c r="G83" i="8"/>
  <c r="M83" i="8" s="1"/>
  <c r="G80" i="8"/>
  <c r="M80" i="8" s="1"/>
  <c r="G77" i="8"/>
  <c r="M77" i="8" s="1"/>
  <c r="G74" i="8"/>
  <c r="M74" i="8" s="1"/>
  <c r="G71" i="8"/>
  <c r="M71" i="8" s="1"/>
  <c r="G68" i="8"/>
  <c r="M68" i="8" s="1"/>
  <c r="G65" i="8"/>
  <c r="G98" i="8"/>
  <c r="M98" i="8" s="1"/>
  <c r="G97" i="8"/>
  <c r="M97" i="8" s="1"/>
  <c r="G94" i="8"/>
  <c r="M94" i="8" s="1"/>
  <c r="G91" i="8"/>
  <c r="M91" i="8" s="1"/>
  <c r="G88" i="8"/>
  <c r="M88" i="8" s="1"/>
  <c r="G85" i="8"/>
  <c r="M85" i="8" s="1"/>
  <c r="G82" i="8"/>
  <c r="M82" i="8" s="1"/>
  <c r="G79" i="8"/>
  <c r="M79" i="8" s="1"/>
  <c r="G76" i="8"/>
  <c r="M76" i="8" s="1"/>
  <c r="G73" i="8"/>
  <c r="M73" i="8" s="1"/>
  <c r="G70" i="8"/>
  <c r="M70" i="8" s="1"/>
  <c r="G67" i="8"/>
  <c r="M67" i="8" s="1"/>
  <c r="G95" i="8"/>
  <c r="M95" i="8" s="1"/>
  <c r="K57" i="8"/>
  <c r="H106" i="8"/>
  <c r="N106" i="8" s="1"/>
  <c r="H104" i="8"/>
  <c r="N104" i="8" s="1"/>
  <c r="H103" i="8"/>
  <c r="N103" i="8" s="1"/>
  <c r="H101" i="8"/>
  <c r="N101" i="8" s="1"/>
  <c r="H100" i="8"/>
  <c r="N100" i="8" s="1"/>
  <c r="H98" i="8"/>
  <c r="N98" i="8" s="1"/>
  <c r="H97" i="8"/>
  <c r="N97" i="8" s="1"/>
  <c r="H95" i="8"/>
  <c r="N95" i="8" s="1"/>
  <c r="H109" i="8"/>
  <c r="N109" i="8" s="1"/>
  <c r="H107" i="8"/>
  <c r="N107" i="8" s="1"/>
  <c r="N64" i="8"/>
  <c r="H94" i="8"/>
  <c r="N94" i="8" s="1"/>
  <c r="H91" i="8"/>
  <c r="N91" i="8" s="1"/>
  <c r="H88" i="8"/>
  <c r="N88" i="8" s="1"/>
  <c r="H85" i="8"/>
  <c r="N85" i="8" s="1"/>
  <c r="H82" i="8"/>
  <c r="N82" i="8" s="1"/>
  <c r="H79" i="8"/>
  <c r="N79" i="8" s="1"/>
  <c r="H76" i="8"/>
  <c r="N76" i="8" s="1"/>
  <c r="H73" i="8"/>
  <c r="N73" i="8" s="1"/>
  <c r="H70" i="8"/>
  <c r="N70" i="8" s="1"/>
  <c r="H67" i="8"/>
  <c r="N67" i="8" s="1"/>
  <c r="H92" i="8"/>
  <c r="N92" i="8" s="1"/>
  <c r="H89" i="8"/>
  <c r="N89" i="8" s="1"/>
  <c r="H86" i="8"/>
  <c r="N86" i="8" s="1"/>
  <c r="H83" i="8"/>
  <c r="N83" i="8" s="1"/>
  <c r="H80" i="8"/>
  <c r="N80" i="8" s="1"/>
  <c r="H77" i="8"/>
  <c r="N77" i="8" s="1"/>
  <c r="H74" i="8"/>
  <c r="N74" i="8" s="1"/>
  <c r="H71" i="8"/>
  <c r="N71" i="8" s="1"/>
  <c r="H68" i="8"/>
  <c r="N68" i="8" s="1"/>
  <c r="H65" i="8"/>
  <c r="H64" i="8"/>
  <c r="I113" i="8"/>
  <c r="I117" i="8" s="1"/>
  <c r="O65" i="8"/>
  <c r="O114" i="8" s="1"/>
  <c r="I114" i="8"/>
  <c r="M24" i="8"/>
  <c r="M25" i="8" s="1"/>
  <c r="M105" i="7"/>
  <c r="Q105" i="7" s="1"/>
  <c r="H106" i="7"/>
  <c r="N65" i="7"/>
  <c r="N106" i="7" s="1"/>
  <c r="M65" i="7"/>
  <c r="M106" i="7" s="1"/>
  <c r="Q106" i="7" s="1"/>
  <c r="G106" i="7"/>
  <c r="K106" i="7" s="1"/>
  <c r="N105" i="7"/>
  <c r="N109" i="7" s="1"/>
  <c r="Q25" i="7"/>
  <c r="M57" i="7"/>
  <c r="G105" i="7"/>
  <c r="Q25" i="6"/>
  <c r="G94" i="6"/>
  <c r="M94" i="6" s="1"/>
  <c r="G92" i="6"/>
  <c r="M92" i="6" s="1"/>
  <c r="G91" i="6"/>
  <c r="M91" i="6" s="1"/>
  <c r="G89" i="6"/>
  <c r="M89" i="6" s="1"/>
  <c r="G88" i="6"/>
  <c r="M88" i="6" s="1"/>
  <c r="G86" i="6"/>
  <c r="M86" i="6" s="1"/>
  <c r="G85" i="6"/>
  <c r="M85" i="6" s="1"/>
  <c r="G83" i="6"/>
  <c r="M83" i="6" s="1"/>
  <c r="G82" i="6"/>
  <c r="M82" i="6" s="1"/>
  <c r="G80" i="6"/>
  <c r="M80" i="6" s="1"/>
  <c r="G79" i="6"/>
  <c r="M79" i="6" s="1"/>
  <c r="G77" i="6"/>
  <c r="M77" i="6" s="1"/>
  <c r="G73" i="6"/>
  <c r="M73" i="6" s="1"/>
  <c r="G67" i="6"/>
  <c r="M67" i="6" s="1"/>
  <c r="G70" i="6"/>
  <c r="G64" i="6"/>
  <c r="G96" i="6" s="1"/>
  <c r="K96" i="6" s="1"/>
  <c r="G71" i="6"/>
  <c r="M71" i="6" s="1"/>
  <c r="M70" i="6"/>
  <c r="G65" i="6"/>
  <c r="M64" i="6"/>
  <c r="M96" i="6" s="1"/>
  <c r="G76" i="6"/>
  <c r="M76" i="6" s="1"/>
  <c r="G74" i="6"/>
  <c r="M74" i="6" s="1"/>
  <c r="G68" i="6"/>
  <c r="M68" i="6" s="1"/>
  <c r="M57" i="6"/>
  <c r="K57" i="6"/>
  <c r="H94" i="6"/>
  <c r="N94" i="6" s="1"/>
  <c r="H92" i="6"/>
  <c r="N92" i="6" s="1"/>
  <c r="H91" i="6"/>
  <c r="N91" i="6" s="1"/>
  <c r="H89" i="6"/>
  <c r="N89" i="6" s="1"/>
  <c r="H88" i="6"/>
  <c r="N88" i="6" s="1"/>
  <c r="H86" i="6"/>
  <c r="N86" i="6" s="1"/>
  <c r="H85" i="6"/>
  <c r="N85" i="6" s="1"/>
  <c r="H83" i="6"/>
  <c r="N83" i="6" s="1"/>
  <c r="H82" i="6"/>
  <c r="N82" i="6" s="1"/>
  <c r="H80" i="6"/>
  <c r="N80" i="6" s="1"/>
  <c r="H79" i="6"/>
  <c r="N79" i="6" s="1"/>
  <c r="H77" i="6"/>
  <c r="N77" i="6" s="1"/>
  <c r="H76" i="6"/>
  <c r="N76" i="6" s="1"/>
  <c r="H74" i="6"/>
  <c r="N74" i="6" s="1"/>
  <c r="H73" i="6"/>
  <c r="N73" i="6" s="1"/>
  <c r="H71" i="6"/>
  <c r="N71" i="6" s="1"/>
  <c r="H70" i="6"/>
  <c r="H68" i="6"/>
  <c r="N68" i="6" s="1"/>
  <c r="H67" i="6"/>
  <c r="N67" i="6" s="1"/>
  <c r="H65" i="6"/>
  <c r="H64" i="6"/>
  <c r="H96" i="6" s="1"/>
  <c r="H100" i="6" s="1"/>
  <c r="N70" i="6"/>
  <c r="N64" i="6"/>
  <c r="G88" i="5"/>
  <c r="M65" i="5"/>
  <c r="M88" i="5" s="1"/>
  <c r="N65" i="5"/>
  <c r="N88" i="5" s="1"/>
  <c r="H88" i="5"/>
  <c r="Q25" i="5"/>
  <c r="M57" i="5"/>
  <c r="M87" i="5"/>
  <c r="Q87" i="5" s="1"/>
  <c r="G87" i="5"/>
  <c r="N87" i="5"/>
  <c r="N91" i="5" s="1"/>
  <c r="G84" i="10" l="1"/>
  <c r="K84" i="10" s="1"/>
  <c r="M65" i="10"/>
  <c r="M84" i="10" s="1"/>
  <c r="Q57" i="10"/>
  <c r="M87" i="10"/>
  <c r="N65" i="10"/>
  <c r="N84" i="10" s="1"/>
  <c r="H84" i="10"/>
  <c r="Q83" i="10"/>
  <c r="G83" i="10"/>
  <c r="G171" i="10"/>
  <c r="K171" i="10" s="1"/>
  <c r="K166" i="10"/>
  <c r="K169" i="10" s="1"/>
  <c r="K95" i="9"/>
  <c r="K99" i="9" s="1"/>
  <c r="G99" i="9"/>
  <c r="K96" i="9"/>
  <c r="G113" i="8"/>
  <c r="M65" i="8"/>
  <c r="M114" i="8" s="1"/>
  <c r="G114" i="8"/>
  <c r="M113" i="8"/>
  <c r="Q25" i="8"/>
  <c r="M57" i="8"/>
  <c r="H113" i="8"/>
  <c r="H117" i="8" s="1"/>
  <c r="H114" i="8"/>
  <c r="N65" i="8"/>
  <c r="N114" i="8" s="1"/>
  <c r="N113" i="8"/>
  <c r="N117" i="8" s="1"/>
  <c r="K105" i="7"/>
  <c r="K109" i="7" s="1"/>
  <c r="G109" i="7"/>
  <c r="Q57" i="7"/>
  <c r="Q109" i="7" s="1"/>
  <c r="M109" i="7"/>
  <c r="M100" i="6"/>
  <c r="Q57" i="6"/>
  <c r="G97" i="6"/>
  <c r="M65" i="6"/>
  <c r="M97" i="6" s="1"/>
  <c r="Q97" i="6" s="1"/>
  <c r="H97" i="6"/>
  <c r="N65" i="6"/>
  <c r="N97" i="6" s="1"/>
  <c r="K100" i="6"/>
  <c r="N96" i="6"/>
  <c r="N100" i="6" s="1"/>
  <c r="G100" i="6"/>
  <c r="K87" i="5"/>
  <c r="K91" i="5" s="1"/>
  <c r="G91" i="5"/>
  <c r="M91" i="5"/>
  <c r="Q57" i="5"/>
  <c r="Q91" i="5" s="1"/>
  <c r="Q88" i="5"/>
  <c r="K88" i="5"/>
  <c r="K83" i="10" l="1"/>
  <c r="K87" i="10" s="1"/>
  <c r="G87" i="10"/>
  <c r="Q87" i="10"/>
  <c r="Q84" i="10"/>
  <c r="Q113" i="8"/>
  <c r="K113" i="8"/>
  <c r="K117" i="8" s="1"/>
  <c r="G117" i="8"/>
  <c r="K114" i="8"/>
  <c r="M117" i="8"/>
  <c r="Q57" i="8"/>
  <c r="Q114" i="8"/>
  <c r="K97" i="6"/>
  <c r="Q96" i="6"/>
  <c r="Q100" i="6"/>
  <c r="Q82" i="3"/>
  <c r="Q81" i="3"/>
  <c r="P82" i="3"/>
  <c r="O82" i="3"/>
  <c r="N82" i="3"/>
  <c r="M82" i="3"/>
  <c r="P81" i="3"/>
  <c r="O81" i="3"/>
  <c r="N81" i="3"/>
  <c r="M81" i="3"/>
  <c r="K81" i="3"/>
  <c r="K82" i="3"/>
  <c r="J82" i="3"/>
  <c r="J81" i="3"/>
  <c r="I82" i="3"/>
  <c r="I81" i="3"/>
  <c r="H82" i="3"/>
  <c r="H81" i="3"/>
  <c r="G82" i="3"/>
  <c r="G81" i="3"/>
  <c r="Q117" i="8" l="1"/>
  <c r="K64" i="3" l="1"/>
  <c r="Q64" i="3" l="1"/>
  <c r="H120" i="3"/>
  <c r="I119" i="3"/>
  <c r="I120" i="3" s="1"/>
  <c r="K115" i="3"/>
  <c r="K114" i="3"/>
  <c r="L85" i="3"/>
  <c r="Q79" i="3"/>
  <c r="P79" i="3"/>
  <c r="Q77" i="3"/>
  <c r="P77" i="3"/>
  <c r="Q76" i="3"/>
  <c r="P76" i="3"/>
  <c r="Q74" i="3"/>
  <c r="P74" i="3"/>
  <c r="Q73" i="3"/>
  <c r="P73" i="3"/>
  <c r="Q71" i="3"/>
  <c r="P71" i="3"/>
  <c r="Q70" i="3"/>
  <c r="P70" i="3"/>
  <c r="Q68" i="3"/>
  <c r="P68" i="3"/>
  <c r="Q67" i="3"/>
  <c r="P67" i="3"/>
  <c r="Q65" i="3"/>
  <c r="P65" i="3"/>
  <c r="P64" i="3"/>
  <c r="X62" i="3"/>
  <c r="Q62" i="3"/>
  <c r="P62" i="3"/>
  <c r="O62" i="3"/>
  <c r="N62" i="3"/>
  <c r="M62" i="3"/>
  <c r="I62" i="3"/>
  <c r="Q61" i="3"/>
  <c r="O61" i="3" s="1"/>
  <c r="P61" i="3"/>
  <c r="N61" i="3"/>
  <c r="M61" i="3"/>
  <c r="I61" i="3"/>
  <c r="Q54" i="3"/>
  <c r="K54" i="3"/>
  <c r="J52" i="3"/>
  <c r="I52" i="3"/>
  <c r="H52" i="3"/>
  <c r="G52" i="3"/>
  <c r="P51" i="3"/>
  <c r="O51" i="3"/>
  <c r="N51" i="3"/>
  <c r="M51" i="3"/>
  <c r="K51" i="3"/>
  <c r="P48" i="3"/>
  <c r="O48" i="3"/>
  <c r="N48" i="3"/>
  <c r="M48" i="3"/>
  <c r="K48" i="3"/>
  <c r="P46" i="3"/>
  <c r="O46" i="3"/>
  <c r="N46" i="3"/>
  <c r="M46" i="3"/>
  <c r="Q46" i="3" s="1"/>
  <c r="K46" i="3"/>
  <c r="P44" i="3"/>
  <c r="O44" i="3"/>
  <c r="N44" i="3"/>
  <c r="M44" i="3"/>
  <c r="K44" i="3"/>
  <c r="P42" i="3"/>
  <c r="O42" i="3"/>
  <c r="N42" i="3"/>
  <c r="M42" i="3"/>
  <c r="Q42" i="3" s="1"/>
  <c r="K42" i="3"/>
  <c r="P40" i="3"/>
  <c r="O40" i="3"/>
  <c r="N40" i="3"/>
  <c r="M40" i="3"/>
  <c r="K40" i="3"/>
  <c r="P39" i="3"/>
  <c r="O39" i="3"/>
  <c r="N39" i="3"/>
  <c r="M39" i="3"/>
  <c r="K39" i="3"/>
  <c r="P38" i="3"/>
  <c r="O38" i="3"/>
  <c r="N38" i="3"/>
  <c r="M38" i="3"/>
  <c r="K38" i="3"/>
  <c r="P37" i="3"/>
  <c r="O37" i="3"/>
  <c r="N37" i="3"/>
  <c r="M37" i="3"/>
  <c r="Q37" i="3" s="1"/>
  <c r="K37" i="3"/>
  <c r="P35" i="3"/>
  <c r="O35" i="3"/>
  <c r="N35" i="3"/>
  <c r="M35" i="3"/>
  <c r="K35" i="3"/>
  <c r="P34" i="3"/>
  <c r="O34" i="3"/>
  <c r="N34" i="3"/>
  <c r="M34" i="3"/>
  <c r="K34" i="3"/>
  <c r="J32" i="3"/>
  <c r="I32" i="3"/>
  <c r="H32" i="3"/>
  <c r="G32" i="3"/>
  <c r="P31" i="3"/>
  <c r="O31" i="3"/>
  <c r="N31" i="3"/>
  <c r="M31" i="3"/>
  <c r="K31" i="3"/>
  <c r="P30" i="3"/>
  <c r="O30" i="3"/>
  <c r="N30" i="3"/>
  <c r="M30" i="3"/>
  <c r="K30" i="3"/>
  <c r="Q29" i="3"/>
  <c r="K29" i="3"/>
  <c r="P28" i="3"/>
  <c r="O28" i="3"/>
  <c r="N28" i="3"/>
  <c r="M28" i="3"/>
  <c r="K28" i="3"/>
  <c r="Q27" i="3"/>
  <c r="K27" i="3"/>
  <c r="P25" i="3"/>
  <c r="J25" i="3"/>
  <c r="I25" i="3"/>
  <c r="H25" i="3"/>
  <c r="G25" i="3"/>
  <c r="K24" i="3"/>
  <c r="J22" i="3"/>
  <c r="I22" i="3"/>
  <c r="H22" i="3"/>
  <c r="G22" i="3"/>
  <c r="X21" i="3"/>
  <c r="Q21" i="3"/>
  <c r="K21" i="3"/>
  <c r="P20" i="3"/>
  <c r="O20" i="3"/>
  <c r="N20" i="3"/>
  <c r="M20" i="3"/>
  <c r="K20" i="3"/>
  <c r="Q19" i="3"/>
  <c r="K19" i="3"/>
  <c r="X18" i="3"/>
  <c r="Q18" i="3"/>
  <c r="K18" i="3"/>
  <c r="P17" i="3"/>
  <c r="P22" i="3" s="1"/>
  <c r="O17" i="3"/>
  <c r="N17" i="3"/>
  <c r="M17" i="3"/>
  <c r="K17" i="3"/>
  <c r="Q16" i="3"/>
  <c r="K16" i="3"/>
  <c r="O14" i="3"/>
  <c r="N14" i="3"/>
  <c r="M14" i="3"/>
  <c r="K14" i="3"/>
  <c r="P13" i="3"/>
  <c r="O13" i="3"/>
  <c r="N13" i="3"/>
  <c r="M13" i="3"/>
  <c r="K13" i="3"/>
  <c r="O11" i="3"/>
  <c r="N11" i="3"/>
  <c r="M11" i="3"/>
  <c r="K11" i="3"/>
  <c r="Q10" i="3"/>
  <c r="K10" i="3"/>
  <c r="Q44" i="3" l="1"/>
  <c r="Q38" i="3"/>
  <c r="Q34" i="3"/>
  <c r="Q39" i="3"/>
  <c r="X24" i="3"/>
  <c r="Q24" i="3" s="1"/>
  <c r="N52" i="3"/>
  <c r="Q40" i="3"/>
  <c r="Q48" i="3"/>
  <c r="O52" i="3"/>
  <c r="Q31" i="3"/>
  <c r="Q20" i="3"/>
  <c r="P32" i="3"/>
  <c r="K116" i="3"/>
  <c r="H121" i="3" s="1"/>
  <c r="Q51" i="3"/>
  <c r="K52" i="3"/>
  <c r="P52" i="3"/>
  <c r="H57" i="3"/>
  <c r="Q28" i="3"/>
  <c r="K25" i="3"/>
  <c r="I57" i="3"/>
  <c r="N22" i="3"/>
  <c r="Q11" i="3"/>
  <c r="M52" i="3"/>
  <c r="K32" i="3"/>
  <c r="P57" i="3"/>
  <c r="P85" i="3" s="1"/>
  <c r="J57" i="3"/>
  <c r="J85" i="3" s="1"/>
  <c r="O32" i="3"/>
  <c r="N32" i="3"/>
  <c r="Q30" i="3"/>
  <c r="O22" i="3"/>
  <c r="Q17" i="3"/>
  <c r="M22" i="3"/>
  <c r="Q14" i="3"/>
  <c r="K22" i="3"/>
  <c r="Q13" i="3"/>
  <c r="M32" i="3"/>
  <c r="Q35" i="3"/>
  <c r="G57" i="3"/>
  <c r="N24" i="3" l="1"/>
  <c r="N25" i="3" s="1"/>
  <c r="N57" i="3" s="1"/>
  <c r="Q22" i="3"/>
  <c r="Q52" i="3"/>
  <c r="Q32" i="3"/>
  <c r="H109" i="3"/>
  <c r="I121" i="3"/>
  <c r="I109" i="3" s="1"/>
  <c r="I76" i="3" s="1"/>
  <c r="O76" i="3" s="1"/>
  <c r="K57" i="3"/>
  <c r="I64" i="3" l="1"/>
  <c r="I71" i="3"/>
  <c r="O71" i="3" s="1"/>
  <c r="I70" i="3"/>
  <c r="O24" i="3"/>
  <c r="O25" i="3" s="1"/>
  <c r="O57" i="3" s="1"/>
  <c r="I74" i="3"/>
  <c r="O74" i="3" s="1"/>
  <c r="O64" i="3"/>
  <c r="I67" i="3"/>
  <c r="O67" i="3" s="1"/>
  <c r="I77" i="3"/>
  <c r="O77" i="3" s="1"/>
  <c r="G121" i="3"/>
  <c r="M24" i="3" s="1"/>
  <c r="M25" i="3" s="1"/>
  <c r="O70" i="3"/>
  <c r="I68" i="3"/>
  <c r="O68" i="3" s="1"/>
  <c r="I73" i="3"/>
  <c r="O73" i="3" s="1"/>
  <c r="I79" i="3"/>
  <c r="O79" i="3" s="1"/>
  <c r="I65" i="3"/>
  <c r="O65" i="3" s="1"/>
  <c r="N64" i="3"/>
  <c r="H67" i="3"/>
  <c r="N67" i="3" s="1"/>
  <c r="H73" i="3"/>
  <c r="N73" i="3" s="1"/>
  <c r="H79" i="3"/>
  <c r="N79" i="3" s="1"/>
  <c r="N70" i="3"/>
  <c r="H68" i="3"/>
  <c r="N68" i="3" s="1"/>
  <c r="H74" i="3"/>
  <c r="N74" i="3" s="1"/>
  <c r="H64" i="3"/>
  <c r="H70" i="3"/>
  <c r="H76" i="3"/>
  <c r="N76" i="3" s="1"/>
  <c r="H65" i="3"/>
  <c r="N65" i="3" s="1"/>
  <c r="H71" i="3"/>
  <c r="N71" i="3" s="1"/>
  <c r="H77" i="3"/>
  <c r="N77" i="3" s="1"/>
  <c r="I85" i="3" l="1"/>
  <c r="O85" i="3"/>
  <c r="G109" i="3"/>
  <c r="G79" i="3" s="1"/>
  <c r="M79" i="3" s="1"/>
  <c r="N85" i="3"/>
  <c r="H85" i="3"/>
  <c r="Q25" i="3"/>
  <c r="M57" i="3"/>
  <c r="M70" i="3"/>
  <c r="G64" i="3" l="1"/>
  <c r="G74" i="3"/>
  <c r="M74" i="3" s="1"/>
  <c r="G76" i="3"/>
  <c r="M76" i="3" s="1"/>
  <c r="M64" i="3"/>
  <c r="G68" i="3"/>
  <c r="M68" i="3" s="1"/>
  <c r="G70" i="3"/>
  <c r="G65" i="3"/>
  <c r="M65" i="3" s="1"/>
  <c r="G71" i="3"/>
  <c r="M71" i="3" s="1"/>
  <c r="G77" i="3"/>
  <c r="M77" i="3" s="1"/>
  <c r="G67" i="3"/>
  <c r="M67" i="3" s="1"/>
  <c r="G73" i="3"/>
  <c r="M73" i="3" s="1"/>
  <c r="Q57" i="3"/>
  <c r="Q85" i="3" l="1"/>
  <c r="K85" i="3"/>
  <c r="M85" i="3" l="1"/>
  <c r="G85" i="3"/>
</calcChain>
</file>

<file path=xl/comments1.xml><?xml version="1.0" encoding="utf-8"?>
<comments xmlns="http://schemas.openxmlformats.org/spreadsheetml/2006/main">
  <authors>
    <author>Lloyd E. Keyser</author>
    <author>American Electric Power®</author>
  </authors>
  <commentList>
    <comment ref="X15" author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W61" authorId="1">
      <text>
        <r>
          <rPr>
            <b/>
            <sz val="8"/>
            <color indexed="81"/>
            <rFont val="Tahoma"/>
            <family val="2"/>
          </rPr>
          <t>American Electric Power®:</t>
        </r>
        <r>
          <rPr>
            <sz val="8"/>
            <color indexed="81"/>
            <rFont val="Tahoma"/>
            <family val="2"/>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 ref="X62" authorId="0">
      <text>
        <r>
          <rPr>
            <b/>
            <sz val="8"/>
            <color indexed="81"/>
            <rFont val="Tahoma"/>
            <family val="2"/>
          </rPr>
          <t>Lloyd E. Keyser:</t>
        </r>
        <r>
          <rPr>
            <sz val="8"/>
            <color indexed="81"/>
            <rFont val="Tahoma"/>
            <family val="2"/>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List>
</comments>
</file>

<file path=xl/comments2.xml><?xml version="1.0" encoding="utf-8"?>
<comments xmlns="http://schemas.openxmlformats.org/spreadsheetml/2006/main">
  <authors>
    <author>Lloyd E. Keyser</author>
    <author>American Electric Power®</author>
  </authors>
  <commentList>
    <comment ref="X15" author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W61" authorId="1">
      <text>
        <r>
          <rPr>
            <b/>
            <sz val="8"/>
            <color indexed="81"/>
            <rFont val="Tahoma"/>
            <family val="2"/>
          </rPr>
          <t>American Electric Power®:</t>
        </r>
        <r>
          <rPr>
            <sz val="8"/>
            <color indexed="81"/>
            <rFont val="Tahoma"/>
            <family val="2"/>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 ref="X62" authorId="0">
      <text>
        <r>
          <rPr>
            <b/>
            <sz val="8"/>
            <color indexed="81"/>
            <rFont val="Tahoma"/>
            <family val="2"/>
          </rPr>
          <t>Lloyd E. Keyser:</t>
        </r>
        <r>
          <rPr>
            <sz val="8"/>
            <color indexed="81"/>
            <rFont val="Tahoma"/>
            <family val="2"/>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List>
</comments>
</file>

<file path=xl/comments3.xml><?xml version="1.0" encoding="utf-8"?>
<comments xmlns="http://schemas.openxmlformats.org/spreadsheetml/2006/main">
  <authors>
    <author>Lloyd E. Keyser</author>
    <author>American Electric Power®</author>
  </authors>
  <commentList>
    <comment ref="X15" authorId="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W61" authorId="1">
      <text>
        <r>
          <rPr>
            <b/>
            <sz val="8"/>
            <color indexed="81"/>
            <rFont val="Tahoma"/>
            <family val="2"/>
          </rPr>
          <t>American Electric Power®:</t>
        </r>
        <r>
          <rPr>
            <sz val="8"/>
            <color indexed="81"/>
            <rFont val="Tahoma"/>
            <family val="2"/>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 ref="X62" authorId="0">
      <text>
        <r>
          <rPr>
            <b/>
            <sz val="8"/>
            <color indexed="81"/>
            <rFont val="Tahoma"/>
            <family val="2"/>
          </rPr>
          <t>Lloyd E. Keyser:</t>
        </r>
        <r>
          <rPr>
            <sz val="8"/>
            <color indexed="81"/>
            <rFont val="Tahoma"/>
            <family val="2"/>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List>
</comments>
</file>

<file path=xl/comments4.xml><?xml version="1.0" encoding="utf-8"?>
<comments xmlns="http://schemas.openxmlformats.org/spreadsheetml/2006/main">
  <authors>
    <author>Lloyd E. Keyser</author>
    <author>American Electric Power®</author>
  </authors>
  <commentList>
    <comment ref="W15" authorId="0">
      <text>
        <r>
          <rPr>
            <b/>
            <sz val="8"/>
            <color indexed="81"/>
            <rFont val="Tahoma"/>
          </rPr>
          <t>Lloyd E. Keyser:</t>
        </r>
        <r>
          <rPr>
            <sz val="8"/>
            <color indexed="81"/>
            <rFont val="Tahoma"/>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W62" authorId="0">
      <text>
        <r>
          <rPr>
            <b/>
            <sz val="8"/>
            <color indexed="81"/>
            <rFont val="Tahoma"/>
          </rPr>
          <t>Lloyd E. Keyser:</t>
        </r>
        <r>
          <rPr>
            <sz val="8"/>
            <color indexed="81"/>
            <rFont val="Tahoma"/>
          </rPr>
          <t xml:space="preserve">
Incremental storm cost = 
(Total storm cost in cell K62) -  ((445 TOTAL FTE's on shift during regular work-week days throughout duration of storm) x
(Avg ST hourly rate of $25.09) x
(8 hours for normal work-week day))
See "2012 Avoided Cost For Major Storm Restoration.xls"</t>
        </r>
      </text>
    </comment>
    <comment ref="D149" authorId="1">
      <text>
        <r>
          <rPr>
            <b/>
            <sz val="8"/>
            <color indexed="81"/>
            <rFont val="Tahoma"/>
          </rPr>
          <t>American Electric Power®:</t>
        </r>
        <r>
          <rPr>
            <sz val="8"/>
            <color indexed="81"/>
            <rFont val="Tahoma"/>
          </rPr>
          <t xml:space="preserve">
BusObj Actuals $609,383
minus total O/S actuals in
Transactions report $599,469 = 
$9,914 Misc O/S</t>
        </r>
      </text>
    </comment>
  </commentList>
</comments>
</file>

<file path=xl/comments5.xml><?xml version="1.0" encoding="utf-8"?>
<comments xmlns="http://schemas.openxmlformats.org/spreadsheetml/2006/main">
  <authors>
    <author>Lloyd E. Keyser</author>
    <author>American Electric Power®</author>
  </authors>
  <commentList>
    <comment ref="AC15" authorId="0">
      <text>
        <r>
          <rPr>
            <b/>
            <sz val="8"/>
            <color indexed="81"/>
            <rFont val="Tahoma"/>
          </rPr>
          <t>Lloyd E. Keyser:</t>
        </r>
        <r>
          <rPr>
            <sz val="8"/>
            <color indexed="81"/>
            <rFont val="Tahoma"/>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AB61" authorId="1">
      <text>
        <r>
          <rPr>
            <b/>
            <sz val="8"/>
            <color indexed="81"/>
            <rFont val="Tahoma"/>
          </rPr>
          <t>American Electric Power®:</t>
        </r>
        <r>
          <rPr>
            <sz val="8"/>
            <color indexed="81"/>
            <rFont val="Tahoma"/>
          </rPr>
          <t xml:space="preserve">
Incremental storm cost = 
(Total storm cost in cell K62) -  ((243 TOTAL FTE's on shift during regular work-week days throughout duration of storm) x
(Avg ST hourly rate of $25.09) x
(8 hours for normal work-week day))
See "2012 Avoided Cost For Major Storm Restoration.xls"</t>
        </r>
      </text>
    </comment>
    <comment ref="AC62" authorId="0">
      <text>
        <r>
          <rPr>
            <b/>
            <sz val="8"/>
            <color indexed="81"/>
            <rFont val="Tahoma"/>
          </rPr>
          <t>Lloyd E. Keyser:</t>
        </r>
        <r>
          <rPr>
            <sz val="8"/>
            <color indexed="81"/>
            <rFont val="Tahoma"/>
          </rPr>
          <t xml:space="preserve">
Incremental storm cost = 
(Total storm cost in cell K62) -  ((243 TOTAL FTE's on shift during regular work-week days throughout duration of storm) x
(Avg ST hourly rate of $25.09) x
(8 hours for normal work-week day))
See "2012 Avoided Cost For Major Storm Restoration.xls"</t>
        </r>
      </text>
    </comment>
    <comment ref="K123" authorId="1">
      <text>
        <r>
          <rPr>
            <b/>
            <sz val="8"/>
            <color indexed="81"/>
            <rFont val="Tahoma"/>
          </rPr>
          <t>American Electric Power®:</t>
        </r>
        <r>
          <rPr>
            <sz val="8"/>
            <color indexed="81"/>
            <rFont val="Tahoma"/>
          </rPr>
          <t xml:space="preserve">
Asplundh estimate is $248,615 less 
actuals rec'd to date $894 =
$247,721 (to be added in as estimated amount).</t>
        </r>
      </text>
    </comment>
  </commentList>
</comments>
</file>

<file path=xl/comments6.xml><?xml version="1.0" encoding="utf-8"?>
<comments xmlns="http://schemas.openxmlformats.org/spreadsheetml/2006/main">
  <authors>
    <author>Lloyd E. Keyser</author>
    <author>American Electric Power®</author>
  </authors>
  <commentList>
    <comment ref="AB15" authorId="0">
      <text>
        <r>
          <rPr>
            <b/>
            <sz val="8"/>
            <color indexed="81"/>
            <rFont val="Tahoma"/>
          </rPr>
          <t>Lloyd E. Keyser:</t>
        </r>
        <r>
          <rPr>
            <sz val="8"/>
            <color indexed="81"/>
            <rFont val="Tahoma"/>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AA61" authorId="1">
      <text>
        <r>
          <rPr>
            <b/>
            <sz val="8"/>
            <color indexed="81"/>
            <rFont val="Tahoma"/>
          </rPr>
          <t>American Electric Power®:</t>
        </r>
        <r>
          <rPr>
            <sz val="8"/>
            <color indexed="81"/>
            <rFont val="Tahoma"/>
          </rPr>
          <t xml:space="preserve">
Incremental storm cost = 
(Total storm cost in cell K62) -  ((703 TOTAL FTE's on shift during regular work-week days throughout duration of storm) x
(Avg ST hourly rate of $25.09) x
(8 hours for normal work-week day))
See "2012 Avoided Cost For Major Storm Restoration.xls"</t>
        </r>
      </text>
    </comment>
    <comment ref="AB62" authorId="0">
      <text>
        <r>
          <rPr>
            <b/>
            <sz val="8"/>
            <color indexed="81"/>
            <rFont val="Tahoma"/>
          </rPr>
          <t>Lloyd E. Keyser:</t>
        </r>
        <r>
          <rPr>
            <sz val="8"/>
            <color indexed="81"/>
            <rFont val="Tahoma"/>
          </rPr>
          <t xml:space="preserve">
Incremental storm cost = 
(Total storm cost in cell K62) -  ((1,058 TOTAL FTE's on shift during regular work-week days throughout duration of storm) x
(Avg ST hourly rate of $25.09) x
(8 hours for normal work-week day))
See "2012 Avoided Cost For Major Storm Restoration.xls"</t>
        </r>
      </text>
    </comment>
    <comment ref="K146" authorId="1">
      <text>
        <r>
          <rPr>
            <b/>
            <sz val="8"/>
            <color indexed="81"/>
            <rFont val="Tahoma"/>
          </rPr>
          <t>American Electric Power®:</t>
        </r>
        <r>
          <rPr>
            <sz val="8"/>
            <color indexed="81"/>
            <rFont val="Tahoma"/>
          </rPr>
          <t xml:space="preserve">
Asplundh estimate is $850,076 less 
actuals rec'd to date $894,909 =
$0 (to be added in as estimated amount).</t>
        </r>
      </text>
    </comment>
    <comment ref="I151" authorId="1">
      <text>
        <r>
          <rPr>
            <b/>
            <sz val="8"/>
            <color indexed="81"/>
            <rFont val="Tahoma"/>
          </rPr>
          <t>American Electric Power®:</t>
        </r>
        <r>
          <rPr>
            <sz val="8"/>
            <color indexed="81"/>
            <rFont val="Tahoma"/>
          </rPr>
          <t xml:space="preserve">
Bus Obj Total including
December accrual $1,733,444</t>
        </r>
      </text>
    </comment>
  </commentList>
</comments>
</file>

<file path=xl/comments7.xml><?xml version="1.0" encoding="utf-8"?>
<comments xmlns="http://schemas.openxmlformats.org/spreadsheetml/2006/main">
  <authors>
    <author>Lloyd E. Keyser</author>
    <author>American Electric Power®</author>
  </authors>
  <commentList>
    <comment ref="Y15" authorId="0">
      <text>
        <r>
          <rPr>
            <b/>
            <sz val="8"/>
            <color indexed="81"/>
            <rFont val="Tahoma"/>
          </rPr>
          <t>Lloyd E. Keyser:</t>
        </r>
        <r>
          <rPr>
            <sz val="8"/>
            <color indexed="81"/>
            <rFont val="Tahoma"/>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I28" authorId="1">
      <text>
        <r>
          <rPr>
            <b/>
            <sz val="8"/>
            <color indexed="81"/>
            <rFont val="Tahoma"/>
          </rPr>
          <t>American Electric Power®:</t>
        </r>
        <r>
          <rPr>
            <sz val="8"/>
            <color indexed="81"/>
            <rFont val="Tahoma"/>
          </rPr>
          <t xml:space="preserve">
Subtract $1 to tie to BusObj</t>
        </r>
      </text>
    </comment>
    <comment ref="X61" authorId="1">
      <text>
        <r>
          <rPr>
            <b/>
            <sz val="8"/>
            <color indexed="81"/>
            <rFont val="Tahoma"/>
          </rPr>
          <t>American Electric Power®:</t>
        </r>
        <r>
          <rPr>
            <sz val="8"/>
            <color indexed="81"/>
            <rFont val="Tahoma"/>
          </rPr>
          <t xml:space="preserve">
Incremental storm cost = 
(Total storm cost in cell K62) -  ((437 TOTAL FTE's on shift during regular work-week days throughout duration of storm) x
(Avg ST hourly rate of $25.09) x
(8 hours for normal work-week day))
See "2012 Avoided Cost For Major Storm Restoration.xls"</t>
        </r>
      </text>
    </comment>
    <comment ref="Y62" authorId="0">
      <text>
        <r>
          <rPr>
            <b/>
            <sz val="8"/>
            <color indexed="81"/>
            <rFont val="Tahoma"/>
          </rPr>
          <t>Lloyd E. Keyser:</t>
        </r>
        <r>
          <rPr>
            <sz val="8"/>
            <color indexed="81"/>
            <rFont val="Tahoma"/>
          </rPr>
          <t xml:space="preserve">
Incremental storm cost = 
(Total storm cost in cell K62) -  ((437 TOTAL FTE's on shift during regular work-week days throughout duration of storm) x
(Avg ST hourly rate of $25.09) x
(8 hours for normal work-week day))
See "2012 Avoided Cost For Major Storm Restoration.xls"</t>
        </r>
      </text>
    </comment>
  </commentList>
</comments>
</file>

<file path=xl/comments8.xml><?xml version="1.0" encoding="utf-8"?>
<comments xmlns="http://schemas.openxmlformats.org/spreadsheetml/2006/main">
  <authors>
    <author>Lloyd E. Keyser</author>
    <author>American Electric Power®</author>
  </authors>
  <commentList>
    <comment ref="Z15" authorId="0">
      <text>
        <r>
          <rPr>
            <b/>
            <sz val="8"/>
            <color indexed="81"/>
            <rFont val="Tahoma"/>
          </rPr>
          <t>Lloyd E. Keyser:</t>
        </r>
        <r>
          <rPr>
            <sz val="8"/>
            <color indexed="81"/>
            <rFont val="Tahoma"/>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1" authorId="1">
      <text>
        <r>
          <rPr>
            <b/>
            <sz val="8"/>
            <color indexed="81"/>
            <rFont val="Tahoma"/>
          </rPr>
          <t>American Electric Power®:</t>
        </r>
        <r>
          <rPr>
            <sz val="8"/>
            <color indexed="81"/>
            <rFont val="Tahoma"/>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 ref="Z62" authorId="0">
      <text>
        <r>
          <rPr>
            <b/>
            <sz val="8"/>
            <color indexed="81"/>
            <rFont val="Tahoma"/>
          </rPr>
          <t>Lloyd E. Keyser:</t>
        </r>
        <r>
          <rPr>
            <sz val="8"/>
            <color indexed="81"/>
            <rFont val="Tahoma"/>
          </rPr>
          <t xml:space="preserve">
Incremental storm cost = 
(Total storm cost in cell K62) -  ((1,081 TOTAL FTE's on shift during regular work-week days throughout duration of storm) x
(Avg ST hourly rate of $25.09) x
(8 hours for normal work-week day))
See "2012 Avoided Cost For Major Storm Restoration.xls"</t>
        </r>
      </text>
    </comment>
  </commentList>
</comments>
</file>

<file path=xl/sharedStrings.xml><?xml version="1.0" encoding="utf-8"?>
<sst xmlns="http://schemas.openxmlformats.org/spreadsheetml/2006/main" count="1327" uniqueCount="250">
  <si>
    <t>Kentucky Power</t>
  </si>
  <si>
    <t>Major Event Cost Recap</t>
  </si>
  <si>
    <t>Detailed Restoration Costs</t>
  </si>
  <si>
    <t>In House Costs</t>
  </si>
  <si>
    <t>A</t>
  </si>
  <si>
    <t>B</t>
  </si>
  <si>
    <t>C</t>
  </si>
  <si>
    <t>D</t>
  </si>
  <si>
    <t>A+B+C+D</t>
  </si>
  <si>
    <t>Salary &amp; Wages</t>
  </si>
  <si>
    <t>Capitalized</t>
  </si>
  <si>
    <t>Accumulated</t>
  </si>
  <si>
    <t>Expensed</t>
  </si>
  <si>
    <t>Total Cost</t>
  </si>
  <si>
    <t>Depreciation</t>
  </si>
  <si>
    <t>(Capital)</t>
  </si>
  <si>
    <t>(Removal)</t>
  </si>
  <si>
    <t>(O&amp;M)</t>
  </si>
  <si>
    <t>to Restore</t>
  </si>
  <si>
    <t>Regular Time</t>
  </si>
  <si>
    <t>Dollars</t>
  </si>
  <si>
    <t>Hours</t>
  </si>
  <si>
    <t>Overtime</t>
  </si>
  <si>
    <t>Salary &amp; Wage</t>
  </si>
  <si>
    <t>ST Fringes</t>
  </si>
  <si>
    <t>Overheads</t>
  </si>
  <si>
    <t>OT Fringes</t>
  </si>
  <si>
    <t>Other Labor Fringes</t>
  </si>
  <si>
    <t>Incentives</t>
  </si>
  <si>
    <t>Construction/Retirement</t>
  </si>
  <si>
    <t>All Other Overheads</t>
  </si>
  <si>
    <t>Total Salary &amp; Wages</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</si>
  <si>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</si>
  <si>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</si>
  <si>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</si>
  <si>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</si>
  <si>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</si>
  <si>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</si>
  <si>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</si>
  <si>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</si>
  <si>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</si>
  <si>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</si>
  <si>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</si>
  <si>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</si>
  <si>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</si>
  <si>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</si>
  <si>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</si>
  <si>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</si>
  <si>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</si>
  <si>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</si>
  <si>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</si>
  <si>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</si>
  <si>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</si>
  <si>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</si>
  <si>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</si>
  <si>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</si>
  <si>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</si>
  <si>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</si>
  <si>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</si>
  <si>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</si>
  <si>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</si>
  <si>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</si>
  <si>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</si>
  <si>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</si>
  <si>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Asplundh Tree Expert</t>
  </si>
  <si>
    <t>Area Wide Protective</t>
  </si>
  <si>
    <t>Other Contractor</t>
  </si>
  <si>
    <t>TOTAL OUTSIDE CONTRACTED SERVICES</t>
  </si>
  <si>
    <t>Total Restoration Costs</t>
  </si>
  <si>
    <t>O/S from Bus Obj</t>
  </si>
  <si>
    <t>Total O/S</t>
  </si>
  <si>
    <t>Less: Asplundh (all O&amp;M)</t>
  </si>
  <si>
    <t>Total O/S for Splits</t>
  </si>
  <si>
    <t>O/S from Business Objects</t>
  </si>
  <si>
    <t>Less: Asplundh (All O&amp;M)</t>
  </si>
  <si>
    <t>Total for Splits</t>
  </si>
  <si>
    <t>% Split</t>
  </si>
  <si>
    <t>Capital</t>
  </si>
  <si>
    <t>Removal</t>
  </si>
  <si>
    <t>O&amp;M</t>
  </si>
  <si>
    <t>ACRT Inc</t>
  </si>
  <si>
    <t>Ashland</t>
  </si>
  <si>
    <t>Pikeville</t>
  </si>
  <si>
    <t>Hazard</t>
  </si>
  <si>
    <t>Project</t>
  </si>
  <si>
    <t>Work Orders/WR #'s</t>
  </si>
  <si>
    <t>Pike Electric</t>
  </si>
  <si>
    <t>Incremental Fleet Calculation:</t>
  </si>
  <si>
    <t>2009 Storms 8 &amp; 9 - Total Fleet Cost</t>
  </si>
  <si>
    <t>2009 Storms 8 &amp; 9 - Calculated Incremental Fleet Cost</t>
  </si>
  <si>
    <t>Historical % Of Incremental to Total</t>
  </si>
  <si>
    <t>Less: Accrual not yet reversed</t>
  </si>
  <si>
    <t>Original Split</t>
  </si>
  <si>
    <t>see comment R62 for previous calc of Asplundh incremental O&amp;M</t>
  </si>
  <si>
    <t>Unallocated</t>
  </si>
  <si>
    <t>D.H. Elliot</t>
  </si>
  <si>
    <t>Other Bud Cat</t>
  </si>
  <si>
    <t>DMS14KK03</t>
  </si>
  <si>
    <t>DKY0083118 / 52657757</t>
  </si>
  <si>
    <t>Wind Storm definition</t>
  </si>
  <si>
    <t>Cap 20% / Rem 05% / O&amp;M 75%</t>
  </si>
  <si>
    <t>Wind Storm:  02/21/2014</t>
  </si>
  <si>
    <t>02/21/14 WIND STORM TOTAL COST</t>
  </si>
  <si>
    <t>02/21/14 WIND STORM INCREMENTAL COST</t>
  </si>
  <si>
    <t>Bluegrass Central Construction Inc</t>
  </si>
  <si>
    <t>Bowlin Energy LLC</t>
  </si>
  <si>
    <t>Wind Storm:  06/10/2014</t>
  </si>
  <si>
    <t>06/10/14 WIND STORM TOTAL COST</t>
  </si>
  <si>
    <t>06/10/14 WIND STORM INCREMENTAL COST</t>
  </si>
  <si>
    <t>Asplundh Construction Corp</t>
  </si>
  <si>
    <t>Sumpter</t>
  </si>
  <si>
    <t>Service Electric</t>
  </si>
  <si>
    <t>Thayer Power</t>
  </si>
  <si>
    <t>DMS14KK07</t>
  </si>
  <si>
    <t>DKY0084254 / 53925840</t>
  </si>
  <si>
    <t>Davey Resource Group</t>
  </si>
  <si>
    <t>UC Synergetic</t>
  </si>
  <si>
    <t>05/21/13 THUNDERSTORM TOTAL COST</t>
  </si>
  <si>
    <t>05/21/13 THUNDERSTORM INCREMENTAL COST</t>
  </si>
  <si>
    <t>Hazard/Pikeville/Ashland Thunderstorm:  05/21/2013</t>
  </si>
  <si>
    <t>J F Electric Inc</t>
  </si>
  <si>
    <t>Pike Electric Inc</t>
  </si>
  <si>
    <t>Service Electric Inc</t>
  </si>
  <si>
    <t>DMS13KK01</t>
  </si>
  <si>
    <t>DKY0079873 / 49507226</t>
  </si>
  <si>
    <t>Cap 07% / Rem 01% / O&amp;M 92%</t>
  </si>
  <si>
    <t>02/19/12 SNOW STORM TOTAL COST</t>
  </si>
  <si>
    <t>02/19/12 SNOW STORM INCREMENTAL COST</t>
  </si>
  <si>
    <t>Hazard/Pikeville Snow Storm:  02/19/2012</t>
  </si>
  <si>
    <t>D.H. Elliott</t>
  </si>
  <si>
    <t>Fischel Company</t>
  </si>
  <si>
    <t>Kentucky Utilities</t>
  </si>
  <si>
    <t>Mastec North America Inc</t>
  </si>
  <si>
    <t>Thayer Power &amp; Comm Line Cnstr</t>
  </si>
  <si>
    <t>William E Groves Construction Inc</t>
  </si>
  <si>
    <t>DMS12KK01</t>
  </si>
  <si>
    <t>DKY0074073 / 43746472</t>
  </si>
  <si>
    <t>DKY0074075 / 43746849</t>
  </si>
  <si>
    <t>DKY0074076 / 43746955</t>
  </si>
  <si>
    <t>Cap 10% / Rem 5% / O&amp;M 85%</t>
  </si>
  <si>
    <t>03/02/12 TORNADO TOTAL COST</t>
  </si>
  <si>
    <t>03/02/12 TORNADO INCREMENTAL COST</t>
  </si>
  <si>
    <t>Ashland/Pikeville Tornado/Wind Storm:  03/02/2012</t>
  </si>
  <si>
    <t>See comment R62 for previous calc of Asplundh incremental O&amp;M</t>
  </si>
  <si>
    <t>Bluegrass Central Construction</t>
  </si>
  <si>
    <t>Lee Electrical Construction Inc</t>
  </si>
  <si>
    <t>New River Electrical Corp</t>
  </si>
  <si>
    <t>Southern Electric Corp</t>
  </si>
  <si>
    <t>Enviro-Pro (Environmental contractor)</t>
  </si>
  <si>
    <t>Pro Force (Environmental contractor)</t>
  </si>
  <si>
    <t>Weavertown (Environmental contractor)</t>
  </si>
  <si>
    <t>DMS12KK02</t>
  </si>
  <si>
    <t>DKY0074227 / 43929146</t>
  </si>
  <si>
    <t>DKY0074229 / 43929594</t>
  </si>
  <si>
    <t>DKY0074228 / 43929405</t>
  </si>
  <si>
    <t>Cap 45% / Rem 10% / O&amp;M 45%</t>
  </si>
  <si>
    <t>06/29/12 DERECHO STORM TOTAL COST</t>
  </si>
  <si>
    <t>06/29/12 DERECHO STORM INCREMENTAL COST</t>
  </si>
  <si>
    <t>Ashland/Pikeville Derecho Storm:  06/29/2012</t>
  </si>
  <si>
    <t>Chain Electric</t>
  </si>
  <si>
    <r>
      <t xml:space="preserve">Entergy AR </t>
    </r>
    <r>
      <rPr>
        <i/>
        <sz val="10"/>
        <rFont val="Tahoma"/>
        <family val="2"/>
      </rPr>
      <t>(ESTIMATED)</t>
    </r>
  </si>
  <si>
    <t>Entergy Gulf States LA</t>
  </si>
  <si>
    <t>Entergy LA</t>
  </si>
  <si>
    <r>
      <t xml:space="preserve">Entergy MS </t>
    </r>
    <r>
      <rPr>
        <i/>
        <sz val="10"/>
        <rFont val="Tahoma"/>
        <family val="2"/>
      </rPr>
      <t>(ESTIMATED)</t>
    </r>
  </si>
  <si>
    <t>Entergy New Orleans Inc</t>
  </si>
  <si>
    <t>Entergy TX</t>
  </si>
  <si>
    <t>Highline (Utility Lines Construction)</t>
  </si>
  <si>
    <t>PAR Electric</t>
  </si>
  <si>
    <t>T&amp;D Solutions</t>
  </si>
  <si>
    <t>Other Contractor, Unallocated</t>
  </si>
  <si>
    <t>O/S from Bus Obj (Less unallocated amt)</t>
  </si>
  <si>
    <t>Subtotal w/o accrual</t>
  </si>
  <si>
    <t>Add: Entergy AR (estimated)</t>
  </si>
  <si>
    <t>Entergy LA (estimated minus Storm #4 amount)</t>
  </si>
  <si>
    <t>Entergy MS (estimated)</t>
  </si>
  <si>
    <t>Entergy TX (estimated minus Storm #4 amount)</t>
  </si>
  <si>
    <t>Asplundh (estimated amount above actuals in BusObj)</t>
  </si>
  <si>
    <t>Total O/S costs</t>
  </si>
  <si>
    <t>November Accrual</t>
  </si>
  <si>
    <t>Total estimated costs - Entergy</t>
  </si>
  <si>
    <t>Original Splits</t>
  </si>
  <si>
    <t>DMS12KK03</t>
  </si>
  <si>
    <t>Entergy Costs @ original split</t>
  </si>
  <si>
    <t>O/S currently shown in BusObj</t>
  </si>
  <si>
    <t>DKY0075639 / 45434772</t>
  </si>
  <si>
    <t>Less Accrual not yet reversed</t>
  </si>
  <si>
    <t>O/S in BusObj</t>
  </si>
  <si>
    <t>Add Estimated Entergy</t>
  </si>
  <si>
    <t>Estimated O/S totals, split</t>
  </si>
  <si>
    <t>Add for Estimated Asplundh</t>
  </si>
  <si>
    <t>Totals to use in row 130 (as if in BusObj)</t>
  </si>
  <si>
    <t>Old calculation - this one uses the old original splits</t>
  </si>
  <si>
    <t>Cap</t>
  </si>
  <si>
    <t>Rem</t>
  </si>
  <si>
    <t>o/s (only) in bus obj</t>
  </si>
  <si>
    <t>est: entergy</t>
  </si>
  <si>
    <t>est: asplundh</t>
  </si>
  <si>
    <t>est total</t>
  </si>
  <si>
    <t>o/s totals w/ est</t>
  </si>
  <si>
    <t>totals in bus obj</t>
  </si>
  <si>
    <t>est (from rows 158)</t>
  </si>
  <si>
    <t>add xfmrs</t>
  </si>
  <si>
    <t>total w/ est &amp; xfmrs</t>
  </si>
  <si>
    <t>07/05/12 THUNDERSTORM TOTAL COST</t>
  </si>
  <si>
    <t>07/05/12 THUNDERSTORM INCREMENTAL COST</t>
  </si>
  <si>
    <t>Ashland/Pikeville/Hazard Thunderstorm:  07/05/2012</t>
  </si>
  <si>
    <t>Highline</t>
  </si>
  <si>
    <t>Other Contractor Unallocated</t>
  </si>
  <si>
    <t>O/S Total in Bus Obj</t>
  </si>
  <si>
    <t>DMS12KK04</t>
  </si>
  <si>
    <t>DKY0075648 / 45521178</t>
  </si>
  <si>
    <t>Subtotal</t>
  </si>
  <si>
    <t>Add Estimated Entergy (all states)</t>
  </si>
  <si>
    <t>Totals to use in row 126 (as if in BusObj)</t>
  </si>
  <si>
    <t>est (from rows 143)</t>
  </si>
  <si>
    <t>10/30/12 SNOW STORM TOTAL COST</t>
  </si>
  <si>
    <t>10/30/12 SNOW STORM INCREMENTAL COST</t>
  </si>
  <si>
    <t>Pikeville/Hazard Snow Storm - Hurricane Sandy:  10/30/2012</t>
  </si>
  <si>
    <t>Fischel</t>
  </si>
  <si>
    <t>Asplundh (estimated amt above actuals in Bus Obj)</t>
  </si>
  <si>
    <t>DMS12KK07</t>
  </si>
  <si>
    <t>DKY0077019 / 47096806</t>
  </si>
  <si>
    <t>Cap 10% / Rem 05% / O&amp;M 85%</t>
  </si>
  <si>
    <t>Total O/S (actuals) costs</t>
  </si>
  <si>
    <t>Total O/S Costs @ original split</t>
  </si>
  <si>
    <t>December BusObj</t>
  </si>
  <si>
    <t>Actuals</t>
  </si>
  <si>
    <t>O/S in "Other" not yet allocated</t>
  </si>
  <si>
    <t>DHE</t>
  </si>
  <si>
    <t>Asplundh</t>
  </si>
  <si>
    <t>"Other" O/S Costs spread @ original split</t>
  </si>
  <si>
    <t>Pike</t>
  </si>
  <si>
    <t>ACRT</t>
  </si>
  <si>
    <t>O/S Costs in Bus Obj</t>
  </si>
  <si>
    <t>AWP</t>
  </si>
  <si>
    <t>Less Accrual Reversal not yet allocated</t>
  </si>
  <si>
    <t>Innosource</t>
  </si>
  <si>
    <t>Twenty-First Century</t>
  </si>
  <si>
    <t>O/S in Other not yet allocated</t>
  </si>
  <si>
    <t>Jean Simpson Personnel</t>
  </si>
  <si>
    <t>Misc O/S</t>
  </si>
  <si>
    <t>total actuals</t>
  </si>
  <si>
    <t>Totals to use in row 116 (as if in BusObj)</t>
  </si>
  <si>
    <t>Estimates</t>
  </si>
  <si>
    <t>DHE remaining</t>
  </si>
  <si>
    <t>total estimates</t>
  </si>
  <si>
    <t>total O/S anticipated</t>
  </si>
  <si>
    <t>Illuminating Company</t>
  </si>
  <si>
    <t>Louisville Gas &amp; Electric</t>
  </si>
  <si>
    <t>Ohio Edison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</si>
</sst>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2" formatCode="_(&quot;$&quot;* #,##0_);_(&quot;$&quot;* \(#,##0\);_(&quot;$&quot;* &quot;-&quot;_);_(@_)"/>
    <numFmt numFmtId="41" formatCode="_(* #,##0_);_(* \(#,##0\);_(* &quot;-&quot;_);_(@_)"/>
    <numFmt numFmtId="164" formatCode="#,##0.0_);[Red]\(#,##0.0\)"/>
    <numFmt numFmtId="165" formatCode="#,##0.0_);\(#,##0.0\)"/>
    <numFmt numFmtId="166" formatCode="0.000%"/>
    <numFmt numFmtId="167" formatCode="0.000000%"/>
    <numFmt numFmtId="168" formatCode="&quot;$&quot;#,##0"/>
    <numFmt numFmtId="169" formatCode="0.00000%"/>
    <numFmt numFmtId="170" formatCode="m/d/yy;@"/>
  </numFmts>
  <fonts count="20" x14ac:knownFonts="1">
    <font>
      <sz val="10"/>
      <name val="Tahoma"/>
    </font>
    <font>
      <b/>
      <sz val="16"/>
      <name val="Tahoma"/>
      <family val="2"/>
    </font>
    <font>
      <b/>
      <sz val="10"/>
      <name val="Tahoma"/>
      <family val="2"/>
    </font>
    <font>
      <b/>
      <sz val="12"/>
      <name val="Tahoma"/>
      <family val="2"/>
    </font>
    <font>
      <b/>
      <i/>
      <sz val="8"/>
      <name val="Tahoma"/>
      <family val="2"/>
    </font>
    <font>
      <b/>
      <sz val="11"/>
      <name val="Tahoma"/>
      <family val="2"/>
    </font>
    <font>
      <sz val="10"/>
      <color indexed="8"/>
      <name val="Tahoma"/>
      <family val="2"/>
    </font>
    <font>
      <sz val="10"/>
      <name val="Tahoma"/>
      <family val="2"/>
    </font>
    <font>
      <sz val="8"/>
      <color indexed="81"/>
      <name val="Tahoma"/>
      <family val="2"/>
    </font>
    <font>
      <b/>
      <sz val="8"/>
      <color indexed="81"/>
      <name val="Tahoma"/>
      <family val="2"/>
    </font>
    <font>
      <b/>
      <i/>
      <sz val="10"/>
      <name val="Tahoma"/>
      <family val="2"/>
    </font>
    <font>
      <u/>
      <sz val="8"/>
      <color indexed="81"/>
      <name val="Tahoma"/>
      <family val="2"/>
    </font>
    <font>
      <strike/>
      <sz val="10"/>
      <name val="Tahoma"/>
      <family val="2"/>
    </font>
    <font>
      <i/>
      <sz val="10"/>
      <name val="Tahoma"/>
      <family val="2"/>
    </font>
    <font>
      <i/>
      <sz val="8"/>
      <name val="Tahoma"/>
      <family val="2"/>
    </font>
    <font>
      <sz val="10"/>
      <name val="Tahoma"/>
    </font>
    <font>
      <sz val="10"/>
      <color indexed="8"/>
      <name val="Tahoma"/>
    </font>
    <font>
      <b/>
      <sz val="8"/>
      <color indexed="81"/>
      <name val="Tahoma"/>
    </font>
    <font>
      <sz val="8"/>
      <color indexed="81"/>
      <name val="Tahoma"/>
    </font>
    <font>
      <i/>
      <sz val="9"/>
      <name val="Tahoma"/>
      <family val="2"/>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s>
  <borders count="26">
    <border>
      <left/>
      <right/>
      <top/>
      <bottom/>
      <diagonal/>
    </border>
    <border>
      <left/>
      <right/>
      <top/>
      <bottom style="medium">
        <color indexed="64"/>
      </bottom>
      <diagonal/>
    </border>
    <border>
      <left/>
      <right/>
      <top style="mediumDashDotDot">
        <color indexed="64"/>
      </top>
      <bottom/>
      <diagonal/>
    </border>
    <border>
      <left style="mediumDashDotDot">
        <color indexed="64"/>
      </left>
      <right style="mediumDashDotDot">
        <color indexed="64"/>
      </right>
      <top style="mediumDashDotDot">
        <color indexed="64"/>
      </top>
      <bottom/>
      <diagonal/>
    </border>
    <border>
      <left style="mediumDashDotDot">
        <color indexed="64"/>
      </left>
      <right style="mediumDashDotDot">
        <color indexed="64"/>
      </right>
      <top/>
      <bottom/>
      <diagonal/>
    </border>
    <border>
      <left/>
      <right/>
      <top/>
      <bottom style="thin">
        <color indexed="64"/>
      </bottom>
      <diagonal/>
    </border>
    <border>
      <left/>
      <right/>
      <top style="thin">
        <color indexed="64"/>
      </top>
      <bottom/>
      <diagonal/>
    </border>
    <border>
      <left style="mediumDashDotDot">
        <color indexed="64"/>
      </left>
      <right style="mediumDashDotDot">
        <color indexed="64"/>
      </right>
      <top/>
      <bottom style="mediumDashDotDot">
        <color indexed="64"/>
      </bottom>
      <diagonal/>
    </border>
    <border>
      <left/>
      <right/>
      <top style="medium">
        <color indexed="64"/>
      </top>
      <bottom/>
      <diagonal/>
    </border>
    <border>
      <left/>
      <right/>
      <top style="medium">
        <color indexed="64"/>
      </top>
      <bottom style="mediumDashDotDot">
        <color indexed="64"/>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dotted">
        <color indexed="64"/>
      </bottom>
      <diagonal/>
    </border>
    <border>
      <left/>
      <right/>
      <top style="thin">
        <color indexed="64"/>
      </top>
      <bottom style="dotted">
        <color indexed="64"/>
      </bottom>
      <diagonal/>
    </border>
  </borders>
  <cellStyleXfs count="1">
    <xf numFmtId="0" fontId="0" fillId="0" borderId="0"/>
  </cellStyleXfs>
  <cellXfs count="133">
    <xf numFmtId="0" fontId="0" fillId="0" borderId="0" xfId="0"/>
    <xf numFmtId="0" fontId="1" fillId="0" borderId="0" xfId="0" applyFont="1" applyProtection="1"/>
    <xf numFmtId="0" fontId="2" fillId="0" borderId="0" xfId="0" applyFont="1" applyProtection="1"/>
    <xf numFmtId="0" fontId="0" fillId="0" borderId="0" xfId="0" applyProtection="1"/>
    <xf numFmtId="0" fontId="3" fillId="0" borderId="0" xfId="0" applyFont="1" applyProtection="1"/>
    <xf numFmtId="0" fontId="0" fillId="2" borderId="0" xfId="0" applyFill="1" applyProtection="1"/>
    <xf numFmtId="0" fontId="5" fillId="0" borderId="0" xfId="0" applyFont="1" applyProtection="1"/>
    <xf numFmtId="0" fontId="2" fillId="0" borderId="0" xfId="0" applyFont="1" applyAlignment="1" applyProtection="1">
      <alignment horizontal="center"/>
    </xf>
    <xf numFmtId="0" fontId="2" fillId="0" borderId="1" xfId="0" applyFont="1" applyBorder="1" applyAlignment="1" applyProtection="1">
      <alignment horizontal="center"/>
    </xf>
    <xf numFmtId="0" fontId="2" fillId="2" borderId="0" xfId="0" applyFont="1" applyFill="1" applyAlignment="1" applyProtection="1">
      <alignment horizontal="center"/>
    </xf>
    <xf numFmtId="0" fontId="0" fillId="0" borderId="0" xfId="0" applyAlignment="1" applyProtection="1">
      <alignment horizontal="right"/>
    </xf>
    <xf numFmtId="42" fontId="0" fillId="0" borderId="0" xfId="0" applyNumberFormat="1" applyFill="1" applyProtection="1"/>
    <xf numFmtId="42" fontId="0" fillId="0" borderId="0" xfId="0" applyNumberFormat="1" applyProtection="1"/>
    <xf numFmtId="164" fontId="0" fillId="0" borderId="2" xfId="0" applyNumberFormat="1" applyFill="1" applyBorder="1" applyProtection="1"/>
    <xf numFmtId="164" fontId="0" fillId="0" borderId="2" xfId="0" applyNumberFormat="1" applyBorder="1" applyProtection="1"/>
    <xf numFmtId="0" fontId="0" fillId="0" borderId="0" xfId="0" applyFill="1" applyProtection="1"/>
    <xf numFmtId="0" fontId="10" fillId="3" borderId="3" xfId="0" applyFont="1" applyFill="1" applyBorder="1" applyAlignment="1" applyProtection="1">
      <alignment horizontal="center"/>
    </xf>
    <xf numFmtId="0" fontId="0" fillId="0" borderId="4" xfId="0" applyBorder="1" applyProtection="1"/>
    <xf numFmtId="0" fontId="0" fillId="0" borderId="0" xfId="0" applyFill="1" applyAlignment="1" applyProtection="1">
      <alignment horizontal="right"/>
    </xf>
    <xf numFmtId="168" fontId="0" fillId="0" borderId="4" xfId="0" applyNumberFormat="1" applyBorder="1" applyAlignment="1" applyProtection="1">
      <alignment horizontal="center"/>
    </xf>
    <xf numFmtId="42" fontId="6" fillId="0" borderId="0" xfId="0" applyNumberFormat="1" applyFont="1" applyFill="1" applyProtection="1"/>
    <xf numFmtId="42" fontId="0" fillId="0" borderId="5" xfId="0" applyNumberFormat="1" applyFill="1" applyBorder="1" applyProtection="1"/>
    <xf numFmtId="42" fontId="0" fillId="0" borderId="5" xfId="0" applyNumberFormat="1" applyBorder="1" applyProtection="1"/>
    <xf numFmtId="42" fontId="2" fillId="0" borderId="0" xfId="0" applyNumberFormat="1" applyFont="1" applyFill="1" applyProtection="1"/>
    <xf numFmtId="42" fontId="2" fillId="0" borderId="0" xfId="0" applyNumberFormat="1" applyFont="1" applyProtection="1"/>
    <xf numFmtId="42" fontId="2" fillId="0" borderId="6" xfId="0" applyNumberFormat="1" applyFont="1" applyFill="1" applyBorder="1" applyProtection="1"/>
    <xf numFmtId="42" fontId="2" fillId="0" borderId="6" xfId="0" applyNumberFormat="1" applyFont="1" applyBorder="1" applyProtection="1"/>
    <xf numFmtId="0" fontId="0" fillId="0" borderId="0" xfId="0" applyNumberFormat="1" applyFill="1" applyProtection="1"/>
    <xf numFmtId="169" fontId="2" fillId="0" borderId="7" xfId="0" applyNumberFormat="1" applyFont="1" applyBorder="1" applyAlignment="1" applyProtection="1">
      <alignment horizontal="center"/>
    </xf>
    <xf numFmtId="42" fontId="0" fillId="0" borderId="0" xfId="0" applyNumberFormat="1" applyFill="1" applyBorder="1" applyProtection="1"/>
    <xf numFmtId="42" fontId="7" fillId="0" borderId="1" xfId="0" applyNumberFormat="1" applyFont="1" applyBorder="1" applyProtection="1"/>
    <xf numFmtId="42" fontId="2" fillId="0" borderId="8" xfId="0" applyNumberFormat="1" applyFont="1" applyBorder="1" applyProtection="1"/>
    <xf numFmtId="0" fontId="2" fillId="2" borderId="8" xfId="0" applyFont="1" applyFill="1" applyBorder="1" applyProtection="1"/>
    <xf numFmtId="164" fontId="0" fillId="0" borderId="0" xfId="0" applyNumberFormat="1" applyProtection="1"/>
    <xf numFmtId="164" fontId="0" fillId="0" borderId="0" xfId="0" applyNumberFormat="1" applyFill="1" applyProtection="1"/>
    <xf numFmtId="42" fontId="0" fillId="4" borderId="0" xfId="0" applyNumberFormat="1" applyFill="1" applyProtection="1"/>
    <xf numFmtId="37" fontId="0" fillId="0" borderId="0" xfId="0" applyNumberFormat="1" applyProtection="1"/>
    <xf numFmtId="164" fontId="0" fillId="0" borderId="0" xfId="0" applyNumberFormat="1" applyFill="1" applyBorder="1" applyProtection="1"/>
    <xf numFmtId="0" fontId="0" fillId="0" borderId="0" xfId="0" applyBorder="1" applyProtection="1"/>
    <xf numFmtId="42" fontId="2" fillId="0" borderId="9" xfId="0" applyNumberFormat="1" applyFont="1" applyBorder="1" applyProtection="1"/>
    <xf numFmtId="42" fontId="7" fillId="0" borderId="0" xfId="0" applyNumberFormat="1" applyFont="1" applyBorder="1" applyProtection="1"/>
    <xf numFmtId="37" fontId="2" fillId="0" borderId="2" xfId="0" applyNumberFormat="1" applyFont="1" applyBorder="1" applyProtection="1"/>
    <xf numFmtId="165" fontId="2" fillId="0" borderId="0" xfId="0" applyNumberFormat="1" applyFont="1" applyBorder="1" applyProtection="1"/>
    <xf numFmtId="0" fontId="2" fillId="2" borderId="0" xfId="0" applyFont="1" applyFill="1" applyBorder="1" applyProtection="1"/>
    <xf numFmtId="165" fontId="2" fillId="0" borderId="2" xfId="0" applyNumberFormat="1" applyFont="1" applyBorder="1" applyProtection="1"/>
    <xf numFmtId="42" fontId="2" fillId="0" borderId="10" xfId="0" applyNumberFormat="1" applyFont="1" applyBorder="1" applyProtection="1"/>
    <xf numFmtId="42" fontId="2" fillId="2" borderId="10" xfId="0" applyNumberFormat="1" applyFont="1" applyFill="1" applyBorder="1" applyProtection="1"/>
    <xf numFmtId="166" fontId="0" fillId="0" borderId="0" xfId="0" applyNumberFormat="1" applyProtection="1"/>
    <xf numFmtId="0" fontId="0" fillId="0" borderId="0" xfId="0" quotePrefix="1" applyFill="1" applyBorder="1" applyAlignment="1" applyProtection="1">
      <alignment horizontal="center"/>
    </xf>
    <xf numFmtId="38" fontId="0" fillId="0" borderId="0" xfId="0" applyNumberFormat="1" applyFill="1" applyBorder="1" applyProtection="1"/>
    <xf numFmtId="0" fontId="0" fillId="0" borderId="11" xfId="0" applyBorder="1" applyProtection="1"/>
    <xf numFmtId="0" fontId="0" fillId="0" borderId="12" xfId="0" applyBorder="1" applyProtection="1"/>
    <xf numFmtId="167" fontId="0" fillId="0" borderId="12" xfId="0" applyNumberFormat="1" applyBorder="1" applyProtection="1"/>
    <xf numFmtId="0" fontId="0" fillId="0" borderId="13" xfId="0" applyBorder="1" applyProtection="1"/>
    <xf numFmtId="0" fontId="0" fillId="0" borderId="14" xfId="0" applyBorder="1" applyProtection="1"/>
    <xf numFmtId="0" fontId="0" fillId="0" borderId="15" xfId="0" applyBorder="1" applyProtection="1"/>
    <xf numFmtId="38" fontId="0" fillId="0" borderId="15" xfId="0" applyNumberFormat="1" applyBorder="1" applyProtection="1"/>
    <xf numFmtId="0" fontId="0" fillId="5" borderId="14" xfId="0" applyFill="1" applyBorder="1" applyProtection="1"/>
    <xf numFmtId="38" fontId="0" fillId="5" borderId="18" xfId="0" applyNumberFormat="1" applyFill="1" applyBorder="1" applyProtection="1"/>
    <xf numFmtId="38" fontId="0" fillId="5" borderId="0" xfId="0" applyNumberFormat="1" applyFill="1" applyBorder="1" applyProtection="1"/>
    <xf numFmtId="38" fontId="0" fillId="0" borderId="19" xfId="0" applyNumberFormat="1" applyBorder="1" applyProtection="1"/>
    <xf numFmtId="38" fontId="0" fillId="0" borderId="5" xfId="0" applyNumberFormat="1" applyBorder="1" applyProtection="1"/>
    <xf numFmtId="38" fontId="0" fillId="0" borderId="0" xfId="0" applyNumberFormat="1" applyProtection="1"/>
    <xf numFmtId="38" fontId="0" fillId="0" borderId="0" xfId="0" applyNumberFormat="1" applyBorder="1" applyProtection="1"/>
    <xf numFmtId="38" fontId="0" fillId="0" borderId="20" xfId="0" applyNumberFormat="1" applyBorder="1" applyProtection="1"/>
    <xf numFmtId="0" fontId="0" fillId="0" borderId="0" xfId="0" applyFill="1" applyBorder="1" applyAlignment="1" applyProtection="1">
      <alignment horizontal="center"/>
    </xf>
    <xf numFmtId="167" fontId="0" fillId="0" borderId="18" xfId="0" applyNumberFormat="1" applyBorder="1" applyProtection="1"/>
    <xf numFmtId="0" fontId="0" fillId="0" borderId="21" xfId="0" applyBorder="1" applyProtection="1"/>
    <xf numFmtId="0" fontId="0" fillId="0" borderId="22" xfId="0" applyBorder="1" applyProtection="1"/>
    <xf numFmtId="38" fontId="7" fillId="0" borderId="22" xfId="0" applyNumberFormat="1" applyFont="1" applyBorder="1" applyAlignment="1" applyProtection="1">
      <alignment horizontal="center"/>
    </xf>
    <xf numFmtId="38" fontId="0" fillId="0" borderId="23" xfId="0" applyNumberFormat="1" applyBorder="1" applyProtection="1"/>
    <xf numFmtId="0" fontId="0" fillId="0" borderId="0" xfId="0" applyFill="1" applyBorder="1" applyProtection="1"/>
    <xf numFmtId="38" fontId="0" fillId="0" borderId="16" xfId="0" applyNumberFormat="1" applyBorder="1" applyProtection="1"/>
    <xf numFmtId="38" fontId="0" fillId="0" borderId="17" xfId="0" applyNumberFormat="1" applyBorder="1" applyProtection="1"/>
    <xf numFmtId="38" fontId="0" fillId="0" borderId="12" xfId="0" applyNumberFormat="1" applyBorder="1" applyProtection="1"/>
    <xf numFmtId="167" fontId="0" fillId="0" borderId="0" xfId="0" applyNumberFormat="1" applyFill="1" applyBorder="1" applyProtection="1"/>
    <xf numFmtId="38" fontId="7" fillId="0" borderId="0" xfId="0" applyNumberFormat="1" applyFont="1" applyFill="1" applyBorder="1" applyAlignment="1" applyProtection="1">
      <alignment horizontal="center"/>
    </xf>
    <xf numFmtId="168" fontId="0" fillId="0" borderId="0" xfId="0" applyNumberFormat="1" applyFill="1" applyAlignment="1" applyProtection="1">
      <alignment horizontal="right"/>
    </xf>
    <xf numFmtId="14" fontId="0" fillId="0" borderId="0" xfId="0" applyNumberFormat="1" applyFill="1" applyBorder="1" applyProtection="1"/>
    <xf numFmtId="42" fontId="2" fillId="0" borderId="10" xfId="0" applyNumberFormat="1" applyFont="1" applyFill="1" applyBorder="1" applyProtection="1"/>
    <xf numFmtId="0" fontId="10" fillId="0" borderId="0" xfId="0" applyFont="1" applyFill="1" applyProtection="1"/>
    <xf numFmtId="0" fontId="4" fillId="0" borderId="0" xfId="0" applyFont="1" applyFill="1" applyAlignment="1" applyProtection="1">
      <alignment horizontal="right"/>
    </xf>
    <xf numFmtId="42" fontId="0" fillId="0" borderId="0" xfId="0" applyNumberFormat="1" applyBorder="1" applyProtection="1"/>
    <xf numFmtId="0" fontId="2" fillId="0" borderId="0" xfId="0" applyFont="1" applyFill="1" applyBorder="1" applyAlignment="1" applyProtection="1">
      <alignment horizontal="center"/>
    </xf>
    <xf numFmtId="0" fontId="2" fillId="0" borderId="0" xfId="0" applyFont="1" applyBorder="1" applyAlignment="1" applyProtection="1">
      <alignment horizontal="center"/>
    </xf>
    <xf numFmtId="164" fontId="0" fillId="0" borderId="0" xfId="0" applyNumberFormat="1" applyBorder="1" applyProtection="1"/>
    <xf numFmtId="42" fontId="2" fillId="0" borderId="0" xfId="0" applyNumberFormat="1" applyFont="1" applyBorder="1" applyProtection="1"/>
    <xf numFmtId="0" fontId="2" fillId="0" borderId="0" xfId="0" applyFont="1" applyFill="1" applyAlignment="1" applyProtection="1">
      <alignment horizontal="center"/>
    </xf>
    <xf numFmtId="38" fontId="12" fillId="0" borderId="0" xfId="0" applyNumberFormat="1" applyFont="1" applyFill="1" applyBorder="1" applyProtection="1"/>
    <xf numFmtId="0" fontId="12" fillId="0" borderId="0" xfId="0" applyFont="1" applyBorder="1" applyProtection="1"/>
    <xf numFmtId="38" fontId="12" fillId="0" borderId="0" xfId="0" applyNumberFormat="1" applyFont="1" applyBorder="1" applyProtection="1"/>
    <xf numFmtId="0" fontId="7" fillId="0" borderId="0" xfId="0" applyFont="1" applyProtection="1"/>
    <xf numFmtId="0" fontId="13" fillId="0" borderId="0" xfId="0" applyFont="1" applyProtection="1"/>
    <xf numFmtId="0" fontId="7" fillId="0" borderId="0" xfId="0" applyFont="1" applyFill="1" applyProtection="1"/>
    <xf numFmtId="0" fontId="14" fillId="0" borderId="0" xfId="0" applyFont="1" applyBorder="1" applyAlignment="1" applyProtection="1">
      <alignment horizontal="center"/>
    </xf>
    <xf numFmtId="42" fontId="16" fillId="0" borderId="0" xfId="0" applyNumberFormat="1" applyFont="1" applyFill="1" applyProtection="1"/>
    <xf numFmtId="42" fontId="7" fillId="0" borderId="8" xfId="0" applyNumberFormat="1" applyFont="1" applyBorder="1" applyProtection="1"/>
    <xf numFmtId="168" fontId="0" fillId="0" borderId="0" xfId="0" applyNumberFormat="1" applyFill="1" applyProtection="1"/>
    <xf numFmtId="6" fontId="0" fillId="0" borderId="0" xfId="0" applyNumberFormat="1" applyProtection="1"/>
    <xf numFmtId="170" fontId="0" fillId="0" borderId="0" xfId="0" applyNumberFormat="1" applyAlignment="1" applyProtection="1">
      <alignment horizontal="center"/>
    </xf>
    <xf numFmtId="0" fontId="0" fillId="0" borderId="0" xfId="0" applyAlignment="1" applyProtection="1">
      <alignment horizontal="center"/>
    </xf>
    <xf numFmtId="38" fontId="0" fillId="0" borderId="18" xfId="0" applyNumberFormat="1" applyBorder="1" applyProtection="1"/>
    <xf numFmtId="14" fontId="0" fillId="0" borderId="0" xfId="0" applyNumberFormat="1" applyProtection="1"/>
    <xf numFmtId="42" fontId="0" fillId="0" borderId="15" xfId="0" applyNumberFormat="1" applyBorder="1" applyProtection="1"/>
    <xf numFmtId="42" fontId="0" fillId="0" borderId="16" xfId="0" applyNumberFormat="1" applyBorder="1" applyProtection="1"/>
    <xf numFmtId="41" fontId="0" fillId="0" borderId="15" xfId="0" applyNumberFormat="1" applyBorder="1" applyProtection="1"/>
    <xf numFmtId="0" fontId="0" fillId="0" borderId="14" xfId="0" applyFill="1" applyBorder="1" applyProtection="1"/>
    <xf numFmtId="42" fontId="0" fillId="0" borderId="17" xfId="0" applyNumberFormat="1" applyBorder="1" applyProtection="1"/>
    <xf numFmtId="0" fontId="13" fillId="0" borderId="14" xfId="0" applyFont="1" applyBorder="1" applyProtection="1"/>
    <xf numFmtId="38" fontId="13" fillId="0" borderId="0" xfId="0" applyNumberFormat="1" applyFont="1" applyFill="1" applyBorder="1" applyAlignment="1" applyProtection="1">
      <alignment horizontal="right"/>
    </xf>
    <xf numFmtId="38" fontId="7" fillId="0" borderId="0" xfId="0" applyNumberFormat="1" applyFont="1" applyFill="1" applyBorder="1" applyAlignment="1" applyProtection="1">
      <alignment horizontal="right"/>
    </xf>
    <xf numFmtId="40" fontId="0" fillId="0" borderId="5" xfId="0" applyNumberFormat="1" applyBorder="1" applyProtection="1"/>
    <xf numFmtId="38" fontId="7" fillId="0" borderId="20" xfId="0" applyNumberFormat="1" applyFont="1" applyFill="1" applyBorder="1" applyAlignment="1" applyProtection="1">
      <alignment horizontal="right"/>
    </xf>
    <xf numFmtId="38" fontId="0" fillId="0" borderId="6" xfId="0" applyNumberFormat="1" applyBorder="1" applyProtection="1"/>
    <xf numFmtId="0" fontId="0" fillId="0" borderId="5" xfId="0" applyBorder="1" applyProtection="1"/>
    <xf numFmtId="37" fontId="0" fillId="0" borderId="5" xfId="0" applyNumberFormat="1" applyBorder="1" applyProtection="1"/>
    <xf numFmtId="38" fontId="0" fillId="5" borderId="20" xfId="0" applyNumberFormat="1" applyFill="1" applyBorder="1" applyProtection="1"/>
    <xf numFmtId="0" fontId="0" fillId="0" borderId="0" xfId="0" applyFill="1" applyAlignment="1" applyProtection="1">
      <alignment horizontal="center"/>
    </xf>
    <xf numFmtId="38" fontId="7" fillId="0" borderId="24" xfId="0" applyNumberFormat="1" applyFont="1" applyFill="1" applyBorder="1" applyAlignment="1" applyProtection="1">
      <alignment horizontal="right"/>
    </xf>
    <xf numFmtId="38" fontId="7" fillId="0" borderId="5" xfId="0" applyNumberFormat="1" applyFont="1" applyFill="1" applyBorder="1" applyAlignment="1" applyProtection="1">
      <alignment horizontal="right"/>
    </xf>
    <xf numFmtId="38" fontId="0" fillId="0" borderId="25" xfId="0" applyNumberFormat="1" applyBorder="1" applyProtection="1"/>
    <xf numFmtId="38" fontId="0" fillId="2" borderId="0" xfId="0" applyNumberFormat="1" applyFill="1" applyBorder="1" applyProtection="1"/>
    <xf numFmtId="0" fontId="0" fillId="0" borderId="19" xfId="0" applyBorder="1" applyProtection="1"/>
    <xf numFmtId="40" fontId="0" fillId="0" borderId="0" xfId="0" applyNumberFormat="1" applyFill="1" applyBorder="1" applyProtection="1"/>
    <xf numFmtId="0" fontId="15" fillId="0" borderId="0" xfId="0" applyFont="1" applyFill="1" applyProtection="1"/>
    <xf numFmtId="40" fontId="0" fillId="0" borderId="5" xfId="0" applyNumberFormat="1" applyFill="1" applyBorder="1" applyProtection="1"/>
    <xf numFmtId="37" fontId="0" fillId="0" borderId="0" xfId="0" applyNumberFormat="1" applyBorder="1" applyProtection="1"/>
    <xf numFmtId="42" fontId="0" fillId="0" borderId="25" xfId="0" applyNumberFormat="1" applyBorder="1" applyProtection="1"/>
    <xf numFmtId="0" fontId="19" fillId="0" borderId="19" xfId="0" applyFont="1" applyBorder="1" applyAlignment="1" applyProtection="1">
      <alignment horizontal="center"/>
    </xf>
    <xf numFmtId="42" fontId="0" fillId="0" borderId="18" xfId="0" applyNumberFormat="1" applyBorder="1" applyProtection="1"/>
    <xf numFmtId="0" fontId="2" fillId="0" borderId="1" xfId="0" applyFont="1" applyFill="1" applyBorder="1" applyAlignment="1" applyProtection="1">
      <alignment horizontal="center"/>
    </xf>
    <xf numFmtId="0" fontId="2" fillId="0" borderId="0" xfId="0" applyFont="1" applyAlignment="1" applyProtection="1">
      <alignment horizontal="left" vertical="center"/>
    </xf>
    <xf numFmtId="0" fontId="19" fillId="0" borderId="19" xfId="0" applyFont="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828675</xdr:colOff>
      <xdr:row>155</xdr:row>
      <xdr:rowOff>57150</xdr:rowOff>
    </xdr:from>
    <xdr:to>
      <xdr:col>9</xdr:col>
      <xdr:colOff>723900</xdr:colOff>
      <xdr:row>168</xdr:row>
      <xdr:rowOff>114300</xdr:rowOff>
    </xdr:to>
    <xdr:sp macro="" textlink="">
      <xdr:nvSpPr>
        <xdr:cNvPr id="2" name="WordArt 4"/>
        <xdr:cNvSpPr>
          <a:spLocks noChangeArrowheads="1" noChangeShapeType="1" noTextEdit="1"/>
        </xdr:cNvSpPr>
      </xdr:nvSpPr>
      <xdr:spPr bwMode="auto">
        <a:xfrm rot="-1909284">
          <a:off x="5991225" y="22174200"/>
          <a:ext cx="2924175" cy="22002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val="000000"/>
                </a:solidFill>
                <a:round/>
                <a:headEnd/>
                <a:tailEnd/>
              </a:ln>
              <a:solidFill>
                <a:srgbClr val="FFFFFF">
                  <a:alpha val="50000"/>
                </a:srgbClr>
              </a:solidFill>
              <a:effectLst/>
              <a:latin typeface="Arial Black"/>
            </a:rPr>
            <a:t>Calc includes</a:t>
          </a:r>
        </a:p>
        <a:p>
          <a:pPr algn="ctr" rtl="0">
            <a:buNone/>
          </a:pPr>
          <a:r>
            <a:rPr lang="en-US" sz="3600" kern="10" spc="0">
              <a:ln w="9525">
                <a:solidFill>
                  <a:srgbClr val="000000"/>
                </a:solidFill>
                <a:round/>
                <a:headEnd/>
                <a:tailEnd/>
              </a:ln>
              <a:solidFill>
                <a:srgbClr val="FFFFFF">
                  <a:alpha val="50000"/>
                </a:srgbClr>
              </a:solidFill>
              <a:effectLst/>
              <a:latin typeface="Arial Black"/>
            </a:rPr>
            <a:t>accrual -</a:t>
          </a:r>
        </a:p>
        <a:p>
          <a:pPr algn="ctr" rtl="0">
            <a:buNone/>
          </a:pPr>
          <a:r>
            <a:rPr lang="en-US" sz="3600" kern="10" spc="0">
              <a:ln w="9525">
                <a:solidFill>
                  <a:srgbClr val="000000"/>
                </a:solidFill>
                <a:round/>
                <a:headEnd/>
                <a:tailEnd/>
              </a:ln>
              <a:solidFill>
                <a:srgbClr val="FFFFFF">
                  <a:alpha val="50000"/>
                </a:srgbClr>
              </a:solidFill>
              <a:effectLst/>
              <a:latin typeface="Arial Black"/>
            </a:rPr>
            <a:t>ignore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828675</xdr:colOff>
      <xdr:row>152</xdr:row>
      <xdr:rowOff>57150</xdr:rowOff>
    </xdr:from>
    <xdr:to>
      <xdr:col>9</xdr:col>
      <xdr:colOff>723900</xdr:colOff>
      <xdr:row>165</xdr:row>
      <xdr:rowOff>114300</xdr:rowOff>
    </xdr:to>
    <xdr:sp macro="" textlink="">
      <xdr:nvSpPr>
        <xdr:cNvPr id="2" name="WordArt 5"/>
        <xdr:cNvSpPr>
          <a:spLocks noChangeArrowheads="1" noChangeShapeType="1" noTextEdit="1"/>
        </xdr:cNvSpPr>
      </xdr:nvSpPr>
      <xdr:spPr bwMode="auto">
        <a:xfrm rot="-1909284">
          <a:off x="5991225" y="25069800"/>
          <a:ext cx="2924175" cy="21812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val="000000"/>
                </a:solidFill>
                <a:round/>
                <a:headEnd/>
                <a:tailEnd/>
              </a:ln>
              <a:solidFill>
                <a:srgbClr val="FFFFFF">
                  <a:alpha val="50000"/>
                </a:srgbClr>
              </a:solidFill>
              <a:effectLst/>
              <a:latin typeface="Arial Black"/>
            </a:rPr>
            <a:t>Calc includes</a:t>
          </a:r>
        </a:p>
        <a:p>
          <a:pPr algn="ctr" rtl="0">
            <a:buNone/>
          </a:pPr>
          <a:r>
            <a:rPr lang="en-US" sz="3600" kern="10" spc="0">
              <a:ln w="9525">
                <a:solidFill>
                  <a:srgbClr val="000000"/>
                </a:solidFill>
                <a:round/>
                <a:headEnd/>
                <a:tailEnd/>
              </a:ln>
              <a:solidFill>
                <a:srgbClr val="FFFFFF">
                  <a:alpha val="50000"/>
                </a:srgbClr>
              </a:solidFill>
              <a:effectLst/>
              <a:latin typeface="Arial Black"/>
            </a:rPr>
            <a:t>accrual -</a:t>
          </a:r>
        </a:p>
        <a:p>
          <a:pPr algn="ctr" rtl="0">
            <a:buNone/>
          </a:pPr>
          <a:r>
            <a:rPr lang="en-US" sz="3600" kern="10" spc="0">
              <a:ln w="9525">
                <a:solidFill>
                  <a:srgbClr val="000000"/>
                </a:solidFill>
                <a:round/>
                <a:headEnd/>
                <a:tailEnd/>
              </a:ln>
              <a:solidFill>
                <a:srgbClr val="FFFFFF">
                  <a:alpha val="50000"/>
                </a:srgbClr>
              </a:solidFill>
              <a:effectLst/>
              <a:latin typeface="Arial Black"/>
            </a:rPr>
            <a:t>ignore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1028700</xdr:colOff>
      <xdr:row>173</xdr:row>
      <xdr:rowOff>133350</xdr:rowOff>
    </xdr:from>
    <xdr:to>
      <xdr:col>9</xdr:col>
      <xdr:colOff>733425</xdr:colOff>
      <xdr:row>187</xdr:row>
      <xdr:rowOff>19050</xdr:rowOff>
    </xdr:to>
    <xdr:sp macro="" textlink="">
      <xdr:nvSpPr>
        <xdr:cNvPr id="2" name="WordArt 6"/>
        <xdr:cNvSpPr>
          <a:spLocks noChangeArrowheads="1" noChangeShapeType="1" noTextEdit="1"/>
        </xdr:cNvSpPr>
      </xdr:nvSpPr>
      <xdr:spPr bwMode="auto">
        <a:xfrm rot="-1909284">
          <a:off x="6324600" y="28546425"/>
          <a:ext cx="2924175" cy="21812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val="000000"/>
                </a:solidFill>
                <a:round/>
                <a:headEnd/>
                <a:tailEnd/>
              </a:ln>
              <a:solidFill>
                <a:srgbClr val="FFFFFF">
                  <a:alpha val="50000"/>
                </a:srgbClr>
              </a:solidFill>
              <a:effectLst/>
              <a:latin typeface="Arial Black"/>
            </a:rPr>
            <a:t>Calc includes</a:t>
          </a:r>
        </a:p>
        <a:p>
          <a:pPr algn="ctr" rtl="0">
            <a:buNone/>
          </a:pPr>
          <a:r>
            <a:rPr lang="en-US" sz="3600" kern="10" spc="0">
              <a:ln w="9525">
                <a:solidFill>
                  <a:srgbClr val="000000"/>
                </a:solidFill>
                <a:round/>
                <a:headEnd/>
                <a:tailEnd/>
              </a:ln>
              <a:solidFill>
                <a:srgbClr val="FFFFFF">
                  <a:alpha val="50000"/>
                </a:srgbClr>
              </a:solidFill>
              <a:effectLst/>
              <a:latin typeface="Arial Black"/>
            </a:rPr>
            <a:t>accrual -</a:t>
          </a:r>
        </a:p>
        <a:p>
          <a:pPr algn="ctr" rtl="0">
            <a:buNone/>
          </a:pPr>
          <a:r>
            <a:rPr lang="en-US" sz="3600" kern="10" spc="0">
              <a:ln w="9525">
                <a:solidFill>
                  <a:srgbClr val="000000"/>
                </a:solidFill>
                <a:round/>
                <a:headEnd/>
                <a:tailEnd/>
              </a:ln>
              <a:solidFill>
                <a:srgbClr val="FFFFFF">
                  <a:alpha val="50000"/>
                </a:srgbClr>
              </a:solidFill>
              <a:effectLst/>
              <a:latin typeface="Arial Black"/>
            </a:rPr>
            <a:t>ignore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Major%20Events/2012/PSC%20Major%20Event%20Cost%20Calc/4_After%202nd%20Data%20Request_Updates/2012_Updated%20&amp;%20Corrected%20Calc_as%20of%20010413_Increm%20O&amp;M%20Exp_Storms%201_2_3_4_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Filing WITHOUT #7"/>
      <sheetName val="O&amp;M By FERC Acct WITHOUT #7"/>
      <sheetName val="2nd Data Req-Attachment 1"/>
      <sheetName val="Attachment 1 Original Filing $$"/>
      <sheetName val="2012 Snow Storm #1"/>
      <sheetName val="2012 Tornado #2"/>
      <sheetName val="2012 Derecho #3"/>
      <sheetName val="2012 Thunderstorm #4"/>
      <sheetName val="2012 Hurricane Sandy #7"/>
      <sheetName val="Diff Btw 010313 &amp; 010413"/>
      <sheetName val="Diff Btw 120512 &amp; 010313"/>
      <sheetName val="Data for Filing WITH #7"/>
      <sheetName val="O&amp;M By FERC Acct WITH #7"/>
    </sheetNames>
    <sheetDataSet>
      <sheetData sheetId="0"/>
      <sheetData sheetId="1"/>
      <sheetData sheetId="2"/>
      <sheetData sheetId="3"/>
      <sheetData sheetId="4"/>
      <sheetData sheetId="5"/>
      <sheetData sheetId="6"/>
      <sheetData sheetId="7">
        <row r="82">
          <cell r="K82">
            <v>135800</v>
          </cell>
        </row>
        <row r="85">
          <cell r="K85">
            <v>12020</v>
          </cell>
        </row>
        <row r="88">
          <cell r="K88">
            <v>12231</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X153"/>
  <sheetViews>
    <sheetView tabSelected="1" zoomScaleNormal="100" workbookViewId="0">
      <selection activeCell="J124" sqref="J124"/>
    </sheetView>
  </sheetViews>
  <sheetFormatPr defaultRowHeight="12.75" x14ac:dyDescent="0.2"/>
  <cols>
    <col min="1" max="1" width="0.85546875" style="3" customWidth="1"/>
    <col min="2" max="2" width="22.140625" style="3" customWidth="1"/>
    <col min="3" max="3" width="0.85546875" style="3" customWidth="1"/>
    <col min="4" max="4" width="29.42578125" style="3" customWidth="1"/>
    <col min="5" max="5" width="22" style="3" bestFit="1" customWidth="1"/>
    <col min="6" max="6" width="0.85546875" style="3" customWidth="1"/>
    <col min="7" max="7" width="14.7109375" style="3" customWidth="1"/>
    <col min="8" max="8" width="16" style="3" customWidth="1"/>
    <col min="9" max="9" width="16.140625" style="3" customWidth="1"/>
    <col min="10" max="10" width="14.7109375" style="3" customWidth="1"/>
    <col min="11" max="11" width="16.85546875" style="3" customWidth="1"/>
    <col min="12" max="12" width="1.7109375" style="3" customWidth="1"/>
    <col min="13" max="14" width="14.7109375" style="3" customWidth="1"/>
    <col min="15" max="15" width="16.85546875" style="3" customWidth="1"/>
    <col min="16" max="16" width="14.7109375" style="3" customWidth="1"/>
    <col min="17" max="17" width="16.140625" style="3" customWidth="1"/>
    <col min="18" max="18" width="2.5703125" style="3" customWidth="1"/>
    <col min="19" max="22" width="16.140625" style="3" customWidth="1"/>
    <col min="23" max="23" width="2.7109375" style="3" customWidth="1"/>
    <col min="24" max="24" width="47" style="3" bestFit="1" customWidth="1"/>
    <col min="25" max="16384" width="9.140625" style="3"/>
  </cols>
  <sheetData>
    <row r="1" spans="2:24" x14ac:dyDescent="0.2">
      <c r="E1" s="2"/>
      <c r="F1" s="2"/>
    </row>
    <row r="2" spans="2:24" x14ac:dyDescent="0.2">
      <c r="E2" s="2"/>
      <c r="F2" s="2"/>
    </row>
    <row r="3" spans="2:24" ht="20.25" thickBot="1" x14ac:dyDescent="0.3">
      <c r="B3" s="1" t="s">
        <v>0</v>
      </c>
      <c r="C3" s="2"/>
      <c r="D3" s="2"/>
      <c r="E3" s="2"/>
      <c r="F3" s="2"/>
      <c r="G3" s="130" t="s">
        <v>107</v>
      </c>
      <c r="H3" s="130"/>
      <c r="I3" s="130"/>
      <c r="J3" s="130"/>
      <c r="K3" s="130"/>
      <c r="L3" s="5"/>
      <c r="M3" s="130" t="s">
        <v>108</v>
      </c>
      <c r="N3" s="130"/>
      <c r="O3" s="130"/>
      <c r="P3" s="130"/>
      <c r="Q3" s="130"/>
      <c r="R3" s="83"/>
      <c r="S3" s="83"/>
      <c r="T3" s="83"/>
      <c r="U3" s="83"/>
      <c r="V3" s="83"/>
    </row>
    <row r="4" spans="2:24" ht="19.5" x14ac:dyDescent="0.25">
      <c r="B4" s="1" t="s">
        <v>1</v>
      </c>
      <c r="C4" s="2"/>
      <c r="D4" s="2"/>
      <c r="L4" s="5"/>
    </row>
    <row r="5" spans="2:24" x14ac:dyDescent="0.2">
      <c r="B5" s="2" t="s">
        <v>106</v>
      </c>
      <c r="C5" s="2"/>
      <c r="D5" s="2"/>
      <c r="G5" s="7" t="s">
        <v>4</v>
      </c>
      <c r="H5" s="7" t="s">
        <v>5</v>
      </c>
      <c r="I5" s="7" t="s">
        <v>6</v>
      </c>
      <c r="J5" s="7" t="s">
        <v>7</v>
      </c>
      <c r="K5" s="7" t="s">
        <v>8</v>
      </c>
      <c r="L5" s="5"/>
      <c r="M5" s="7" t="s">
        <v>4</v>
      </c>
      <c r="N5" s="7" t="s">
        <v>5</v>
      </c>
      <c r="O5" s="7" t="s">
        <v>6</v>
      </c>
      <c r="P5" s="7" t="s">
        <v>7</v>
      </c>
      <c r="Q5" s="7" t="s">
        <v>8</v>
      </c>
      <c r="R5" s="7"/>
      <c r="S5" s="7"/>
      <c r="T5" s="7"/>
      <c r="U5" s="7"/>
      <c r="V5" s="7"/>
    </row>
    <row r="6" spans="2:24"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row>
    <row r="7" spans="2:24" x14ac:dyDescent="0.2">
      <c r="D7" s="81"/>
      <c r="E7" s="15"/>
      <c r="G7" s="7"/>
      <c r="H7" s="7" t="s">
        <v>14</v>
      </c>
      <c r="I7" s="7"/>
      <c r="J7" s="7"/>
      <c r="K7" s="7"/>
      <c r="L7" s="5"/>
      <c r="M7" s="7"/>
      <c r="N7" s="7" t="s">
        <v>14</v>
      </c>
      <c r="O7" s="7"/>
      <c r="P7" s="7"/>
      <c r="Q7" s="7"/>
      <c r="R7" s="7"/>
      <c r="S7" s="7"/>
      <c r="T7" s="7"/>
      <c r="U7" s="7"/>
      <c r="V7" s="7"/>
    </row>
    <row r="8" spans="2:24" ht="13.5" thickBot="1" x14ac:dyDescent="0.25">
      <c r="B8" s="2"/>
      <c r="E8" s="15"/>
      <c r="G8" s="8" t="s">
        <v>15</v>
      </c>
      <c r="H8" s="8" t="s">
        <v>16</v>
      </c>
      <c r="I8" s="8" t="s">
        <v>17</v>
      </c>
      <c r="J8" s="8"/>
      <c r="K8" s="8" t="s">
        <v>18</v>
      </c>
      <c r="L8" s="5"/>
      <c r="M8" s="8" t="s">
        <v>15</v>
      </c>
      <c r="N8" s="8" t="s">
        <v>16</v>
      </c>
      <c r="O8" s="8" t="s">
        <v>17</v>
      </c>
      <c r="P8" s="8"/>
      <c r="Q8" s="8" t="s">
        <v>18</v>
      </c>
      <c r="R8" s="84"/>
      <c r="S8" s="84"/>
      <c r="T8" s="84"/>
      <c r="U8" s="84"/>
      <c r="V8" s="84"/>
    </row>
    <row r="9" spans="2:24" ht="5.0999999999999996" customHeight="1" x14ac:dyDescent="0.2">
      <c r="B9" s="2"/>
      <c r="E9" s="15"/>
      <c r="G9" s="9"/>
      <c r="H9" s="9"/>
      <c r="I9" s="9"/>
      <c r="J9" s="9"/>
      <c r="K9" s="9"/>
      <c r="L9" s="5"/>
      <c r="M9" s="9"/>
      <c r="N9" s="9"/>
      <c r="O9" s="9"/>
      <c r="P9" s="9"/>
      <c r="Q9" s="9"/>
      <c r="R9" s="87"/>
      <c r="S9" s="87"/>
      <c r="T9" s="87"/>
      <c r="U9" s="87"/>
      <c r="V9" s="87"/>
    </row>
    <row r="10" spans="2:24" ht="15" thickBot="1" x14ac:dyDescent="0.25">
      <c r="B10" s="6" t="s">
        <v>3</v>
      </c>
      <c r="D10" s="3" t="s">
        <v>19</v>
      </c>
      <c r="E10" s="18" t="s">
        <v>20</v>
      </c>
      <c r="G10" s="11">
        <v>18447</v>
      </c>
      <c r="H10" s="11">
        <v>4592</v>
      </c>
      <c r="I10" s="11">
        <v>69882</v>
      </c>
      <c r="J10" s="12">
        <v>0</v>
      </c>
      <c r="K10" s="11">
        <f>SUM(G10:J10)</f>
        <v>92921</v>
      </c>
      <c r="L10" s="5"/>
      <c r="M10" s="11">
        <v>0</v>
      </c>
      <c r="N10" s="11">
        <v>0</v>
      </c>
      <c r="O10" s="11">
        <v>0</v>
      </c>
      <c r="P10" s="12">
        <v>0</v>
      </c>
      <c r="Q10" s="12">
        <f>SUM(M10:P10)</f>
        <v>0</v>
      </c>
      <c r="R10" s="12"/>
      <c r="S10" s="12"/>
      <c r="T10" s="12"/>
      <c r="U10" s="12"/>
      <c r="V10" s="12"/>
    </row>
    <row r="11" spans="2:24" x14ac:dyDescent="0.2">
      <c r="B11" s="2" t="s">
        <v>9</v>
      </c>
      <c r="E11" s="18" t="s">
        <v>21</v>
      </c>
      <c r="G11" s="13">
        <v>476.2</v>
      </c>
      <c r="H11" s="13">
        <v>117.8</v>
      </c>
      <c r="I11" s="13">
        <v>1802.6</v>
      </c>
      <c r="J11" s="14">
        <v>0</v>
      </c>
      <c r="K11" s="13">
        <f>SUM(G11:J11)</f>
        <v>2396.6</v>
      </c>
      <c r="L11" s="5"/>
      <c r="M11" s="13">
        <f>G11</f>
        <v>476.2</v>
      </c>
      <c r="N11" s="13">
        <f>H11</f>
        <v>117.8</v>
      </c>
      <c r="O11" s="13">
        <f>I11</f>
        <v>1802.6</v>
      </c>
      <c r="P11" s="14">
        <v>0</v>
      </c>
      <c r="Q11" s="14">
        <f>SUM(M11:P11)</f>
        <v>2396.6</v>
      </c>
      <c r="R11" s="85"/>
      <c r="S11" s="85"/>
      <c r="T11" s="85"/>
      <c r="U11" s="85"/>
      <c r="V11" s="85"/>
    </row>
    <row r="12" spans="2:24" x14ac:dyDescent="0.2">
      <c r="E12" s="18"/>
      <c r="G12" s="15"/>
      <c r="H12" s="15"/>
      <c r="I12" s="15"/>
      <c r="K12" s="15"/>
      <c r="L12" s="5"/>
      <c r="M12" s="15"/>
      <c r="N12" s="15"/>
      <c r="O12" s="15"/>
    </row>
    <row r="13" spans="2:24" ht="13.5" thickBot="1" x14ac:dyDescent="0.25">
      <c r="D13" s="3" t="s">
        <v>22</v>
      </c>
      <c r="E13" s="18" t="s">
        <v>20</v>
      </c>
      <c r="G13" s="11">
        <v>56968</v>
      </c>
      <c r="H13" s="11">
        <v>14242</v>
      </c>
      <c r="I13" s="11">
        <v>213632</v>
      </c>
      <c r="J13" s="12"/>
      <c r="K13" s="11">
        <f>SUM(G13:J13)</f>
        <v>284842</v>
      </c>
      <c r="L13" s="5"/>
      <c r="M13" s="11">
        <f t="shared" ref="M13:P14" si="0">G13</f>
        <v>56968</v>
      </c>
      <c r="N13" s="11">
        <f t="shared" si="0"/>
        <v>14242</v>
      </c>
      <c r="O13" s="11">
        <f t="shared" si="0"/>
        <v>213632</v>
      </c>
      <c r="P13" s="11">
        <f t="shared" si="0"/>
        <v>0</v>
      </c>
      <c r="Q13" s="12">
        <f>SUM(M13:P13)</f>
        <v>284842</v>
      </c>
      <c r="R13" s="12"/>
      <c r="S13" s="12"/>
      <c r="T13" s="12"/>
      <c r="U13" s="12"/>
      <c r="V13" s="12"/>
    </row>
    <row r="14" spans="2:24" ht="13.5" thickBot="1" x14ac:dyDescent="0.25">
      <c r="E14" s="18" t="s">
        <v>21</v>
      </c>
      <c r="G14" s="13">
        <v>1258.0999999999999</v>
      </c>
      <c r="H14" s="13">
        <v>314.89999999999998</v>
      </c>
      <c r="I14" s="13">
        <v>4718.5</v>
      </c>
      <c r="J14" s="14">
        <v>0</v>
      </c>
      <c r="K14" s="13">
        <f>SUM(G14:J14)</f>
        <v>6291.5</v>
      </c>
      <c r="L14" s="5"/>
      <c r="M14" s="13">
        <f t="shared" si="0"/>
        <v>1258.0999999999999</v>
      </c>
      <c r="N14" s="13">
        <f t="shared" si="0"/>
        <v>314.89999999999998</v>
      </c>
      <c r="O14" s="13">
        <f t="shared" si="0"/>
        <v>4718.5</v>
      </c>
      <c r="P14" s="14">
        <v>0</v>
      </c>
      <c r="Q14" s="14">
        <f>SUM(M14:P14)</f>
        <v>6291.5</v>
      </c>
      <c r="R14" s="85"/>
      <c r="S14" s="85"/>
      <c r="T14" s="85"/>
      <c r="U14" s="85"/>
      <c r="V14" s="85"/>
    </row>
    <row r="15" spans="2:24" x14ac:dyDescent="0.2">
      <c r="E15" s="15"/>
      <c r="G15" s="15"/>
      <c r="H15" s="15"/>
      <c r="I15" s="15"/>
      <c r="K15" s="15"/>
      <c r="L15" s="5"/>
      <c r="M15" s="15"/>
      <c r="N15" s="15"/>
      <c r="O15" s="15"/>
      <c r="X15" s="16" t="s">
        <v>87</v>
      </c>
    </row>
    <row r="16" spans="2:24" x14ac:dyDescent="0.2">
      <c r="D16" s="3" t="s">
        <v>23</v>
      </c>
      <c r="E16" s="18" t="s">
        <v>24</v>
      </c>
      <c r="G16" s="11">
        <v>7365</v>
      </c>
      <c r="H16" s="11">
        <v>1835</v>
      </c>
      <c r="I16" s="11">
        <v>2198</v>
      </c>
      <c r="J16" s="12">
        <v>0</v>
      </c>
      <c r="K16" s="11">
        <f t="shared" ref="K16:K22" si="1">SUM(G16:J16)</f>
        <v>11398</v>
      </c>
      <c r="L16" s="5"/>
      <c r="M16" s="11">
        <v>0</v>
      </c>
      <c r="N16" s="11">
        <v>0</v>
      </c>
      <c r="O16" s="11">
        <v>0</v>
      </c>
      <c r="P16" s="12">
        <v>0</v>
      </c>
      <c r="Q16" s="12">
        <f t="shared" ref="Q16:Q21" si="2">SUM(M16:P16)</f>
        <v>0</v>
      </c>
      <c r="R16" s="12"/>
      <c r="S16" s="12"/>
      <c r="T16" s="12"/>
      <c r="U16" s="12"/>
      <c r="V16" s="12"/>
      <c r="X16" s="17"/>
    </row>
    <row r="17" spans="2:24" x14ac:dyDescent="0.2">
      <c r="D17" s="3" t="s">
        <v>25</v>
      </c>
      <c r="E17" s="18" t="s">
        <v>26</v>
      </c>
      <c r="G17" s="11">
        <v>6551</v>
      </c>
      <c r="H17" s="11">
        <v>1638</v>
      </c>
      <c r="I17" s="11">
        <v>8105</v>
      </c>
      <c r="J17" s="12">
        <v>0</v>
      </c>
      <c r="K17" s="11">
        <f t="shared" si="1"/>
        <v>16294</v>
      </c>
      <c r="L17" s="5"/>
      <c r="M17" s="11">
        <f>G17</f>
        <v>6551</v>
      </c>
      <c r="N17" s="11">
        <f>H17</f>
        <v>1638</v>
      </c>
      <c r="O17" s="11">
        <f>I17</f>
        <v>8105</v>
      </c>
      <c r="P17" s="11">
        <f>J17</f>
        <v>0</v>
      </c>
      <c r="Q17" s="12">
        <f t="shared" si="2"/>
        <v>16294</v>
      </c>
      <c r="R17" s="12"/>
      <c r="S17" s="12"/>
      <c r="T17" s="12"/>
      <c r="U17" s="12"/>
      <c r="V17" s="12"/>
      <c r="X17" s="17" t="s">
        <v>88</v>
      </c>
    </row>
    <row r="18" spans="2:24" x14ac:dyDescent="0.2">
      <c r="E18" s="18" t="s">
        <v>27</v>
      </c>
      <c r="G18" s="11">
        <v>1399</v>
      </c>
      <c r="H18" s="11">
        <v>350</v>
      </c>
      <c r="I18" s="11">
        <v>1613</v>
      </c>
      <c r="J18" s="12">
        <v>0</v>
      </c>
      <c r="K18" s="11">
        <f t="shared" si="1"/>
        <v>3362</v>
      </c>
      <c r="L18" s="5"/>
      <c r="M18" s="11">
        <v>0</v>
      </c>
      <c r="N18" s="11">
        <v>0</v>
      </c>
      <c r="O18" s="11">
        <v>0</v>
      </c>
      <c r="P18" s="12">
        <v>0</v>
      </c>
      <c r="Q18" s="12">
        <f t="shared" si="2"/>
        <v>0</v>
      </c>
      <c r="R18" s="12"/>
      <c r="S18" s="12"/>
      <c r="T18" s="12"/>
      <c r="U18" s="12"/>
      <c r="V18" s="12"/>
      <c r="X18" s="19">
        <f>395196+21379</f>
        <v>416575</v>
      </c>
    </row>
    <row r="19" spans="2:24" x14ac:dyDescent="0.2">
      <c r="E19" s="18" t="s">
        <v>28</v>
      </c>
      <c r="G19" s="20">
        <v>10664</v>
      </c>
      <c r="H19" s="11">
        <v>2629</v>
      </c>
      <c r="I19" s="11">
        <v>40091</v>
      </c>
      <c r="J19" s="12">
        <v>0</v>
      </c>
      <c r="K19" s="11">
        <f t="shared" si="1"/>
        <v>53384</v>
      </c>
      <c r="L19" s="5"/>
      <c r="M19" s="11">
        <v>0</v>
      </c>
      <c r="N19" s="11">
        <v>0</v>
      </c>
      <c r="O19" s="11">
        <v>0</v>
      </c>
      <c r="P19" s="12">
        <v>0</v>
      </c>
      <c r="Q19" s="12">
        <f t="shared" si="2"/>
        <v>0</v>
      </c>
      <c r="R19" s="12"/>
      <c r="S19" s="12"/>
      <c r="T19" s="12"/>
      <c r="U19" s="12"/>
      <c r="V19" s="12"/>
      <c r="X19" s="17"/>
    </row>
    <row r="20" spans="2:24" x14ac:dyDescent="0.2">
      <c r="E20" s="18" t="s">
        <v>29</v>
      </c>
      <c r="G20" s="11">
        <v>143202</v>
      </c>
      <c r="H20" s="11">
        <v>30813</v>
      </c>
      <c r="I20" s="11">
        <v>8870</v>
      </c>
      <c r="J20" s="12">
        <v>0</v>
      </c>
      <c r="K20" s="11">
        <f t="shared" si="1"/>
        <v>182885</v>
      </c>
      <c r="L20" s="5"/>
      <c r="M20" s="11">
        <f>G20</f>
        <v>143202</v>
      </c>
      <c r="N20" s="11">
        <f>H20</f>
        <v>30813</v>
      </c>
      <c r="O20" s="11">
        <f>I20</f>
        <v>8870</v>
      </c>
      <c r="P20" s="11">
        <f>J20</f>
        <v>0</v>
      </c>
      <c r="Q20" s="12">
        <f t="shared" si="2"/>
        <v>182885</v>
      </c>
      <c r="R20" s="12"/>
      <c r="S20" s="12"/>
      <c r="T20" s="12"/>
      <c r="U20" s="12"/>
      <c r="V20" s="12"/>
      <c r="X20" s="17" t="s">
        <v>89</v>
      </c>
    </row>
    <row r="21" spans="2:24" x14ac:dyDescent="0.2">
      <c r="E21" s="18" t="s">
        <v>30</v>
      </c>
      <c r="G21" s="21">
        <v>3627</v>
      </c>
      <c r="H21" s="21">
        <v>846</v>
      </c>
      <c r="I21" s="21">
        <v>20364</v>
      </c>
      <c r="J21" s="22">
        <v>0</v>
      </c>
      <c r="K21" s="21">
        <f t="shared" si="1"/>
        <v>24837</v>
      </c>
      <c r="L21" s="5"/>
      <c r="M21" s="11">
        <v>0</v>
      </c>
      <c r="N21" s="11">
        <v>0</v>
      </c>
      <c r="O21" s="11">
        <v>0</v>
      </c>
      <c r="P21" s="12">
        <v>0</v>
      </c>
      <c r="Q21" s="12">
        <f t="shared" si="2"/>
        <v>0</v>
      </c>
      <c r="R21" s="12"/>
      <c r="S21" s="12"/>
      <c r="T21" s="12"/>
      <c r="U21" s="12"/>
      <c r="V21" s="12"/>
      <c r="X21" s="19">
        <f>31030+1679</f>
        <v>32709</v>
      </c>
    </row>
    <row r="22" spans="2:24" x14ac:dyDescent="0.2">
      <c r="D22" s="2" t="s">
        <v>31</v>
      </c>
      <c r="E22" s="18"/>
      <c r="G22" s="23">
        <f>G10+G13+SUM(G16:G21)</f>
        <v>248223</v>
      </c>
      <c r="H22" s="23">
        <f>H10+H13+SUM(H16:H21)</f>
        <v>56945</v>
      </c>
      <c r="I22" s="23">
        <f>I10+I13+SUM(I16:I21)</f>
        <v>364755</v>
      </c>
      <c r="J22" s="24">
        <f>J10+J13+SUM(J16:J21)</f>
        <v>0</v>
      </c>
      <c r="K22" s="23">
        <f t="shared" si="1"/>
        <v>669923</v>
      </c>
      <c r="L22" s="5"/>
      <c r="M22" s="25">
        <f>M10+M13+SUM(M16:M21)</f>
        <v>206721</v>
      </c>
      <c r="N22" s="25">
        <f>N10+N13+SUM(N16:N21)</f>
        <v>46693</v>
      </c>
      <c r="O22" s="25">
        <f>O10+O13+SUM(O16:O21)</f>
        <v>230607</v>
      </c>
      <c r="P22" s="26">
        <f>P10+P13+SUM(P16:P21)</f>
        <v>0</v>
      </c>
      <c r="Q22" s="26">
        <f>Q10+Q13+SUM(Q16:Q21)</f>
        <v>484021</v>
      </c>
      <c r="R22" s="86"/>
      <c r="S22" s="86"/>
      <c r="T22" s="86"/>
      <c r="U22" s="86"/>
      <c r="V22" s="86"/>
      <c r="X22" s="17"/>
    </row>
    <row r="23" spans="2:24" x14ac:dyDescent="0.2">
      <c r="E23" s="18"/>
      <c r="G23" s="11"/>
      <c r="H23" s="11"/>
      <c r="I23" s="11"/>
      <c r="J23" s="12"/>
      <c r="K23" s="11"/>
      <c r="L23" s="5"/>
      <c r="M23" s="27"/>
      <c r="N23" s="11"/>
      <c r="O23" s="11"/>
      <c r="P23" s="12"/>
      <c r="Q23" s="12"/>
      <c r="R23" s="12"/>
      <c r="S23" s="12"/>
      <c r="T23" s="12"/>
      <c r="U23" s="12"/>
      <c r="V23" s="12"/>
      <c r="X23" s="17" t="s">
        <v>90</v>
      </c>
    </row>
    <row r="24" spans="2:24" ht="13.5" thickBot="1" x14ac:dyDescent="0.25">
      <c r="B24" s="2" t="s">
        <v>32</v>
      </c>
      <c r="E24" s="18" t="s">
        <v>33</v>
      </c>
      <c r="G24" s="21">
        <v>24190</v>
      </c>
      <c r="H24" s="21">
        <v>5350</v>
      </c>
      <c r="I24" s="21">
        <v>92249</v>
      </c>
      <c r="J24" s="22">
        <v>0</v>
      </c>
      <c r="K24" s="21">
        <f>SUM(G24:J24)</f>
        <v>121789</v>
      </c>
      <c r="L24" s="5"/>
      <c r="M24" s="21">
        <f>$Q$24*G$141</f>
        <v>1670.2411457313337</v>
      </c>
      <c r="N24" s="21">
        <f>$Q$24*H$141</f>
        <v>35.535169846896324</v>
      </c>
      <c r="O24" s="21">
        <f>$Q$24*I$141</f>
        <v>7856.9588485578806</v>
      </c>
      <c r="P24" s="21">
        <v>0</v>
      </c>
      <c r="Q24" s="21">
        <f>K24*X24</f>
        <v>9562.7351641361111</v>
      </c>
      <c r="R24" s="29"/>
      <c r="S24" s="29"/>
      <c r="T24" s="29"/>
      <c r="U24" s="29"/>
      <c r="V24" s="29"/>
      <c r="X24" s="28">
        <f>X21/X18</f>
        <v>7.8518874152313511E-2</v>
      </c>
    </row>
    <row r="25" spans="2:24" x14ac:dyDescent="0.2">
      <c r="B25" s="2"/>
      <c r="D25" s="2" t="s">
        <v>34</v>
      </c>
      <c r="E25" s="18"/>
      <c r="G25" s="23">
        <f>SUM(G24)</f>
        <v>24190</v>
      </c>
      <c r="H25" s="23">
        <f>SUM(H24)</f>
        <v>5350</v>
      </c>
      <c r="I25" s="23">
        <f>SUM(I24)</f>
        <v>92249</v>
      </c>
      <c r="J25" s="24">
        <f>SUM(J24)</f>
        <v>0</v>
      </c>
      <c r="K25" s="23">
        <f>SUM(G25:J25)</f>
        <v>121789</v>
      </c>
      <c r="L25" s="5"/>
      <c r="M25" s="23">
        <f>SUM(M24)</f>
        <v>1670.2411457313337</v>
      </c>
      <c r="N25" s="23">
        <f>SUM(N24)</f>
        <v>35.535169846896324</v>
      </c>
      <c r="O25" s="23">
        <f>SUM(O24)</f>
        <v>7856.9588485578806</v>
      </c>
      <c r="P25" s="24">
        <f>SUM(P24)</f>
        <v>0</v>
      </c>
      <c r="Q25" s="24">
        <f>SUM(M25:P25)</f>
        <v>9562.7351641361111</v>
      </c>
      <c r="R25" s="24"/>
      <c r="S25" s="24"/>
      <c r="T25" s="24"/>
      <c r="U25" s="24"/>
      <c r="V25" s="24"/>
    </row>
    <row r="26" spans="2:24" x14ac:dyDescent="0.2">
      <c r="B26" s="2"/>
      <c r="E26" s="15"/>
      <c r="G26" s="15"/>
      <c r="H26" s="15"/>
      <c r="I26" s="15"/>
      <c r="K26" s="15"/>
      <c r="L26" s="5"/>
      <c r="M26" s="15"/>
      <c r="N26" s="15"/>
      <c r="O26" s="15"/>
    </row>
    <row r="27" spans="2:24" x14ac:dyDescent="0.2">
      <c r="B27" s="2" t="s">
        <v>35</v>
      </c>
      <c r="E27" s="18" t="s">
        <v>36</v>
      </c>
      <c r="F27" s="15"/>
      <c r="G27" s="11">
        <v>788</v>
      </c>
      <c r="H27" s="11">
        <v>151</v>
      </c>
      <c r="I27" s="11">
        <v>3064</v>
      </c>
      <c r="J27" s="12">
        <v>0</v>
      </c>
      <c r="K27" s="11">
        <f t="shared" ref="K27:K32" si="3">SUM(G27:J27)</f>
        <v>4003</v>
      </c>
      <c r="L27" s="5"/>
      <c r="M27" s="29">
        <v>0</v>
      </c>
      <c r="N27" s="29">
        <v>0</v>
      </c>
      <c r="O27" s="29">
        <v>0</v>
      </c>
      <c r="P27" s="12">
        <v>0</v>
      </c>
      <c r="Q27" s="12">
        <f t="shared" ref="Q27:Q32" si="4">SUM(M27:P27)</f>
        <v>0</v>
      </c>
      <c r="R27" s="12"/>
      <c r="S27" s="12"/>
      <c r="T27" s="12"/>
      <c r="U27" s="12"/>
      <c r="V27" s="12"/>
    </row>
    <row r="28" spans="2:24" x14ac:dyDescent="0.2">
      <c r="B28" s="2"/>
      <c r="E28" s="18" t="s">
        <v>37</v>
      </c>
      <c r="G28" s="11">
        <v>1157</v>
      </c>
      <c r="H28" s="11">
        <v>289</v>
      </c>
      <c r="I28" s="11">
        <v>4338</v>
      </c>
      <c r="J28" s="12">
        <v>0</v>
      </c>
      <c r="K28" s="11">
        <f t="shared" si="3"/>
        <v>5784</v>
      </c>
      <c r="L28" s="5"/>
      <c r="M28" s="11">
        <f>G28</f>
        <v>1157</v>
      </c>
      <c r="N28" s="11">
        <f>H28</f>
        <v>289</v>
      </c>
      <c r="O28" s="11">
        <f>I28</f>
        <v>4338</v>
      </c>
      <c r="P28" s="11">
        <f>J28</f>
        <v>0</v>
      </c>
      <c r="Q28" s="12">
        <f>SUM(M28:P28)</f>
        <v>5784</v>
      </c>
      <c r="R28" s="12"/>
      <c r="S28" s="12"/>
      <c r="T28" s="12"/>
      <c r="U28" s="12"/>
      <c r="V28" s="12"/>
    </row>
    <row r="29" spans="2:24" x14ac:dyDescent="0.2">
      <c r="B29" s="2"/>
      <c r="E29" s="15" t="s">
        <v>38</v>
      </c>
      <c r="G29" s="11">
        <v>0</v>
      </c>
      <c r="H29" s="11">
        <v>0</v>
      </c>
      <c r="I29" s="11">
        <v>0</v>
      </c>
      <c r="J29" s="12">
        <v>0</v>
      </c>
      <c r="K29" s="11">
        <f t="shared" si="3"/>
        <v>0</v>
      </c>
      <c r="L29" s="5"/>
      <c r="M29" s="11">
        <v>0</v>
      </c>
      <c r="N29" s="11">
        <v>0</v>
      </c>
      <c r="O29" s="11">
        <v>0</v>
      </c>
      <c r="P29" s="12">
        <v>0</v>
      </c>
      <c r="Q29" s="12">
        <f t="shared" si="4"/>
        <v>0</v>
      </c>
      <c r="R29" s="12"/>
      <c r="S29" s="12"/>
      <c r="T29" s="12"/>
      <c r="U29" s="12"/>
      <c r="V29" s="12"/>
    </row>
    <row r="30" spans="2:24" x14ac:dyDescent="0.2">
      <c r="B30" s="2"/>
      <c r="E30" s="18" t="s">
        <v>39</v>
      </c>
      <c r="G30" s="11">
        <v>10833</v>
      </c>
      <c r="H30" s="11">
        <v>2708</v>
      </c>
      <c r="I30" s="11">
        <v>40709</v>
      </c>
      <c r="J30" s="12">
        <v>0</v>
      </c>
      <c r="K30" s="11">
        <f t="shared" si="3"/>
        <v>54250</v>
      </c>
      <c r="L30" s="5"/>
      <c r="M30" s="11">
        <f t="shared" ref="M30:P31" si="5">G30</f>
        <v>10833</v>
      </c>
      <c r="N30" s="11">
        <f t="shared" si="5"/>
        <v>2708</v>
      </c>
      <c r="O30" s="11">
        <f t="shared" si="5"/>
        <v>40709</v>
      </c>
      <c r="P30" s="11">
        <f t="shared" si="5"/>
        <v>0</v>
      </c>
      <c r="Q30" s="12">
        <f t="shared" si="4"/>
        <v>54250</v>
      </c>
      <c r="R30" s="12"/>
      <c r="S30" s="12"/>
      <c r="T30" s="12"/>
      <c r="U30" s="12"/>
      <c r="V30" s="12"/>
    </row>
    <row r="31" spans="2:24" x14ac:dyDescent="0.2">
      <c r="B31" s="2"/>
      <c r="E31" s="10" t="s">
        <v>40</v>
      </c>
      <c r="G31" s="21">
        <v>105</v>
      </c>
      <c r="H31" s="21">
        <v>26</v>
      </c>
      <c r="I31" s="21">
        <v>393</v>
      </c>
      <c r="J31" s="22">
        <v>0</v>
      </c>
      <c r="K31" s="21">
        <f t="shared" si="3"/>
        <v>524</v>
      </c>
      <c r="L31" s="5"/>
      <c r="M31" s="21">
        <f t="shared" si="5"/>
        <v>105</v>
      </c>
      <c r="N31" s="21">
        <f t="shared" si="5"/>
        <v>26</v>
      </c>
      <c r="O31" s="21">
        <f>I31</f>
        <v>393</v>
      </c>
      <c r="P31" s="21">
        <f>J31</f>
        <v>0</v>
      </c>
      <c r="Q31" s="22">
        <f t="shared" si="4"/>
        <v>524</v>
      </c>
      <c r="R31" s="82"/>
      <c r="S31" s="82"/>
      <c r="T31" s="82"/>
      <c r="U31" s="82"/>
      <c r="V31" s="82"/>
    </row>
    <row r="32" spans="2:24" x14ac:dyDescent="0.2">
      <c r="B32" s="2"/>
      <c r="D32" s="2" t="s">
        <v>41</v>
      </c>
      <c r="G32" s="24">
        <f>SUM(G27:G31)</f>
        <v>12883</v>
      </c>
      <c r="H32" s="24">
        <f>SUM(H27:H31)</f>
        <v>3174</v>
      </c>
      <c r="I32" s="24">
        <f>SUM(I27:I31)</f>
        <v>48504</v>
      </c>
      <c r="J32" s="24">
        <f>SUM(J27:J31)</f>
        <v>0</v>
      </c>
      <c r="K32" s="23">
        <f t="shared" si="3"/>
        <v>64561</v>
      </c>
      <c r="L32" s="5"/>
      <c r="M32" s="23">
        <f>SUM(M27:M31)</f>
        <v>12095</v>
      </c>
      <c r="N32" s="23">
        <f>SUM(N27:N31)</f>
        <v>3023</v>
      </c>
      <c r="O32" s="23">
        <f>SUM(O27:O31)</f>
        <v>45440</v>
      </c>
      <c r="P32" s="24">
        <f>SUM(P27:P31)</f>
        <v>0</v>
      </c>
      <c r="Q32" s="24">
        <f t="shared" si="4"/>
        <v>60558</v>
      </c>
      <c r="R32" s="24"/>
      <c r="S32" s="24"/>
      <c r="T32" s="24"/>
      <c r="U32" s="24"/>
      <c r="V32" s="24"/>
    </row>
    <row r="33" spans="2:22" x14ac:dyDescent="0.2">
      <c r="B33" s="2"/>
      <c r="K33" s="15"/>
      <c r="L33" s="5"/>
    </row>
    <row r="34" spans="2:22" x14ac:dyDescent="0.2">
      <c r="B34" s="2" t="s">
        <v>42</v>
      </c>
      <c r="D34" s="2" t="s">
        <v>43</v>
      </c>
      <c r="E34" s="3" t="s">
        <v>44</v>
      </c>
      <c r="G34" s="11">
        <v>5512</v>
      </c>
      <c r="H34" s="11">
        <v>0</v>
      </c>
      <c r="I34" s="11">
        <v>0</v>
      </c>
      <c r="J34" s="11">
        <v>0</v>
      </c>
      <c r="K34" s="11">
        <f>SUM(G34:J34)</f>
        <v>5512</v>
      </c>
      <c r="L34" s="5"/>
      <c r="M34" s="12">
        <f t="shared" ref="M34:P35" si="6">G34</f>
        <v>5512</v>
      </c>
      <c r="N34" s="12">
        <f t="shared" si="6"/>
        <v>0</v>
      </c>
      <c r="O34" s="12">
        <f t="shared" si="6"/>
        <v>0</v>
      </c>
      <c r="P34" s="12">
        <f t="shared" si="6"/>
        <v>0</v>
      </c>
      <c r="Q34" s="12">
        <f>SUM(M34:P34)</f>
        <v>5512</v>
      </c>
      <c r="R34" s="12"/>
      <c r="S34" s="12"/>
      <c r="T34" s="12"/>
      <c r="U34" s="12"/>
      <c r="V34" s="12"/>
    </row>
    <row r="35" spans="2:22" x14ac:dyDescent="0.2">
      <c r="B35" s="2" t="s">
        <v>45</v>
      </c>
      <c r="D35" s="2" t="s">
        <v>46</v>
      </c>
      <c r="E35" s="3" t="s">
        <v>47</v>
      </c>
      <c r="G35" s="11">
        <v>2415</v>
      </c>
      <c r="H35" s="11">
        <v>0</v>
      </c>
      <c r="I35" s="11">
        <v>0</v>
      </c>
      <c r="J35" s="11">
        <v>0</v>
      </c>
      <c r="K35" s="11">
        <f>SUM(G35:J35)</f>
        <v>2415</v>
      </c>
      <c r="L35" s="5"/>
      <c r="M35" s="12">
        <f t="shared" si="6"/>
        <v>2415</v>
      </c>
      <c r="N35" s="12">
        <f t="shared" si="6"/>
        <v>0</v>
      </c>
      <c r="O35" s="12">
        <f t="shared" si="6"/>
        <v>0</v>
      </c>
      <c r="P35" s="12">
        <f t="shared" si="6"/>
        <v>0</v>
      </c>
      <c r="Q35" s="12">
        <f>SUM(M35:P35)</f>
        <v>2415</v>
      </c>
      <c r="R35" s="12"/>
      <c r="S35" s="12"/>
      <c r="T35" s="12"/>
      <c r="U35" s="12"/>
      <c r="V35" s="12"/>
    </row>
    <row r="36" spans="2:22" x14ac:dyDescent="0.2">
      <c r="D36" s="2"/>
      <c r="G36" s="15"/>
      <c r="H36" s="15"/>
      <c r="I36" s="15"/>
      <c r="J36" s="15"/>
      <c r="K36" s="15"/>
      <c r="L36" s="5"/>
      <c r="Q36" s="12"/>
      <c r="R36" s="12"/>
      <c r="S36" s="12"/>
      <c r="T36" s="12"/>
      <c r="U36" s="12"/>
      <c r="V36" s="12"/>
    </row>
    <row r="37" spans="2:22" x14ac:dyDescent="0.2">
      <c r="D37" s="2" t="s">
        <v>48</v>
      </c>
      <c r="E37" s="3" t="s">
        <v>49</v>
      </c>
      <c r="G37" s="11">
        <v>18802</v>
      </c>
      <c r="H37" s="11"/>
      <c r="I37" s="11">
        <v>0</v>
      </c>
      <c r="J37" s="11">
        <v>0</v>
      </c>
      <c r="K37" s="11">
        <f>SUM(G37:J37)</f>
        <v>18802</v>
      </c>
      <c r="L37" s="5"/>
      <c r="M37" s="12">
        <f t="shared" ref="M37:P40" si="7">G37</f>
        <v>18802</v>
      </c>
      <c r="N37" s="12">
        <f t="shared" si="7"/>
        <v>0</v>
      </c>
      <c r="O37" s="12">
        <f t="shared" si="7"/>
        <v>0</v>
      </c>
      <c r="P37" s="12">
        <f t="shared" si="7"/>
        <v>0</v>
      </c>
      <c r="Q37" s="12">
        <f>SUM(M37:P37)</f>
        <v>18802</v>
      </c>
      <c r="R37" s="12"/>
      <c r="S37" s="12"/>
      <c r="T37" s="12"/>
      <c r="U37" s="12"/>
      <c r="V37" s="12"/>
    </row>
    <row r="38" spans="2:22" x14ac:dyDescent="0.2">
      <c r="D38" s="2" t="s">
        <v>50</v>
      </c>
      <c r="E38" s="3" t="s">
        <v>51</v>
      </c>
      <c r="G38" s="11">
        <v>10461</v>
      </c>
      <c r="H38" s="11">
        <v>0</v>
      </c>
      <c r="I38" s="11">
        <v>0</v>
      </c>
      <c r="J38" s="11">
        <v>0</v>
      </c>
      <c r="K38" s="11">
        <f>SUM(G38:J38)</f>
        <v>10461</v>
      </c>
      <c r="L38" s="5"/>
      <c r="M38" s="12">
        <f t="shared" si="7"/>
        <v>10461</v>
      </c>
      <c r="N38" s="12">
        <f t="shared" si="7"/>
        <v>0</v>
      </c>
      <c r="O38" s="12">
        <f t="shared" si="7"/>
        <v>0</v>
      </c>
      <c r="P38" s="12">
        <f t="shared" si="7"/>
        <v>0</v>
      </c>
      <c r="Q38" s="12">
        <f>SUM(M38:P38)</f>
        <v>10461</v>
      </c>
      <c r="R38" s="12"/>
      <c r="S38" s="12"/>
      <c r="T38" s="12"/>
      <c r="U38" s="12"/>
      <c r="V38" s="12"/>
    </row>
    <row r="39" spans="2:22" x14ac:dyDescent="0.2">
      <c r="D39" s="2"/>
      <c r="E39" s="3" t="s">
        <v>52</v>
      </c>
      <c r="G39" s="11">
        <v>15737</v>
      </c>
      <c r="H39" s="11">
        <v>0</v>
      </c>
      <c r="I39" s="11">
        <v>0</v>
      </c>
      <c r="J39" s="11">
        <v>0</v>
      </c>
      <c r="K39" s="11">
        <f>SUM(G39:J39)</f>
        <v>15737</v>
      </c>
      <c r="L39" s="5"/>
      <c r="M39" s="12">
        <f t="shared" si="7"/>
        <v>15737</v>
      </c>
      <c r="N39" s="12">
        <f t="shared" si="7"/>
        <v>0</v>
      </c>
      <c r="O39" s="12">
        <f t="shared" si="7"/>
        <v>0</v>
      </c>
      <c r="P39" s="12">
        <f t="shared" si="7"/>
        <v>0</v>
      </c>
      <c r="Q39" s="12">
        <f>SUM(M39:P39)</f>
        <v>15737</v>
      </c>
      <c r="R39" s="12"/>
      <c r="S39" s="12"/>
      <c r="T39" s="12"/>
      <c r="U39" s="12"/>
      <c r="V39" s="12"/>
    </row>
    <row r="40" spans="2:22" x14ac:dyDescent="0.2">
      <c r="D40" s="2"/>
      <c r="E40" s="3" t="s">
        <v>53</v>
      </c>
      <c r="G40" s="11">
        <v>47106</v>
      </c>
      <c r="H40" s="11">
        <v>0</v>
      </c>
      <c r="I40" s="11"/>
      <c r="J40" s="11">
        <v>0</v>
      </c>
      <c r="K40" s="11">
        <f>SUM(G40:J40)</f>
        <v>47106</v>
      </c>
      <c r="L40" s="5"/>
      <c r="M40" s="12">
        <f t="shared" si="7"/>
        <v>47106</v>
      </c>
      <c r="N40" s="12">
        <f t="shared" si="7"/>
        <v>0</v>
      </c>
      <c r="O40" s="12">
        <f t="shared" si="7"/>
        <v>0</v>
      </c>
      <c r="P40" s="12">
        <f t="shared" si="7"/>
        <v>0</v>
      </c>
      <c r="Q40" s="12">
        <f>SUM(M40:P40)</f>
        <v>47106</v>
      </c>
      <c r="R40" s="12"/>
      <c r="S40" s="12"/>
      <c r="T40" s="12"/>
      <c r="U40" s="12"/>
      <c r="V40" s="12"/>
    </row>
    <row r="41" spans="2:22" x14ac:dyDescent="0.2">
      <c r="D41" s="2"/>
      <c r="G41" s="15"/>
      <c r="H41" s="15"/>
      <c r="I41" s="15"/>
      <c r="J41" s="15"/>
      <c r="K41" s="15"/>
      <c r="L41" s="5"/>
      <c r="Q41" s="12"/>
      <c r="R41" s="12"/>
      <c r="S41" s="12"/>
      <c r="T41" s="12"/>
      <c r="U41" s="12"/>
      <c r="V41" s="12"/>
    </row>
    <row r="42" spans="2:22" x14ac:dyDescent="0.2">
      <c r="D42" s="2" t="s">
        <v>54</v>
      </c>
      <c r="G42" s="11">
        <v>30996</v>
      </c>
      <c r="H42" s="11"/>
      <c r="I42" s="11">
        <v>0</v>
      </c>
      <c r="J42" s="11">
        <v>0</v>
      </c>
      <c r="K42" s="11">
        <f>SUM(G42:J42)</f>
        <v>30996</v>
      </c>
      <c r="L42" s="5"/>
      <c r="M42" s="12">
        <f>G42</f>
        <v>30996</v>
      </c>
      <c r="N42" s="12">
        <f>H42</f>
        <v>0</v>
      </c>
      <c r="O42" s="12">
        <f>I42</f>
        <v>0</v>
      </c>
      <c r="P42" s="12">
        <f>J42</f>
        <v>0</v>
      </c>
      <c r="Q42" s="12">
        <f>SUM(M42:P42)</f>
        <v>30996</v>
      </c>
      <c r="R42" s="12"/>
      <c r="S42" s="12"/>
      <c r="T42" s="12"/>
      <c r="U42" s="12"/>
      <c r="V42" s="12"/>
    </row>
    <row r="43" spans="2:22" x14ac:dyDescent="0.2">
      <c r="D43" s="2"/>
      <c r="G43" s="15"/>
      <c r="H43" s="15"/>
      <c r="I43" s="15"/>
      <c r="J43" s="15"/>
      <c r="L43" s="5"/>
    </row>
    <row r="44" spans="2:22"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c r="V44" s="12"/>
    </row>
    <row r="45" spans="2:22" x14ac:dyDescent="0.2">
      <c r="D45" s="2"/>
      <c r="G45" s="15"/>
      <c r="H45" s="15"/>
      <c r="I45" s="15"/>
      <c r="J45" s="15"/>
      <c r="L45" s="5"/>
    </row>
    <row r="46" spans="2:22"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c r="V46" s="12"/>
    </row>
    <row r="47" spans="2:22" x14ac:dyDescent="0.2">
      <c r="D47" s="2"/>
      <c r="G47" s="15"/>
      <c r="H47" s="15"/>
      <c r="I47" s="15"/>
      <c r="J47" s="15"/>
      <c r="L47" s="5"/>
    </row>
    <row r="48" spans="2:22"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c r="V48" s="12"/>
    </row>
    <row r="49" spans="2:24" x14ac:dyDescent="0.2">
      <c r="D49" s="2" t="s">
        <v>58</v>
      </c>
      <c r="G49" s="15"/>
      <c r="H49" s="15"/>
      <c r="I49" s="15"/>
      <c r="J49" s="15"/>
      <c r="L49" s="5"/>
    </row>
    <row r="50" spans="2:24" x14ac:dyDescent="0.2">
      <c r="D50" s="2"/>
      <c r="G50" s="15"/>
      <c r="H50" s="15"/>
      <c r="I50" s="15"/>
      <c r="J50" s="15"/>
      <c r="L50" s="5"/>
    </row>
    <row r="51" spans="2:24" x14ac:dyDescent="0.2">
      <c r="B51" s="2"/>
      <c r="D51" s="2" t="s">
        <v>53</v>
      </c>
      <c r="G51" s="21">
        <v>2381</v>
      </c>
      <c r="H51" s="21">
        <v>-8958</v>
      </c>
      <c r="I51" s="21">
        <v>52089</v>
      </c>
      <c r="J51" s="21">
        <v>0</v>
      </c>
      <c r="K51" s="21">
        <f>SUM(G51:J51)</f>
        <v>45512</v>
      </c>
      <c r="L51" s="5"/>
      <c r="M51" s="22">
        <f>G51</f>
        <v>2381</v>
      </c>
      <c r="N51" s="22">
        <f>H51</f>
        <v>-8958</v>
      </c>
      <c r="O51" s="22">
        <f>I51</f>
        <v>52089</v>
      </c>
      <c r="P51" s="22">
        <f>J51</f>
        <v>0</v>
      </c>
      <c r="Q51" s="22">
        <f>SUM(M51:P51)</f>
        <v>45512</v>
      </c>
      <c r="R51" s="82"/>
      <c r="S51" s="82"/>
      <c r="T51" s="82"/>
      <c r="U51" s="82"/>
      <c r="V51" s="82"/>
    </row>
    <row r="52" spans="2:24" x14ac:dyDescent="0.2">
      <c r="D52" s="2" t="s">
        <v>59</v>
      </c>
      <c r="G52" s="24">
        <f>SUM(G34:G51)</f>
        <v>133410</v>
      </c>
      <c r="H52" s="24">
        <f>SUM(H34:H51)</f>
        <v>-8958</v>
      </c>
      <c r="I52" s="24">
        <f>SUM(I34:I51)</f>
        <v>52089</v>
      </c>
      <c r="J52" s="24">
        <f>SUM(J34:J51)</f>
        <v>0</v>
      </c>
      <c r="K52" s="24">
        <f>SUM(G52:J52)</f>
        <v>176541</v>
      </c>
      <c r="L52" s="5"/>
      <c r="M52" s="24">
        <f>SUM(M34:M51)</f>
        <v>133410</v>
      </c>
      <c r="N52" s="24">
        <f>SUM(N34:N51)</f>
        <v>-8958</v>
      </c>
      <c r="O52" s="24">
        <f>SUM(O34:O51)</f>
        <v>52089</v>
      </c>
      <c r="P52" s="24">
        <f>SUM(P34:P51)</f>
        <v>0</v>
      </c>
      <c r="Q52" s="24">
        <f>SUM(M52:P52)</f>
        <v>176541</v>
      </c>
      <c r="R52" s="24"/>
      <c r="S52" s="24"/>
      <c r="T52" s="24"/>
      <c r="U52" s="24"/>
      <c r="V52" s="24"/>
    </row>
    <row r="53" spans="2:24" x14ac:dyDescent="0.2">
      <c r="B53" s="2"/>
      <c r="L53" s="5"/>
    </row>
    <row r="54" spans="2:24"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row>
    <row r="55" spans="2:24" x14ac:dyDescent="0.2">
      <c r="B55" s="2" t="s">
        <v>61</v>
      </c>
      <c r="L55" s="5"/>
    </row>
    <row r="56" spans="2:24" ht="13.5" thickBot="1" x14ac:dyDescent="0.25">
      <c r="K56" s="12"/>
      <c r="L56" s="5"/>
      <c r="Q56" s="30"/>
      <c r="R56" s="40"/>
      <c r="S56" s="40"/>
      <c r="T56" s="40"/>
      <c r="U56" s="40"/>
      <c r="V56" s="40"/>
    </row>
    <row r="57" spans="2:24" x14ac:dyDescent="0.2">
      <c r="B57" s="2" t="s">
        <v>62</v>
      </c>
      <c r="G57" s="31">
        <f>G22+G25+G32+G52+G54</f>
        <v>418706</v>
      </c>
      <c r="H57" s="31">
        <f>H22+H25+H32+H52+H54</f>
        <v>56511</v>
      </c>
      <c r="I57" s="31">
        <f>I22+I25+I32+I52+I54</f>
        <v>557597</v>
      </c>
      <c r="J57" s="31">
        <f>J22+J25+J32+J52+J54</f>
        <v>0</v>
      </c>
      <c r="K57" s="31">
        <f>SUM(G57:J57)</f>
        <v>1032814</v>
      </c>
      <c r="L57" s="32"/>
      <c r="M57" s="31">
        <f>M22+M25+M32+M52+M54</f>
        <v>353896.2411457313</v>
      </c>
      <c r="N57" s="31">
        <f>N22+N25+N32+N52+N54</f>
        <v>40793.535169846895</v>
      </c>
      <c r="O57" s="31">
        <f>O22+O25+O32+O52+O54</f>
        <v>335992.9588485579</v>
      </c>
      <c r="P57" s="31">
        <f>P22+P25+P32+P52+P54</f>
        <v>0</v>
      </c>
      <c r="Q57" s="31">
        <f>SUM(M57:P57)</f>
        <v>730682.73516413616</v>
      </c>
      <c r="R57" s="86"/>
      <c r="S57" s="86"/>
      <c r="T57" s="86"/>
      <c r="U57" s="86"/>
      <c r="V57" s="86"/>
    </row>
    <row r="58" spans="2:24" x14ac:dyDescent="0.2">
      <c r="L58" s="5"/>
    </row>
    <row r="59" spans="2:24" x14ac:dyDescent="0.2">
      <c r="L59" s="5"/>
    </row>
    <row r="60" spans="2:24" ht="14.25" x14ac:dyDescent="0.2">
      <c r="B60" s="6" t="s">
        <v>63</v>
      </c>
      <c r="K60" s="15"/>
      <c r="L60" s="5"/>
    </row>
    <row r="61" spans="2:24" x14ac:dyDescent="0.2">
      <c r="D61" s="15" t="s">
        <v>64</v>
      </c>
      <c r="E61" s="10" t="s">
        <v>20</v>
      </c>
      <c r="G61" s="12">
        <v>0</v>
      </c>
      <c r="H61" s="12">
        <v>0</v>
      </c>
      <c r="I61" s="12">
        <f>K61</f>
        <v>362980</v>
      </c>
      <c r="J61" s="11">
        <v>0</v>
      </c>
      <c r="K61" s="11">
        <v>362980</v>
      </c>
      <c r="L61" s="5"/>
      <c r="M61" s="12">
        <f>G61</f>
        <v>0</v>
      </c>
      <c r="N61" s="12">
        <f>H61</f>
        <v>0</v>
      </c>
      <c r="O61" s="12">
        <f>Q61</f>
        <v>362980</v>
      </c>
      <c r="P61" s="11">
        <f>J61</f>
        <v>0</v>
      </c>
      <c r="Q61" s="11">
        <f>$K$61</f>
        <v>362980</v>
      </c>
      <c r="R61" s="11"/>
      <c r="S61" s="11"/>
      <c r="T61" s="11"/>
      <c r="U61" s="11"/>
      <c r="V61" s="11"/>
      <c r="X61" s="3" t="s">
        <v>93</v>
      </c>
    </row>
    <row r="62" spans="2:24"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X62" s="35">
        <f>$K$61-(1081*25.09*8)</f>
        <v>146001.68</v>
      </c>
    </row>
    <row r="63" spans="2:24" x14ac:dyDescent="0.2">
      <c r="D63" s="15"/>
      <c r="E63" s="10"/>
      <c r="J63" s="15"/>
      <c r="K63" s="15"/>
      <c r="L63" s="5"/>
      <c r="P63" s="15"/>
    </row>
    <row r="64" spans="2:24" x14ac:dyDescent="0.2">
      <c r="D64" s="15" t="s">
        <v>95</v>
      </c>
      <c r="E64" s="10" t="s">
        <v>20</v>
      </c>
      <c r="G64" s="12">
        <f>$G$129*K64</f>
        <v>77240.880321481396</v>
      </c>
      <c r="H64" s="12">
        <f>$H$129*K64</f>
        <v>1643.3362382207429</v>
      </c>
      <c r="I64" s="12">
        <f>$I$129*K64</f>
        <v>363347.78344029788</v>
      </c>
      <c r="J64" s="11">
        <v>0</v>
      </c>
      <c r="K64" s="11">
        <v>442232</v>
      </c>
      <c r="L64" s="5"/>
      <c r="M64" s="12">
        <f>$G$129*Q64</f>
        <v>64827.900990742564</v>
      </c>
      <c r="N64" s="12">
        <f>$H$129*Q64</f>
        <v>1379.2442357268883</v>
      </c>
      <c r="O64" s="12">
        <f>$I$129*Q64</f>
        <v>304956.05477353057</v>
      </c>
      <c r="P64" s="11">
        <f t="shared" ref="M64:Q65" si="8">J64</f>
        <v>0</v>
      </c>
      <c r="Q64" s="11">
        <f>K64-(132*67.3*8)</f>
        <v>371163.2</v>
      </c>
      <c r="R64" s="11"/>
      <c r="S64" s="11"/>
      <c r="T64" s="11"/>
      <c r="U64" s="11"/>
      <c r="V64" s="11"/>
    </row>
    <row r="65" spans="4:22" x14ac:dyDescent="0.2">
      <c r="D65" s="15"/>
      <c r="E65" s="10" t="s">
        <v>21</v>
      </c>
      <c r="G65" s="36">
        <f>$G$129*K65</f>
        <v>0</v>
      </c>
      <c r="H65" s="36">
        <f>$H$129*K65</f>
        <v>0</v>
      </c>
      <c r="I65" s="36">
        <f>$I$129*K65</f>
        <v>0</v>
      </c>
      <c r="J65" s="37">
        <v>0</v>
      </c>
      <c r="K65" s="34">
        <v>0</v>
      </c>
      <c r="L65" s="5"/>
      <c r="M65" s="33">
        <f t="shared" si="8"/>
        <v>0</v>
      </c>
      <c r="N65" s="33">
        <f t="shared" si="8"/>
        <v>0</v>
      </c>
      <c r="O65" s="33">
        <f t="shared" si="8"/>
        <v>0</v>
      </c>
      <c r="P65" s="34">
        <f t="shared" si="8"/>
        <v>0</v>
      </c>
      <c r="Q65" s="33">
        <f t="shared" si="8"/>
        <v>0</v>
      </c>
      <c r="R65" s="33"/>
      <c r="S65" s="33"/>
      <c r="T65" s="33"/>
      <c r="U65" s="33"/>
      <c r="V65" s="33"/>
    </row>
    <row r="66" spans="4:22" x14ac:dyDescent="0.2">
      <c r="D66" s="15"/>
      <c r="E66" s="10"/>
      <c r="J66" s="15"/>
      <c r="K66" s="15"/>
      <c r="L66" s="5"/>
      <c r="P66" s="15"/>
    </row>
    <row r="67" spans="4:22" x14ac:dyDescent="0.2">
      <c r="D67" s="15" t="s">
        <v>115</v>
      </c>
      <c r="E67" s="10" t="s">
        <v>20</v>
      </c>
      <c r="G67" s="12">
        <f>$G$129*K67</f>
        <v>847.10801018285599</v>
      </c>
      <c r="H67" s="12">
        <f>$H$129*K67</f>
        <v>18.022623318463168</v>
      </c>
      <c r="I67" s="12">
        <f>$I$129*K67</f>
        <v>3984.8693664986808</v>
      </c>
      <c r="J67" s="11">
        <v>0</v>
      </c>
      <c r="K67" s="11">
        <v>4850</v>
      </c>
      <c r="L67" s="5"/>
      <c r="M67" s="12">
        <f>G67</f>
        <v>847.10801018285599</v>
      </c>
      <c r="N67" s="12">
        <f t="shared" ref="M67:Q68" si="9">H67</f>
        <v>18.022623318463168</v>
      </c>
      <c r="O67" s="12">
        <f>I67</f>
        <v>3984.8693664986808</v>
      </c>
      <c r="P67" s="11">
        <f t="shared" si="9"/>
        <v>0</v>
      </c>
      <c r="Q67" s="12">
        <f>K67</f>
        <v>4850</v>
      </c>
      <c r="R67" s="12"/>
      <c r="S67" s="12"/>
      <c r="T67" s="12"/>
      <c r="U67" s="12"/>
      <c r="V67" s="12"/>
    </row>
    <row r="68" spans="4:22" x14ac:dyDescent="0.2">
      <c r="D68" s="15"/>
      <c r="E68" s="10" t="s">
        <v>21</v>
      </c>
      <c r="G68" s="36">
        <f>$G$129*K68</f>
        <v>0</v>
      </c>
      <c r="H68" s="36">
        <f>$H$129*K68</f>
        <v>0</v>
      </c>
      <c r="I68" s="36">
        <f>$I$129*K68</f>
        <v>0</v>
      </c>
      <c r="J68" s="34">
        <v>0</v>
      </c>
      <c r="K68" s="34">
        <v>0</v>
      </c>
      <c r="L68" s="5"/>
      <c r="M68" s="33">
        <f t="shared" si="9"/>
        <v>0</v>
      </c>
      <c r="N68" s="33">
        <f t="shared" si="9"/>
        <v>0</v>
      </c>
      <c r="O68" s="33">
        <f t="shared" si="9"/>
        <v>0</v>
      </c>
      <c r="P68" s="34">
        <f t="shared" si="9"/>
        <v>0</v>
      </c>
      <c r="Q68" s="33">
        <f t="shared" si="9"/>
        <v>0</v>
      </c>
      <c r="R68" s="33"/>
      <c r="S68" s="33"/>
      <c r="T68" s="33"/>
      <c r="U68" s="33"/>
      <c r="V68" s="33"/>
    </row>
    <row r="69" spans="4:22" x14ac:dyDescent="0.2">
      <c r="D69" s="15"/>
      <c r="E69" s="10"/>
      <c r="J69" s="15"/>
      <c r="K69" s="15"/>
      <c r="L69" s="5"/>
      <c r="P69" s="15"/>
    </row>
    <row r="70" spans="4:22" x14ac:dyDescent="0.2">
      <c r="D70" s="15" t="s">
        <v>65</v>
      </c>
      <c r="E70" s="10" t="s">
        <v>20</v>
      </c>
      <c r="G70" s="12">
        <f>$G$129*K70</f>
        <v>7695.4086228137021</v>
      </c>
      <c r="H70" s="12">
        <f>$H$129*K70</f>
        <v>163.7234558326121</v>
      </c>
      <c r="I70" s="12">
        <f>$I$129*K70</f>
        <v>36199.867921353689</v>
      </c>
      <c r="J70" s="11">
        <v>0</v>
      </c>
      <c r="K70" s="11">
        <v>44059</v>
      </c>
      <c r="L70" s="5"/>
      <c r="M70" s="12">
        <f>$G$129*Q$70</f>
        <v>7695.4086228137021</v>
      </c>
      <c r="N70" s="12">
        <f>$H$129*Q$70</f>
        <v>163.7234558326121</v>
      </c>
      <c r="O70" s="12">
        <f>$I$129*Q$70</f>
        <v>36199.867921353689</v>
      </c>
      <c r="P70" s="11">
        <f>J70</f>
        <v>0</v>
      </c>
      <c r="Q70" s="11">
        <f>K70</f>
        <v>44059</v>
      </c>
      <c r="R70" s="11"/>
      <c r="S70" s="11"/>
      <c r="T70" s="11"/>
      <c r="U70" s="11"/>
      <c r="V70" s="11"/>
    </row>
    <row r="71" spans="4:22" x14ac:dyDescent="0.2">
      <c r="D71" s="15"/>
      <c r="E71" s="10" t="s">
        <v>21</v>
      </c>
      <c r="G71" s="36">
        <f>$G$129*K71</f>
        <v>0</v>
      </c>
      <c r="H71" s="36">
        <f>$H$129*K71</f>
        <v>0</v>
      </c>
      <c r="I71" s="36">
        <f>$I$129*K71</f>
        <v>0</v>
      </c>
      <c r="J71" s="34">
        <v>0</v>
      </c>
      <c r="K71" s="34">
        <v>0</v>
      </c>
      <c r="L71" s="5"/>
      <c r="M71" s="33">
        <f>G71</f>
        <v>0</v>
      </c>
      <c r="N71" s="33">
        <f>H71</f>
        <v>0</v>
      </c>
      <c r="O71" s="33">
        <f>I71</f>
        <v>0</v>
      </c>
      <c r="P71" s="34">
        <f>J71</f>
        <v>0</v>
      </c>
      <c r="Q71" s="33">
        <f>K71</f>
        <v>0</v>
      </c>
      <c r="R71" s="33"/>
      <c r="S71" s="33"/>
      <c r="T71" s="33"/>
      <c r="U71" s="33"/>
      <c r="V71" s="33"/>
    </row>
    <row r="72" spans="4:22" x14ac:dyDescent="0.2">
      <c r="D72" s="15"/>
      <c r="E72" s="10"/>
      <c r="G72" s="33"/>
      <c r="H72" s="33"/>
      <c r="I72" s="33"/>
      <c r="J72" s="34"/>
      <c r="K72" s="34"/>
      <c r="L72" s="5"/>
      <c r="M72" s="33"/>
      <c r="N72" s="33"/>
      <c r="O72" s="33"/>
      <c r="P72" s="34"/>
      <c r="Q72" s="34"/>
      <c r="R72" s="34"/>
      <c r="S72" s="34"/>
      <c r="T72" s="34"/>
      <c r="U72" s="34"/>
      <c r="V72" s="34"/>
    </row>
    <row r="73" spans="4:22" x14ac:dyDescent="0.2">
      <c r="D73" s="93" t="s">
        <v>109</v>
      </c>
      <c r="E73" s="10" t="s">
        <v>20</v>
      </c>
      <c r="G73" s="12">
        <f>$G$129*K73</f>
        <v>45000.822761148891</v>
      </c>
      <c r="H73" s="12">
        <f>$H$129*K73</f>
        <v>957.41377474407443</v>
      </c>
      <c r="I73" s="12">
        <f>$I$129*K73</f>
        <v>211687.76346410703</v>
      </c>
      <c r="J73" s="11">
        <v>0</v>
      </c>
      <c r="K73" s="11">
        <v>257646</v>
      </c>
      <c r="L73" s="5"/>
      <c r="M73" s="12">
        <f t="shared" ref="M73:Q74" si="10">G73</f>
        <v>45000.822761148891</v>
      </c>
      <c r="N73" s="12">
        <f t="shared" si="10"/>
        <v>957.41377474407443</v>
      </c>
      <c r="O73" s="12">
        <f t="shared" si="10"/>
        <v>211687.76346410703</v>
      </c>
      <c r="P73" s="11">
        <f t="shared" si="10"/>
        <v>0</v>
      </c>
      <c r="Q73" s="11">
        <f>K73</f>
        <v>257646</v>
      </c>
      <c r="R73" s="11"/>
      <c r="S73" s="11"/>
      <c r="T73" s="11"/>
      <c r="U73" s="11"/>
      <c r="V73" s="11"/>
    </row>
    <row r="74" spans="4:22" x14ac:dyDescent="0.2">
      <c r="D74" s="15"/>
      <c r="E74" s="10" t="s">
        <v>21</v>
      </c>
      <c r="G74" s="36">
        <f>$G$129*K74</f>
        <v>0</v>
      </c>
      <c r="H74" s="36">
        <f>$H$129*K74</f>
        <v>0</v>
      </c>
      <c r="I74" s="36">
        <f>$I$129*K74</f>
        <v>0</v>
      </c>
      <c r="J74" s="34">
        <v>0</v>
      </c>
      <c r="K74" s="34">
        <v>0</v>
      </c>
      <c r="L74" s="5"/>
      <c r="M74" s="33">
        <f t="shared" si="10"/>
        <v>0</v>
      </c>
      <c r="N74" s="33">
        <f t="shared" si="10"/>
        <v>0</v>
      </c>
      <c r="O74" s="33">
        <f t="shared" si="10"/>
        <v>0</v>
      </c>
      <c r="P74" s="34">
        <f t="shared" si="10"/>
        <v>0</v>
      </c>
      <c r="Q74" s="33">
        <f t="shared" si="10"/>
        <v>0</v>
      </c>
      <c r="R74" s="33"/>
      <c r="S74" s="33"/>
      <c r="T74" s="33"/>
      <c r="U74" s="33"/>
      <c r="V74" s="33"/>
    </row>
    <row r="75" spans="4:22" x14ac:dyDescent="0.2">
      <c r="D75" s="15"/>
      <c r="E75" s="10"/>
      <c r="J75" s="15"/>
      <c r="K75" s="15"/>
      <c r="L75" s="5"/>
      <c r="P75" s="15"/>
    </row>
    <row r="76" spans="4:22" x14ac:dyDescent="0.2">
      <c r="D76" s="15" t="s">
        <v>247</v>
      </c>
      <c r="E76" s="10" t="s">
        <v>20</v>
      </c>
      <c r="G76" s="12">
        <f>$G$129*K76</f>
        <v>14263.377615579911</v>
      </c>
      <c r="H76" s="12">
        <f>$H$129*K76</f>
        <v>303.46010063003251</v>
      </c>
      <c r="I76" s="12">
        <f>$I$129*K76</f>
        <v>67096.16228379005</v>
      </c>
      <c r="J76" s="11">
        <v>0</v>
      </c>
      <c r="K76" s="11">
        <v>81663</v>
      </c>
      <c r="L76" s="5"/>
      <c r="M76" s="12">
        <f>G76</f>
        <v>14263.377615579911</v>
      </c>
      <c r="N76" s="12">
        <f>H76</f>
        <v>303.46010063003251</v>
      </c>
      <c r="O76" s="12">
        <f>I76</f>
        <v>67096.16228379005</v>
      </c>
      <c r="P76" s="11">
        <f>J76</f>
        <v>0</v>
      </c>
      <c r="Q76" s="11">
        <f>K76</f>
        <v>81663</v>
      </c>
    </row>
    <row r="77" spans="4:22" x14ac:dyDescent="0.2">
      <c r="D77" s="15"/>
      <c r="E77" s="10" t="s">
        <v>21</v>
      </c>
      <c r="G77" s="36">
        <f>$G$129*K77</f>
        <v>0</v>
      </c>
      <c r="H77" s="36">
        <f>$H$129*K77</f>
        <v>0</v>
      </c>
      <c r="I77" s="36">
        <f>$I$129*K77</f>
        <v>0</v>
      </c>
      <c r="J77" s="34">
        <v>0</v>
      </c>
      <c r="K77" s="34">
        <v>0</v>
      </c>
      <c r="L77" s="5"/>
      <c r="M77" s="33">
        <f>G77</f>
        <v>0</v>
      </c>
      <c r="N77" s="33">
        <f>H77</f>
        <v>0</v>
      </c>
      <c r="O77" s="33">
        <f>I77</f>
        <v>0</v>
      </c>
      <c r="P77" s="34">
        <f>J77</f>
        <v>0</v>
      </c>
      <c r="Q77" s="33">
        <f t="shared" ref="Q77" si="11">K77</f>
        <v>0</v>
      </c>
    </row>
    <row r="78" spans="4:22" x14ac:dyDescent="0.2">
      <c r="D78" s="15"/>
      <c r="E78" s="10"/>
      <c r="J78" s="15"/>
      <c r="K78" s="15"/>
      <c r="L78" s="5"/>
      <c r="P78" s="15"/>
    </row>
    <row r="79" spans="4:22" x14ac:dyDescent="0.2">
      <c r="D79" s="15" t="s">
        <v>248</v>
      </c>
      <c r="E79" s="10" t="s">
        <v>20</v>
      </c>
      <c r="G79" s="12">
        <f>$G$129*K79</f>
        <v>6505.2655338681388</v>
      </c>
      <c r="H79" s="12">
        <f>$H$129*K79</f>
        <v>138.40259907137334</v>
      </c>
      <c r="I79" s="12">
        <f>$I$129*K79</f>
        <v>30601.331867060489</v>
      </c>
      <c r="J79" s="11">
        <v>0</v>
      </c>
      <c r="K79" s="11">
        <v>37245</v>
      </c>
      <c r="L79" s="5"/>
      <c r="M79" s="12">
        <f t="shared" ref="M79:Q80" si="12">G79</f>
        <v>6505.2655338681388</v>
      </c>
      <c r="N79" s="12">
        <f t="shared" si="12"/>
        <v>138.40259907137334</v>
      </c>
      <c r="O79" s="12">
        <f t="shared" si="12"/>
        <v>30601.331867060489</v>
      </c>
      <c r="P79" s="11">
        <f t="shared" si="12"/>
        <v>0</v>
      </c>
      <c r="Q79" s="11">
        <f>K79</f>
        <v>37245</v>
      </c>
    </row>
    <row r="80" spans="4:22" x14ac:dyDescent="0.2">
      <c r="D80" s="15"/>
      <c r="E80" s="10" t="s">
        <v>21</v>
      </c>
      <c r="G80" s="36">
        <f>$G$129*K80</f>
        <v>0</v>
      </c>
      <c r="H80" s="36">
        <f>$H$129*K80</f>
        <v>0</v>
      </c>
      <c r="I80" s="36">
        <f>$I$129*K80</f>
        <v>0</v>
      </c>
      <c r="J80" s="34">
        <v>0</v>
      </c>
      <c r="K80" s="34">
        <v>0</v>
      </c>
      <c r="L80" s="5"/>
      <c r="M80" s="33">
        <f t="shared" si="12"/>
        <v>0</v>
      </c>
      <c r="N80" s="33">
        <f t="shared" si="12"/>
        <v>0</v>
      </c>
      <c r="O80" s="33">
        <f t="shared" si="12"/>
        <v>0</v>
      </c>
      <c r="P80" s="34">
        <f t="shared" si="12"/>
        <v>0</v>
      </c>
      <c r="Q80" s="33">
        <f t="shared" si="12"/>
        <v>0</v>
      </c>
    </row>
    <row r="81" spans="4:22" x14ac:dyDescent="0.2">
      <c r="D81" s="15"/>
      <c r="E81" s="10"/>
      <c r="J81" s="15"/>
      <c r="K81" s="15"/>
      <c r="L81" s="5"/>
      <c r="P81" s="15"/>
    </row>
    <row r="82" spans="4:22" x14ac:dyDescent="0.2">
      <c r="D82" s="15" t="s">
        <v>249</v>
      </c>
      <c r="E82" s="10" t="s">
        <v>20</v>
      </c>
      <c r="G82" s="12">
        <f>$G$129*K82</f>
        <v>8987.7286573174024</v>
      </c>
      <c r="H82" s="12">
        <f>$H$129*K82</f>
        <v>191.21817540649025</v>
      </c>
      <c r="I82" s="12">
        <f>$I$129*K82</f>
        <v>42279.053167276106</v>
      </c>
      <c r="J82" s="11">
        <v>0</v>
      </c>
      <c r="K82" s="11">
        <v>51458</v>
      </c>
      <c r="L82" s="5"/>
      <c r="M82" s="12">
        <f t="shared" ref="M82:Q83" si="13">G82</f>
        <v>8987.7286573174024</v>
      </c>
      <c r="N82" s="12">
        <f t="shared" si="13"/>
        <v>191.21817540649025</v>
      </c>
      <c r="O82" s="12">
        <f t="shared" si="13"/>
        <v>42279.053167276106</v>
      </c>
      <c r="P82" s="11">
        <f t="shared" si="13"/>
        <v>0</v>
      </c>
      <c r="Q82" s="11">
        <f>K82</f>
        <v>51458</v>
      </c>
    </row>
    <row r="83" spans="4:22" x14ac:dyDescent="0.2">
      <c r="D83" s="15"/>
      <c r="E83" s="10" t="s">
        <v>21</v>
      </c>
      <c r="G83" s="36">
        <f>$G$129*K83</f>
        <v>0</v>
      </c>
      <c r="H83" s="36">
        <f>$H$129*K83</f>
        <v>0</v>
      </c>
      <c r="I83" s="36">
        <f>$I$129*K83</f>
        <v>0</v>
      </c>
      <c r="J83" s="34">
        <v>0</v>
      </c>
      <c r="K83" s="34">
        <v>0</v>
      </c>
      <c r="L83" s="5"/>
      <c r="M83" s="33">
        <f t="shared" si="13"/>
        <v>0</v>
      </c>
      <c r="N83" s="33">
        <f t="shared" si="13"/>
        <v>0</v>
      </c>
      <c r="O83" s="33">
        <f t="shared" si="13"/>
        <v>0</v>
      </c>
      <c r="P83" s="34">
        <f t="shared" si="13"/>
        <v>0</v>
      </c>
      <c r="Q83" s="33">
        <f t="shared" si="13"/>
        <v>0</v>
      </c>
    </row>
    <row r="84" spans="4:22" x14ac:dyDescent="0.2">
      <c r="D84" s="15"/>
      <c r="E84" s="10"/>
      <c r="J84" s="15"/>
      <c r="K84" s="15"/>
      <c r="L84" s="5"/>
      <c r="P84" s="15"/>
    </row>
    <row r="85" spans="4:22" x14ac:dyDescent="0.2">
      <c r="D85" s="93" t="s">
        <v>86</v>
      </c>
      <c r="E85" s="10" t="s">
        <v>20</v>
      </c>
      <c r="G85" s="12">
        <f>$G$129*K85</f>
        <v>30606.798384410882</v>
      </c>
      <c r="H85" s="12">
        <f>$H$129*K85</f>
        <v>651.17410251770991</v>
      </c>
      <c r="I85" s="12">
        <f>$I$129*K85</f>
        <v>143977.0275130714</v>
      </c>
      <c r="J85" s="11">
        <v>0</v>
      </c>
      <c r="K85" s="11">
        <v>175235</v>
      </c>
      <c r="L85" s="5"/>
      <c r="M85" s="12">
        <f t="shared" ref="M85:Q86" si="14">G85</f>
        <v>30606.798384410882</v>
      </c>
      <c r="N85" s="12">
        <f t="shared" si="14"/>
        <v>651.17410251770991</v>
      </c>
      <c r="O85" s="12">
        <f t="shared" si="14"/>
        <v>143977.0275130714</v>
      </c>
      <c r="P85" s="11">
        <f t="shared" si="14"/>
        <v>0</v>
      </c>
      <c r="Q85" s="12">
        <f>K85</f>
        <v>175235</v>
      </c>
      <c r="R85" s="12"/>
      <c r="S85" s="12"/>
      <c r="T85" s="12"/>
      <c r="U85" s="12"/>
      <c r="V85" s="12"/>
    </row>
    <row r="86" spans="4:22" x14ac:dyDescent="0.2">
      <c r="E86" s="10" t="s">
        <v>21</v>
      </c>
      <c r="G86" s="36">
        <f>$G$129*K86</f>
        <v>0</v>
      </c>
      <c r="H86" s="36">
        <f>$H$129*K86</f>
        <v>0</v>
      </c>
      <c r="I86" s="36">
        <f>$I$129*K86</f>
        <v>0</v>
      </c>
      <c r="J86" s="34">
        <v>0</v>
      </c>
      <c r="K86" s="34">
        <v>0</v>
      </c>
      <c r="L86" s="5"/>
      <c r="M86" s="33">
        <f t="shared" si="14"/>
        <v>0</v>
      </c>
      <c r="N86" s="33">
        <f t="shared" si="14"/>
        <v>0</v>
      </c>
      <c r="O86" s="33">
        <f t="shared" si="14"/>
        <v>0</v>
      </c>
      <c r="P86" s="34">
        <f t="shared" si="14"/>
        <v>0</v>
      </c>
      <c r="Q86" s="33">
        <f t="shared" si="14"/>
        <v>0</v>
      </c>
      <c r="R86" s="33"/>
      <c r="S86" s="33"/>
      <c r="T86" s="33"/>
      <c r="U86" s="33"/>
      <c r="V86" s="33"/>
    </row>
    <row r="87" spans="4:22" x14ac:dyDescent="0.2">
      <c r="E87" s="10"/>
      <c r="G87" s="36"/>
      <c r="H87" s="36"/>
      <c r="I87" s="36"/>
      <c r="J87" s="34"/>
      <c r="K87" s="34"/>
      <c r="L87" s="5"/>
      <c r="M87" s="33"/>
      <c r="N87" s="33"/>
      <c r="O87" s="33"/>
      <c r="P87" s="34"/>
      <c r="Q87" s="33"/>
      <c r="R87" s="33"/>
      <c r="S87" s="33"/>
      <c r="T87" s="33"/>
      <c r="U87" s="33"/>
      <c r="V87" s="33"/>
    </row>
    <row r="88" spans="4:22" x14ac:dyDescent="0.2">
      <c r="D88" s="91" t="s">
        <v>111</v>
      </c>
      <c r="E88" s="10" t="s">
        <v>20</v>
      </c>
      <c r="G88" s="12">
        <f>$G$129*K88</f>
        <v>8371.6977393967991</v>
      </c>
      <c r="H88" s="12">
        <f>$H$129*K88</f>
        <v>178.11182644891917</v>
      </c>
      <c r="I88" s="12">
        <f>$I$129*K88</f>
        <v>39381.190434154283</v>
      </c>
      <c r="J88" s="11">
        <v>0</v>
      </c>
      <c r="K88" s="11">
        <v>47931</v>
      </c>
      <c r="L88" s="5"/>
      <c r="M88" s="12">
        <f t="shared" ref="M88:Q89" si="15">G88</f>
        <v>8371.6977393967991</v>
      </c>
      <c r="N88" s="12">
        <f t="shared" si="15"/>
        <v>178.11182644891917</v>
      </c>
      <c r="O88" s="12">
        <f t="shared" si="15"/>
        <v>39381.190434154283</v>
      </c>
      <c r="P88" s="11">
        <f t="shared" si="15"/>
        <v>0</v>
      </c>
      <c r="Q88" s="12">
        <f>K88</f>
        <v>47931</v>
      </c>
      <c r="R88" s="12"/>
      <c r="S88" s="12"/>
      <c r="T88" s="12"/>
      <c r="U88" s="12"/>
      <c r="V88" s="12"/>
    </row>
    <row r="89" spans="4:22" x14ac:dyDescent="0.2">
      <c r="E89" s="10" t="s">
        <v>21</v>
      </c>
      <c r="G89" s="36">
        <f>$G$129*K89</f>
        <v>0</v>
      </c>
      <c r="H89" s="36">
        <f>$H$129*K89</f>
        <v>0</v>
      </c>
      <c r="I89" s="36">
        <f>$I$129*K89</f>
        <v>0</v>
      </c>
      <c r="J89" s="34">
        <v>0</v>
      </c>
      <c r="K89" s="34">
        <v>0</v>
      </c>
      <c r="L89" s="5"/>
      <c r="M89" s="33">
        <f t="shared" si="15"/>
        <v>0</v>
      </c>
      <c r="N89" s="33">
        <f t="shared" si="15"/>
        <v>0</v>
      </c>
      <c r="O89" s="33">
        <f t="shared" si="15"/>
        <v>0</v>
      </c>
      <c r="P89" s="34">
        <f t="shared" si="15"/>
        <v>0</v>
      </c>
      <c r="Q89" s="33">
        <f t="shared" si="15"/>
        <v>0</v>
      </c>
      <c r="R89" s="33"/>
      <c r="S89" s="33"/>
      <c r="T89" s="33"/>
      <c r="U89" s="33"/>
      <c r="V89" s="33"/>
    </row>
    <row r="90" spans="4:22" x14ac:dyDescent="0.2">
      <c r="E90" s="10"/>
      <c r="J90" s="15"/>
      <c r="K90" s="15"/>
      <c r="L90" s="5"/>
      <c r="P90" s="15"/>
    </row>
    <row r="91" spans="4:22" x14ac:dyDescent="0.2">
      <c r="D91" s="3" t="s">
        <v>110</v>
      </c>
      <c r="E91" s="10" t="s">
        <v>20</v>
      </c>
      <c r="G91" s="12">
        <f>$G$129*K91</f>
        <v>59610.204700063288</v>
      </c>
      <c r="H91" s="12">
        <f>$H$129*K91</f>
        <v>1268.2352808986175</v>
      </c>
      <c r="I91" s="12">
        <f>$I$129*K91</f>
        <v>280411.56001903809</v>
      </c>
      <c r="J91" s="11">
        <v>0</v>
      </c>
      <c r="K91" s="11">
        <v>341290</v>
      </c>
      <c r="L91" s="5"/>
      <c r="M91" s="12">
        <f t="shared" ref="M91:Q92" si="16">G91</f>
        <v>59610.204700063288</v>
      </c>
      <c r="N91" s="12">
        <f t="shared" si="16"/>
        <v>1268.2352808986175</v>
      </c>
      <c r="O91" s="12">
        <f t="shared" si="16"/>
        <v>280411.56001903809</v>
      </c>
      <c r="P91" s="11">
        <f t="shared" si="16"/>
        <v>0</v>
      </c>
      <c r="Q91" s="12">
        <f>K91</f>
        <v>341290</v>
      </c>
      <c r="R91" s="12"/>
      <c r="S91" s="12"/>
      <c r="T91" s="12"/>
      <c r="U91" s="12"/>
      <c r="V91" s="12"/>
    </row>
    <row r="92" spans="4:22" x14ac:dyDescent="0.2">
      <c r="E92" s="10" t="s">
        <v>21</v>
      </c>
      <c r="G92" s="36">
        <f>$G$129*K92</f>
        <v>0</v>
      </c>
      <c r="H92" s="36">
        <f>$H$129*K92</f>
        <v>0</v>
      </c>
      <c r="I92" s="36">
        <f>$I$129*K92</f>
        <v>0</v>
      </c>
      <c r="J92" s="34">
        <v>0</v>
      </c>
      <c r="K92" s="34">
        <v>0</v>
      </c>
      <c r="L92" s="5"/>
      <c r="M92" s="33">
        <f t="shared" si="16"/>
        <v>0</v>
      </c>
      <c r="N92" s="33">
        <f t="shared" si="16"/>
        <v>0</v>
      </c>
      <c r="O92" s="33">
        <f t="shared" si="16"/>
        <v>0</v>
      </c>
      <c r="P92" s="34">
        <f t="shared" si="16"/>
        <v>0</v>
      </c>
      <c r="Q92" s="33">
        <f t="shared" si="16"/>
        <v>0</v>
      </c>
      <c r="R92" s="33"/>
      <c r="S92" s="33"/>
      <c r="T92" s="33"/>
      <c r="U92" s="33"/>
      <c r="V92" s="33"/>
    </row>
    <row r="93" spans="4:22" x14ac:dyDescent="0.2">
      <c r="E93" s="10"/>
      <c r="J93" s="15"/>
      <c r="K93" s="15"/>
      <c r="L93" s="5"/>
      <c r="P93" s="15"/>
    </row>
    <row r="94" spans="4:22" x14ac:dyDescent="0.2">
      <c r="D94" s="3" t="s">
        <v>112</v>
      </c>
      <c r="E94" s="10" t="s">
        <v>20</v>
      </c>
      <c r="G94" s="12">
        <f>$G$129*K94</f>
        <v>22983.699599992171</v>
      </c>
      <c r="H94" s="12">
        <f>$H$129*K94</f>
        <v>488.98907267558104</v>
      </c>
      <c r="I94" s="12">
        <f>$I$129*K94</f>
        <v>108117.31132733225</v>
      </c>
      <c r="J94" s="11">
        <v>0</v>
      </c>
      <c r="K94" s="11">
        <v>131590</v>
      </c>
      <c r="L94" s="5"/>
      <c r="M94" s="12">
        <f t="shared" ref="M94:Q95" si="17">G94</f>
        <v>22983.699599992171</v>
      </c>
      <c r="N94" s="12">
        <f t="shared" si="17"/>
        <v>488.98907267558104</v>
      </c>
      <c r="O94" s="12">
        <f t="shared" si="17"/>
        <v>108117.31132733225</v>
      </c>
      <c r="P94" s="11">
        <f t="shared" si="17"/>
        <v>0</v>
      </c>
      <c r="Q94" s="12">
        <f>K94</f>
        <v>131590</v>
      </c>
    </row>
    <row r="95" spans="4:22" x14ac:dyDescent="0.2">
      <c r="E95" s="10" t="s">
        <v>21</v>
      </c>
      <c r="G95" s="36">
        <f>$G$129*K95</f>
        <v>0</v>
      </c>
      <c r="H95" s="36">
        <f>$H$129*K95</f>
        <v>0</v>
      </c>
      <c r="I95" s="36">
        <f>$I$129*K95</f>
        <v>0</v>
      </c>
      <c r="J95" s="34">
        <v>0</v>
      </c>
      <c r="K95" s="34">
        <v>0</v>
      </c>
      <c r="L95" s="5"/>
      <c r="M95" s="33">
        <f t="shared" si="17"/>
        <v>0</v>
      </c>
      <c r="N95" s="33">
        <f t="shared" si="17"/>
        <v>0</v>
      </c>
      <c r="O95" s="33">
        <f t="shared" si="17"/>
        <v>0</v>
      </c>
      <c r="P95" s="34">
        <f t="shared" si="17"/>
        <v>0</v>
      </c>
      <c r="Q95" s="33">
        <f t="shared" si="17"/>
        <v>0</v>
      </c>
    </row>
    <row r="96" spans="4:22" x14ac:dyDescent="0.2">
      <c r="E96" s="10"/>
      <c r="J96" s="15"/>
      <c r="K96" s="15"/>
      <c r="L96" s="5"/>
      <c r="P96" s="15"/>
    </row>
    <row r="97" spans="2:23" x14ac:dyDescent="0.2">
      <c r="D97" s="3" t="s">
        <v>116</v>
      </c>
      <c r="E97" s="10" t="s">
        <v>20</v>
      </c>
      <c r="G97" s="12">
        <f>$G$129*K97</f>
        <v>8206.4680120497924</v>
      </c>
      <c r="H97" s="12">
        <f>$H$129*K97</f>
        <v>174.5964859006169</v>
      </c>
      <c r="I97" s="12">
        <f>$I$129*K97</f>
        <v>38603.935502049593</v>
      </c>
      <c r="J97" s="11">
        <v>0</v>
      </c>
      <c r="K97" s="11">
        <v>46985</v>
      </c>
      <c r="L97" s="5"/>
      <c r="M97" s="12">
        <f t="shared" ref="M97:Q98" si="18">G97</f>
        <v>8206.4680120497924</v>
      </c>
      <c r="N97" s="12">
        <f t="shared" si="18"/>
        <v>174.5964859006169</v>
      </c>
      <c r="O97" s="12">
        <f t="shared" si="18"/>
        <v>38603.935502049593</v>
      </c>
      <c r="P97" s="11">
        <f t="shared" si="18"/>
        <v>0</v>
      </c>
      <c r="Q97" s="12">
        <f>K97</f>
        <v>46985</v>
      </c>
    </row>
    <row r="98" spans="2:23" x14ac:dyDescent="0.2">
      <c r="E98" s="10" t="s">
        <v>21</v>
      </c>
      <c r="G98" s="36">
        <f>$G$129*K98</f>
        <v>0</v>
      </c>
      <c r="H98" s="36">
        <f>$H$129*K98</f>
        <v>0</v>
      </c>
      <c r="I98" s="36">
        <f>$I$129*K98</f>
        <v>0</v>
      </c>
      <c r="J98" s="34">
        <v>0</v>
      </c>
      <c r="K98" s="34">
        <v>0</v>
      </c>
      <c r="L98" s="5"/>
      <c r="M98" s="33">
        <f t="shared" si="18"/>
        <v>0</v>
      </c>
      <c r="N98" s="33">
        <f t="shared" si="18"/>
        <v>0</v>
      </c>
      <c r="O98" s="33">
        <f t="shared" si="18"/>
        <v>0</v>
      </c>
      <c r="P98" s="34">
        <f t="shared" si="18"/>
        <v>0</v>
      </c>
      <c r="Q98" s="33">
        <f t="shared" si="18"/>
        <v>0</v>
      </c>
    </row>
    <row r="99" spans="2:23" x14ac:dyDescent="0.2">
      <c r="E99" s="10"/>
      <c r="J99" s="15"/>
      <c r="K99" s="15"/>
      <c r="L99" s="5"/>
      <c r="P99" s="15"/>
    </row>
    <row r="100" spans="2:23" x14ac:dyDescent="0.2">
      <c r="D100" s="15" t="s">
        <v>66</v>
      </c>
      <c r="E100" s="10" t="s">
        <v>20</v>
      </c>
      <c r="G100" s="12">
        <f>$G$129*K100</f>
        <v>12799.540041694856</v>
      </c>
      <c r="H100" s="12">
        <f>$H$129*K100</f>
        <v>272.31626433476657</v>
      </c>
      <c r="I100" s="12">
        <f>$I$129*K100</f>
        <v>60210.143693970378</v>
      </c>
      <c r="J100" s="11">
        <v>0</v>
      </c>
      <c r="K100" s="11">
        <v>73282</v>
      </c>
      <c r="L100" s="5"/>
      <c r="M100" s="12">
        <f>G100</f>
        <v>12799.540041694856</v>
      </c>
      <c r="N100" s="12">
        <f>H100</f>
        <v>272.31626433476657</v>
      </c>
      <c r="O100" s="12">
        <f>I100</f>
        <v>60210.143693970378</v>
      </c>
      <c r="P100" s="11">
        <f>J100</f>
        <v>0</v>
      </c>
      <c r="Q100" s="12">
        <f>K100</f>
        <v>73282</v>
      </c>
      <c r="R100" s="12"/>
      <c r="S100" s="12"/>
      <c r="T100" s="12"/>
      <c r="U100" s="12"/>
      <c r="V100" s="12"/>
    </row>
    <row r="101" spans="2:23" ht="13.5" thickBot="1" x14ac:dyDescent="0.25">
      <c r="D101" s="15"/>
      <c r="J101" s="15"/>
      <c r="L101" s="5"/>
      <c r="W101" s="38"/>
    </row>
    <row r="102" spans="2:23" ht="13.5" thickBot="1" x14ac:dyDescent="0.25">
      <c r="B102" s="2" t="s">
        <v>67</v>
      </c>
      <c r="E102" s="10" t="s">
        <v>20</v>
      </c>
      <c r="G102" s="31">
        <f>G61+G64+G67+G70+G73+G76+G79+G82+G85+G88+G91+G94+G97+G100</f>
        <v>303119.00000000012</v>
      </c>
      <c r="H102" s="31">
        <f>H61+H64+H67+H70+H73+H76+H79+H82+H85+H88+H91+H94+H97+H100</f>
        <v>6449.0000000000009</v>
      </c>
      <c r="I102" s="31">
        <f>I61+I64+I67+I70+I73+I76+I79+I82+I85+I88+I91+I94+I97+I100</f>
        <v>1788877.9999999998</v>
      </c>
      <c r="J102" s="31">
        <f>J61+J64+J67+J70+J73+J76+J79+J82+J85+J88+J91+J94+J97+J100</f>
        <v>0</v>
      </c>
      <c r="K102" s="39">
        <f>SUM(G102:J102)</f>
        <v>2098446</v>
      </c>
      <c r="L102" s="32"/>
      <c r="M102" s="31">
        <f>M61+M64+M67+M70+M73+M76+M79+M82+M85+M88+M91+M94+M97+M100</f>
        <v>290706.02066926128</v>
      </c>
      <c r="N102" s="31">
        <f>N61+N64+N67+N70+N73+N76+N79+N82+N85+N88+N91+N94+N97+N100</f>
        <v>6184.9079975061459</v>
      </c>
      <c r="O102" s="31">
        <f>O61+O64+O67+O70+O73+O76+O79+O82+O85+O88+O91+O94+O97+O100</f>
        <v>1730486.2713332325</v>
      </c>
      <c r="P102" s="31">
        <f>P61+P64+P67+P70+P73+P76+P79+P82+P85+P88+P91+P94+P97+P100</f>
        <v>0</v>
      </c>
      <c r="Q102" s="31">
        <f>SUM(M102:P102)</f>
        <v>2027377.2</v>
      </c>
      <c r="R102" s="86"/>
      <c r="S102" s="86"/>
      <c r="T102" s="86"/>
      <c r="U102" s="86"/>
      <c r="V102" s="86"/>
      <c r="W102" s="40"/>
    </row>
    <row r="103" spans="2:23" x14ac:dyDescent="0.2">
      <c r="B103" s="2"/>
      <c r="E103" s="10" t="s">
        <v>21</v>
      </c>
      <c r="G103" s="41">
        <f>G62+G65+G68+G71+G74+G77+G80+G83+G86+G89+G92+G95+G98</f>
        <v>0</v>
      </c>
      <c r="H103" s="41">
        <f>H62+H65+H68+H71+H74+H77+H80+H83+H86+H89+H92+H95+H98</f>
        <v>0</v>
      </c>
      <c r="I103" s="41">
        <f>I62+I65+I68+I71+I74+I77+I80+I83+I86+I89+I92+I95+I98</f>
        <v>0</v>
      </c>
      <c r="J103" s="41">
        <f>J62+J65+J68+J71+J74+J77+J80+J83+J86+J89+J92+J95+J98</f>
        <v>0</v>
      </c>
      <c r="K103" s="42">
        <f>SUM(G103:J103)</f>
        <v>0</v>
      </c>
      <c r="L103" s="43"/>
      <c r="M103" s="41">
        <f>M62+M65+M68+M71+M74+M77+M80+M83+M86+M89+M92+M95+M98</f>
        <v>0</v>
      </c>
      <c r="N103" s="41">
        <f>N62+N65+N68+N71+N74+N77+N80+N83+N86+N89+N92+N95+N98</f>
        <v>0</v>
      </c>
      <c r="O103" s="41">
        <f>O62+O65+O68+O71+O74+O77+O80+O83+O86+O89+O92+O95+O98</f>
        <v>0</v>
      </c>
      <c r="P103" s="41">
        <f>P62+P65+P68+P71+P74+P77+P80+P83+P86+P89+P92+P95+P98</f>
        <v>0</v>
      </c>
      <c r="Q103" s="44">
        <f>SUM(M103:P103)</f>
        <v>0</v>
      </c>
      <c r="R103" s="42"/>
      <c r="S103" s="42"/>
      <c r="T103" s="42"/>
      <c r="U103" s="42"/>
      <c r="V103" s="42"/>
    </row>
    <row r="104" spans="2:23" x14ac:dyDescent="0.2">
      <c r="K104" s="12"/>
      <c r="L104" s="5"/>
      <c r="W104" s="12"/>
    </row>
    <row r="105" spans="2:23" ht="13.5" thickBot="1" x14ac:dyDescent="0.25">
      <c r="L105" s="5"/>
    </row>
    <row r="106" spans="2:23" ht="15" thickBot="1" x14ac:dyDescent="0.25">
      <c r="B106" s="6" t="s">
        <v>68</v>
      </c>
      <c r="G106" s="45">
        <f t="shared" ref="G106:Q106" si="19">G57+G102</f>
        <v>721825.00000000012</v>
      </c>
      <c r="H106" s="45">
        <f t="shared" si="19"/>
        <v>62960</v>
      </c>
      <c r="I106" s="45">
        <f t="shared" si="19"/>
        <v>2346475</v>
      </c>
      <c r="J106" s="45">
        <f t="shared" si="19"/>
        <v>0</v>
      </c>
      <c r="K106" s="45">
        <f t="shared" si="19"/>
        <v>3131260</v>
      </c>
      <c r="L106" s="46">
        <f t="shared" si="19"/>
        <v>0</v>
      </c>
      <c r="M106" s="45">
        <f t="shared" si="19"/>
        <v>644602.26181499264</v>
      </c>
      <c r="N106" s="45">
        <f t="shared" si="19"/>
        <v>46978.443167353042</v>
      </c>
      <c r="O106" s="79">
        <f t="shared" si="19"/>
        <v>2066479.2301817904</v>
      </c>
      <c r="P106" s="45">
        <f t="shared" si="19"/>
        <v>0</v>
      </c>
      <c r="Q106" s="45">
        <f t="shared" si="19"/>
        <v>2758059.9351641359</v>
      </c>
      <c r="R106" s="86"/>
      <c r="S106" s="86"/>
      <c r="T106" s="86"/>
      <c r="U106" s="86"/>
      <c r="V106" s="86"/>
    </row>
    <row r="107" spans="2:23" ht="13.5" thickTop="1" x14ac:dyDescent="0.2">
      <c r="I107" s="77"/>
      <c r="L107" s="5"/>
      <c r="O107" s="80"/>
    </row>
    <row r="108" spans="2:23" x14ac:dyDescent="0.2">
      <c r="I108" s="77"/>
      <c r="L108" s="5"/>
      <c r="O108" s="80"/>
    </row>
    <row r="109" spans="2:23" x14ac:dyDescent="0.2">
      <c r="I109" s="77"/>
      <c r="L109" s="5"/>
      <c r="O109" s="80"/>
    </row>
    <row r="110" spans="2:23" x14ac:dyDescent="0.2">
      <c r="I110" s="77"/>
      <c r="L110" s="5"/>
      <c r="O110" s="80"/>
    </row>
    <row r="111" spans="2:23" x14ac:dyDescent="0.2">
      <c r="I111" s="77"/>
      <c r="L111" s="5"/>
      <c r="O111" s="80"/>
    </row>
    <row r="112" spans="2:23" x14ac:dyDescent="0.2">
      <c r="I112" s="77"/>
      <c r="L112" s="5"/>
      <c r="O112" s="80"/>
    </row>
    <row r="113" spans="9:15" x14ac:dyDescent="0.2">
      <c r="I113" s="77"/>
      <c r="L113" s="5"/>
      <c r="O113" s="80"/>
    </row>
    <row r="114" spans="9:15" x14ac:dyDescent="0.2">
      <c r="I114" s="77"/>
      <c r="L114" s="5"/>
      <c r="O114" s="80"/>
    </row>
    <row r="115" spans="9:15" x14ac:dyDescent="0.2">
      <c r="I115" s="77"/>
      <c r="L115" s="5"/>
      <c r="O115" s="80"/>
    </row>
    <row r="116" spans="9:15" x14ac:dyDescent="0.2">
      <c r="I116" s="77"/>
      <c r="L116" s="5"/>
      <c r="O116" s="80"/>
    </row>
    <row r="117" spans="9:15" x14ac:dyDescent="0.2">
      <c r="I117" s="77"/>
      <c r="L117" s="5"/>
      <c r="O117" s="80"/>
    </row>
    <row r="118" spans="9:15" x14ac:dyDescent="0.2">
      <c r="I118" s="77"/>
      <c r="L118" s="5"/>
      <c r="O118" s="80"/>
    </row>
    <row r="119" spans="9:15" x14ac:dyDescent="0.2">
      <c r="I119" s="77"/>
      <c r="L119" s="5"/>
      <c r="O119" s="80"/>
    </row>
    <row r="120" spans="9:15" x14ac:dyDescent="0.2">
      <c r="I120" s="77"/>
      <c r="L120" s="5"/>
      <c r="O120" s="80"/>
    </row>
    <row r="121" spans="9:15" x14ac:dyDescent="0.2">
      <c r="I121" s="77"/>
      <c r="L121" s="5"/>
      <c r="O121" s="80"/>
    </row>
    <row r="122" spans="9:15" x14ac:dyDescent="0.2">
      <c r="I122" s="77"/>
      <c r="L122" s="5"/>
      <c r="O122" s="80"/>
    </row>
    <row r="123" spans="9:15" x14ac:dyDescent="0.2">
      <c r="I123" s="77"/>
      <c r="L123" s="5"/>
      <c r="O123" s="80"/>
    </row>
    <row r="124" spans="9:15" x14ac:dyDescent="0.2">
      <c r="I124" s="77"/>
      <c r="L124" s="5"/>
      <c r="O124" s="80"/>
    </row>
    <row r="125" spans="9:15" x14ac:dyDescent="0.2">
      <c r="I125" s="77"/>
      <c r="L125" s="5"/>
      <c r="O125" s="80"/>
    </row>
    <row r="126" spans="9:15" x14ac:dyDescent="0.2">
      <c r="I126" s="77"/>
      <c r="L126" s="5"/>
      <c r="O126" s="80"/>
    </row>
    <row r="127" spans="9:15" x14ac:dyDescent="0.2">
      <c r="I127" s="77"/>
      <c r="L127" s="5"/>
      <c r="O127" s="80"/>
    </row>
    <row r="128" spans="9:15" ht="13.5" thickBot="1" x14ac:dyDescent="0.25">
      <c r="L128" s="5"/>
    </row>
    <row r="129" spans="5:15" x14ac:dyDescent="0.2">
      <c r="E129" s="50"/>
      <c r="F129" s="51"/>
      <c r="G129" s="52">
        <f>G141</f>
        <v>0.17466144539852702</v>
      </c>
      <c r="H129" s="52">
        <f>H141</f>
        <v>3.7160048079305499E-3</v>
      </c>
      <c r="I129" s="52">
        <f>I141</f>
        <v>0.82162254979354243</v>
      </c>
      <c r="J129" s="51"/>
      <c r="K129" s="53"/>
      <c r="L129" s="5"/>
      <c r="M129" s="47"/>
      <c r="N129" s="47"/>
      <c r="O129" s="47"/>
    </row>
    <row r="130" spans="5:15" x14ac:dyDescent="0.2">
      <c r="E130" s="54"/>
      <c r="F130" s="38"/>
      <c r="G130" s="38"/>
      <c r="H130" s="38"/>
      <c r="I130" s="38"/>
      <c r="J130" s="38"/>
      <c r="K130" s="55"/>
      <c r="L130" s="5"/>
      <c r="M130" s="48"/>
    </row>
    <row r="131" spans="5:15" x14ac:dyDescent="0.2">
      <c r="E131" s="54" t="s">
        <v>69</v>
      </c>
      <c r="F131" s="38"/>
      <c r="G131" s="38"/>
      <c r="H131" s="38"/>
      <c r="I131" s="38"/>
      <c r="J131" s="38"/>
      <c r="K131" s="56">
        <v>2098446</v>
      </c>
      <c r="L131" s="5"/>
      <c r="M131" s="49"/>
    </row>
    <row r="132" spans="5:15" x14ac:dyDescent="0.2">
      <c r="E132" s="54" t="s">
        <v>91</v>
      </c>
      <c r="F132" s="38"/>
      <c r="G132" s="38"/>
      <c r="H132" s="38"/>
      <c r="I132" s="38"/>
      <c r="J132" s="38"/>
      <c r="K132" s="56">
        <v>0</v>
      </c>
      <c r="L132" s="5"/>
      <c r="M132" s="49"/>
    </row>
    <row r="133" spans="5:15" x14ac:dyDescent="0.2">
      <c r="E133" s="54"/>
      <c r="F133" s="38"/>
      <c r="G133" s="38"/>
      <c r="H133" s="38"/>
      <c r="I133" s="38"/>
      <c r="J133" s="38"/>
      <c r="K133" s="56"/>
      <c r="L133" s="5"/>
      <c r="M133" s="49"/>
    </row>
    <row r="134" spans="5:15" x14ac:dyDescent="0.2">
      <c r="E134" s="54" t="s">
        <v>70</v>
      </c>
      <c r="F134" s="38"/>
      <c r="G134" s="38"/>
      <c r="H134" s="38"/>
      <c r="I134" s="38"/>
      <c r="J134" s="38"/>
      <c r="K134" s="72">
        <f>SUM(K131:K133)</f>
        <v>2098446</v>
      </c>
      <c r="L134" s="5"/>
      <c r="M134" s="49"/>
    </row>
    <row r="135" spans="5:15" x14ac:dyDescent="0.2">
      <c r="E135" s="54" t="s">
        <v>71</v>
      </c>
      <c r="F135" s="38"/>
      <c r="G135" s="38"/>
      <c r="H135" s="38"/>
      <c r="I135" s="38"/>
      <c r="J135" s="38"/>
      <c r="K135" s="56">
        <f>-K61</f>
        <v>-362980</v>
      </c>
      <c r="L135" s="5"/>
      <c r="M135" s="49"/>
    </row>
    <row r="136" spans="5:15" ht="13.5" thickBot="1" x14ac:dyDescent="0.25">
      <c r="E136" s="54" t="s">
        <v>72</v>
      </c>
      <c r="F136" s="38"/>
      <c r="G136" s="38"/>
      <c r="H136" s="38"/>
      <c r="I136" s="38"/>
      <c r="J136" s="38"/>
      <c r="K136" s="73">
        <f>SUM(K134:K135)</f>
        <v>1735466</v>
      </c>
      <c r="L136" s="5"/>
      <c r="M136" s="49"/>
    </row>
    <row r="137" spans="5:15" ht="13.5" thickTop="1" x14ac:dyDescent="0.2">
      <c r="E137" s="54"/>
      <c r="F137" s="38"/>
      <c r="G137" s="38"/>
      <c r="H137" s="38"/>
      <c r="I137" s="38"/>
      <c r="J137" s="94" t="s">
        <v>96</v>
      </c>
      <c r="K137" s="56"/>
      <c r="L137" s="5"/>
      <c r="M137" s="49"/>
    </row>
    <row r="138" spans="5:15" ht="13.5" thickBot="1" x14ac:dyDescent="0.25">
      <c r="E138" s="57" t="s">
        <v>73</v>
      </c>
      <c r="F138" s="38"/>
      <c r="G138" s="58">
        <v>303119</v>
      </c>
      <c r="H138" s="59">
        <v>6449</v>
      </c>
      <c r="I138" s="59">
        <v>1788878</v>
      </c>
      <c r="J138" s="59">
        <v>37245</v>
      </c>
      <c r="K138" s="56"/>
      <c r="L138" s="5"/>
      <c r="M138" s="49"/>
    </row>
    <row r="139" spans="5:15" ht="13.5" thickTop="1" x14ac:dyDescent="0.2">
      <c r="E139" s="54" t="s">
        <v>74</v>
      </c>
      <c r="F139" s="38"/>
      <c r="G139" s="60"/>
      <c r="H139" s="61"/>
      <c r="I139" s="61">
        <f>-K61</f>
        <v>-362980</v>
      </c>
      <c r="K139" s="55"/>
      <c r="L139" s="5"/>
    </row>
    <row r="140" spans="5:15" ht="13.5" thickBot="1" x14ac:dyDescent="0.25">
      <c r="E140" s="54" t="s">
        <v>75</v>
      </c>
      <c r="F140" s="38"/>
      <c r="G140" s="63"/>
      <c r="H140" s="64">
        <f>SUM(H138:H139)</f>
        <v>6449</v>
      </c>
      <c r="I140" s="64">
        <f>SUM(I138:I139)</f>
        <v>1425898</v>
      </c>
      <c r="J140" s="65"/>
      <c r="K140" s="56"/>
      <c r="L140" s="5"/>
    </row>
    <row r="141" spans="5:15" ht="14.25" thickTop="1" thickBot="1" x14ac:dyDescent="0.25">
      <c r="E141" s="54" t="s">
        <v>76</v>
      </c>
      <c r="F141" s="38"/>
      <c r="G141" s="66">
        <f>1-(H141+I141)</f>
        <v>0.17466144539852702</v>
      </c>
      <c r="H141" s="66">
        <f>H$140/$K$136</f>
        <v>3.7160048079305499E-3</v>
      </c>
      <c r="I141" s="66">
        <f>I$140/$K$136</f>
        <v>0.82162254979354243</v>
      </c>
      <c r="J141" s="49"/>
      <c r="K141" s="56"/>
      <c r="L141" s="5"/>
    </row>
    <row r="142" spans="5:15" ht="14.25" thickTop="1" thickBot="1" x14ac:dyDescent="0.25">
      <c r="E142" s="67"/>
      <c r="F142" s="68"/>
      <c r="G142" s="69" t="s">
        <v>77</v>
      </c>
      <c r="H142" s="69" t="s">
        <v>78</v>
      </c>
      <c r="I142" s="69" t="s">
        <v>79</v>
      </c>
      <c r="J142" s="68"/>
      <c r="K142" s="70"/>
      <c r="L142" s="5"/>
    </row>
    <row r="143" spans="5:15" x14ac:dyDescent="0.2">
      <c r="J143" s="51"/>
      <c r="K143" s="74"/>
      <c r="L143" s="15"/>
    </row>
    <row r="144" spans="5:15" x14ac:dyDescent="0.2">
      <c r="J144" s="38"/>
      <c r="K144" s="63"/>
      <c r="L144" s="15"/>
    </row>
    <row r="145" spans="2:13" x14ac:dyDescent="0.2">
      <c r="B145" s="2" t="s">
        <v>84</v>
      </c>
      <c r="C145" s="2"/>
      <c r="D145" s="2" t="s">
        <v>113</v>
      </c>
      <c r="E145" s="78"/>
      <c r="F145" s="71"/>
      <c r="G145" s="49"/>
      <c r="H145" s="49"/>
      <c r="I145" s="88"/>
      <c r="J145" s="89"/>
      <c r="K145" s="90"/>
      <c r="L145" s="15"/>
    </row>
    <row r="146" spans="2:13" x14ac:dyDescent="0.2">
      <c r="B146" s="2" t="s">
        <v>85</v>
      </c>
      <c r="C146" s="2"/>
      <c r="D146" s="2"/>
      <c r="E146" s="71"/>
      <c r="F146" s="71"/>
      <c r="G146" s="71"/>
      <c r="H146" s="71"/>
      <c r="I146" s="88"/>
      <c r="J146" s="89"/>
      <c r="K146" s="89"/>
      <c r="M146" s="62"/>
    </row>
    <row r="147" spans="2:13" x14ac:dyDescent="0.2">
      <c r="B147" s="2" t="s">
        <v>81</v>
      </c>
      <c r="C147" s="2"/>
      <c r="D147" s="131" t="s">
        <v>114</v>
      </c>
      <c r="E147" s="71"/>
      <c r="F147" s="71"/>
      <c r="G147" s="71"/>
      <c r="H147" s="49"/>
      <c r="I147" s="49"/>
      <c r="J147" s="38"/>
      <c r="K147" s="38"/>
    </row>
    <row r="148" spans="2:13" x14ac:dyDescent="0.2">
      <c r="B148" s="2" t="s">
        <v>83</v>
      </c>
      <c r="C148" s="2"/>
      <c r="D148" s="131"/>
      <c r="E148" s="71"/>
      <c r="F148" s="71"/>
      <c r="G148" s="75"/>
      <c r="H148" s="75"/>
      <c r="I148" s="75"/>
    </row>
    <row r="149" spans="2:13" x14ac:dyDescent="0.2">
      <c r="B149" s="2" t="s">
        <v>82</v>
      </c>
      <c r="C149" s="2"/>
      <c r="D149" s="131"/>
      <c r="E149" s="71"/>
      <c r="F149" s="71"/>
      <c r="G149" s="49"/>
      <c r="H149" s="49"/>
      <c r="I149" s="49"/>
    </row>
    <row r="150" spans="2:13" x14ac:dyDescent="0.2">
      <c r="E150" s="71"/>
      <c r="F150" s="71"/>
      <c r="G150" s="75"/>
      <c r="H150" s="75"/>
      <c r="I150" s="75"/>
    </row>
    <row r="151" spans="2:13" x14ac:dyDescent="0.2">
      <c r="B151" s="2" t="s">
        <v>92</v>
      </c>
      <c r="D151" s="2" t="s">
        <v>100</v>
      </c>
      <c r="E151" s="71"/>
      <c r="F151" s="71"/>
      <c r="G151" s="76"/>
      <c r="H151" s="76"/>
      <c r="I151" s="76"/>
      <c r="J151" s="38"/>
    </row>
    <row r="152" spans="2:13" x14ac:dyDescent="0.2">
      <c r="D152" s="92" t="s">
        <v>99</v>
      </c>
      <c r="G152" s="63"/>
      <c r="H152" s="63"/>
      <c r="I152" s="63"/>
      <c r="J152" s="38"/>
    </row>
    <row r="153" spans="2:13" x14ac:dyDescent="0.2">
      <c r="G153" s="38"/>
      <c r="H153" s="38"/>
      <c r="I153" s="38"/>
      <c r="J153" s="38"/>
    </row>
  </sheetData>
  <mergeCells count="3">
    <mergeCell ref="G3:K3"/>
    <mergeCell ref="M3:Q3"/>
    <mergeCell ref="D147:D149"/>
  </mergeCells>
  <printOptions horizontalCentered="1"/>
  <pageMargins left="0.25" right="0.25" top="0.5" bottom="0.25" header="0.25" footer="0"/>
  <pageSetup scale="58" fitToHeight="0" orientation="landscape" copies="2" r:id="rId1"/>
  <headerFooter alignWithMargins="0"/>
  <rowBreaks count="1" manualBreakCount="1">
    <brk id="58" max="1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X133"/>
  <sheetViews>
    <sheetView topLeftCell="A79" zoomScaleNormal="100" workbookViewId="0">
      <selection activeCell="H104" sqref="H103:H104"/>
    </sheetView>
  </sheetViews>
  <sheetFormatPr defaultRowHeight="12.75" x14ac:dyDescent="0.2"/>
  <cols>
    <col min="1" max="1" width="0.85546875" style="3" customWidth="1"/>
    <col min="2" max="2" width="22.140625" style="3" customWidth="1"/>
    <col min="3" max="3" width="0.85546875" style="3" customWidth="1"/>
    <col min="4" max="4" width="29.42578125" style="3" customWidth="1"/>
    <col min="5" max="5" width="22" style="3" bestFit="1" customWidth="1"/>
    <col min="6" max="6" width="0.85546875" style="3" customWidth="1"/>
    <col min="7" max="7" width="14.7109375" style="3" customWidth="1"/>
    <col min="8" max="8" width="16" style="3" customWidth="1"/>
    <col min="9" max="9" width="16.140625" style="3" customWidth="1"/>
    <col min="10" max="10" width="14.7109375" style="3" customWidth="1"/>
    <col min="11" max="11" width="16.85546875" style="3" customWidth="1"/>
    <col min="12" max="12" width="1.7109375" style="3" customWidth="1"/>
    <col min="13" max="14" width="14.7109375" style="3" customWidth="1"/>
    <col min="15" max="15" width="16.85546875" style="3" customWidth="1"/>
    <col min="16" max="16" width="14.7109375" style="3" customWidth="1"/>
    <col min="17" max="17" width="16.140625" style="3" customWidth="1"/>
    <col min="18" max="18" width="2.5703125" style="3" customWidth="1"/>
    <col min="19" max="22" width="16.140625" style="3" customWidth="1"/>
    <col min="23" max="23" width="2.7109375" style="3" customWidth="1"/>
    <col min="24" max="24" width="47" style="3" bestFit="1" customWidth="1"/>
    <col min="25" max="16384" width="9.140625" style="3"/>
  </cols>
  <sheetData>
    <row r="1" spans="2:24" x14ac:dyDescent="0.2">
      <c r="E1" s="2"/>
      <c r="F1" s="2"/>
    </row>
    <row r="2" spans="2:24" x14ac:dyDescent="0.2">
      <c r="E2" s="2"/>
      <c r="F2" s="2"/>
    </row>
    <row r="3" spans="2:24" ht="20.25" thickBot="1" x14ac:dyDescent="0.3">
      <c r="B3" s="1" t="s">
        <v>0</v>
      </c>
      <c r="C3" s="2"/>
      <c r="D3" s="2"/>
      <c r="E3" s="2"/>
      <c r="F3" s="2"/>
      <c r="G3" s="130" t="s">
        <v>102</v>
      </c>
      <c r="H3" s="130"/>
      <c r="I3" s="130"/>
      <c r="J3" s="130"/>
      <c r="K3" s="130"/>
      <c r="L3" s="5"/>
      <c r="M3" s="130" t="s">
        <v>103</v>
      </c>
      <c r="N3" s="130"/>
      <c r="O3" s="130"/>
      <c r="P3" s="130"/>
      <c r="Q3" s="130"/>
      <c r="R3" s="83"/>
      <c r="S3" s="83"/>
      <c r="T3" s="83"/>
      <c r="U3" s="83"/>
      <c r="V3" s="83"/>
    </row>
    <row r="4" spans="2:24" ht="19.5" x14ac:dyDescent="0.25">
      <c r="B4" s="1" t="s">
        <v>1</v>
      </c>
      <c r="C4" s="2"/>
      <c r="D4" s="2"/>
      <c r="L4" s="5"/>
    </row>
    <row r="5" spans="2:24" x14ac:dyDescent="0.2">
      <c r="B5" s="2" t="s">
        <v>101</v>
      </c>
      <c r="C5" s="2"/>
      <c r="D5" s="2"/>
      <c r="G5" s="7" t="s">
        <v>4</v>
      </c>
      <c r="H5" s="7" t="s">
        <v>5</v>
      </c>
      <c r="I5" s="7" t="s">
        <v>6</v>
      </c>
      <c r="J5" s="7" t="s">
        <v>7</v>
      </c>
      <c r="K5" s="7" t="s">
        <v>8</v>
      </c>
      <c r="L5" s="5"/>
      <c r="M5" s="7" t="s">
        <v>4</v>
      </c>
      <c r="N5" s="7" t="s">
        <v>5</v>
      </c>
      <c r="O5" s="7" t="s">
        <v>6</v>
      </c>
      <c r="P5" s="7" t="s">
        <v>7</v>
      </c>
      <c r="Q5" s="7" t="s">
        <v>8</v>
      </c>
      <c r="R5" s="7"/>
      <c r="S5" s="7"/>
      <c r="T5" s="7"/>
      <c r="U5" s="7"/>
      <c r="V5" s="7"/>
    </row>
    <row r="6" spans="2:24"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row>
    <row r="7" spans="2:24" x14ac:dyDescent="0.2">
      <c r="D7" s="81"/>
      <c r="E7" s="15"/>
      <c r="G7" s="7"/>
      <c r="H7" s="7" t="s">
        <v>14</v>
      </c>
      <c r="I7" s="7"/>
      <c r="J7" s="7"/>
      <c r="K7" s="7"/>
      <c r="L7" s="5"/>
      <c r="M7" s="7"/>
      <c r="N7" s="7" t="s">
        <v>14</v>
      </c>
      <c r="O7" s="7"/>
      <c r="P7" s="7"/>
      <c r="Q7" s="7"/>
      <c r="R7" s="7"/>
      <c r="S7" s="7"/>
      <c r="T7" s="7"/>
      <c r="U7" s="7"/>
      <c r="V7" s="7"/>
    </row>
    <row r="8" spans="2:24" ht="13.5" thickBot="1" x14ac:dyDescent="0.25">
      <c r="B8" s="2"/>
      <c r="E8" s="15"/>
      <c r="G8" s="8" t="s">
        <v>15</v>
      </c>
      <c r="H8" s="8" t="s">
        <v>16</v>
      </c>
      <c r="I8" s="8" t="s">
        <v>17</v>
      </c>
      <c r="J8" s="8"/>
      <c r="K8" s="8" t="s">
        <v>18</v>
      </c>
      <c r="L8" s="5"/>
      <c r="M8" s="8" t="s">
        <v>15</v>
      </c>
      <c r="N8" s="8" t="s">
        <v>16</v>
      </c>
      <c r="O8" s="8" t="s">
        <v>17</v>
      </c>
      <c r="P8" s="8"/>
      <c r="Q8" s="8" t="s">
        <v>18</v>
      </c>
      <c r="R8" s="84"/>
      <c r="S8" s="84"/>
      <c r="T8" s="84"/>
      <c r="U8" s="84"/>
      <c r="V8" s="84"/>
    </row>
    <row r="9" spans="2:24" ht="5.0999999999999996" customHeight="1" x14ac:dyDescent="0.2">
      <c r="B9" s="2"/>
      <c r="E9" s="15"/>
      <c r="G9" s="9"/>
      <c r="H9" s="9"/>
      <c r="I9" s="9"/>
      <c r="J9" s="9"/>
      <c r="K9" s="9"/>
      <c r="L9" s="5"/>
      <c r="M9" s="9"/>
      <c r="N9" s="9"/>
      <c r="O9" s="9"/>
      <c r="P9" s="9"/>
      <c r="Q9" s="9"/>
      <c r="R9" s="87"/>
      <c r="S9" s="87"/>
      <c r="T9" s="87"/>
      <c r="U9" s="87"/>
      <c r="V9" s="87"/>
    </row>
    <row r="10" spans="2:24" ht="15" thickBot="1" x14ac:dyDescent="0.25">
      <c r="B10" s="6" t="s">
        <v>3</v>
      </c>
      <c r="D10" s="3" t="s">
        <v>19</v>
      </c>
      <c r="E10" s="18" t="s">
        <v>20</v>
      </c>
      <c r="G10" s="11">
        <v>9019</v>
      </c>
      <c r="H10" s="11">
        <v>2255</v>
      </c>
      <c r="I10" s="11">
        <v>33822</v>
      </c>
      <c r="J10" s="12">
        <v>0</v>
      </c>
      <c r="K10" s="11">
        <f>SUM(G10:J10)</f>
        <v>45096</v>
      </c>
      <c r="L10" s="5"/>
      <c r="M10" s="11">
        <v>0</v>
      </c>
      <c r="N10" s="11">
        <v>0</v>
      </c>
      <c r="O10" s="11">
        <v>0</v>
      </c>
      <c r="P10" s="12">
        <v>0</v>
      </c>
      <c r="Q10" s="12">
        <f>SUM(M10:P10)</f>
        <v>0</v>
      </c>
      <c r="R10" s="12"/>
      <c r="S10" s="12"/>
      <c r="T10" s="12"/>
      <c r="U10" s="12"/>
      <c r="V10" s="12"/>
    </row>
    <row r="11" spans="2:24" x14ac:dyDescent="0.2">
      <c r="B11" s="2" t="s">
        <v>9</v>
      </c>
      <c r="E11" s="18" t="s">
        <v>21</v>
      </c>
      <c r="G11" s="13">
        <v>228.8</v>
      </c>
      <c r="H11" s="13">
        <v>57.4</v>
      </c>
      <c r="I11" s="13">
        <v>860.1</v>
      </c>
      <c r="J11" s="14">
        <v>0</v>
      </c>
      <c r="K11" s="13">
        <f>SUM(G11:J11)</f>
        <v>1146.3</v>
      </c>
      <c r="L11" s="5"/>
      <c r="M11" s="13">
        <f>G11</f>
        <v>228.8</v>
      </c>
      <c r="N11" s="13">
        <f>H11</f>
        <v>57.4</v>
      </c>
      <c r="O11" s="13">
        <f>I11</f>
        <v>860.1</v>
      </c>
      <c r="P11" s="14">
        <v>0</v>
      </c>
      <c r="Q11" s="14">
        <f>SUM(M11:P11)</f>
        <v>1146.3</v>
      </c>
      <c r="R11" s="85"/>
      <c r="S11" s="85"/>
      <c r="T11" s="85"/>
      <c r="U11" s="85"/>
      <c r="V11" s="85"/>
    </row>
    <row r="12" spans="2:24" x14ac:dyDescent="0.2">
      <c r="E12" s="18"/>
      <c r="G12" s="15"/>
      <c r="H12" s="15"/>
      <c r="I12" s="15"/>
      <c r="K12" s="15"/>
      <c r="L12" s="5"/>
      <c r="M12" s="15"/>
      <c r="N12" s="15"/>
      <c r="O12" s="15"/>
    </row>
    <row r="13" spans="2:24" ht="13.5" thickBot="1" x14ac:dyDescent="0.25">
      <c r="D13" s="3" t="s">
        <v>22</v>
      </c>
      <c r="E13" s="18" t="s">
        <v>20</v>
      </c>
      <c r="G13" s="11">
        <v>7591</v>
      </c>
      <c r="H13" s="11">
        <v>1898</v>
      </c>
      <c r="I13" s="11">
        <v>28466</v>
      </c>
      <c r="J13" s="12"/>
      <c r="K13" s="11">
        <f>SUM(G13:J13)</f>
        <v>37955</v>
      </c>
      <c r="L13" s="5"/>
      <c r="M13" s="11">
        <f t="shared" ref="M13:P14" si="0">G13</f>
        <v>7591</v>
      </c>
      <c r="N13" s="11">
        <f t="shared" si="0"/>
        <v>1898</v>
      </c>
      <c r="O13" s="11">
        <f t="shared" si="0"/>
        <v>28466</v>
      </c>
      <c r="P13" s="11">
        <f t="shared" si="0"/>
        <v>0</v>
      </c>
      <c r="Q13" s="12">
        <f>SUM(M13:P13)</f>
        <v>37955</v>
      </c>
      <c r="R13" s="12"/>
      <c r="S13" s="12"/>
      <c r="T13" s="12"/>
      <c r="U13" s="12"/>
      <c r="V13" s="12"/>
    </row>
    <row r="14" spans="2:24" ht="13.5" thickBot="1" x14ac:dyDescent="0.25">
      <c r="E14" s="18" t="s">
        <v>21</v>
      </c>
      <c r="G14" s="13">
        <v>168.3</v>
      </c>
      <c r="H14" s="13">
        <v>42.3</v>
      </c>
      <c r="I14" s="13">
        <v>631.1</v>
      </c>
      <c r="J14" s="14">
        <v>0</v>
      </c>
      <c r="K14" s="13">
        <f>SUM(G14:J14)</f>
        <v>841.7</v>
      </c>
      <c r="L14" s="5"/>
      <c r="M14" s="13">
        <f t="shared" si="0"/>
        <v>168.3</v>
      </c>
      <c r="N14" s="13">
        <f t="shared" si="0"/>
        <v>42.3</v>
      </c>
      <c r="O14" s="13">
        <f t="shared" si="0"/>
        <v>631.1</v>
      </c>
      <c r="P14" s="14">
        <v>0</v>
      </c>
      <c r="Q14" s="14">
        <f>SUM(M14:P14)</f>
        <v>841.7</v>
      </c>
      <c r="R14" s="85"/>
      <c r="S14" s="85"/>
      <c r="T14" s="85"/>
      <c r="U14" s="85"/>
      <c r="V14" s="85"/>
    </row>
    <row r="15" spans="2:24" x14ac:dyDescent="0.2">
      <c r="E15" s="15"/>
      <c r="G15" s="15"/>
      <c r="H15" s="15"/>
      <c r="I15" s="15"/>
      <c r="K15" s="15"/>
      <c r="L15" s="5"/>
      <c r="M15" s="15"/>
      <c r="N15" s="15"/>
      <c r="O15" s="15"/>
      <c r="X15" s="16" t="s">
        <v>87</v>
      </c>
    </row>
    <row r="16" spans="2:24" x14ac:dyDescent="0.2">
      <c r="D16" s="3" t="s">
        <v>23</v>
      </c>
      <c r="E16" s="18" t="s">
        <v>24</v>
      </c>
      <c r="G16" s="11">
        <v>3161</v>
      </c>
      <c r="H16" s="11">
        <v>790</v>
      </c>
      <c r="I16" s="11">
        <v>4</v>
      </c>
      <c r="J16" s="12">
        <v>0</v>
      </c>
      <c r="K16" s="11">
        <f t="shared" ref="K16:K22" si="1">SUM(G16:J16)</f>
        <v>3955</v>
      </c>
      <c r="L16" s="5"/>
      <c r="M16" s="11">
        <v>0</v>
      </c>
      <c r="N16" s="11">
        <v>0</v>
      </c>
      <c r="O16" s="11">
        <v>0</v>
      </c>
      <c r="P16" s="12">
        <v>0</v>
      </c>
      <c r="Q16" s="12">
        <f t="shared" ref="Q16:Q21" si="2">SUM(M16:P16)</f>
        <v>0</v>
      </c>
      <c r="R16" s="12"/>
      <c r="S16" s="12"/>
      <c r="T16" s="12"/>
      <c r="U16" s="12"/>
      <c r="V16" s="12"/>
      <c r="X16" s="17"/>
    </row>
    <row r="17" spans="2:24" x14ac:dyDescent="0.2">
      <c r="D17" s="3" t="s">
        <v>25</v>
      </c>
      <c r="E17" s="18" t="s">
        <v>26</v>
      </c>
      <c r="G17" s="11">
        <v>858</v>
      </c>
      <c r="H17" s="11">
        <v>215</v>
      </c>
      <c r="I17" s="11">
        <v>0</v>
      </c>
      <c r="J17" s="12">
        <v>0</v>
      </c>
      <c r="K17" s="11">
        <f t="shared" si="1"/>
        <v>1073</v>
      </c>
      <c r="L17" s="5"/>
      <c r="M17" s="11">
        <f>G17</f>
        <v>858</v>
      </c>
      <c r="N17" s="11">
        <f>H17</f>
        <v>215</v>
      </c>
      <c r="O17" s="11">
        <f>I17</f>
        <v>0</v>
      </c>
      <c r="P17" s="11">
        <f>J17</f>
        <v>0</v>
      </c>
      <c r="Q17" s="12">
        <f t="shared" si="2"/>
        <v>1073</v>
      </c>
      <c r="R17" s="12"/>
      <c r="S17" s="12"/>
      <c r="T17" s="12"/>
      <c r="U17" s="12"/>
      <c r="V17" s="12"/>
      <c r="X17" s="17" t="s">
        <v>88</v>
      </c>
    </row>
    <row r="18" spans="2:24" x14ac:dyDescent="0.2">
      <c r="E18" s="18" t="s">
        <v>27</v>
      </c>
      <c r="G18" s="11">
        <v>251</v>
      </c>
      <c r="H18" s="11">
        <v>63</v>
      </c>
      <c r="I18" s="11">
        <v>0</v>
      </c>
      <c r="J18" s="12">
        <v>0</v>
      </c>
      <c r="K18" s="11">
        <f t="shared" si="1"/>
        <v>314</v>
      </c>
      <c r="L18" s="5"/>
      <c r="M18" s="11">
        <v>0</v>
      </c>
      <c r="N18" s="11">
        <v>0</v>
      </c>
      <c r="O18" s="11">
        <v>0</v>
      </c>
      <c r="P18" s="12">
        <v>0</v>
      </c>
      <c r="Q18" s="12">
        <f t="shared" si="2"/>
        <v>0</v>
      </c>
      <c r="R18" s="12"/>
      <c r="S18" s="12"/>
      <c r="T18" s="12"/>
      <c r="U18" s="12"/>
      <c r="V18" s="12"/>
      <c r="X18" s="19">
        <f>395196+21379</f>
        <v>416575</v>
      </c>
    </row>
    <row r="19" spans="2:24" x14ac:dyDescent="0.2">
      <c r="E19" s="18" t="s">
        <v>28</v>
      </c>
      <c r="G19" s="20">
        <v>3803</v>
      </c>
      <c r="H19" s="11">
        <v>951</v>
      </c>
      <c r="I19" s="11">
        <v>14259</v>
      </c>
      <c r="J19" s="12">
        <v>0</v>
      </c>
      <c r="K19" s="11">
        <f t="shared" si="1"/>
        <v>19013</v>
      </c>
      <c r="L19" s="5"/>
      <c r="M19" s="11">
        <v>0</v>
      </c>
      <c r="N19" s="11">
        <v>0</v>
      </c>
      <c r="O19" s="11">
        <v>0</v>
      </c>
      <c r="P19" s="12">
        <v>0</v>
      </c>
      <c r="Q19" s="12">
        <f t="shared" si="2"/>
        <v>0</v>
      </c>
      <c r="R19" s="12"/>
      <c r="S19" s="12"/>
      <c r="T19" s="12"/>
      <c r="U19" s="12"/>
      <c r="V19" s="12"/>
      <c r="X19" s="17"/>
    </row>
    <row r="20" spans="2:24" x14ac:dyDescent="0.2">
      <c r="E20" s="18" t="s">
        <v>29</v>
      </c>
      <c r="G20" s="11">
        <v>62534</v>
      </c>
      <c r="H20" s="11">
        <v>1488</v>
      </c>
      <c r="I20" s="11">
        <v>0</v>
      </c>
      <c r="J20" s="12">
        <v>0</v>
      </c>
      <c r="K20" s="11">
        <f t="shared" si="1"/>
        <v>64022</v>
      </c>
      <c r="L20" s="5"/>
      <c r="M20" s="11">
        <f>G20</f>
        <v>62534</v>
      </c>
      <c r="N20" s="11">
        <f>H20</f>
        <v>1488</v>
      </c>
      <c r="O20" s="11">
        <f>I20</f>
        <v>0</v>
      </c>
      <c r="P20" s="11">
        <f>J20</f>
        <v>0</v>
      </c>
      <c r="Q20" s="12">
        <f t="shared" si="2"/>
        <v>64022</v>
      </c>
      <c r="R20" s="12"/>
      <c r="S20" s="12"/>
      <c r="T20" s="12"/>
      <c r="U20" s="12"/>
      <c r="V20" s="12"/>
      <c r="X20" s="17" t="s">
        <v>89</v>
      </c>
    </row>
    <row r="21" spans="2:24" x14ac:dyDescent="0.2">
      <c r="E21" s="18" t="s">
        <v>30</v>
      </c>
      <c r="G21" s="21">
        <v>-389</v>
      </c>
      <c r="H21" s="21">
        <v>-102</v>
      </c>
      <c r="I21" s="21">
        <v>-68</v>
      </c>
      <c r="J21" s="22">
        <v>-23</v>
      </c>
      <c r="K21" s="21">
        <f t="shared" si="1"/>
        <v>-582</v>
      </c>
      <c r="L21" s="5"/>
      <c r="M21" s="11">
        <v>0</v>
      </c>
      <c r="N21" s="11">
        <v>0</v>
      </c>
      <c r="O21" s="11">
        <v>0</v>
      </c>
      <c r="P21" s="12">
        <v>0</v>
      </c>
      <c r="Q21" s="12">
        <f t="shared" si="2"/>
        <v>0</v>
      </c>
      <c r="R21" s="12"/>
      <c r="S21" s="12"/>
      <c r="T21" s="12"/>
      <c r="U21" s="12"/>
      <c r="V21" s="12"/>
      <c r="X21" s="19">
        <f>31030+1679</f>
        <v>32709</v>
      </c>
    </row>
    <row r="22" spans="2:24" x14ac:dyDescent="0.2">
      <c r="D22" s="2" t="s">
        <v>31</v>
      </c>
      <c r="E22" s="18"/>
      <c r="G22" s="23">
        <f>G10+G13+SUM(G16:G21)</f>
        <v>86828</v>
      </c>
      <c r="H22" s="23">
        <f>H10+H13+SUM(H16:H21)</f>
        <v>7558</v>
      </c>
      <c r="I22" s="23">
        <f>I10+I13+SUM(I16:I21)</f>
        <v>76483</v>
      </c>
      <c r="J22" s="24">
        <f>J10+J13+SUM(J16:J21)</f>
        <v>-23</v>
      </c>
      <c r="K22" s="23">
        <f t="shared" si="1"/>
        <v>170846</v>
      </c>
      <c r="L22" s="5"/>
      <c r="M22" s="25">
        <f>M10+M13+SUM(M16:M21)</f>
        <v>70983</v>
      </c>
      <c r="N22" s="25">
        <f>N10+N13+SUM(N16:N21)</f>
        <v>3601</v>
      </c>
      <c r="O22" s="25">
        <f>O10+O13+SUM(O16:O21)</f>
        <v>28466</v>
      </c>
      <c r="P22" s="26">
        <f>P10+P13+SUM(P16:P21)</f>
        <v>0</v>
      </c>
      <c r="Q22" s="26">
        <f>Q10+Q13+SUM(Q16:Q21)</f>
        <v>103050</v>
      </c>
      <c r="R22" s="86"/>
      <c r="S22" s="86"/>
      <c r="T22" s="86"/>
      <c r="U22" s="86"/>
      <c r="V22" s="86"/>
      <c r="X22" s="17"/>
    </row>
    <row r="23" spans="2:24" x14ac:dyDescent="0.2">
      <c r="E23" s="18"/>
      <c r="G23" s="11"/>
      <c r="H23" s="11"/>
      <c r="I23" s="11"/>
      <c r="J23" s="12"/>
      <c r="K23" s="11"/>
      <c r="L23" s="5"/>
      <c r="M23" s="27"/>
      <c r="N23" s="11"/>
      <c r="O23" s="11"/>
      <c r="P23" s="12"/>
      <c r="Q23" s="12"/>
      <c r="R23" s="12"/>
      <c r="S23" s="12"/>
      <c r="T23" s="12"/>
      <c r="U23" s="12"/>
      <c r="V23" s="12"/>
      <c r="X23" s="17" t="s">
        <v>90</v>
      </c>
    </row>
    <row r="24" spans="2:24" ht="13.5" thickBot="1" x14ac:dyDescent="0.25">
      <c r="B24" s="2" t="s">
        <v>32</v>
      </c>
      <c r="E24" s="18" t="s">
        <v>33</v>
      </c>
      <c r="G24" s="21">
        <v>5271</v>
      </c>
      <c r="H24" s="21">
        <v>892</v>
      </c>
      <c r="I24" s="21">
        <v>20980</v>
      </c>
      <c r="J24" s="22">
        <v>0</v>
      </c>
      <c r="K24" s="21">
        <f>SUM(G24:J24)</f>
        <v>27143</v>
      </c>
      <c r="L24" s="5"/>
      <c r="M24" s="21">
        <f>$Q$24*G$121</f>
        <v>1156.9962940328317</v>
      </c>
      <c r="N24" s="21">
        <f>$Q$24*H$121</f>
        <v>18.428212521546971</v>
      </c>
      <c r="O24" s="21">
        <f>$Q$24*I$121</f>
        <v>955.813294561867</v>
      </c>
      <c r="P24" s="21">
        <v>0</v>
      </c>
      <c r="Q24" s="21">
        <f>K24*X24</f>
        <v>2131.2378011162455</v>
      </c>
      <c r="R24" s="29"/>
      <c r="S24" s="29"/>
      <c r="T24" s="29"/>
      <c r="U24" s="29"/>
      <c r="V24" s="29"/>
      <c r="X24" s="28">
        <f>X21/X18</f>
        <v>7.8518874152313511E-2</v>
      </c>
    </row>
    <row r="25" spans="2:24" x14ac:dyDescent="0.2">
      <c r="B25" s="2"/>
      <c r="D25" s="2" t="s">
        <v>34</v>
      </c>
      <c r="E25" s="18"/>
      <c r="G25" s="23">
        <f>SUM(G24)</f>
        <v>5271</v>
      </c>
      <c r="H25" s="23">
        <f>SUM(H24)</f>
        <v>892</v>
      </c>
      <c r="I25" s="23">
        <f>SUM(I24)</f>
        <v>20980</v>
      </c>
      <c r="J25" s="24">
        <f>SUM(J24)</f>
        <v>0</v>
      </c>
      <c r="K25" s="23">
        <f>SUM(G25:J25)</f>
        <v>27143</v>
      </c>
      <c r="L25" s="5"/>
      <c r="M25" s="23">
        <f>SUM(M24)</f>
        <v>1156.9962940328317</v>
      </c>
      <c r="N25" s="23">
        <f>SUM(N24)</f>
        <v>18.428212521546971</v>
      </c>
      <c r="O25" s="23">
        <f>SUM(O24)</f>
        <v>955.813294561867</v>
      </c>
      <c r="P25" s="24">
        <f>SUM(P24)</f>
        <v>0</v>
      </c>
      <c r="Q25" s="24">
        <f>SUM(M25:P25)</f>
        <v>2131.2378011162455</v>
      </c>
      <c r="R25" s="24"/>
      <c r="S25" s="24"/>
      <c r="T25" s="24"/>
      <c r="U25" s="24"/>
      <c r="V25" s="24"/>
    </row>
    <row r="26" spans="2:24" x14ac:dyDescent="0.2">
      <c r="B26" s="2"/>
      <c r="E26" s="15"/>
      <c r="G26" s="15"/>
      <c r="H26" s="15"/>
      <c r="I26" s="15"/>
      <c r="K26" s="15"/>
      <c r="L26" s="5"/>
      <c r="M26" s="15"/>
      <c r="N26" s="15"/>
      <c r="O26" s="15"/>
    </row>
    <row r="27" spans="2:24" x14ac:dyDescent="0.2">
      <c r="B27" s="2" t="s">
        <v>35</v>
      </c>
      <c r="E27" s="18" t="s">
        <v>36</v>
      </c>
      <c r="F27" s="15"/>
      <c r="G27" s="11">
        <v>0</v>
      </c>
      <c r="H27" s="11">
        <v>0</v>
      </c>
      <c r="I27" s="11">
        <v>0</v>
      </c>
      <c r="J27" s="12">
        <v>0</v>
      </c>
      <c r="K27" s="11">
        <f t="shared" ref="K27:K32" si="3">SUM(G27:J27)</f>
        <v>0</v>
      </c>
      <c r="L27" s="5"/>
      <c r="M27" s="29">
        <v>0</v>
      </c>
      <c r="N27" s="29">
        <v>0</v>
      </c>
      <c r="O27" s="29">
        <v>0</v>
      </c>
      <c r="P27" s="12">
        <v>0</v>
      </c>
      <c r="Q27" s="12">
        <f t="shared" ref="Q27:Q32" si="4">SUM(M27:P27)</f>
        <v>0</v>
      </c>
      <c r="R27" s="12"/>
      <c r="S27" s="12"/>
      <c r="T27" s="12"/>
      <c r="U27" s="12"/>
      <c r="V27" s="12"/>
    </row>
    <row r="28" spans="2:24" x14ac:dyDescent="0.2">
      <c r="B28" s="2"/>
      <c r="E28" s="18" t="s">
        <v>37</v>
      </c>
      <c r="G28" s="11">
        <v>370</v>
      </c>
      <c r="H28" s="11">
        <v>92</v>
      </c>
      <c r="I28" s="11">
        <v>1386</v>
      </c>
      <c r="J28" s="12">
        <v>0</v>
      </c>
      <c r="K28" s="11">
        <f t="shared" si="3"/>
        <v>1848</v>
      </c>
      <c r="L28" s="5"/>
      <c r="M28" s="11">
        <f>G28</f>
        <v>370</v>
      </c>
      <c r="N28" s="11">
        <f>H28</f>
        <v>92</v>
      </c>
      <c r="O28" s="11">
        <f>I28</f>
        <v>1386</v>
      </c>
      <c r="P28" s="11">
        <f>J28</f>
        <v>0</v>
      </c>
      <c r="Q28" s="12">
        <f>SUM(M28:P28)</f>
        <v>1848</v>
      </c>
      <c r="R28" s="12"/>
      <c r="S28" s="12"/>
      <c r="T28" s="12"/>
      <c r="U28" s="12"/>
      <c r="V28" s="12"/>
    </row>
    <row r="29" spans="2:24" x14ac:dyDescent="0.2">
      <c r="B29" s="2"/>
      <c r="E29" s="15" t="s">
        <v>38</v>
      </c>
      <c r="G29" s="11">
        <v>0</v>
      </c>
      <c r="H29" s="11">
        <v>0</v>
      </c>
      <c r="I29" s="11">
        <v>0</v>
      </c>
      <c r="J29" s="12">
        <v>0</v>
      </c>
      <c r="K29" s="11">
        <f t="shared" si="3"/>
        <v>0</v>
      </c>
      <c r="L29" s="5"/>
      <c r="M29" s="11">
        <v>0</v>
      </c>
      <c r="N29" s="11">
        <v>0</v>
      </c>
      <c r="O29" s="11">
        <v>0</v>
      </c>
      <c r="P29" s="12">
        <v>0</v>
      </c>
      <c r="Q29" s="12">
        <f t="shared" si="4"/>
        <v>0</v>
      </c>
      <c r="R29" s="12"/>
      <c r="S29" s="12"/>
      <c r="T29" s="12"/>
      <c r="U29" s="12"/>
      <c r="V29" s="12"/>
    </row>
    <row r="30" spans="2:24" x14ac:dyDescent="0.2">
      <c r="B30" s="2"/>
      <c r="E30" s="18" t="s">
        <v>39</v>
      </c>
      <c r="G30" s="11">
        <v>1369</v>
      </c>
      <c r="H30" s="11">
        <v>342</v>
      </c>
      <c r="I30" s="11">
        <v>5172</v>
      </c>
      <c r="J30" s="12">
        <v>0</v>
      </c>
      <c r="K30" s="11">
        <f t="shared" si="3"/>
        <v>6883</v>
      </c>
      <c r="L30" s="5"/>
      <c r="M30" s="11">
        <f t="shared" ref="M30:P31" si="5">G30</f>
        <v>1369</v>
      </c>
      <c r="N30" s="11">
        <f t="shared" si="5"/>
        <v>342</v>
      </c>
      <c r="O30" s="11">
        <f t="shared" si="5"/>
        <v>5172</v>
      </c>
      <c r="P30" s="11">
        <f t="shared" si="5"/>
        <v>0</v>
      </c>
      <c r="Q30" s="12">
        <f t="shared" si="4"/>
        <v>6883</v>
      </c>
      <c r="R30" s="12"/>
      <c r="S30" s="12"/>
      <c r="T30" s="12"/>
      <c r="U30" s="12"/>
      <c r="V30" s="12"/>
    </row>
    <row r="31" spans="2:24" x14ac:dyDescent="0.2">
      <c r="B31" s="2"/>
      <c r="E31" s="10" t="s">
        <v>40</v>
      </c>
      <c r="G31" s="21">
        <v>95</v>
      </c>
      <c r="H31" s="21">
        <v>10</v>
      </c>
      <c r="I31" s="21">
        <v>386</v>
      </c>
      <c r="J31" s="22">
        <v>0</v>
      </c>
      <c r="K31" s="21">
        <f t="shared" si="3"/>
        <v>491</v>
      </c>
      <c r="L31" s="5"/>
      <c r="M31" s="21">
        <f t="shared" si="5"/>
        <v>95</v>
      </c>
      <c r="N31" s="21">
        <f t="shared" si="5"/>
        <v>10</v>
      </c>
      <c r="O31" s="21">
        <f>I31</f>
        <v>386</v>
      </c>
      <c r="P31" s="21">
        <f>J31</f>
        <v>0</v>
      </c>
      <c r="Q31" s="22">
        <f t="shared" si="4"/>
        <v>491</v>
      </c>
      <c r="R31" s="82"/>
      <c r="S31" s="82"/>
      <c r="T31" s="82"/>
      <c r="U31" s="82"/>
      <c r="V31" s="82"/>
    </row>
    <row r="32" spans="2:24" x14ac:dyDescent="0.2">
      <c r="B32" s="2"/>
      <c r="D32" s="2" t="s">
        <v>41</v>
      </c>
      <c r="G32" s="24">
        <f>SUM(G27:G31)</f>
        <v>1834</v>
      </c>
      <c r="H32" s="24">
        <f>SUM(H27:H31)</f>
        <v>444</v>
      </c>
      <c r="I32" s="24">
        <f>SUM(I27:I31)</f>
        <v>6944</v>
      </c>
      <c r="J32" s="24">
        <f>SUM(J27:J31)</f>
        <v>0</v>
      </c>
      <c r="K32" s="23">
        <f t="shared" si="3"/>
        <v>9222</v>
      </c>
      <c r="L32" s="5"/>
      <c r="M32" s="23">
        <f>SUM(M27:M31)</f>
        <v>1834</v>
      </c>
      <c r="N32" s="23">
        <f>SUM(N27:N31)</f>
        <v>444</v>
      </c>
      <c r="O32" s="23">
        <f>SUM(O27:O31)</f>
        <v>6944</v>
      </c>
      <c r="P32" s="24">
        <f>SUM(P27:P31)</f>
        <v>0</v>
      </c>
      <c r="Q32" s="24">
        <f t="shared" si="4"/>
        <v>9222</v>
      </c>
      <c r="R32" s="24"/>
      <c r="S32" s="24"/>
      <c r="T32" s="24"/>
      <c r="U32" s="24"/>
      <c r="V32" s="24"/>
    </row>
    <row r="33" spans="2:22" x14ac:dyDescent="0.2">
      <c r="B33" s="2"/>
      <c r="K33" s="15"/>
      <c r="L33" s="5"/>
    </row>
    <row r="34" spans="2:22" x14ac:dyDescent="0.2">
      <c r="B34" s="2" t="s">
        <v>42</v>
      </c>
      <c r="D34" s="2" t="s">
        <v>43</v>
      </c>
      <c r="E34" s="3" t="s">
        <v>44</v>
      </c>
      <c r="G34" s="11">
        <v>5239</v>
      </c>
      <c r="H34" s="11">
        <v>0</v>
      </c>
      <c r="I34" s="11">
        <v>0</v>
      </c>
      <c r="J34" s="11">
        <v>0</v>
      </c>
      <c r="K34" s="11">
        <f>SUM(G34:J34)</f>
        <v>5239</v>
      </c>
      <c r="L34" s="5"/>
      <c r="M34" s="12">
        <f t="shared" ref="M34:P35" si="6">G34</f>
        <v>5239</v>
      </c>
      <c r="N34" s="12">
        <f t="shared" si="6"/>
        <v>0</v>
      </c>
      <c r="O34" s="12">
        <f t="shared" si="6"/>
        <v>0</v>
      </c>
      <c r="P34" s="12">
        <f t="shared" si="6"/>
        <v>0</v>
      </c>
      <c r="Q34" s="12">
        <f>SUM(M34:P34)</f>
        <v>5239</v>
      </c>
      <c r="R34" s="12"/>
      <c r="S34" s="12"/>
      <c r="T34" s="12"/>
      <c r="U34" s="12"/>
      <c r="V34" s="12"/>
    </row>
    <row r="35" spans="2:22" x14ac:dyDescent="0.2">
      <c r="B35" s="2" t="s">
        <v>45</v>
      </c>
      <c r="D35" s="2" t="s">
        <v>46</v>
      </c>
      <c r="E35" s="3" t="s">
        <v>47</v>
      </c>
      <c r="G35" s="11">
        <v>310</v>
      </c>
      <c r="H35" s="11">
        <v>0</v>
      </c>
      <c r="I35" s="11">
        <v>0</v>
      </c>
      <c r="J35" s="11">
        <v>0</v>
      </c>
      <c r="K35" s="11">
        <f>SUM(G35:J35)</f>
        <v>310</v>
      </c>
      <c r="L35" s="5"/>
      <c r="M35" s="12">
        <f t="shared" si="6"/>
        <v>310</v>
      </c>
      <c r="N35" s="12">
        <f t="shared" si="6"/>
        <v>0</v>
      </c>
      <c r="O35" s="12">
        <f t="shared" si="6"/>
        <v>0</v>
      </c>
      <c r="P35" s="12">
        <f t="shared" si="6"/>
        <v>0</v>
      </c>
      <c r="Q35" s="12">
        <f>SUM(M35:P35)</f>
        <v>310</v>
      </c>
      <c r="R35" s="12"/>
      <c r="S35" s="12"/>
      <c r="T35" s="12"/>
      <c r="U35" s="12"/>
      <c r="V35" s="12"/>
    </row>
    <row r="36" spans="2:22" x14ac:dyDescent="0.2">
      <c r="D36" s="2"/>
      <c r="G36" s="15"/>
      <c r="H36" s="15"/>
      <c r="I36" s="15"/>
      <c r="J36" s="15"/>
      <c r="K36" s="15"/>
      <c r="L36" s="5"/>
      <c r="Q36" s="12"/>
      <c r="R36" s="12"/>
      <c r="S36" s="12"/>
      <c r="T36" s="12"/>
      <c r="U36" s="12"/>
      <c r="V36" s="12"/>
    </row>
    <row r="37" spans="2:22" x14ac:dyDescent="0.2">
      <c r="D37" s="2" t="s">
        <v>48</v>
      </c>
      <c r="E37" s="3" t="s">
        <v>49</v>
      </c>
      <c r="G37" s="11">
        <v>3518</v>
      </c>
      <c r="H37" s="11"/>
      <c r="I37" s="11">
        <v>0</v>
      </c>
      <c r="J37" s="11">
        <v>0</v>
      </c>
      <c r="K37" s="11">
        <f>SUM(G37:J37)</f>
        <v>3518</v>
      </c>
      <c r="L37" s="5"/>
      <c r="M37" s="12">
        <f t="shared" ref="M37:P40" si="7">G37</f>
        <v>3518</v>
      </c>
      <c r="N37" s="12">
        <f t="shared" si="7"/>
        <v>0</v>
      </c>
      <c r="O37" s="12">
        <f t="shared" si="7"/>
        <v>0</v>
      </c>
      <c r="P37" s="12">
        <f t="shared" si="7"/>
        <v>0</v>
      </c>
      <c r="Q37" s="12">
        <f>SUM(M37:P37)</f>
        <v>3518</v>
      </c>
      <c r="R37" s="12"/>
      <c r="S37" s="12"/>
      <c r="T37" s="12"/>
      <c r="U37" s="12"/>
      <c r="V37" s="12"/>
    </row>
    <row r="38" spans="2:22" x14ac:dyDescent="0.2">
      <c r="D38" s="2" t="s">
        <v>50</v>
      </c>
      <c r="E38" s="3" t="s">
        <v>51</v>
      </c>
      <c r="G38" s="11">
        <v>729</v>
      </c>
      <c r="H38" s="11">
        <v>0</v>
      </c>
      <c r="I38" s="11">
        <v>0</v>
      </c>
      <c r="J38" s="11">
        <v>0</v>
      </c>
      <c r="K38" s="11">
        <f>SUM(G38:J38)</f>
        <v>729</v>
      </c>
      <c r="L38" s="5"/>
      <c r="M38" s="12">
        <f t="shared" si="7"/>
        <v>729</v>
      </c>
      <c r="N38" s="12">
        <f t="shared" si="7"/>
        <v>0</v>
      </c>
      <c r="O38" s="12">
        <f t="shared" si="7"/>
        <v>0</v>
      </c>
      <c r="P38" s="12">
        <f t="shared" si="7"/>
        <v>0</v>
      </c>
      <c r="Q38" s="12">
        <f>SUM(M38:P38)</f>
        <v>729</v>
      </c>
      <c r="R38" s="12"/>
      <c r="S38" s="12"/>
      <c r="T38" s="12"/>
      <c r="U38" s="12"/>
      <c r="V38" s="12"/>
    </row>
    <row r="39" spans="2:22" x14ac:dyDescent="0.2">
      <c r="D39" s="2"/>
      <c r="E39" s="3" t="s">
        <v>52</v>
      </c>
      <c r="G39" s="11">
        <v>919</v>
      </c>
      <c r="H39" s="11">
        <v>0</v>
      </c>
      <c r="I39" s="11">
        <v>0</v>
      </c>
      <c r="J39" s="11">
        <v>0</v>
      </c>
      <c r="K39" s="11">
        <f>SUM(G39:J39)</f>
        <v>919</v>
      </c>
      <c r="L39" s="5"/>
      <c r="M39" s="12">
        <f t="shared" si="7"/>
        <v>919</v>
      </c>
      <c r="N39" s="12">
        <f t="shared" si="7"/>
        <v>0</v>
      </c>
      <c r="O39" s="12">
        <f t="shared" si="7"/>
        <v>0</v>
      </c>
      <c r="P39" s="12">
        <f t="shared" si="7"/>
        <v>0</v>
      </c>
      <c r="Q39" s="12">
        <f>SUM(M39:P39)</f>
        <v>919</v>
      </c>
      <c r="R39" s="12"/>
      <c r="S39" s="12"/>
      <c r="T39" s="12"/>
      <c r="U39" s="12"/>
      <c r="V39" s="12"/>
    </row>
    <row r="40" spans="2:22" x14ac:dyDescent="0.2">
      <c r="D40" s="2"/>
      <c r="E40" s="3" t="s">
        <v>53</v>
      </c>
      <c r="G40" s="11">
        <v>3219</v>
      </c>
      <c r="H40" s="11">
        <v>0</v>
      </c>
      <c r="I40" s="11"/>
      <c r="J40" s="11">
        <v>0</v>
      </c>
      <c r="K40" s="11">
        <f>SUM(G40:J40)</f>
        <v>3219</v>
      </c>
      <c r="L40" s="5"/>
      <c r="M40" s="12">
        <f t="shared" si="7"/>
        <v>3219</v>
      </c>
      <c r="N40" s="12">
        <f t="shared" si="7"/>
        <v>0</v>
      </c>
      <c r="O40" s="12">
        <f t="shared" si="7"/>
        <v>0</v>
      </c>
      <c r="P40" s="12">
        <f t="shared" si="7"/>
        <v>0</v>
      </c>
      <c r="Q40" s="12">
        <f>SUM(M40:P40)</f>
        <v>3219</v>
      </c>
      <c r="R40" s="12"/>
      <c r="S40" s="12"/>
      <c r="T40" s="12"/>
      <c r="U40" s="12"/>
      <c r="V40" s="12"/>
    </row>
    <row r="41" spans="2:22" x14ac:dyDescent="0.2">
      <c r="D41" s="2"/>
      <c r="G41" s="15"/>
      <c r="H41" s="15"/>
      <c r="I41" s="15"/>
      <c r="J41" s="15"/>
      <c r="K41" s="15"/>
      <c r="L41" s="5"/>
      <c r="Q41" s="12"/>
      <c r="R41" s="12"/>
      <c r="S41" s="12"/>
      <c r="T41" s="12"/>
      <c r="U41" s="12"/>
      <c r="V41" s="12"/>
    </row>
    <row r="42" spans="2:22" x14ac:dyDescent="0.2">
      <c r="D42" s="2" t="s">
        <v>54</v>
      </c>
      <c r="G42" s="11">
        <v>7628</v>
      </c>
      <c r="H42" s="11"/>
      <c r="I42" s="11">
        <v>0</v>
      </c>
      <c r="J42" s="11">
        <v>0</v>
      </c>
      <c r="K42" s="11">
        <f>SUM(G42:J42)</f>
        <v>7628</v>
      </c>
      <c r="L42" s="5"/>
      <c r="M42" s="12">
        <f>G42</f>
        <v>7628</v>
      </c>
      <c r="N42" s="12">
        <f>H42</f>
        <v>0</v>
      </c>
      <c r="O42" s="12">
        <f>I42</f>
        <v>0</v>
      </c>
      <c r="P42" s="12">
        <f>J42</f>
        <v>0</v>
      </c>
      <c r="Q42" s="12">
        <f>SUM(M42:P42)</f>
        <v>7628</v>
      </c>
      <c r="R42" s="12"/>
      <c r="S42" s="12"/>
      <c r="T42" s="12"/>
      <c r="U42" s="12"/>
      <c r="V42" s="12"/>
    </row>
    <row r="43" spans="2:22" x14ac:dyDescent="0.2">
      <c r="D43" s="2"/>
      <c r="G43" s="15"/>
      <c r="H43" s="15"/>
      <c r="I43" s="15"/>
      <c r="J43" s="15"/>
      <c r="L43" s="5"/>
    </row>
    <row r="44" spans="2:22"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c r="V44" s="12"/>
    </row>
    <row r="45" spans="2:22" x14ac:dyDescent="0.2">
      <c r="D45" s="2"/>
      <c r="G45" s="15"/>
      <c r="H45" s="15"/>
      <c r="I45" s="15"/>
      <c r="J45" s="15"/>
      <c r="L45" s="5"/>
    </row>
    <row r="46" spans="2:22"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c r="V46" s="12"/>
    </row>
    <row r="47" spans="2:22" x14ac:dyDescent="0.2">
      <c r="D47" s="2"/>
      <c r="G47" s="15"/>
      <c r="H47" s="15"/>
      <c r="I47" s="15"/>
      <c r="J47" s="15"/>
      <c r="L47" s="5"/>
    </row>
    <row r="48" spans="2:22"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c r="V48" s="12"/>
    </row>
    <row r="49" spans="2:24" x14ac:dyDescent="0.2">
      <c r="D49" s="2" t="s">
        <v>58</v>
      </c>
      <c r="G49" s="15"/>
      <c r="H49" s="15"/>
      <c r="I49" s="15"/>
      <c r="J49" s="15"/>
      <c r="L49" s="5"/>
    </row>
    <row r="50" spans="2:24" x14ac:dyDescent="0.2">
      <c r="D50" s="2"/>
      <c r="G50" s="15"/>
      <c r="H50" s="15"/>
      <c r="I50" s="15"/>
      <c r="J50" s="15"/>
      <c r="L50" s="5"/>
    </row>
    <row r="51" spans="2:24" x14ac:dyDescent="0.2">
      <c r="B51" s="2"/>
      <c r="D51" s="2" t="s">
        <v>53</v>
      </c>
      <c r="G51" s="21">
        <v>7468</v>
      </c>
      <c r="H51" s="21">
        <v>4</v>
      </c>
      <c r="I51" s="21">
        <v>3638</v>
      </c>
      <c r="J51" s="21">
        <v>23</v>
      </c>
      <c r="K51" s="21">
        <f>SUM(G51:J51)</f>
        <v>11133</v>
      </c>
      <c r="L51" s="5"/>
      <c r="M51" s="22">
        <f>G51</f>
        <v>7468</v>
      </c>
      <c r="N51" s="22">
        <f>H51</f>
        <v>4</v>
      </c>
      <c r="O51" s="22">
        <f>I51</f>
        <v>3638</v>
      </c>
      <c r="P51" s="22">
        <f>J51</f>
        <v>23</v>
      </c>
      <c r="Q51" s="22">
        <f>SUM(M51:P51)</f>
        <v>11133</v>
      </c>
      <c r="R51" s="82"/>
      <c r="S51" s="82"/>
      <c r="T51" s="82"/>
      <c r="U51" s="82"/>
      <c r="V51" s="82"/>
    </row>
    <row r="52" spans="2:24" x14ac:dyDescent="0.2">
      <c r="D52" s="2" t="s">
        <v>59</v>
      </c>
      <c r="G52" s="24">
        <f>SUM(G34:G51)</f>
        <v>29030</v>
      </c>
      <c r="H52" s="24">
        <f>SUM(H34:H51)</f>
        <v>4</v>
      </c>
      <c r="I52" s="24">
        <f>SUM(I34:I51)</f>
        <v>3638</v>
      </c>
      <c r="J52" s="24">
        <f>SUM(J34:J51)</f>
        <v>23</v>
      </c>
      <c r="K52" s="24">
        <f>SUM(G52:J52)</f>
        <v>32695</v>
      </c>
      <c r="L52" s="5"/>
      <c r="M52" s="24">
        <f>SUM(M34:M51)</f>
        <v>29030</v>
      </c>
      <c r="N52" s="24">
        <f>SUM(N34:N51)</f>
        <v>4</v>
      </c>
      <c r="O52" s="24">
        <f>SUM(O34:O51)</f>
        <v>3638</v>
      </c>
      <c r="P52" s="24">
        <f>SUM(P34:P51)</f>
        <v>23</v>
      </c>
      <c r="Q52" s="24">
        <f>SUM(M52:P52)</f>
        <v>32695</v>
      </c>
      <c r="R52" s="24"/>
      <c r="S52" s="24"/>
      <c r="T52" s="24"/>
      <c r="U52" s="24"/>
      <c r="V52" s="24"/>
    </row>
    <row r="53" spans="2:24" x14ac:dyDescent="0.2">
      <c r="B53" s="2"/>
      <c r="L53" s="5"/>
    </row>
    <row r="54" spans="2:24"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row>
    <row r="55" spans="2:24" x14ac:dyDescent="0.2">
      <c r="B55" s="2" t="s">
        <v>61</v>
      </c>
      <c r="L55" s="5"/>
    </row>
    <row r="56" spans="2:24" ht="13.5" thickBot="1" x14ac:dyDescent="0.25">
      <c r="K56" s="12"/>
      <c r="L56" s="5"/>
      <c r="Q56" s="30"/>
      <c r="R56" s="40"/>
      <c r="S56" s="40"/>
      <c r="T56" s="40"/>
      <c r="U56" s="40"/>
      <c r="V56" s="40"/>
    </row>
    <row r="57" spans="2:24" x14ac:dyDescent="0.2">
      <c r="B57" s="2" t="s">
        <v>62</v>
      </c>
      <c r="G57" s="31">
        <f>G22+G25+G32+G52+G54</f>
        <v>122963</v>
      </c>
      <c r="H57" s="31">
        <f>H22+H25+H32+H52+H54</f>
        <v>8898</v>
      </c>
      <c r="I57" s="31">
        <f>I22+I25+I32+I52+I54</f>
        <v>108045</v>
      </c>
      <c r="J57" s="31">
        <f>J22+J25+J32+J52+J54</f>
        <v>0</v>
      </c>
      <c r="K57" s="31">
        <f>SUM(G57:J57)</f>
        <v>239906</v>
      </c>
      <c r="L57" s="32"/>
      <c r="M57" s="31">
        <f>M22+M25+M32+M52+M54</f>
        <v>103003.99629403283</v>
      </c>
      <c r="N57" s="31">
        <f>N22+N25+N32+N52+N54</f>
        <v>4067.4282125215468</v>
      </c>
      <c r="O57" s="31">
        <f>O22+O25+O32+O52+O54</f>
        <v>40003.813294561871</v>
      </c>
      <c r="P57" s="31">
        <f>P22+P25+P32+P52+P54</f>
        <v>23</v>
      </c>
      <c r="Q57" s="31">
        <f>SUM(M57:P57)</f>
        <v>147098.23780111625</v>
      </c>
      <c r="R57" s="86"/>
      <c r="S57" s="86"/>
      <c r="T57" s="86"/>
      <c r="U57" s="86"/>
      <c r="V57" s="86"/>
    </row>
    <row r="58" spans="2:24" x14ac:dyDescent="0.2">
      <c r="L58" s="5"/>
    </row>
    <row r="59" spans="2:24" x14ac:dyDescent="0.2">
      <c r="L59" s="5"/>
    </row>
    <row r="60" spans="2:24" ht="14.25" x14ac:dyDescent="0.2">
      <c r="B60" s="6" t="s">
        <v>63</v>
      </c>
      <c r="K60" s="15"/>
      <c r="L60" s="5"/>
    </row>
    <row r="61" spans="2:24" x14ac:dyDescent="0.2">
      <c r="D61" s="15" t="s">
        <v>64</v>
      </c>
      <c r="E61" s="10" t="s">
        <v>20</v>
      </c>
      <c r="G61" s="12">
        <v>0</v>
      </c>
      <c r="H61" s="12">
        <v>0</v>
      </c>
      <c r="I61" s="12">
        <f>K61</f>
        <v>55653</v>
      </c>
      <c r="J61" s="11">
        <v>0</v>
      </c>
      <c r="K61" s="11">
        <v>55653</v>
      </c>
      <c r="L61" s="5"/>
      <c r="M61" s="12">
        <f>G61</f>
        <v>0</v>
      </c>
      <c r="N61" s="12">
        <f>H61</f>
        <v>0</v>
      </c>
      <c r="O61" s="12">
        <f>Q61</f>
        <v>55653</v>
      </c>
      <c r="P61" s="11">
        <f>J61</f>
        <v>0</v>
      </c>
      <c r="Q61" s="11">
        <f>$K$61</f>
        <v>55653</v>
      </c>
      <c r="R61" s="11"/>
      <c r="S61" s="11"/>
      <c r="T61" s="11"/>
      <c r="U61" s="11"/>
      <c r="V61" s="11"/>
      <c r="X61" s="3" t="s">
        <v>93</v>
      </c>
    </row>
    <row r="62" spans="2:24"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X62" s="35">
        <f>$K$61-(1081*25.09*8)</f>
        <v>-161325.32</v>
      </c>
    </row>
    <row r="63" spans="2:24" x14ac:dyDescent="0.2">
      <c r="D63" s="15"/>
      <c r="E63" s="10"/>
      <c r="J63" s="15"/>
      <c r="K63" s="15"/>
      <c r="L63" s="5"/>
      <c r="P63" s="15"/>
    </row>
    <row r="64" spans="2:24" x14ac:dyDescent="0.2">
      <c r="D64" s="15" t="s">
        <v>95</v>
      </c>
      <c r="E64" s="10" t="s">
        <v>20</v>
      </c>
      <c r="G64" s="12">
        <f>$G$109*K64</f>
        <v>105439.94907130019</v>
      </c>
      <c r="H64" s="12">
        <f>$H$109*K64</f>
        <v>1679.408827641302</v>
      </c>
      <c r="I64" s="12">
        <f>$I$109*K64</f>
        <v>87105.642101058518</v>
      </c>
      <c r="J64" s="11">
        <v>0</v>
      </c>
      <c r="K64" s="11">
        <f>14646+179579</f>
        <v>194225</v>
      </c>
      <c r="L64" s="5"/>
      <c r="M64" s="12">
        <f>$G$109*Q64</f>
        <v>89364.326613329584</v>
      </c>
      <c r="N64" s="12">
        <f>$H$109*Q64</f>
        <v>1423.3622105522854</v>
      </c>
      <c r="O64" s="12">
        <f>$I$109*Q64</f>
        <v>73825.31117611815</v>
      </c>
      <c r="P64" s="11">
        <f t="shared" ref="M64:Q65" si="8">J64</f>
        <v>0</v>
      </c>
      <c r="Q64" s="11">
        <f>K64-(55*67.3*8)</f>
        <v>164613</v>
      </c>
      <c r="R64" s="11"/>
      <c r="S64" s="11"/>
      <c r="T64" s="11"/>
      <c r="U64" s="11"/>
      <c r="V64" s="11"/>
    </row>
    <row r="65" spans="4:23" x14ac:dyDescent="0.2">
      <c r="D65" s="15"/>
      <c r="E65" s="10" t="s">
        <v>21</v>
      </c>
      <c r="G65" s="36">
        <f>$G$109*K65</f>
        <v>0</v>
      </c>
      <c r="H65" s="36">
        <f>$H$109*K65</f>
        <v>0</v>
      </c>
      <c r="I65" s="36">
        <f>$I$109*K65</f>
        <v>0</v>
      </c>
      <c r="J65" s="37">
        <v>0</v>
      </c>
      <c r="K65" s="34">
        <v>0</v>
      </c>
      <c r="L65" s="5"/>
      <c r="M65" s="33">
        <f t="shared" si="8"/>
        <v>0</v>
      </c>
      <c r="N65" s="33">
        <f t="shared" si="8"/>
        <v>0</v>
      </c>
      <c r="O65" s="33">
        <f t="shared" si="8"/>
        <v>0</v>
      </c>
      <c r="P65" s="34">
        <f t="shared" si="8"/>
        <v>0</v>
      </c>
      <c r="Q65" s="33">
        <f t="shared" si="8"/>
        <v>0</v>
      </c>
      <c r="R65" s="33"/>
      <c r="S65" s="33"/>
      <c r="T65" s="33"/>
      <c r="U65" s="33"/>
      <c r="V65" s="33"/>
    </row>
    <row r="66" spans="4:23" x14ac:dyDescent="0.2">
      <c r="D66" s="15"/>
      <c r="E66" s="10"/>
      <c r="J66" s="15"/>
      <c r="K66" s="15"/>
      <c r="L66" s="5"/>
      <c r="P66" s="15"/>
    </row>
    <row r="67" spans="4:23" x14ac:dyDescent="0.2">
      <c r="D67" s="15" t="s">
        <v>80</v>
      </c>
      <c r="E67" s="10" t="s">
        <v>20</v>
      </c>
      <c r="G67" s="12">
        <f>$G$109*K67</f>
        <v>692.70884291403809</v>
      </c>
      <c r="H67" s="12">
        <f>$H$109*K67</f>
        <v>11.033212326272629</v>
      </c>
      <c r="I67" s="12">
        <f>$I$109*K67</f>
        <v>572.25794475968939</v>
      </c>
      <c r="J67" s="11">
        <v>0</v>
      </c>
      <c r="K67" s="11">
        <v>1276</v>
      </c>
      <c r="L67" s="5"/>
      <c r="M67" s="12">
        <f>G67</f>
        <v>692.70884291403809</v>
      </c>
      <c r="N67" s="12">
        <f t="shared" ref="M67:Q68" si="9">H67</f>
        <v>11.033212326272629</v>
      </c>
      <c r="O67" s="12">
        <f>I67</f>
        <v>572.25794475968939</v>
      </c>
      <c r="P67" s="11">
        <f t="shared" si="9"/>
        <v>0</v>
      </c>
      <c r="Q67" s="12">
        <f>K67</f>
        <v>1276</v>
      </c>
      <c r="R67" s="12"/>
      <c r="S67" s="12"/>
      <c r="T67" s="12"/>
      <c r="U67" s="12"/>
      <c r="V67" s="12"/>
    </row>
    <row r="68" spans="4:23" x14ac:dyDescent="0.2">
      <c r="D68" s="15"/>
      <c r="E68" s="10" t="s">
        <v>21</v>
      </c>
      <c r="G68" s="36">
        <f>$G$109*K68</f>
        <v>0</v>
      </c>
      <c r="H68" s="36">
        <f>$H$109*K68</f>
        <v>0</v>
      </c>
      <c r="I68" s="36">
        <f>$I$109*K68</f>
        <v>0</v>
      </c>
      <c r="J68" s="34">
        <v>0</v>
      </c>
      <c r="K68" s="34">
        <v>0</v>
      </c>
      <c r="L68" s="5"/>
      <c r="M68" s="33">
        <f t="shared" si="9"/>
        <v>0</v>
      </c>
      <c r="N68" s="33">
        <f t="shared" si="9"/>
        <v>0</v>
      </c>
      <c r="O68" s="33">
        <f t="shared" si="9"/>
        <v>0</v>
      </c>
      <c r="P68" s="34">
        <f t="shared" si="9"/>
        <v>0</v>
      </c>
      <c r="Q68" s="33">
        <f t="shared" si="9"/>
        <v>0</v>
      </c>
      <c r="R68" s="33"/>
      <c r="S68" s="33"/>
      <c r="T68" s="33"/>
      <c r="U68" s="33"/>
      <c r="V68" s="33"/>
    </row>
    <row r="69" spans="4:23" x14ac:dyDescent="0.2">
      <c r="D69" s="15"/>
      <c r="E69" s="10"/>
      <c r="J69" s="15"/>
      <c r="K69" s="15"/>
      <c r="L69" s="5"/>
      <c r="P69" s="15"/>
    </row>
    <row r="70" spans="4:23" x14ac:dyDescent="0.2">
      <c r="D70" s="15" t="s">
        <v>65</v>
      </c>
      <c r="E70" s="10" t="s">
        <v>20</v>
      </c>
      <c r="G70" s="12">
        <f>$G$109*K70</f>
        <v>5015.6246079018792</v>
      </c>
      <c r="H70" s="12">
        <f>$H$109*K70</f>
        <v>79.887028747988111</v>
      </c>
      <c r="I70" s="12">
        <f>$I$109*K70</f>
        <v>4143.4883633501331</v>
      </c>
      <c r="J70" s="11">
        <v>0</v>
      </c>
      <c r="K70" s="11">
        <v>9239</v>
      </c>
      <c r="L70" s="5"/>
      <c r="M70" s="12">
        <f>$G$109*Q$70</f>
        <v>5015.6246079018792</v>
      </c>
      <c r="N70" s="12">
        <f>$H$109*Q$70</f>
        <v>79.887028747988111</v>
      </c>
      <c r="O70" s="12">
        <f>$I$109*Q$70</f>
        <v>4143.4883633501331</v>
      </c>
      <c r="P70" s="11">
        <f>J70</f>
        <v>0</v>
      </c>
      <c r="Q70" s="11">
        <f>K70</f>
        <v>9239</v>
      </c>
      <c r="R70" s="11"/>
      <c r="S70" s="11"/>
      <c r="T70" s="11"/>
      <c r="U70" s="11"/>
      <c r="V70" s="11"/>
    </row>
    <row r="71" spans="4:23" x14ac:dyDescent="0.2">
      <c r="D71" s="15"/>
      <c r="E71" s="10" t="s">
        <v>21</v>
      </c>
      <c r="G71" s="36">
        <f>$G$109*K71</f>
        <v>0</v>
      </c>
      <c r="H71" s="36">
        <f>$H$109*K71</f>
        <v>0</v>
      </c>
      <c r="I71" s="36">
        <f>$I$109*K71</f>
        <v>0</v>
      </c>
      <c r="J71" s="34">
        <v>0</v>
      </c>
      <c r="K71" s="34">
        <v>0</v>
      </c>
      <c r="L71" s="5"/>
      <c r="M71" s="33">
        <f>G71</f>
        <v>0</v>
      </c>
      <c r="N71" s="33">
        <f>H71</f>
        <v>0</v>
      </c>
      <c r="O71" s="33">
        <f>I71</f>
        <v>0</v>
      </c>
      <c r="P71" s="34">
        <f>J71</f>
        <v>0</v>
      </c>
      <c r="Q71" s="33">
        <f>K71</f>
        <v>0</v>
      </c>
      <c r="R71" s="33"/>
      <c r="S71" s="33"/>
      <c r="T71" s="33"/>
      <c r="U71" s="33"/>
      <c r="V71" s="33"/>
    </row>
    <row r="72" spans="4:23" x14ac:dyDescent="0.2">
      <c r="D72" s="15"/>
      <c r="E72" s="10"/>
      <c r="G72" s="33"/>
      <c r="H72" s="33"/>
      <c r="I72" s="33"/>
      <c r="J72" s="34"/>
      <c r="K72" s="34"/>
      <c r="L72" s="5"/>
      <c r="M72" s="33"/>
      <c r="N72" s="33"/>
      <c r="O72" s="33"/>
      <c r="P72" s="34"/>
      <c r="Q72" s="34"/>
      <c r="R72" s="34"/>
      <c r="S72" s="34"/>
      <c r="T72" s="34"/>
      <c r="U72" s="34"/>
      <c r="V72" s="34"/>
    </row>
    <row r="73" spans="4:23" x14ac:dyDescent="0.2">
      <c r="D73" s="93" t="s">
        <v>104</v>
      </c>
      <c r="E73" s="10" t="s">
        <v>20</v>
      </c>
      <c r="G73" s="12">
        <f>$G$109*K73</f>
        <v>16140.224614950836</v>
      </c>
      <c r="H73" s="12">
        <f>$H$109*K73</f>
        <v>257.0755765457771</v>
      </c>
      <c r="I73" s="12">
        <f>$I$109*K73</f>
        <v>13333.69980850339</v>
      </c>
      <c r="J73" s="11">
        <v>0</v>
      </c>
      <c r="K73" s="11">
        <v>29731</v>
      </c>
      <c r="L73" s="5"/>
      <c r="M73" s="12">
        <f t="shared" ref="M73:Q74" si="10">G73</f>
        <v>16140.224614950836</v>
      </c>
      <c r="N73" s="12">
        <f t="shared" si="10"/>
        <v>257.0755765457771</v>
      </c>
      <c r="O73" s="12">
        <f t="shared" si="10"/>
        <v>13333.69980850339</v>
      </c>
      <c r="P73" s="11">
        <f t="shared" si="10"/>
        <v>0</v>
      </c>
      <c r="Q73" s="11">
        <f>K73</f>
        <v>29731</v>
      </c>
      <c r="R73" s="11"/>
      <c r="S73" s="11"/>
      <c r="T73" s="11"/>
      <c r="U73" s="11"/>
      <c r="V73" s="11"/>
    </row>
    <row r="74" spans="4:23" x14ac:dyDescent="0.2">
      <c r="D74" s="15"/>
      <c r="E74" s="10" t="s">
        <v>21</v>
      </c>
      <c r="G74" s="36">
        <f>$G$109*K74</f>
        <v>0</v>
      </c>
      <c r="H74" s="36">
        <f>$H$109*K74</f>
        <v>0</v>
      </c>
      <c r="I74" s="36">
        <f>$I$109*K74</f>
        <v>0</v>
      </c>
      <c r="J74" s="34">
        <v>0</v>
      </c>
      <c r="K74" s="34">
        <v>0</v>
      </c>
      <c r="L74" s="5"/>
      <c r="M74" s="33">
        <f t="shared" si="10"/>
        <v>0</v>
      </c>
      <c r="N74" s="33">
        <f t="shared" si="10"/>
        <v>0</v>
      </c>
      <c r="O74" s="33">
        <f t="shared" si="10"/>
        <v>0</v>
      </c>
      <c r="P74" s="34">
        <f t="shared" si="10"/>
        <v>0</v>
      </c>
      <c r="Q74" s="33">
        <f t="shared" si="10"/>
        <v>0</v>
      </c>
      <c r="R74" s="33"/>
      <c r="S74" s="33"/>
      <c r="T74" s="33"/>
      <c r="U74" s="33"/>
      <c r="V74" s="33"/>
    </row>
    <row r="75" spans="4:23" x14ac:dyDescent="0.2">
      <c r="D75" s="15"/>
      <c r="E75" s="10"/>
      <c r="J75" s="15"/>
      <c r="K75" s="15"/>
      <c r="L75" s="5"/>
      <c r="P75" s="15"/>
    </row>
    <row r="76" spans="4:23" x14ac:dyDescent="0.2">
      <c r="D76" s="93" t="s">
        <v>105</v>
      </c>
      <c r="E76" s="10" t="s">
        <v>20</v>
      </c>
      <c r="G76" s="12">
        <f>$G$109*K76</f>
        <v>7927.0646741620558</v>
      </c>
      <c r="H76" s="12">
        <f>$H$109*K76</f>
        <v>126.25937804720449</v>
      </c>
      <c r="I76" s="12">
        <f>$I$109*K76</f>
        <v>6548.6759477907399</v>
      </c>
      <c r="J76" s="11">
        <v>0</v>
      </c>
      <c r="K76" s="11">
        <v>14602</v>
      </c>
      <c r="L76" s="5"/>
      <c r="M76" s="12">
        <f t="shared" ref="M76:Q77" si="11">G76</f>
        <v>7927.0646741620558</v>
      </c>
      <c r="N76" s="12">
        <f t="shared" si="11"/>
        <v>126.25937804720449</v>
      </c>
      <c r="O76" s="12">
        <f t="shared" si="11"/>
        <v>6548.6759477907399</v>
      </c>
      <c r="P76" s="11">
        <f t="shared" si="11"/>
        <v>0</v>
      </c>
      <c r="Q76" s="12">
        <f>K76</f>
        <v>14602</v>
      </c>
      <c r="R76" s="12"/>
      <c r="S76" s="12"/>
      <c r="T76" s="12"/>
      <c r="U76" s="12"/>
      <c r="V76" s="12"/>
    </row>
    <row r="77" spans="4:23" x14ac:dyDescent="0.2">
      <c r="E77" s="10" t="s">
        <v>21</v>
      </c>
      <c r="G77" s="36">
        <f>$G$109*K77</f>
        <v>0</v>
      </c>
      <c r="H77" s="36">
        <f>$H$109*K77</f>
        <v>0</v>
      </c>
      <c r="I77" s="36">
        <f>$I$109*K77</f>
        <v>0</v>
      </c>
      <c r="J77" s="34">
        <v>0</v>
      </c>
      <c r="K77" s="34">
        <v>0</v>
      </c>
      <c r="L77" s="5"/>
      <c r="M77" s="33">
        <f t="shared" si="11"/>
        <v>0</v>
      </c>
      <c r="N77" s="33">
        <f t="shared" si="11"/>
        <v>0</v>
      </c>
      <c r="O77" s="33">
        <f t="shared" si="11"/>
        <v>0</v>
      </c>
      <c r="P77" s="34">
        <f t="shared" si="11"/>
        <v>0</v>
      </c>
      <c r="Q77" s="33">
        <f t="shared" si="11"/>
        <v>0</v>
      </c>
      <c r="R77" s="33"/>
      <c r="S77" s="33"/>
      <c r="T77" s="33"/>
      <c r="U77" s="33"/>
      <c r="V77" s="33"/>
    </row>
    <row r="78" spans="4:23" x14ac:dyDescent="0.2">
      <c r="E78" s="10"/>
      <c r="G78" s="36"/>
      <c r="H78" s="36"/>
      <c r="I78" s="36"/>
      <c r="J78" s="34"/>
      <c r="K78" s="34"/>
      <c r="L78" s="5"/>
      <c r="M78" s="33"/>
      <c r="N78" s="33"/>
      <c r="O78" s="33"/>
      <c r="P78" s="34"/>
      <c r="Q78" s="33"/>
      <c r="R78" s="33"/>
      <c r="S78" s="33"/>
      <c r="T78" s="33"/>
      <c r="U78" s="33"/>
      <c r="V78" s="33"/>
    </row>
    <row r="79" spans="4:23" x14ac:dyDescent="0.2">
      <c r="D79" s="15" t="s">
        <v>66</v>
      </c>
      <c r="E79" s="10" t="s">
        <v>20</v>
      </c>
      <c r="G79" s="12">
        <f>$G$109*K79</f>
        <v>3411.4281887710149</v>
      </c>
      <c r="H79" s="12">
        <f>$H$109*K79</f>
        <v>54.335976691455485</v>
      </c>
      <c r="I79" s="12">
        <f>$I$109*K79</f>
        <v>2818.2358345375301</v>
      </c>
      <c r="J79" s="11">
        <v>0</v>
      </c>
      <c r="K79" s="11">
        <v>6284</v>
      </c>
      <c r="L79" s="5"/>
      <c r="M79" s="12">
        <f>G79</f>
        <v>3411.4281887710149</v>
      </c>
      <c r="N79" s="12">
        <f>H79</f>
        <v>54.335976691455485</v>
      </c>
      <c r="O79" s="12">
        <f>I79</f>
        <v>2818.2358345375301</v>
      </c>
      <c r="P79" s="11">
        <f>J79</f>
        <v>0</v>
      </c>
      <c r="Q79" s="12">
        <f>K79</f>
        <v>6284</v>
      </c>
      <c r="R79" s="12"/>
      <c r="S79" s="12"/>
      <c r="T79" s="12"/>
      <c r="U79" s="12"/>
      <c r="V79" s="12"/>
    </row>
    <row r="80" spans="4:23" ht="13.5" thickBot="1" x14ac:dyDescent="0.25">
      <c r="D80" s="15"/>
      <c r="J80" s="15"/>
      <c r="L80" s="5"/>
      <c r="W80" s="38"/>
    </row>
    <row r="81" spans="2:23" ht="13.5" thickBot="1" x14ac:dyDescent="0.25">
      <c r="B81" s="2" t="s">
        <v>67</v>
      </c>
      <c r="E81" s="10" t="s">
        <v>20</v>
      </c>
      <c r="G81" s="31">
        <f>G61+G64+G67+G70+G73+G76+G79</f>
        <v>138627</v>
      </c>
      <c r="H81" s="31">
        <f>H61+H64+H67+H70+H73+H76+H79</f>
        <v>2207.9999999999995</v>
      </c>
      <c r="I81" s="31">
        <f>I61+I64+I67+I70+I73+I76+I79</f>
        <v>170174.99999999997</v>
      </c>
      <c r="J81" s="31">
        <f>J61+J64+J67+J70+J73+J76+J79</f>
        <v>0</v>
      </c>
      <c r="K81" s="39">
        <f>SUM(G81:J81)</f>
        <v>311010</v>
      </c>
      <c r="L81" s="32"/>
      <c r="M81" s="31">
        <f>M61+M64+M67+M70+M73+M76+M79</f>
        <v>122551.37754202941</v>
      </c>
      <c r="N81" s="31">
        <f>N61+N64+N67+N70+N73+N76+N79</f>
        <v>1951.9533829109832</v>
      </c>
      <c r="O81" s="31">
        <f>O61+O64+O67+O70+O73+O76+O79</f>
        <v>156894.66907505965</v>
      </c>
      <c r="P81" s="31">
        <f>P61+P64+P67+P70+P73+P76+P79</f>
        <v>0</v>
      </c>
      <c r="Q81" s="31">
        <f>SUM(M81:P81)</f>
        <v>281398.00000000006</v>
      </c>
      <c r="R81" s="86"/>
      <c r="S81" s="86"/>
      <c r="T81" s="86"/>
      <c r="U81" s="86"/>
      <c r="V81" s="86"/>
      <c r="W81" s="40"/>
    </row>
    <row r="82" spans="2:23" x14ac:dyDescent="0.2">
      <c r="B82" s="2"/>
      <c r="E82" s="10" t="s">
        <v>21</v>
      </c>
      <c r="G82" s="41">
        <f>G62+G65+G68+G71+G74+G77</f>
        <v>0</v>
      </c>
      <c r="H82" s="41">
        <f>H62+H65+H68+H71+H74+H77</f>
        <v>0</v>
      </c>
      <c r="I82" s="41">
        <f>I62+I65+I68+I71+I74+I77</f>
        <v>0</v>
      </c>
      <c r="J82" s="41">
        <f>J62+J65+J68+J71+J74+J77</f>
        <v>0</v>
      </c>
      <c r="K82" s="42">
        <f>SUM(G82:J82)</f>
        <v>0</v>
      </c>
      <c r="L82" s="43"/>
      <c r="M82" s="41">
        <f>M62+M65+M68+M71+M74+M77</f>
        <v>0</v>
      </c>
      <c r="N82" s="41">
        <f>N62+N65+N68+N71+N74+N77</f>
        <v>0</v>
      </c>
      <c r="O82" s="41">
        <f>O62+O65+O68+O71+O74+O77</f>
        <v>0</v>
      </c>
      <c r="P82" s="41">
        <f>P62+P65+P68+P71+P74+P77</f>
        <v>0</v>
      </c>
      <c r="Q82" s="44">
        <f>SUM(M82:P82)</f>
        <v>0</v>
      </c>
      <c r="R82" s="42"/>
      <c r="S82" s="42"/>
      <c r="T82" s="42"/>
      <c r="U82" s="42"/>
      <c r="V82" s="42"/>
    </row>
    <row r="83" spans="2:23" x14ac:dyDescent="0.2">
      <c r="K83" s="12"/>
      <c r="L83" s="5"/>
      <c r="W83" s="12"/>
    </row>
    <row r="84" spans="2:23" ht="13.5" thickBot="1" x14ac:dyDescent="0.25">
      <c r="L84" s="5"/>
    </row>
    <row r="85" spans="2:23" ht="15" thickBot="1" x14ac:dyDescent="0.25">
      <c r="B85" s="6" t="s">
        <v>68</v>
      </c>
      <c r="G85" s="45">
        <f t="shared" ref="G85:Q85" si="12">G57+G81</f>
        <v>261590</v>
      </c>
      <c r="H85" s="45">
        <f t="shared" si="12"/>
        <v>11106</v>
      </c>
      <c r="I85" s="45">
        <f t="shared" si="12"/>
        <v>278220</v>
      </c>
      <c r="J85" s="45">
        <f t="shared" si="12"/>
        <v>0</v>
      </c>
      <c r="K85" s="45">
        <f t="shared" si="12"/>
        <v>550916</v>
      </c>
      <c r="L85" s="46">
        <f t="shared" si="12"/>
        <v>0</v>
      </c>
      <c r="M85" s="45">
        <f t="shared" si="12"/>
        <v>225555.37383606224</v>
      </c>
      <c r="N85" s="45">
        <f t="shared" si="12"/>
        <v>6019.38159543253</v>
      </c>
      <c r="O85" s="79">
        <f t="shared" si="12"/>
        <v>196898.48236962152</v>
      </c>
      <c r="P85" s="45">
        <f t="shared" si="12"/>
        <v>23</v>
      </c>
      <c r="Q85" s="45">
        <f t="shared" si="12"/>
        <v>428496.23780111631</v>
      </c>
      <c r="R85" s="86"/>
      <c r="S85" s="86"/>
      <c r="T85" s="86"/>
      <c r="U85" s="86"/>
      <c r="V85" s="86"/>
    </row>
    <row r="86" spans="2:23" ht="13.5" thickTop="1" x14ac:dyDescent="0.2">
      <c r="I86" s="77"/>
      <c r="L86" s="5"/>
      <c r="O86" s="80"/>
    </row>
    <row r="87" spans="2:23" x14ac:dyDescent="0.2">
      <c r="I87" s="77"/>
      <c r="L87" s="5"/>
      <c r="O87" s="80"/>
    </row>
    <row r="88" spans="2:23" x14ac:dyDescent="0.2">
      <c r="I88" s="77"/>
      <c r="L88" s="5"/>
      <c r="O88" s="80"/>
    </row>
    <row r="89" spans="2:23" x14ac:dyDescent="0.2">
      <c r="I89" s="77"/>
      <c r="L89" s="5"/>
      <c r="O89" s="80"/>
    </row>
    <row r="90" spans="2:23" x14ac:dyDescent="0.2">
      <c r="I90" s="77"/>
      <c r="L90" s="5"/>
      <c r="O90" s="80"/>
    </row>
    <row r="91" spans="2:23" x14ac:dyDescent="0.2">
      <c r="I91" s="77"/>
      <c r="L91" s="5"/>
      <c r="O91" s="80"/>
    </row>
    <row r="92" spans="2:23" x14ac:dyDescent="0.2">
      <c r="I92" s="77"/>
      <c r="L92" s="5"/>
      <c r="O92" s="80"/>
    </row>
    <row r="93" spans="2:23" x14ac:dyDescent="0.2">
      <c r="I93" s="77"/>
      <c r="L93" s="5"/>
      <c r="O93" s="80"/>
    </row>
    <row r="94" spans="2:23" x14ac:dyDescent="0.2">
      <c r="I94" s="77"/>
      <c r="L94" s="5"/>
      <c r="O94" s="80"/>
    </row>
    <row r="95" spans="2:23" x14ac:dyDescent="0.2">
      <c r="I95" s="77"/>
      <c r="L95" s="5"/>
      <c r="O95" s="80"/>
    </row>
    <row r="96" spans="2:23" x14ac:dyDescent="0.2">
      <c r="I96" s="77"/>
      <c r="L96" s="5"/>
      <c r="O96" s="80"/>
    </row>
    <row r="97" spans="5:15" x14ac:dyDescent="0.2">
      <c r="I97" s="77"/>
      <c r="L97" s="5"/>
      <c r="O97" s="80"/>
    </row>
    <row r="98" spans="5:15" x14ac:dyDescent="0.2">
      <c r="I98" s="77"/>
      <c r="L98" s="5"/>
      <c r="O98" s="80"/>
    </row>
    <row r="99" spans="5:15" x14ac:dyDescent="0.2">
      <c r="I99" s="77"/>
      <c r="L99" s="5"/>
      <c r="O99" s="80"/>
    </row>
    <row r="100" spans="5:15" x14ac:dyDescent="0.2">
      <c r="I100" s="77"/>
      <c r="L100" s="5"/>
      <c r="O100" s="80"/>
    </row>
    <row r="101" spans="5:15" x14ac:dyDescent="0.2">
      <c r="I101" s="77"/>
      <c r="L101" s="5"/>
      <c r="O101" s="80"/>
    </row>
    <row r="102" spans="5:15" x14ac:dyDescent="0.2">
      <c r="I102" s="77"/>
      <c r="L102" s="5"/>
      <c r="O102" s="80"/>
    </row>
    <row r="103" spans="5:15" x14ac:dyDescent="0.2">
      <c r="I103" s="77"/>
      <c r="L103" s="5"/>
      <c r="O103" s="80"/>
    </row>
    <row r="104" spans="5:15" x14ac:dyDescent="0.2">
      <c r="I104" s="77"/>
      <c r="L104" s="5"/>
      <c r="O104" s="80"/>
    </row>
    <row r="105" spans="5:15" x14ac:dyDescent="0.2">
      <c r="I105" s="77"/>
      <c r="L105" s="5"/>
      <c r="O105" s="80"/>
    </row>
    <row r="106" spans="5:15" x14ac:dyDescent="0.2">
      <c r="I106" s="77"/>
      <c r="L106" s="5"/>
      <c r="O106" s="80"/>
    </row>
    <row r="107" spans="5:15" x14ac:dyDescent="0.2">
      <c r="I107" s="77"/>
      <c r="L107" s="5"/>
      <c r="O107" s="80"/>
    </row>
    <row r="108" spans="5:15" ht="13.5" thickBot="1" x14ac:dyDescent="0.25">
      <c r="L108" s="5"/>
    </row>
    <row r="109" spans="5:15" x14ac:dyDescent="0.2">
      <c r="E109" s="50"/>
      <c r="F109" s="51"/>
      <c r="G109" s="52">
        <f>G121</f>
        <v>0.54287526874140912</v>
      </c>
      <c r="H109" s="52">
        <f>H121</f>
        <v>8.6467181240381108E-3</v>
      </c>
      <c r="I109" s="52">
        <f>I121</f>
        <v>0.44847801313455282</v>
      </c>
      <c r="J109" s="51"/>
      <c r="K109" s="53"/>
      <c r="L109" s="5"/>
      <c r="M109" s="47"/>
      <c r="N109" s="47"/>
      <c r="O109" s="47"/>
    </row>
    <row r="110" spans="5:15" x14ac:dyDescent="0.2">
      <c r="E110" s="54"/>
      <c r="F110" s="38"/>
      <c r="G110" s="38"/>
      <c r="H110" s="38"/>
      <c r="I110" s="38"/>
      <c r="J110" s="38"/>
      <c r="K110" s="55"/>
      <c r="L110" s="5"/>
      <c r="M110" s="48"/>
    </row>
    <row r="111" spans="5:15" x14ac:dyDescent="0.2">
      <c r="E111" s="54" t="s">
        <v>69</v>
      </c>
      <c r="F111" s="38"/>
      <c r="G111" s="38"/>
      <c r="H111" s="38"/>
      <c r="I111" s="38"/>
      <c r="J111" s="38"/>
      <c r="K111" s="56">
        <v>311010</v>
      </c>
      <c r="L111" s="5"/>
      <c r="M111" s="49"/>
    </row>
    <row r="112" spans="5:15" x14ac:dyDescent="0.2">
      <c r="E112" s="54" t="s">
        <v>91</v>
      </c>
      <c r="F112" s="38"/>
      <c r="G112" s="38"/>
      <c r="H112" s="38"/>
      <c r="I112" s="38"/>
      <c r="J112" s="38"/>
      <c r="K112" s="56">
        <v>0</v>
      </c>
      <c r="L112" s="5"/>
      <c r="M112" s="49"/>
    </row>
    <row r="113" spans="2:13" x14ac:dyDescent="0.2">
      <c r="E113" s="54"/>
      <c r="F113" s="38"/>
      <c r="G113" s="38"/>
      <c r="H113" s="38"/>
      <c r="I113" s="38"/>
      <c r="J113" s="38"/>
      <c r="K113" s="56"/>
      <c r="L113" s="5"/>
      <c r="M113" s="49"/>
    </row>
    <row r="114" spans="2:13" x14ac:dyDescent="0.2">
      <c r="E114" s="54" t="s">
        <v>70</v>
      </c>
      <c r="F114" s="38"/>
      <c r="G114" s="38"/>
      <c r="H114" s="38"/>
      <c r="I114" s="38"/>
      <c r="J114" s="38"/>
      <c r="K114" s="72">
        <f>SUM(K111:K113)</f>
        <v>311010</v>
      </c>
      <c r="L114" s="5"/>
      <c r="M114" s="49"/>
    </row>
    <row r="115" spans="2:13" x14ac:dyDescent="0.2">
      <c r="E115" s="54" t="s">
        <v>71</v>
      </c>
      <c r="F115" s="38"/>
      <c r="G115" s="38"/>
      <c r="H115" s="38"/>
      <c r="I115" s="38"/>
      <c r="J115" s="38"/>
      <c r="K115" s="56">
        <f>-K61</f>
        <v>-55653</v>
      </c>
      <c r="L115" s="5"/>
      <c r="M115" s="49"/>
    </row>
    <row r="116" spans="2:13" ht="13.5" thickBot="1" x14ac:dyDescent="0.25">
      <c r="E116" s="54" t="s">
        <v>72</v>
      </c>
      <c r="F116" s="38"/>
      <c r="G116" s="38"/>
      <c r="H116" s="38"/>
      <c r="I116" s="38"/>
      <c r="J116" s="38"/>
      <c r="K116" s="73">
        <f>SUM(K114:K115)</f>
        <v>255357</v>
      </c>
      <c r="L116" s="5"/>
      <c r="M116" s="49"/>
    </row>
    <row r="117" spans="2:13" ht="13.5" thickTop="1" x14ac:dyDescent="0.2">
      <c r="E117" s="54"/>
      <c r="F117" s="38"/>
      <c r="G117" s="38"/>
      <c r="H117" s="38"/>
      <c r="I117" s="38"/>
      <c r="J117" s="94" t="s">
        <v>96</v>
      </c>
      <c r="K117" s="56"/>
      <c r="L117" s="5"/>
      <c r="M117" s="49"/>
    </row>
    <row r="118" spans="2:13" ht="13.5" thickBot="1" x14ac:dyDescent="0.25">
      <c r="E118" s="57" t="s">
        <v>73</v>
      </c>
      <c r="F118" s="38"/>
      <c r="G118" s="58">
        <v>138627</v>
      </c>
      <c r="H118" s="59">
        <v>2208</v>
      </c>
      <c r="I118" s="59">
        <v>170175</v>
      </c>
      <c r="J118" s="59">
        <v>0</v>
      </c>
      <c r="K118" s="56"/>
      <c r="L118" s="5"/>
      <c r="M118" s="49"/>
    </row>
    <row r="119" spans="2:13" ht="13.5" thickTop="1" x14ac:dyDescent="0.2">
      <c r="E119" s="54" t="s">
        <v>74</v>
      </c>
      <c r="F119" s="38"/>
      <c r="G119" s="60"/>
      <c r="H119" s="61"/>
      <c r="I119" s="61">
        <f>-K61</f>
        <v>-55653</v>
      </c>
      <c r="K119" s="55"/>
      <c r="L119" s="5"/>
    </row>
    <row r="120" spans="2:13" ht="13.5" thickBot="1" x14ac:dyDescent="0.25">
      <c r="E120" s="54" t="s">
        <v>75</v>
      </c>
      <c r="F120" s="38"/>
      <c r="G120" s="63"/>
      <c r="H120" s="64">
        <f>SUM(H118:H119)</f>
        <v>2208</v>
      </c>
      <c r="I120" s="64">
        <f>SUM(I118:I119)</f>
        <v>114522</v>
      </c>
      <c r="J120" s="65"/>
      <c r="K120" s="56"/>
      <c r="L120" s="5"/>
    </row>
    <row r="121" spans="2:13" ht="14.25" thickTop="1" thickBot="1" x14ac:dyDescent="0.25">
      <c r="E121" s="54" t="s">
        <v>76</v>
      </c>
      <c r="F121" s="38"/>
      <c r="G121" s="66">
        <f>1-(H121+I121)</f>
        <v>0.54287526874140912</v>
      </c>
      <c r="H121" s="66">
        <f>H$120/$K$116</f>
        <v>8.6467181240381108E-3</v>
      </c>
      <c r="I121" s="66">
        <f>I$120/$K$116</f>
        <v>0.44847801313455282</v>
      </c>
      <c r="J121" s="49"/>
      <c r="K121" s="56"/>
      <c r="L121" s="5"/>
    </row>
    <row r="122" spans="2:13" ht="14.25" thickTop="1" thickBot="1" x14ac:dyDescent="0.25">
      <c r="E122" s="67"/>
      <c r="F122" s="68"/>
      <c r="G122" s="69" t="s">
        <v>77</v>
      </c>
      <c r="H122" s="69" t="s">
        <v>78</v>
      </c>
      <c r="I122" s="69" t="s">
        <v>79</v>
      </c>
      <c r="J122" s="68"/>
      <c r="K122" s="70"/>
      <c r="L122" s="5"/>
    </row>
    <row r="123" spans="2:13" x14ac:dyDescent="0.2">
      <c r="J123" s="51"/>
      <c r="K123" s="74"/>
      <c r="L123" s="15"/>
    </row>
    <row r="124" spans="2:13" x14ac:dyDescent="0.2">
      <c r="J124" s="38"/>
      <c r="K124" s="63"/>
      <c r="L124" s="15"/>
    </row>
    <row r="125" spans="2:13" x14ac:dyDescent="0.2">
      <c r="B125" s="2" t="s">
        <v>84</v>
      </c>
      <c r="C125" s="2"/>
      <c r="D125" s="2" t="s">
        <v>97</v>
      </c>
      <c r="E125" s="78"/>
      <c r="F125" s="71"/>
      <c r="G125" s="49"/>
      <c r="H125" s="49"/>
      <c r="I125" s="88"/>
      <c r="J125" s="89"/>
      <c r="K125" s="90"/>
      <c r="L125" s="15"/>
    </row>
    <row r="126" spans="2:13" x14ac:dyDescent="0.2">
      <c r="B126" s="2" t="s">
        <v>85</v>
      </c>
      <c r="C126" s="2"/>
      <c r="D126" s="2"/>
      <c r="E126" s="71"/>
      <c r="F126" s="71"/>
      <c r="G126" s="71"/>
      <c r="H126" s="71"/>
      <c r="I126" s="88"/>
      <c r="J126" s="89"/>
      <c r="K126" s="89"/>
      <c r="M126" s="62"/>
    </row>
    <row r="127" spans="2:13" x14ac:dyDescent="0.2">
      <c r="B127" s="2" t="s">
        <v>81</v>
      </c>
      <c r="C127" s="2"/>
      <c r="D127" s="131" t="s">
        <v>98</v>
      </c>
      <c r="E127" s="71"/>
      <c r="F127" s="71"/>
      <c r="G127" s="71"/>
      <c r="H127" s="49"/>
      <c r="I127" s="49"/>
      <c r="J127" s="38"/>
      <c r="K127" s="38"/>
    </row>
    <row r="128" spans="2:13" x14ac:dyDescent="0.2">
      <c r="B128" s="2" t="s">
        <v>83</v>
      </c>
      <c r="C128" s="2"/>
      <c r="D128" s="131"/>
      <c r="E128" s="71"/>
      <c r="F128" s="71"/>
      <c r="G128" s="75"/>
      <c r="H128" s="75"/>
      <c r="I128" s="75"/>
    </row>
    <row r="129" spans="2:10" x14ac:dyDescent="0.2">
      <c r="B129" s="2" t="s">
        <v>82</v>
      </c>
      <c r="C129" s="2"/>
      <c r="D129" s="131"/>
      <c r="E129" s="71"/>
      <c r="F129" s="71"/>
      <c r="G129" s="49"/>
      <c r="H129" s="49"/>
      <c r="I129" s="49"/>
    </row>
    <row r="130" spans="2:10" x14ac:dyDescent="0.2">
      <c r="E130" s="71"/>
      <c r="F130" s="71"/>
      <c r="G130" s="75"/>
      <c r="H130" s="75"/>
      <c r="I130" s="75"/>
    </row>
    <row r="131" spans="2:10" x14ac:dyDescent="0.2">
      <c r="B131" s="2" t="s">
        <v>92</v>
      </c>
      <c r="D131" s="2" t="s">
        <v>100</v>
      </c>
      <c r="E131" s="71"/>
      <c r="F131" s="71"/>
      <c r="G131" s="76"/>
      <c r="H131" s="76"/>
      <c r="I131" s="76"/>
      <c r="J131" s="38"/>
    </row>
    <row r="132" spans="2:10" x14ac:dyDescent="0.2">
      <c r="D132" s="92" t="s">
        <v>99</v>
      </c>
      <c r="G132" s="63"/>
      <c r="H132" s="63"/>
      <c r="I132" s="63"/>
      <c r="J132" s="38"/>
    </row>
    <row r="133" spans="2:10" x14ac:dyDescent="0.2">
      <c r="G133" s="38"/>
      <c r="H133" s="38"/>
      <c r="I133" s="38"/>
      <c r="J133" s="38"/>
    </row>
  </sheetData>
  <mergeCells count="3">
    <mergeCell ref="G3:K3"/>
    <mergeCell ref="M3:Q3"/>
    <mergeCell ref="D127:D129"/>
  </mergeCells>
  <printOptions horizontalCentered="1"/>
  <pageMargins left="0.25" right="0.25" top="0.5" bottom="0.25" header="0.25" footer="0"/>
  <pageSetup scale="58" fitToHeight="0" orientation="landscape" copies="2" r:id="rId1"/>
  <headerFooter alignWithMargins="0"/>
  <rowBreaks count="1" manualBreakCount="1">
    <brk id="58"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X140"/>
  <sheetViews>
    <sheetView zoomScaleNormal="100" workbookViewId="0">
      <selection activeCell="B1" sqref="B1"/>
    </sheetView>
  </sheetViews>
  <sheetFormatPr defaultRowHeight="12.75" x14ac:dyDescent="0.2"/>
  <cols>
    <col min="1" max="1" width="0.85546875" style="3" customWidth="1"/>
    <col min="2" max="2" width="22.140625" style="3" customWidth="1"/>
    <col min="3" max="3" width="0.85546875" style="3" customWidth="1"/>
    <col min="4" max="4" width="29.42578125" style="3" customWidth="1"/>
    <col min="5" max="5" width="22" style="3" bestFit="1" customWidth="1"/>
    <col min="6" max="6" width="0.85546875" style="3" customWidth="1"/>
    <col min="7" max="7" width="14.7109375" style="3" customWidth="1"/>
    <col min="8" max="8" width="16" style="3" customWidth="1"/>
    <col min="9" max="9" width="16.140625" style="3" customWidth="1"/>
    <col min="10" max="10" width="14.7109375" style="3" customWidth="1"/>
    <col min="11" max="11" width="16.85546875" style="3" customWidth="1"/>
    <col min="12" max="12" width="1.7109375" style="3" customWidth="1"/>
    <col min="13" max="14" width="14.7109375" style="3" customWidth="1"/>
    <col min="15" max="15" width="16.85546875" style="3" customWidth="1"/>
    <col min="16" max="16" width="14.7109375" style="3" customWidth="1"/>
    <col min="17" max="17" width="16.140625" style="3" customWidth="1"/>
    <col min="18" max="18" width="2.5703125" style="3" customWidth="1"/>
    <col min="19" max="22" width="16.140625" style="3" customWidth="1"/>
    <col min="23" max="23" width="2.7109375" style="3" customWidth="1"/>
    <col min="24" max="24" width="47" style="3" bestFit="1" customWidth="1"/>
    <col min="25" max="16384" width="9.140625" style="3"/>
  </cols>
  <sheetData>
    <row r="1" spans="2:24" x14ac:dyDescent="0.2">
      <c r="E1" s="2"/>
      <c r="F1" s="2"/>
    </row>
    <row r="2" spans="2:24" x14ac:dyDescent="0.2">
      <c r="E2" s="2"/>
      <c r="F2" s="2"/>
    </row>
    <row r="3" spans="2:24" ht="20.25" thickBot="1" x14ac:dyDescent="0.3">
      <c r="B3" s="1" t="s">
        <v>0</v>
      </c>
      <c r="C3" s="2"/>
      <c r="D3" s="2"/>
      <c r="E3" s="2"/>
      <c r="F3" s="2"/>
      <c r="G3" s="130" t="s">
        <v>117</v>
      </c>
      <c r="H3" s="130"/>
      <c r="I3" s="130"/>
      <c r="J3" s="130"/>
      <c r="K3" s="130"/>
      <c r="L3" s="5"/>
      <c r="M3" s="130" t="s">
        <v>118</v>
      </c>
      <c r="N3" s="130"/>
      <c r="O3" s="130"/>
      <c r="P3" s="130"/>
      <c r="Q3" s="130"/>
      <c r="R3" s="83"/>
      <c r="S3" s="83"/>
      <c r="T3" s="83"/>
      <c r="U3" s="83"/>
      <c r="V3" s="83"/>
    </row>
    <row r="4" spans="2:24" ht="19.5" x14ac:dyDescent="0.25">
      <c r="B4" s="1" t="s">
        <v>1</v>
      </c>
      <c r="C4" s="2"/>
      <c r="D4" s="2"/>
      <c r="L4" s="5"/>
    </row>
    <row r="5" spans="2:24" x14ac:dyDescent="0.2">
      <c r="B5" s="2" t="s">
        <v>119</v>
      </c>
      <c r="C5" s="2"/>
      <c r="D5" s="2"/>
      <c r="G5" s="7" t="s">
        <v>4</v>
      </c>
      <c r="H5" s="7" t="s">
        <v>5</v>
      </c>
      <c r="I5" s="7" t="s">
        <v>6</v>
      </c>
      <c r="J5" s="7" t="s">
        <v>7</v>
      </c>
      <c r="K5" s="7" t="s">
        <v>8</v>
      </c>
      <c r="L5" s="5"/>
      <c r="M5" s="7" t="s">
        <v>4</v>
      </c>
      <c r="N5" s="7" t="s">
        <v>5</v>
      </c>
      <c r="O5" s="7" t="s">
        <v>6</v>
      </c>
      <c r="P5" s="7" t="s">
        <v>7</v>
      </c>
      <c r="Q5" s="7" t="s">
        <v>8</v>
      </c>
      <c r="R5" s="7"/>
      <c r="S5" s="7"/>
      <c r="T5" s="7"/>
      <c r="U5" s="7"/>
      <c r="V5" s="7"/>
    </row>
    <row r="6" spans="2:24"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row>
    <row r="7" spans="2:24" x14ac:dyDescent="0.2">
      <c r="D7" s="81"/>
      <c r="E7" s="15"/>
      <c r="G7" s="7"/>
      <c r="H7" s="7" t="s">
        <v>14</v>
      </c>
      <c r="I7" s="7"/>
      <c r="J7" s="7"/>
      <c r="K7" s="7"/>
      <c r="L7" s="5"/>
      <c r="M7" s="7"/>
      <c r="N7" s="7" t="s">
        <v>14</v>
      </c>
      <c r="O7" s="7"/>
      <c r="P7" s="7"/>
      <c r="Q7" s="7"/>
      <c r="R7" s="7"/>
      <c r="S7" s="7"/>
      <c r="T7" s="7"/>
      <c r="U7" s="7"/>
      <c r="V7" s="7"/>
    </row>
    <row r="8" spans="2:24" ht="13.5" thickBot="1" x14ac:dyDescent="0.25">
      <c r="B8" s="2"/>
      <c r="E8" s="15"/>
      <c r="G8" s="8" t="s">
        <v>15</v>
      </c>
      <c r="H8" s="8" t="s">
        <v>16</v>
      </c>
      <c r="I8" s="8" t="s">
        <v>17</v>
      </c>
      <c r="J8" s="8"/>
      <c r="K8" s="8" t="s">
        <v>18</v>
      </c>
      <c r="L8" s="5"/>
      <c r="M8" s="8" t="s">
        <v>15</v>
      </c>
      <c r="N8" s="8" t="s">
        <v>16</v>
      </c>
      <c r="O8" s="8" t="s">
        <v>17</v>
      </c>
      <c r="P8" s="8"/>
      <c r="Q8" s="8" t="s">
        <v>18</v>
      </c>
      <c r="R8" s="84"/>
      <c r="S8" s="84"/>
      <c r="T8" s="84"/>
      <c r="U8" s="84"/>
      <c r="V8" s="84"/>
    </row>
    <row r="9" spans="2:24" ht="5.0999999999999996" customHeight="1" x14ac:dyDescent="0.2">
      <c r="B9" s="2"/>
      <c r="E9" s="15"/>
      <c r="G9" s="9"/>
      <c r="H9" s="9"/>
      <c r="I9" s="9"/>
      <c r="J9" s="9"/>
      <c r="K9" s="9"/>
      <c r="L9" s="5"/>
      <c r="M9" s="9"/>
      <c r="N9" s="9"/>
      <c r="O9" s="9"/>
      <c r="P9" s="9"/>
      <c r="Q9" s="9"/>
      <c r="R9" s="87"/>
      <c r="S9" s="87"/>
      <c r="T9" s="87"/>
      <c r="U9" s="87"/>
      <c r="V9" s="87"/>
    </row>
    <row r="10" spans="2:24" ht="15" thickBot="1" x14ac:dyDescent="0.25">
      <c r="B10" s="6" t="s">
        <v>3</v>
      </c>
      <c r="D10" s="3" t="s">
        <v>19</v>
      </c>
      <c r="E10" s="18" t="s">
        <v>20</v>
      </c>
      <c r="G10" s="11">
        <v>4576</v>
      </c>
      <c r="H10" s="11">
        <v>492</v>
      </c>
      <c r="I10" s="11">
        <v>45561</v>
      </c>
      <c r="J10" s="12">
        <v>0</v>
      </c>
      <c r="K10" s="11">
        <f>SUM(G10:J10)</f>
        <v>50629</v>
      </c>
      <c r="L10" s="5"/>
      <c r="M10" s="11">
        <v>0</v>
      </c>
      <c r="N10" s="11">
        <v>0</v>
      </c>
      <c r="O10" s="11">
        <v>0</v>
      </c>
      <c r="P10" s="12">
        <v>0</v>
      </c>
      <c r="Q10" s="12">
        <f>SUM(M10:P10)</f>
        <v>0</v>
      </c>
      <c r="R10" s="12"/>
      <c r="S10" s="12"/>
      <c r="T10" s="12"/>
      <c r="U10" s="12"/>
      <c r="V10" s="12"/>
    </row>
    <row r="11" spans="2:24" x14ac:dyDescent="0.2">
      <c r="B11" s="2" t="s">
        <v>9</v>
      </c>
      <c r="E11" s="18" t="s">
        <v>21</v>
      </c>
      <c r="G11" s="13">
        <v>120.5</v>
      </c>
      <c r="H11" s="13">
        <v>13</v>
      </c>
      <c r="I11" s="13">
        <v>1188.9000000000001</v>
      </c>
      <c r="J11" s="14">
        <v>0</v>
      </c>
      <c r="K11" s="13">
        <f>SUM(G11:J11)</f>
        <v>1322.4</v>
      </c>
      <c r="L11" s="5"/>
      <c r="M11" s="13">
        <f>G11</f>
        <v>120.5</v>
      </c>
      <c r="N11" s="13">
        <f>H11</f>
        <v>13</v>
      </c>
      <c r="O11" s="13">
        <f>I11</f>
        <v>1188.9000000000001</v>
      </c>
      <c r="P11" s="14">
        <v>0</v>
      </c>
      <c r="Q11" s="14">
        <f>SUM(M11:P11)</f>
        <v>1322.4</v>
      </c>
      <c r="R11" s="85"/>
      <c r="S11" s="85"/>
      <c r="T11" s="85"/>
      <c r="U11" s="85"/>
      <c r="V11" s="85"/>
    </row>
    <row r="12" spans="2:24" x14ac:dyDescent="0.2">
      <c r="E12" s="18"/>
      <c r="G12" s="15"/>
      <c r="H12" s="15"/>
      <c r="I12" s="15"/>
      <c r="K12" s="15"/>
      <c r="L12" s="5"/>
      <c r="M12" s="15"/>
      <c r="N12" s="15"/>
      <c r="O12" s="15"/>
    </row>
    <row r="13" spans="2:24" ht="13.5" thickBot="1" x14ac:dyDescent="0.25">
      <c r="D13" s="3" t="s">
        <v>22</v>
      </c>
      <c r="E13" s="18" t="s">
        <v>20</v>
      </c>
      <c r="G13" s="11">
        <v>5952</v>
      </c>
      <c r="H13" s="11">
        <v>1011</v>
      </c>
      <c r="I13" s="11">
        <v>73691</v>
      </c>
      <c r="J13" s="12"/>
      <c r="K13" s="11">
        <f>SUM(G13:J13)</f>
        <v>80654</v>
      </c>
      <c r="L13" s="5"/>
      <c r="M13" s="11">
        <f t="shared" ref="M13:P14" si="0">G13</f>
        <v>5952</v>
      </c>
      <c r="N13" s="11">
        <f t="shared" si="0"/>
        <v>1011</v>
      </c>
      <c r="O13" s="11">
        <f t="shared" si="0"/>
        <v>73691</v>
      </c>
      <c r="P13" s="11">
        <f t="shared" si="0"/>
        <v>0</v>
      </c>
      <c r="Q13" s="12">
        <f>SUM(M13:P13)</f>
        <v>80654</v>
      </c>
      <c r="R13" s="12"/>
      <c r="S13" s="12"/>
      <c r="T13" s="12"/>
      <c r="U13" s="12"/>
      <c r="V13" s="12"/>
    </row>
    <row r="14" spans="2:24" ht="13.5" thickBot="1" x14ac:dyDescent="0.25">
      <c r="E14" s="18" t="s">
        <v>21</v>
      </c>
      <c r="G14" s="13">
        <v>133</v>
      </c>
      <c r="H14" s="13">
        <v>22.3</v>
      </c>
      <c r="I14" s="13">
        <v>1619.5</v>
      </c>
      <c r="J14" s="14">
        <v>0</v>
      </c>
      <c r="K14" s="13">
        <f>SUM(G14:J14)</f>
        <v>1774.8</v>
      </c>
      <c r="L14" s="5"/>
      <c r="M14" s="13">
        <f t="shared" si="0"/>
        <v>133</v>
      </c>
      <c r="N14" s="13">
        <f t="shared" si="0"/>
        <v>22.3</v>
      </c>
      <c r="O14" s="13">
        <f t="shared" si="0"/>
        <v>1619.5</v>
      </c>
      <c r="P14" s="14">
        <v>0</v>
      </c>
      <c r="Q14" s="14">
        <f>SUM(M14:P14)</f>
        <v>1774.8</v>
      </c>
      <c r="R14" s="85"/>
      <c r="S14" s="85"/>
      <c r="T14" s="85"/>
      <c r="U14" s="85"/>
      <c r="V14" s="85"/>
    </row>
    <row r="15" spans="2:24" x14ac:dyDescent="0.2">
      <c r="E15" s="15"/>
      <c r="G15" s="15"/>
      <c r="H15" s="15"/>
      <c r="I15" s="15"/>
      <c r="K15" s="15"/>
      <c r="L15" s="5"/>
      <c r="M15" s="15"/>
      <c r="N15" s="15"/>
      <c r="O15" s="15"/>
      <c r="X15" s="16" t="s">
        <v>87</v>
      </c>
    </row>
    <row r="16" spans="2:24" x14ac:dyDescent="0.2">
      <c r="D16" s="3" t="s">
        <v>23</v>
      </c>
      <c r="E16" s="18" t="s">
        <v>24</v>
      </c>
      <c r="G16" s="11">
        <v>2405</v>
      </c>
      <c r="H16" s="11">
        <v>259</v>
      </c>
      <c r="I16" s="11">
        <v>348</v>
      </c>
      <c r="J16" s="12">
        <v>0</v>
      </c>
      <c r="K16" s="11">
        <f t="shared" ref="K16:K22" si="1">SUM(G16:J16)</f>
        <v>3012</v>
      </c>
      <c r="L16" s="5"/>
      <c r="M16" s="11">
        <v>0</v>
      </c>
      <c r="N16" s="11">
        <v>0</v>
      </c>
      <c r="O16" s="11">
        <v>0</v>
      </c>
      <c r="P16" s="12">
        <v>0</v>
      </c>
      <c r="Q16" s="12">
        <f t="shared" ref="Q16:Q21" si="2">SUM(M16:P16)</f>
        <v>0</v>
      </c>
      <c r="R16" s="12"/>
      <c r="S16" s="12"/>
      <c r="T16" s="12"/>
      <c r="U16" s="12"/>
      <c r="V16" s="12"/>
      <c r="X16" s="17"/>
    </row>
    <row r="17" spans="2:24" x14ac:dyDescent="0.2">
      <c r="D17" s="3" t="s">
        <v>25</v>
      </c>
      <c r="E17" s="18" t="s">
        <v>26</v>
      </c>
      <c r="G17" s="11">
        <v>703</v>
      </c>
      <c r="H17" s="11">
        <v>120</v>
      </c>
      <c r="I17" s="11">
        <v>1055</v>
      </c>
      <c r="J17" s="12">
        <v>0</v>
      </c>
      <c r="K17" s="11">
        <f t="shared" si="1"/>
        <v>1878</v>
      </c>
      <c r="L17" s="5"/>
      <c r="M17" s="11">
        <f>G17</f>
        <v>703</v>
      </c>
      <c r="N17" s="11">
        <f>H17</f>
        <v>120</v>
      </c>
      <c r="O17" s="11">
        <f>I17</f>
        <v>1055</v>
      </c>
      <c r="P17" s="11">
        <f>J17</f>
        <v>0</v>
      </c>
      <c r="Q17" s="12">
        <f t="shared" si="2"/>
        <v>1878</v>
      </c>
      <c r="R17" s="12"/>
      <c r="S17" s="12"/>
      <c r="T17" s="12"/>
      <c r="U17" s="12"/>
      <c r="V17" s="12"/>
      <c r="X17" s="17" t="s">
        <v>88</v>
      </c>
    </row>
    <row r="18" spans="2:24" x14ac:dyDescent="0.2">
      <c r="E18" s="18" t="s">
        <v>27</v>
      </c>
      <c r="G18" s="11">
        <v>133</v>
      </c>
      <c r="H18" s="11">
        <v>19</v>
      </c>
      <c r="I18" s="11">
        <v>122</v>
      </c>
      <c r="J18" s="12">
        <v>0</v>
      </c>
      <c r="K18" s="11">
        <f t="shared" si="1"/>
        <v>274</v>
      </c>
      <c r="L18" s="5"/>
      <c r="M18" s="11">
        <v>0</v>
      </c>
      <c r="N18" s="11">
        <v>0</v>
      </c>
      <c r="O18" s="11">
        <v>0</v>
      </c>
      <c r="P18" s="12">
        <v>0</v>
      </c>
      <c r="Q18" s="12">
        <f t="shared" si="2"/>
        <v>0</v>
      </c>
      <c r="R18" s="12"/>
      <c r="S18" s="12"/>
      <c r="T18" s="12"/>
      <c r="U18" s="12"/>
      <c r="V18" s="12"/>
      <c r="X18" s="19">
        <f>395196+21379</f>
        <v>416575</v>
      </c>
    </row>
    <row r="19" spans="2:24" x14ac:dyDescent="0.2">
      <c r="E19" s="18" t="s">
        <v>28</v>
      </c>
      <c r="G19" s="20">
        <v>1276</v>
      </c>
      <c r="H19" s="11">
        <v>182</v>
      </c>
      <c r="I19" s="11">
        <v>14708</v>
      </c>
      <c r="J19" s="12">
        <v>0</v>
      </c>
      <c r="K19" s="11">
        <f t="shared" si="1"/>
        <v>16166</v>
      </c>
      <c r="L19" s="5"/>
      <c r="M19" s="11">
        <v>0</v>
      </c>
      <c r="N19" s="11">
        <v>0</v>
      </c>
      <c r="O19" s="11">
        <v>0</v>
      </c>
      <c r="P19" s="12">
        <v>0</v>
      </c>
      <c r="Q19" s="12">
        <f t="shared" si="2"/>
        <v>0</v>
      </c>
      <c r="R19" s="12"/>
      <c r="S19" s="12"/>
      <c r="T19" s="12"/>
      <c r="U19" s="12"/>
      <c r="V19" s="12"/>
      <c r="X19" s="17"/>
    </row>
    <row r="20" spans="2:24" x14ac:dyDescent="0.2">
      <c r="E20" s="18" t="s">
        <v>29</v>
      </c>
      <c r="G20" s="11">
        <v>11067</v>
      </c>
      <c r="H20" s="11">
        <v>2938</v>
      </c>
      <c r="I20" s="11">
        <v>0</v>
      </c>
      <c r="J20" s="12">
        <v>0</v>
      </c>
      <c r="K20" s="11">
        <f t="shared" si="1"/>
        <v>14005</v>
      </c>
      <c r="L20" s="5"/>
      <c r="M20" s="11">
        <f>G20</f>
        <v>11067</v>
      </c>
      <c r="N20" s="11">
        <f>H20</f>
        <v>2938</v>
      </c>
      <c r="O20" s="11">
        <f>I20</f>
        <v>0</v>
      </c>
      <c r="P20" s="11">
        <f>J20</f>
        <v>0</v>
      </c>
      <c r="Q20" s="12">
        <f t="shared" si="2"/>
        <v>14005</v>
      </c>
      <c r="R20" s="12"/>
      <c r="S20" s="12"/>
      <c r="T20" s="12"/>
      <c r="U20" s="12"/>
      <c r="V20" s="12"/>
      <c r="X20" s="17" t="s">
        <v>89</v>
      </c>
    </row>
    <row r="21" spans="2:24" x14ac:dyDescent="0.2">
      <c r="E21" s="18" t="s">
        <v>30</v>
      </c>
      <c r="G21" s="21">
        <v>-37</v>
      </c>
      <c r="H21" s="21">
        <v>-15</v>
      </c>
      <c r="I21" s="21">
        <v>1968</v>
      </c>
      <c r="J21" s="22">
        <v>0</v>
      </c>
      <c r="K21" s="21">
        <f t="shared" si="1"/>
        <v>1916</v>
      </c>
      <c r="L21" s="5"/>
      <c r="M21" s="11">
        <v>0</v>
      </c>
      <c r="N21" s="11">
        <v>0</v>
      </c>
      <c r="O21" s="11">
        <v>0</v>
      </c>
      <c r="P21" s="12">
        <v>0</v>
      </c>
      <c r="Q21" s="12">
        <f t="shared" si="2"/>
        <v>0</v>
      </c>
      <c r="R21" s="12"/>
      <c r="S21" s="12"/>
      <c r="T21" s="12"/>
      <c r="U21" s="12"/>
      <c r="V21" s="12"/>
      <c r="X21" s="19">
        <f>31030+1679</f>
        <v>32709</v>
      </c>
    </row>
    <row r="22" spans="2:24" x14ac:dyDescent="0.2">
      <c r="D22" s="2" t="s">
        <v>31</v>
      </c>
      <c r="E22" s="18"/>
      <c r="G22" s="23">
        <f>G10+G13+SUM(G16:G21)</f>
        <v>26075</v>
      </c>
      <c r="H22" s="23">
        <f>H10+H13+SUM(H16:H21)</f>
        <v>5006</v>
      </c>
      <c r="I22" s="23">
        <f>I10+I13+SUM(I16:I21)</f>
        <v>137453</v>
      </c>
      <c r="J22" s="24">
        <f>J10+J13+SUM(J16:J21)</f>
        <v>0</v>
      </c>
      <c r="K22" s="23">
        <f t="shared" si="1"/>
        <v>168534</v>
      </c>
      <c r="L22" s="5"/>
      <c r="M22" s="25">
        <f>M10+M13+SUM(M16:M21)</f>
        <v>17722</v>
      </c>
      <c r="N22" s="25">
        <f>N10+N13+SUM(N16:N21)</f>
        <v>4069</v>
      </c>
      <c r="O22" s="25">
        <f>O10+O13+SUM(O16:O21)</f>
        <v>74746</v>
      </c>
      <c r="P22" s="26">
        <f>P10+P13+SUM(P16:P21)</f>
        <v>0</v>
      </c>
      <c r="Q22" s="26">
        <f>Q10+Q13+SUM(Q16:Q21)</f>
        <v>96537</v>
      </c>
      <c r="R22" s="86"/>
      <c r="S22" s="86"/>
      <c r="T22" s="86"/>
      <c r="U22" s="86"/>
      <c r="V22" s="86"/>
      <c r="X22" s="17"/>
    </row>
    <row r="23" spans="2:24" x14ac:dyDescent="0.2">
      <c r="E23" s="18"/>
      <c r="G23" s="11"/>
      <c r="H23" s="11"/>
      <c r="I23" s="11"/>
      <c r="J23" s="12"/>
      <c r="K23" s="11"/>
      <c r="L23" s="5"/>
      <c r="M23" s="27"/>
      <c r="N23" s="11"/>
      <c r="O23" s="11"/>
      <c r="P23" s="12"/>
      <c r="Q23" s="12"/>
      <c r="R23" s="12"/>
      <c r="S23" s="12"/>
      <c r="T23" s="12"/>
      <c r="U23" s="12"/>
      <c r="V23" s="12"/>
      <c r="X23" s="17" t="s">
        <v>90</v>
      </c>
    </row>
    <row r="24" spans="2:24" ht="13.5" thickBot="1" x14ac:dyDescent="0.25">
      <c r="B24" s="2" t="s">
        <v>32</v>
      </c>
      <c r="E24" s="18" t="s">
        <v>33</v>
      </c>
      <c r="G24" s="21">
        <v>1613</v>
      </c>
      <c r="H24" s="21">
        <v>81</v>
      </c>
      <c r="I24" s="21">
        <v>27034</v>
      </c>
      <c r="J24" s="22">
        <v>0</v>
      </c>
      <c r="K24" s="21">
        <f>SUM(G24:J24)</f>
        <v>28728</v>
      </c>
      <c r="L24" s="5"/>
      <c r="M24" s="21">
        <f>$Q$24*G$128</f>
        <v>315.61982397262136</v>
      </c>
      <c r="N24" s="21">
        <f>$Q$24*H$128</f>
        <v>63.002320093140064</v>
      </c>
      <c r="O24" s="21">
        <f>$Q$24*I$128</f>
        <v>1877.0680725819011</v>
      </c>
      <c r="P24" s="21">
        <v>0</v>
      </c>
      <c r="Q24" s="21">
        <f>K24*X24</f>
        <v>2255.6902166476625</v>
      </c>
      <c r="R24" s="29"/>
      <c r="S24" s="29"/>
      <c r="T24" s="29"/>
      <c r="U24" s="29"/>
      <c r="V24" s="29"/>
      <c r="X24" s="28">
        <f>X21/X18</f>
        <v>7.8518874152313511E-2</v>
      </c>
    </row>
    <row r="25" spans="2:24" x14ac:dyDescent="0.2">
      <c r="B25" s="2"/>
      <c r="D25" s="2" t="s">
        <v>34</v>
      </c>
      <c r="E25" s="18"/>
      <c r="G25" s="23">
        <f>SUM(G24)</f>
        <v>1613</v>
      </c>
      <c r="H25" s="23">
        <f>SUM(H24)</f>
        <v>81</v>
      </c>
      <c r="I25" s="23">
        <f>SUM(I24)</f>
        <v>27034</v>
      </c>
      <c r="J25" s="24">
        <f>SUM(J24)</f>
        <v>0</v>
      </c>
      <c r="K25" s="23">
        <f>SUM(G25:J25)</f>
        <v>28728</v>
      </c>
      <c r="L25" s="5"/>
      <c r="M25" s="23">
        <f>SUM(M24)</f>
        <v>315.61982397262136</v>
      </c>
      <c r="N25" s="23">
        <f>SUM(N24)</f>
        <v>63.002320093140064</v>
      </c>
      <c r="O25" s="23">
        <f>SUM(O24)</f>
        <v>1877.0680725819011</v>
      </c>
      <c r="P25" s="24">
        <f>SUM(P24)</f>
        <v>0</v>
      </c>
      <c r="Q25" s="24">
        <f>SUM(M25:P25)</f>
        <v>2255.6902166476625</v>
      </c>
      <c r="R25" s="24"/>
      <c r="S25" s="24"/>
      <c r="T25" s="24"/>
      <c r="U25" s="24"/>
      <c r="V25" s="24"/>
    </row>
    <row r="26" spans="2:24" x14ac:dyDescent="0.2">
      <c r="B26" s="2"/>
      <c r="E26" s="15"/>
      <c r="G26" s="15"/>
      <c r="H26" s="15"/>
      <c r="I26" s="15"/>
      <c r="K26" s="15"/>
      <c r="L26" s="5"/>
      <c r="M26" s="15"/>
      <c r="N26" s="15"/>
      <c r="O26" s="15"/>
    </row>
    <row r="27" spans="2:24" x14ac:dyDescent="0.2">
      <c r="B27" s="2" t="s">
        <v>35</v>
      </c>
      <c r="E27" s="18" t="s">
        <v>36</v>
      </c>
      <c r="F27" s="15"/>
      <c r="G27" s="11">
        <v>32</v>
      </c>
      <c r="H27" s="11">
        <v>3</v>
      </c>
      <c r="I27" s="11">
        <v>499</v>
      </c>
      <c r="J27" s="12">
        <v>0</v>
      </c>
      <c r="K27" s="11">
        <f t="shared" ref="K27:K32" si="3">SUM(G27:J27)</f>
        <v>534</v>
      </c>
      <c r="L27" s="5"/>
      <c r="M27" s="29">
        <v>0</v>
      </c>
      <c r="N27" s="29">
        <v>0</v>
      </c>
      <c r="O27" s="29">
        <v>0</v>
      </c>
      <c r="P27" s="12">
        <v>0</v>
      </c>
      <c r="Q27" s="12">
        <f t="shared" ref="Q27:Q32" si="4">SUM(M27:P27)</f>
        <v>0</v>
      </c>
      <c r="R27" s="12"/>
      <c r="S27" s="12"/>
      <c r="T27" s="12"/>
      <c r="U27" s="12"/>
      <c r="V27" s="12"/>
    </row>
    <row r="28" spans="2:24" x14ac:dyDescent="0.2">
      <c r="B28" s="2"/>
      <c r="E28" s="18" t="s">
        <v>37</v>
      </c>
      <c r="G28" s="11">
        <v>144</v>
      </c>
      <c r="H28" s="11">
        <v>21</v>
      </c>
      <c r="I28" s="11">
        <v>1891</v>
      </c>
      <c r="J28" s="12">
        <v>0</v>
      </c>
      <c r="K28" s="11">
        <f t="shared" si="3"/>
        <v>2056</v>
      </c>
      <c r="L28" s="5"/>
      <c r="M28" s="11">
        <f>G28</f>
        <v>144</v>
      </c>
      <c r="N28" s="11">
        <f>H28</f>
        <v>21</v>
      </c>
      <c r="O28" s="11">
        <f>I28</f>
        <v>1891</v>
      </c>
      <c r="P28" s="11">
        <f>J28</f>
        <v>0</v>
      </c>
      <c r="Q28" s="12">
        <f>SUM(M28:P28)</f>
        <v>2056</v>
      </c>
      <c r="R28" s="12"/>
      <c r="S28" s="12"/>
      <c r="T28" s="12"/>
      <c r="U28" s="12"/>
      <c r="V28" s="12"/>
    </row>
    <row r="29" spans="2:24" x14ac:dyDescent="0.2">
      <c r="B29" s="2"/>
      <c r="E29" s="15" t="s">
        <v>38</v>
      </c>
      <c r="G29" s="11">
        <v>0</v>
      </c>
      <c r="H29" s="11">
        <v>0</v>
      </c>
      <c r="I29" s="11">
        <v>0</v>
      </c>
      <c r="J29" s="12">
        <v>0</v>
      </c>
      <c r="K29" s="11">
        <f t="shared" si="3"/>
        <v>0</v>
      </c>
      <c r="L29" s="5"/>
      <c r="M29" s="11">
        <v>0</v>
      </c>
      <c r="N29" s="11">
        <v>0</v>
      </c>
      <c r="O29" s="11">
        <v>0</v>
      </c>
      <c r="P29" s="12">
        <v>0</v>
      </c>
      <c r="Q29" s="12">
        <f t="shared" si="4"/>
        <v>0</v>
      </c>
      <c r="R29" s="12"/>
      <c r="S29" s="12"/>
      <c r="T29" s="12"/>
      <c r="U29" s="12"/>
      <c r="V29" s="12"/>
    </row>
    <row r="30" spans="2:24" x14ac:dyDescent="0.2">
      <c r="B30" s="2"/>
      <c r="E30" s="18" t="s">
        <v>39</v>
      </c>
      <c r="G30" s="11">
        <v>1594</v>
      </c>
      <c r="H30" s="11">
        <v>287</v>
      </c>
      <c r="I30" s="11">
        <v>17784</v>
      </c>
      <c r="J30" s="12"/>
      <c r="K30" s="11">
        <f t="shared" si="3"/>
        <v>19665</v>
      </c>
      <c r="L30" s="5"/>
      <c r="M30" s="11">
        <f t="shared" ref="M30:P31" si="5">G30</f>
        <v>1594</v>
      </c>
      <c r="N30" s="11">
        <f t="shared" si="5"/>
        <v>287</v>
      </c>
      <c r="O30" s="11">
        <f t="shared" si="5"/>
        <v>17784</v>
      </c>
      <c r="P30" s="11">
        <f t="shared" si="5"/>
        <v>0</v>
      </c>
      <c r="Q30" s="12">
        <f t="shared" si="4"/>
        <v>19665</v>
      </c>
      <c r="R30" s="12"/>
      <c r="S30" s="12"/>
      <c r="T30" s="12"/>
      <c r="U30" s="12"/>
      <c r="V30" s="12"/>
    </row>
    <row r="31" spans="2:24" x14ac:dyDescent="0.2">
      <c r="B31" s="2"/>
      <c r="E31" s="10" t="s">
        <v>40</v>
      </c>
      <c r="G31" s="21">
        <v>1</v>
      </c>
      <c r="H31" s="21">
        <v>0</v>
      </c>
      <c r="I31" s="21">
        <v>11</v>
      </c>
      <c r="J31" s="22">
        <v>0</v>
      </c>
      <c r="K31" s="21">
        <f t="shared" si="3"/>
        <v>12</v>
      </c>
      <c r="L31" s="5"/>
      <c r="M31" s="21">
        <f t="shared" si="5"/>
        <v>1</v>
      </c>
      <c r="N31" s="21">
        <f t="shared" si="5"/>
        <v>0</v>
      </c>
      <c r="O31" s="21">
        <f>I31</f>
        <v>11</v>
      </c>
      <c r="P31" s="21">
        <f>J31</f>
        <v>0</v>
      </c>
      <c r="Q31" s="22">
        <f t="shared" si="4"/>
        <v>12</v>
      </c>
      <c r="R31" s="82"/>
      <c r="S31" s="82"/>
      <c r="T31" s="82"/>
      <c r="U31" s="82"/>
      <c r="V31" s="82"/>
    </row>
    <row r="32" spans="2:24" x14ac:dyDescent="0.2">
      <c r="B32" s="2"/>
      <c r="D32" s="2" t="s">
        <v>41</v>
      </c>
      <c r="G32" s="24">
        <f>SUM(G27:G31)</f>
        <v>1771</v>
      </c>
      <c r="H32" s="24">
        <f>SUM(H27:H31)</f>
        <v>311</v>
      </c>
      <c r="I32" s="24">
        <f>SUM(I27:I31)</f>
        <v>20185</v>
      </c>
      <c r="J32" s="24">
        <f>SUM(J27:J31)</f>
        <v>0</v>
      </c>
      <c r="K32" s="23">
        <f t="shared" si="3"/>
        <v>22267</v>
      </c>
      <c r="L32" s="5"/>
      <c r="M32" s="23">
        <f>SUM(M27:M31)</f>
        <v>1739</v>
      </c>
      <c r="N32" s="23">
        <f>SUM(N27:N31)</f>
        <v>308</v>
      </c>
      <c r="O32" s="23">
        <f>SUM(O27:O31)</f>
        <v>19686</v>
      </c>
      <c r="P32" s="24">
        <f>SUM(P27:P31)</f>
        <v>0</v>
      </c>
      <c r="Q32" s="24">
        <f t="shared" si="4"/>
        <v>21733</v>
      </c>
      <c r="R32" s="24"/>
      <c r="S32" s="24"/>
      <c r="T32" s="24"/>
      <c r="U32" s="24"/>
      <c r="V32" s="24"/>
    </row>
    <row r="33" spans="2:22" x14ac:dyDescent="0.2">
      <c r="B33" s="2"/>
      <c r="K33" s="15"/>
      <c r="L33" s="5"/>
    </row>
    <row r="34" spans="2:22" x14ac:dyDescent="0.2">
      <c r="B34" s="2" t="s">
        <v>42</v>
      </c>
      <c r="D34" s="2" t="s">
        <v>43</v>
      </c>
      <c r="E34" s="3" t="s">
        <v>44</v>
      </c>
      <c r="G34" s="11">
        <v>4665</v>
      </c>
      <c r="H34" s="11">
        <v>0</v>
      </c>
      <c r="I34" s="11">
        <v>0</v>
      </c>
      <c r="J34" s="11">
        <v>0</v>
      </c>
      <c r="K34" s="11">
        <f>SUM(G34:J34)</f>
        <v>4665</v>
      </c>
      <c r="L34" s="5"/>
      <c r="M34" s="12">
        <f t="shared" ref="M34:P35" si="6">G34</f>
        <v>4665</v>
      </c>
      <c r="N34" s="12">
        <f t="shared" si="6"/>
        <v>0</v>
      </c>
      <c r="O34" s="12">
        <f t="shared" si="6"/>
        <v>0</v>
      </c>
      <c r="P34" s="12">
        <f t="shared" si="6"/>
        <v>0</v>
      </c>
      <c r="Q34" s="12">
        <f>SUM(M34:P34)</f>
        <v>4665</v>
      </c>
      <c r="R34" s="12"/>
      <c r="S34" s="12"/>
      <c r="T34" s="12"/>
      <c r="U34" s="12"/>
      <c r="V34" s="12"/>
    </row>
    <row r="35" spans="2:22" x14ac:dyDescent="0.2">
      <c r="B35" s="2" t="s">
        <v>45</v>
      </c>
      <c r="D35" s="2" t="s">
        <v>46</v>
      </c>
      <c r="E35" s="3" t="s">
        <v>47</v>
      </c>
      <c r="G35" s="11">
        <v>472</v>
      </c>
      <c r="H35" s="11">
        <v>0</v>
      </c>
      <c r="I35" s="11">
        <v>0</v>
      </c>
      <c r="J35" s="11">
        <v>0</v>
      </c>
      <c r="K35" s="11">
        <f>SUM(G35:J35)</f>
        <v>472</v>
      </c>
      <c r="L35" s="5"/>
      <c r="M35" s="12">
        <f t="shared" si="6"/>
        <v>472</v>
      </c>
      <c r="N35" s="12">
        <f t="shared" si="6"/>
        <v>0</v>
      </c>
      <c r="O35" s="12">
        <f t="shared" si="6"/>
        <v>0</v>
      </c>
      <c r="P35" s="12">
        <f t="shared" si="6"/>
        <v>0</v>
      </c>
      <c r="Q35" s="12">
        <f>SUM(M35:P35)</f>
        <v>472</v>
      </c>
      <c r="R35" s="12"/>
      <c r="S35" s="12"/>
      <c r="T35" s="12"/>
      <c r="U35" s="12"/>
      <c r="V35" s="12"/>
    </row>
    <row r="36" spans="2:22" x14ac:dyDescent="0.2">
      <c r="D36" s="2"/>
      <c r="G36" s="15"/>
      <c r="H36" s="15"/>
      <c r="I36" s="15"/>
      <c r="J36" s="15"/>
      <c r="K36" s="15"/>
      <c r="L36" s="5"/>
      <c r="Q36" s="12"/>
      <c r="R36" s="12"/>
      <c r="S36" s="12"/>
      <c r="T36" s="12"/>
      <c r="U36" s="12"/>
      <c r="V36" s="12"/>
    </row>
    <row r="37" spans="2:22" x14ac:dyDescent="0.2">
      <c r="D37" s="2" t="s">
        <v>48</v>
      </c>
      <c r="E37" s="3" t="s">
        <v>49</v>
      </c>
      <c r="G37" s="11">
        <v>5220</v>
      </c>
      <c r="H37" s="11"/>
      <c r="I37" s="11">
        <v>0</v>
      </c>
      <c r="J37" s="11">
        <v>0</v>
      </c>
      <c r="K37" s="11">
        <f>SUM(G37:J37)</f>
        <v>5220</v>
      </c>
      <c r="L37" s="5"/>
      <c r="M37" s="12">
        <f t="shared" ref="M37:P40" si="7">G37</f>
        <v>5220</v>
      </c>
      <c r="N37" s="12">
        <f t="shared" si="7"/>
        <v>0</v>
      </c>
      <c r="O37" s="12">
        <f t="shared" si="7"/>
        <v>0</v>
      </c>
      <c r="P37" s="12">
        <f t="shared" si="7"/>
        <v>0</v>
      </c>
      <c r="Q37" s="12">
        <f>SUM(M37:P37)</f>
        <v>5220</v>
      </c>
      <c r="R37" s="12"/>
      <c r="S37" s="12"/>
      <c r="T37" s="12"/>
      <c r="U37" s="12"/>
      <c r="V37" s="12"/>
    </row>
    <row r="38" spans="2:22" x14ac:dyDescent="0.2">
      <c r="D38" s="2" t="s">
        <v>50</v>
      </c>
      <c r="E38" s="3" t="s">
        <v>51</v>
      </c>
      <c r="G38" s="11">
        <v>2266</v>
      </c>
      <c r="H38" s="11">
        <v>0</v>
      </c>
      <c r="I38" s="11">
        <v>0</v>
      </c>
      <c r="J38" s="11">
        <v>0</v>
      </c>
      <c r="K38" s="11">
        <f>SUM(G38:J38)</f>
        <v>2266</v>
      </c>
      <c r="L38" s="5"/>
      <c r="M38" s="12">
        <f t="shared" si="7"/>
        <v>2266</v>
      </c>
      <c r="N38" s="12">
        <f t="shared" si="7"/>
        <v>0</v>
      </c>
      <c r="O38" s="12">
        <f t="shared" si="7"/>
        <v>0</v>
      </c>
      <c r="P38" s="12">
        <f t="shared" si="7"/>
        <v>0</v>
      </c>
      <c r="Q38" s="12">
        <f>SUM(M38:P38)</f>
        <v>2266</v>
      </c>
      <c r="R38" s="12"/>
      <c r="S38" s="12"/>
      <c r="T38" s="12"/>
      <c r="U38" s="12"/>
      <c r="V38" s="12"/>
    </row>
    <row r="39" spans="2:22" x14ac:dyDescent="0.2">
      <c r="D39" s="2"/>
      <c r="E39" s="3" t="s">
        <v>52</v>
      </c>
      <c r="G39" s="11">
        <v>196</v>
      </c>
      <c r="H39" s="11">
        <v>0</v>
      </c>
      <c r="I39" s="11">
        <v>0</v>
      </c>
      <c r="J39" s="11">
        <v>0</v>
      </c>
      <c r="K39" s="11">
        <f>SUM(G39:J39)</f>
        <v>196</v>
      </c>
      <c r="L39" s="5"/>
      <c r="M39" s="12">
        <f t="shared" si="7"/>
        <v>196</v>
      </c>
      <c r="N39" s="12">
        <f t="shared" si="7"/>
        <v>0</v>
      </c>
      <c r="O39" s="12">
        <f t="shared" si="7"/>
        <v>0</v>
      </c>
      <c r="P39" s="12">
        <f t="shared" si="7"/>
        <v>0</v>
      </c>
      <c r="Q39" s="12">
        <f>SUM(M39:P39)</f>
        <v>196</v>
      </c>
      <c r="R39" s="12"/>
      <c r="S39" s="12"/>
      <c r="T39" s="12"/>
      <c r="U39" s="12"/>
      <c r="V39" s="12"/>
    </row>
    <row r="40" spans="2:22" x14ac:dyDescent="0.2">
      <c r="D40" s="2"/>
      <c r="E40" s="3" t="s">
        <v>53</v>
      </c>
      <c r="G40" s="11">
        <v>5132</v>
      </c>
      <c r="H40" s="11">
        <v>0</v>
      </c>
      <c r="I40" s="11"/>
      <c r="J40" s="11">
        <v>0</v>
      </c>
      <c r="K40" s="11">
        <f>SUM(G40:J40)</f>
        <v>5132</v>
      </c>
      <c r="L40" s="5"/>
      <c r="M40" s="12">
        <f t="shared" si="7"/>
        <v>5132</v>
      </c>
      <c r="N40" s="12">
        <f t="shared" si="7"/>
        <v>0</v>
      </c>
      <c r="O40" s="12">
        <f t="shared" si="7"/>
        <v>0</v>
      </c>
      <c r="P40" s="12">
        <f t="shared" si="7"/>
        <v>0</v>
      </c>
      <c r="Q40" s="12">
        <f>SUM(M40:P40)</f>
        <v>5132</v>
      </c>
      <c r="R40" s="12"/>
      <c r="S40" s="12"/>
      <c r="T40" s="12"/>
      <c r="U40" s="12"/>
      <c r="V40" s="12"/>
    </row>
    <row r="41" spans="2:22" x14ac:dyDescent="0.2">
      <c r="D41" s="2"/>
      <c r="G41" s="15"/>
      <c r="H41" s="15"/>
      <c r="I41" s="15"/>
      <c r="J41" s="15"/>
      <c r="K41" s="15"/>
      <c r="L41" s="5"/>
      <c r="Q41" s="12"/>
      <c r="R41" s="12"/>
      <c r="S41" s="12"/>
      <c r="T41" s="12"/>
      <c r="U41" s="12"/>
      <c r="V41" s="12"/>
    </row>
    <row r="42" spans="2:22" x14ac:dyDescent="0.2">
      <c r="D42" s="2" t="s">
        <v>54</v>
      </c>
      <c r="G42" s="11">
        <v>6372</v>
      </c>
      <c r="H42" s="11"/>
      <c r="I42" s="11">
        <v>0</v>
      </c>
      <c r="J42" s="11">
        <v>0</v>
      </c>
      <c r="K42" s="11">
        <f>SUM(G42:J42)</f>
        <v>6372</v>
      </c>
      <c r="L42" s="5"/>
      <c r="M42" s="12">
        <f>G42</f>
        <v>6372</v>
      </c>
      <c r="N42" s="12">
        <f>H42</f>
        <v>0</v>
      </c>
      <c r="O42" s="12">
        <f>I42</f>
        <v>0</v>
      </c>
      <c r="P42" s="12">
        <f>J42</f>
        <v>0</v>
      </c>
      <c r="Q42" s="12">
        <f>SUM(M42:P42)</f>
        <v>6372</v>
      </c>
      <c r="R42" s="12"/>
      <c r="S42" s="12"/>
      <c r="T42" s="12"/>
      <c r="U42" s="12"/>
      <c r="V42" s="12"/>
    </row>
    <row r="43" spans="2:22" x14ac:dyDescent="0.2">
      <c r="D43" s="2"/>
      <c r="G43" s="15"/>
      <c r="H43" s="15"/>
      <c r="I43" s="15"/>
      <c r="J43" s="15"/>
      <c r="L43" s="5"/>
    </row>
    <row r="44" spans="2:22"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c r="V44" s="12"/>
    </row>
    <row r="45" spans="2:22" x14ac:dyDescent="0.2">
      <c r="D45" s="2"/>
      <c r="G45" s="15"/>
      <c r="H45" s="15"/>
      <c r="I45" s="15"/>
      <c r="J45" s="15"/>
      <c r="L45" s="5"/>
    </row>
    <row r="46" spans="2:22"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c r="V46" s="12"/>
    </row>
    <row r="47" spans="2:22" x14ac:dyDescent="0.2">
      <c r="D47" s="2"/>
      <c r="G47" s="15"/>
      <c r="H47" s="15"/>
      <c r="I47" s="15"/>
      <c r="J47" s="15"/>
      <c r="L47" s="5"/>
    </row>
    <row r="48" spans="2:22"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c r="V48" s="12"/>
    </row>
    <row r="49" spans="2:24" x14ac:dyDescent="0.2">
      <c r="D49" s="2" t="s">
        <v>58</v>
      </c>
      <c r="G49" s="15"/>
      <c r="H49" s="15"/>
      <c r="I49" s="15"/>
      <c r="J49" s="15"/>
      <c r="L49" s="5"/>
    </row>
    <row r="50" spans="2:24" x14ac:dyDescent="0.2">
      <c r="D50" s="2"/>
      <c r="G50" s="15"/>
      <c r="H50" s="15"/>
      <c r="I50" s="15"/>
      <c r="J50" s="15"/>
      <c r="L50" s="5"/>
    </row>
    <row r="51" spans="2:24" x14ac:dyDescent="0.2">
      <c r="B51" s="2"/>
      <c r="D51" s="2" t="s">
        <v>53</v>
      </c>
      <c r="G51" s="21">
        <v>3885</v>
      </c>
      <c r="H51" s="21">
        <v>-986</v>
      </c>
      <c r="I51" s="21">
        <v>5841</v>
      </c>
      <c r="J51" s="21"/>
      <c r="K51" s="21">
        <f>SUM(G51:J51)</f>
        <v>8740</v>
      </c>
      <c r="L51" s="5"/>
      <c r="M51" s="22">
        <f>G51</f>
        <v>3885</v>
      </c>
      <c r="N51" s="22">
        <f>H51</f>
        <v>-986</v>
      </c>
      <c r="O51" s="22">
        <f>I51</f>
        <v>5841</v>
      </c>
      <c r="P51" s="22">
        <f>J51</f>
        <v>0</v>
      </c>
      <c r="Q51" s="22">
        <f>SUM(M51:P51)</f>
        <v>8740</v>
      </c>
      <c r="R51" s="82"/>
      <c r="S51" s="82"/>
      <c r="T51" s="82"/>
      <c r="U51" s="82"/>
      <c r="V51" s="82"/>
    </row>
    <row r="52" spans="2:24" x14ac:dyDescent="0.2">
      <c r="D52" s="2" t="s">
        <v>59</v>
      </c>
      <c r="G52" s="24">
        <f>SUM(G34:G51)</f>
        <v>28208</v>
      </c>
      <c r="H52" s="24">
        <f>SUM(H34:H51)</f>
        <v>-986</v>
      </c>
      <c r="I52" s="24">
        <f>SUM(I34:I51)</f>
        <v>5841</v>
      </c>
      <c r="J52" s="24">
        <f>SUM(J34:J51)</f>
        <v>0</v>
      </c>
      <c r="K52" s="24">
        <f>SUM(G52:J52)</f>
        <v>33063</v>
      </c>
      <c r="L52" s="5"/>
      <c r="M52" s="24">
        <f>SUM(M34:M51)</f>
        <v>28208</v>
      </c>
      <c r="N52" s="24">
        <f>SUM(N34:N51)</f>
        <v>-986</v>
      </c>
      <c r="O52" s="24">
        <f>SUM(O34:O51)</f>
        <v>5841</v>
      </c>
      <c r="P52" s="24">
        <f>SUM(P34:P51)</f>
        <v>0</v>
      </c>
      <c r="Q52" s="24">
        <f>SUM(M52:P52)</f>
        <v>33063</v>
      </c>
      <c r="R52" s="24"/>
      <c r="S52" s="24"/>
      <c r="T52" s="24"/>
      <c r="U52" s="24"/>
      <c r="V52" s="24"/>
    </row>
    <row r="53" spans="2:24" x14ac:dyDescent="0.2">
      <c r="B53" s="2"/>
      <c r="L53" s="5"/>
    </row>
    <row r="54" spans="2:24"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row>
    <row r="55" spans="2:24" x14ac:dyDescent="0.2">
      <c r="B55" s="2" t="s">
        <v>61</v>
      </c>
      <c r="L55" s="5"/>
    </row>
    <row r="56" spans="2:24" ht="13.5" thickBot="1" x14ac:dyDescent="0.25">
      <c r="K56" s="12"/>
      <c r="L56" s="5"/>
      <c r="Q56" s="30"/>
      <c r="R56" s="40"/>
      <c r="S56" s="40"/>
      <c r="T56" s="40"/>
      <c r="U56" s="40"/>
      <c r="V56" s="40"/>
    </row>
    <row r="57" spans="2:24" x14ac:dyDescent="0.2">
      <c r="B57" s="2" t="s">
        <v>62</v>
      </c>
      <c r="G57" s="31">
        <f>G22+G25+G32+G52+G54</f>
        <v>57667</v>
      </c>
      <c r="H57" s="31">
        <f>H22+H25+H32+H52+H54</f>
        <v>4412</v>
      </c>
      <c r="I57" s="31">
        <f>I22+I25+I32+I52+I54</f>
        <v>190513</v>
      </c>
      <c r="J57" s="31">
        <f>J22+J25+J32+J52+J54</f>
        <v>0</v>
      </c>
      <c r="K57" s="31">
        <f>SUM(G57:J57)</f>
        <v>252592</v>
      </c>
      <c r="L57" s="32"/>
      <c r="M57" s="31">
        <f>M22+M25+M32+M52+M54</f>
        <v>47984.619823972622</v>
      </c>
      <c r="N57" s="31">
        <f>N22+N25+N32+N52+N54</f>
        <v>3454.00232009314</v>
      </c>
      <c r="O57" s="31">
        <f>O22+O25+O32+O52+O54</f>
        <v>102150.0680725819</v>
      </c>
      <c r="P57" s="31">
        <f>P22+P25+P32+P52+P54</f>
        <v>0</v>
      </c>
      <c r="Q57" s="31">
        <f>SUM(M57:P57)</f>
        <v>153588.69021664766</v>
      </c>
      <c r="R57" s="86"/>
      <c r="S57" s="86"/>
      <c r="T57" s="86"/>
      <c r="U57" s="86"/>
      <c r="V57" s="86"/>
    </row>
    <row r="58" spans="2:24" x14ac:dyDescent="0.2">
      <c r="L58" s="5"/>
    </row>
    <row r="59" spans="2:24" x14ac:dyDescent="0.2">
      <c r="L59" s="5"/>
    </row>
    <row r="60" spans="2:24" ht="14.25" x14ac:dyDescent="0.2">
      <c r="B60" s="6" t="s">
        <v>63</v>
      </c>
      <c r="K60" s="15"/>
      <c r="L60" s="5"/>
    </row>
    <row r="61" spans="2:24" x14ac:dyDescent="0.2">
      <c r="D61" s="15" t="s">
        <v>64</v>
      </c>
      <c r="E61" s="10" t="s">
        <v>20</v>
      </c>
      <c r="G61" s="12">
        <v>0</v>
      </c>
      <c r="H61" s="12">
        <v>0</v>
      </c>
      <c r="I61" s="12">
        <f>K61</f>
        <v>138185</v>
      </c>
      <c r="J61" s="11">
        <v>0</v>
      </c>
      <c r="K61" s="11">
        <v>138185</v>
      </c>
      <c r="L61" s="5"/>
      <c r="M61" s="12">
        <f>G61</f>
        <v>0</v>
      </c>
      <c r="N61" s="12">
        <f>H61</f>
        <v>0</v>
      </c>
      <c r="O61" s="12">
        <f>Q61</f>
        <v>138185</v>
      </c>
      <c r="P61" s="11">
        <f>J61</f>
        <v>0</v>
      </c>
      <c r="Q61" s="11">
        <f>$K$61</f>
        <v>138185</v>
      </c>
      <c r="R61" s="11"/>
      <c r="S61" s="11"/>
      <c r="T61" s="11"/>
      <c r="U61" s="11"/>
      <c r="V61" s="11"/>
      <c r="X61" s="3" t="s">
        <v>93</v>
      </c>
    </row>
    <row r="62" spans="2:24"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X62" s="35">
        <f>$K$61-(1081*25.09*8)</f>
        <v>-78793.320000000007</v>
      </c>
    </row>
    <row r="63" spans="2:24" x14ac:dyDescent="0.2">
      <c r="D63" s="15"/>
      <c r="E63" s="10"/>
      <c r="J63" s="15"/>
      <c r="K63" s="15"/>
      <c r="L63" s="5"/>
      <c r="P63" s="15"/>
    </row>
    <row r="64" spans="2:24" x14ac:dyDescent="0.2">
      <c r="D64" s="15" t="s">
        <v>95</v>
      </c>
      <c r="E64" s="10" t="s">
        <v>20</v>
      </c>
      <c r="G64" s="12">
        <f>$G$116*K64</f>
        <v>19673.119359592503</v>
      </c>
      <c r="H64" s="12">
        <f>$H$116*K64</f>
        <v>3927.0415512021659</v>
      </c>
      <c r="I64" s="12">
        <f>$I$116*K64</f>
        <v>117000.83908920533</v>
      </c>
      <c r="J64" s="11">
        <v>0</v>
      </c>
      <c r="K64" s="11">
        <v>140601</v>
      </c>
      <c r="L64" s="5"/>
      <c r="M64" s="12">
        <f>$G$116*Q64</f>
        <v>14625.754831355092</v>
      </c>
      <c r="N64" s="12">
        <f>$H$116*Q64</f>
        <v>2919.5139769444759</v>
      </c>
      <c r="O64" s="12">
        <f>$I$116*Q64</f>
        <v>86982.931191700438</v>
      </c>
      <c r="P64" s="11">
        <f t="shared" ref="M64:Q65" si="8">J64</f>
        <v>0</v>
      </c>
      <c r="Q64" s="11">
        <f>K64-(67*67.3*8)</f>
        <v>104528.20000000001</v>
      </c>
      <c r="R64" s="11"/>
      <c r="S64" s="11"/>
      <c r="T64" s="11"/>
      <c r="U64" s="11"/>
      <c r="V64" s="11"/>
    </row>
    <row r="65" spans="4:22" x14ac:dyDescent="0.2">
      <c r="D65" s="15"/>
      <c r="E65" s="10" t="s">
        <v>21</v>
      </c>
      <c r="G65" s="36">
        <f>$G$116*K65</f>
        <v>0</v>
      </c>
      <c r="H65" s="36">
        <f>$H$116*K65</f>
        <v>0</v>
      </c>
      <c r="I65" s="36">
        <f>$I$116*K65</f>
        <v>0</v>
      </c>
      <c r="J65" s="37">
        <v>0</v>
      </c>
      <c r="K65" s="34">
        <v>0</v>
      </c>
      <c r="L65" s="5"/>
      <c r="M65" s="33">
        <f t="shared" si="8"/>
        <v>0</v>
      </c>
      <c r="N65" s="33">
        <f t="shared" si="8"/>
        <v>0</v>
      </c>
      <c r="O65" s="33">
        <f t="shared" si="8"/>
        <v>0</v>
      </c>
      <c r="P65" s="34">
        <f t="shared" si="8"/>
        <v>0</v>
      </c>
      <c r="Q65" s="33">
        <f t="shared" si="8"/>
        <v>0</v>
      </c>
      <c r="R65" s="33"/>
      <c r="S65" s="33"/>
      <c r="T65" s="33"/>
      <c r="U65" s="33"/>
      <c r="V65" s="33"/>
    </row>
    <row r="66" spans="4:22" x14ac:dyDescent="0.2">
      <c r="D66" s="15"/>
      <c r="E66" s="10"/>
      <c r="J66" s="15"/>
      <c r="K66" s="15"/>
      <c r="L66" s="5"/>
      <c r="P66" s="15"/>
    </row>
    <row r="67" spans="4:22" x14ac:dyDescent="0.2">
      <c r="D67" s="15" t="s">
        <v>80</v>
      </c>
      <c r="E67" s="10" t="s">
        <v>20</v>
      </c>
      <c r="G67" s="12">
        <f>$G$116*K67</f>
        <v>70.100730429768234</v>
      </c>
      <c r="H67" s="12">
        <f>$H$116*K67</f>
        <v>13.993128193627962</v>
      </c>
      <c r="I67" s="12">
        <f>$I$116*K67</f>
        <v>416.90614137660378</v>
      </c>
      <c r="J67" s="11">
        <v>0</v>
      </c>
      <c r="K67" s="11">
        <v>501</v>
      </c>
      <c r="L67" s="5"/>
      <c r="M67" s="12">
        <f>G67</f>
        <v>70.100730429768234</v>
      </c>
      <c r="N67" s="12">
        <f t="shared" ref="M67:Q68" si="9">H67</f>
        <v>13.993128193627962</v>
      </c>
      <c r="O67" s="12">
        <f>I67</f>
        <v>416.90614137660378</v>
      </c>
      <c r="P67" s="11">
        <f t="shared" si="9"/>
        <v>0</v>
      </c>
      <c r="Q67" s="12">
        <f>K67</f>
        <v>501</v>
      </c>
      <c r="R67" s="12"/>
      <c r="S67" s="12"/>
      <c r="T67" s="12"/>
      <c r="U67" s="12"/>
      <c r="V67" s="12"/>
    </row>
    <row r="68" spans="4:22" x14ac:dyDescent="0.2">
      <c r="D68" s="15"/>
      <c r="E68" s="10" t="s">
        <v>21</v>
      </c>
      <c r="G68" s="36">
        <f>$G$116*K68</f>
        <v>0</v>
      </c>
      <c r="H68" s="36">
        <f>$H$116*K68</f>
        <v>0</v>
      </c>
      <c r="I68" s="36">
        <f>$I$116*K68</f>
        <v>0</v>
      </c>
      <c r="J68" s="34">
        <v>0</v>
      </c>
      <c r="K68" s="34">
        <v>0</v>
      </c>
      <c r="L68" s="5"/>
      <c r="M68" s="33">
        <f t="shared" si="9"/>
        <v>0</v>
      </c>
      <c r="N68" s="33">
        <f t="shared" si="9"/>
        <v>0</v>
      </c>
      <c r="O68" s="33">
        <f t="shared" si="9"/>
        <v>0</v>
      </c>
      <c r="P68" s="34">
        <f t="shared" si="9"/>
        <v>0</v>
      </c>
      <c r="Q68" s="33">
        <f t="shared" si="9"/>
        <v>0</v>
      </c>
      <c r="R68" s="33"/>
      <c r="S68" s="33"/>
      <c r="T68" s="33"/>
      <c r="U68" s="33"/>
      <c r="V68" s="33"/>
    </row>
    <row r="69" spans="4:22" x14ac:dyDescent="0.2">
      <c r="D69" s="15"/>
      <c r="E69" s="10"/>
      <c r="J69" s="15"/>
      <c r="K69" s="15"/>
      <c r="L69" s="5"/>
      <c r="P69" s="15"/>
    </row>
    <row r="70" spans="4:22" x14ac:dyDescent="0.2">
      <c r="D70" s="15" t="s">
        <v>65</v>
      </c>
      <c r="E70" s="10" t="s">
        <v>20</v>
      </c>
      <c r="G70" s="12">
        <f>$G$116*K70</f>
        <v>1528.7835941629696</v>
      </c>
      <c r="H70" s="12">
        <f>$H$116*K70</f>
        <v>305.16750228259303</v>
      </c>
      <c r="I70" s="12">
        <f>$I$116*K70</f>
        <v>9092.0489035544379</v>
      </c>
      <c r="J70" s="11">
        <v>0</v>
      </c>
      <c r="K70" s="11">
        <v>10926</v>
      </c>
      <c r="L70" s="5"/>
      <c r="M70" s="12">
        <f>$G$116*Q$70</f>
        <v>1528.7835941629696</v>
      </c>
      <c r="N70" s="12">
        <f>$H$116*Q$70</f>
        <v>305.16750228259303</v>
      </c>
      <c r="O70" s="12">
        <f>$I$116*Q$70</f>
        <v>9092.0489035544379</v>
      </c>
      <c r="P70" s="11">
        <f>J70</f>
        <v>0</v>
      </c>
      <c r="Q70" s="11">
        <f>K70</f>
        <v>10926</v>
      </c>
      <c r="R70" s="11"/>
      <c r="S70" s="11"/>
      <c r="T70" s="11"/>
      <c r="U70" s="11"/>
      <c r="V70" s="11"/>
    </row>
    <row r="71" spans="4:22" x14ac:dyDescent="0.2">
      <c r="D71" s="15"/>
      <c r="E71" s="10" t="s">
        <v>21</v>
      </c>
      <c r="G71" s="36">
        <f>$G$116*K71</f>
        <v>0</v>
      </c>
      <c r="H71" s="36">
        <f>$H$116*K71</f>
        <v>0</v>
      </c>
      <c r="I71" s="36">
        <f>$I$116*K71</f>
        <v>0</v>
      </c>
      <c r="J71" s="34">
        <v>0</v>
      </c>
      <c r="K71" s="34">
        <v>0</v>
      </c>
      <c r="L71" s="5"/>
      <c r="M71" s="33">
        <f>G71</f>
        <v>0</v>
      </c>
      <c r="N71" s="33">
        <f>H71</f>
        <v>0</v>
      </c>
      <c r="O71" s="33">
        <f>I71</f>
        <v>0</v>
      </c>
      <c r="P71" s="34">
        <f>J71</f>
        <v>0</v>
      </c>
      <c r="Q71" s="33">
        <f>K71</f>
        <v>0</v>
      </c>
      <c r="R71" s="33"/>
      <c r="S71" s="33"/>
      <c r="T71" s="33"/>
      <c r="U71" s="33"/>
      <c r="V71" s="33"/>
    </row>
    <row r="72" spans="4:22" x14ac:dyDescent="0.2">
      <c r="D72" s="15"/>
      <c r="E72" s="10"/>
      <c r="G72" s="33"/>
      <c r="H72" s="33"/>
      <c r="I72" s="33"/>
      <c r="J72" s="34"/>
      <c r="K72" s="34"/>
      <c r="L72" s="5"/>
      <c r="M72" s="33"/>
      <c r="N72" s="33"/>
      <c r="O72" s="33"/>
      <c r="P72" s="34"/>
      <c r="Q72" s="34"/>
      <c r="R72" s="34"/>
      <c r="S72" s="34"/>
      <c r="T72" s="34"/>
      <c r="U72" s="34"/>
      <c r="V72" s="34"/>
    </row>
    <row r="73" spans="4:22" x14ac:dyDescent="0.2">
      <c r="D73" s="15" t="s">
        <v>104</v>
      </c>
      <c r="E73" s="10" t="s">
        <v>20</v>
      </c>
      <c r="G73" s="12">
        <f>$G$116*K73</f>
        <v>21497.137566942718</v>
      </c>
      <c r="H73" s="12">
        <f>$H$116*K73</f>
        <v>4291.1421881924534</v>
      </c>
      <c r="I73" s="12">
        <f>$I$116*K73</f>
        <v>127848.72024486483</v>
      </c>
      <c r="J73" s="11">
        <v>0</v>
      </c>
      <c r="K73" s="11">
        <v>153637</v>
      </c>
      <c r="L73" s="5"/>
      <c r="M73" s="12">
        <f t="shared" ref="M73:Q74" si="10">G73</f>
        <v>21497.137566942718</v>
      </c>
      <c r="N73" s="12">
        <f t="shared" si="10"/>
        <v>4291.1421881924534</v>
      </c>
      <c r="O73" s="12">
        <f t="shared" si="10"/>
        <v>127848.72024486483</v>
      </c>
      <c r="P73" s="11">
        <f t="shared" si="10"/>
        <v>0</v>
      </c>
      <c r="Q73" s="11">
        <f>K73</f>
        <v>153637</v>
      </c>
      <c r="R73" s="11"/>
      <c r="S73" s="11"/>
      <c r="T73" s="11"/>
      <c r="U73" s="11"/>
      <c r="V73" s="11"/>
    </row>
    <row r="74" spans="4:22" x14ac:dyDescent="0.2">
      <c r="D74" s="15"/>
      <c r="E74" s="10" t="s">
        <v>21</v>
      </c>
      <c r="G74" s="36">
        <f>$G$116*K74</f>
        <v>0</v>
      </c>
      <c r="H74" s="36">
        <f>$H$116*K74</f>
        <v>0</v>
      </c>
      <c r="I74" s="36">
        <f>$I$116*K74</f>
        <v>0</v>
      </c>
      <c r="J74" s="34">
        <v>0</v>
      </c>
      <c r="K74" s="34">
        <v>0</v>
      </c>
      <c r="L74" s="5"/>
      <c r="M74" s="33">
        <f t="shared" si="10"/>
        <v>0</v>
      </c>
      <c r="N74" s="33">
        <f t="shared" si="10"/>
        <v>0</v>
      </c>
      <c r="O74" s="33">
        <f t="shared" si="10"/>
        <v>0</v>
      </c>
      <c r="P74" s="34">
        <f t="shared" si="10"/>
        <v>0</v>
      </c>
      <c r="Q74" s="33">
        <f t="shared" si="10"/>
        <v>0</v>
      </c>
      <c r="R74" s="33"/>
      <c r="S74" s="33"/>
      <c r="T74" s="33"/>
      <c r="U74" s="33"/>
      <c r="V74" s="33"/>
    </row>
    <row r="75" spans="4:22" x14ac:dyDescent="0.2">
      <c r="D75" s="15"/>
      <c r="E75" s="10"/>
      <c r="J75" s="15"/>
      <c r="K75" s="15"/>
      <c r="L75" s="5"/>
      <c r="P75" s="15"/>
    </row>
    <row r="76" spans="4:22" x14ac:dyDescent="0.2">
      <c r="D76" s="15" t="s">
        <v>120</v>
      </c>
      <c r="E76" s="10" t="s">
        <v>20</v>
      </c>
      <c r="G76" s="12">
        <f>$G$116*K76</f>
        <v>6556.5870802565069</v>
      </c>
      <c r="H76" s="12">
        <f>$H$116*K76</f>
        <v>1308.7904072359534</v>
      </c>
      <c r="I76" s="12">
        <f>$I$116*K76</f>
        <v>38993.622512507536</v>
      </c>
      <c r="J76" s="11">
        <v>0</v>
      </c>
      <c r="K76" s="11">
        <v>46859</v>
      </c>
      <c r="L76" s="5"/>
      <c r="M76" s="12">
        <f t="shared" ref="M76:Q77" si="11">G76</f>
        <v>6556.5870802565069</v>
      </c>
      <c r="N76" s="12">
        <f t="shared" si="11"/>
        <v>1308.7904072359534</v>
      </c>
      <c r="O76" s="12">
        <f t="shared" si="11"/>
        <v>38993.622512507536</v>
      </c>
      <c r="P76" s="11">
        <f t="shared" si="11"/>
        <v>0</v>
      </c>
      <c r="Q76" s="12">
        <f>K76</f>
        <v>46859</v>
      </c>
      <c r="R76" s="12"/>
      <c r="S76" s="12"/>
      <c r="T76" s="12"/>
      <c r="U76" s="12"/>
      <c r="V76" s="12"/>
    </row>
    <row r="77" spans="4:22" x14ac:dyDescent="0.2">
      <c r="E77" s="10" t="s">
        <v>21</v>
      </c>
      <c r="G77" s="36">
        <f>$G$116*K77</f>
        <v>0</v>
      </c>
      <c r="H77" s="36">
        <f>$H$116*K77</f>
        <v>0</v>
      </c>
      <c r="I77" s="36">
        <f>$I$116*K77</f>
        <v>0</v>
      </c>
      <c r="J77" s="34">
        <v>0</v>
      </c>
      <c r="K77" s="34">
        <v>0</v>
      </c>
      <c r="L77" s="5"/>
      <c r="M77" s="33">
        <f t="shared" si="11"/>
        <v>0</v>
      </c>
      <c r="N77" s="33">
        <f t="shared" si="11"/>
        <v>0</v>
      </c>
      <c r="O77" s="33">
        <f t="shared" si="11"/>
        <v>0</v>
      </c>
      <c r="P77" s="34">
        <f t="shared" si="11"/>
        <v>0</v>
      </c>
      <c r="Q77" s="33">
        <f t="shared" si="11"/>
        <v>0</v>
      </c>
      <c r="R77" s="33"/>
      <c r="S77" s="33"/>
      <c r="T77" s="33"/>
      <c r="U77" s="33"/>
      <c r="V77" s="33"/>
    </row>
    <row r="78" spans="4:22" x14ac:dyDescent="0.2">
      <c r="E78" s="10"/>
      <c r="G78" s="36"/>
      <c r="H78" s="36"/>
      <c r="I78" s="36"/>
      <c r="J78" s="34"/>
      <c r="K78" s="34"/>
      <c r="L78" s="5"/>
      <c r="M78" s="33"/>
      <c r="N78" s="33"/>
      <c r="O78" s="33"/>
      <c r="P78" s="34"/>
      <c r="Q78" s="33"/>
      <c r="R78" s="33"/>
      <c r="S78" s="33"/>
      <c r="T78" s="33"/>
      <c r="U78" s="33"/>
      <c r="V78" s="33"/>
    </row>
    <row r="79" spans="4:22" x14ac:dyDescent="0.2">
      <c r="D79" s="3" t="s">
        <v>121</v>
      </c>
      <c r="E79" s="10" t="s">
        <v>20</v>
      </c>
      <c r="G79" s="12">
        <f>$G$116*K79</f>
        <v>26582.029073026966</v>
      </c>
      <c r="H79" s="12">
        <f>$H$116*K79</f>
        <v>5306.1606945490075</v>
      </c>
      <c r="I79" s="12">
        <f>$I$116*K79</f>
        <v>158089.81023242403</v>
      </c>
      <c r="J79" s="11">
        <v>0</v>
      </c>
      <c r="K79" s="11">
        <v>189978</v>
      </c>
      <c r="L79" s="5"/>
      <c r="M79" s="12">
        <f t="shared" ref="M79:Q80" si="12">G79</f>
        <v>26582.029073026966</v>
      </c>
      <c r="N79" s="12">
        <f t="shared" si="12"/>
        <v>5306.1606945490075</v>
      </c>
      <c r="O79" s="12">
        <f t="shared" si="12"/>
        <v>158089.81023242403</v>
      </c>
      <c r="P79" s="11">
        <f t="shared" si="12"/>
        <v>0</v>
      </c>
      <c r="Q79" s="12">
        <f>K79</f>
        <v>189978</v>
      </c>
      <c r="R79" s="12"/>
      <c r="S79" s="12"/>
      <c r="T79" s="12"/>
      <c r="U79" s="12"/>
      <c r="V79" s="12"/>
    </row>
    <row r="80" spans="4:22" x14ac:dyDescent="0.2">
      <c r="E80" s="10" t="s">
        <v>21</v>
      </c>
      <c r="G80" s="36">
        <f>$G$116*K80</f>
        <v>0</v>
      </c>
      <c r="H80" s="36">
        <f>$H$116*K80</f>
        <v>0</v>
      </c>
      <c r="I80" s="36">
        <f>$I$116*K80</f>
        <v>0</v>
      </c>
      <c r="J80" s="34">
        <v>0</v>
      </c>
      <c r="K80" s="34">
        <v>0</v>
      </c>
      <c r="L80" s="5"/>
      <c r="M80" s="33">
        <f t="shared" si="12"/>
        <v>0</v>
      </c>
      <c r="N80" s="33">
        <f t="shared" si="12"/>
        <v>0</v>
      </c>
      <c r="O80" s="33">
        <f t="shared" si="12"/>
        <v>0</v>
      </c>
      <c r="P80" s="34">
        <f t="shared" si="12"/>
        <v>0</v>
      </c>
      <c r="Q80" s="33">
        <f t="shared" si="12"/>
        <v>0</v>
      </c>
      <c r="R80" s="33"/>
      <c r="S80" s="33"/>
      <c r="T80" s="33"/>
      <c r="U80" s="33"/>
      <c r="V80" s="33"/>
    </row>
    <row r="81" spans="2:23" x14ac:dyDescent="0.2">
      <c r="E81" s="10"/>
      <c r="J81" s="15"/>
      <c r="K81" s="15"/>
      <c r="L81" s="5"/>
      <c r="P81" s="15"/>
    </row>
    <row r="82" spans="2:23" x14ac:dyDescent="0.2">
      <c r="D82" s="3" t="s">
        <v>122</v>
      </c>
      <c r="E82" s="10" t="s">
        <v>20</v>
      </c>
      <c r="G82" s="12">
        <f>$G$116*K82</f>
        <v>27837.5457479697</v>
      </c>
      <c r="H82" s="12">
        <f>$H$116*K82</f>
        <v>5556.7801342324883</v>
      </c>
      <c r="I82" s="12">
        <f>$I$116*K82</f>
        <v>165556.67411779781</v>
      </c>
      <c r="J82" s="11">
        <v>0</v>
      </c>
      <c r="K82" s="11">
        <v>198951</v>
      </c>
      <c r="L82" s="5"/>
      <c r="M82" s="12">
        <f t="shared" ref="M82:Q83" si="13">G82</f>
        <v>27837.5457479697</v>
      </c>
      <c r="N82" s="12">
        <f t="shared" si="13"/>
        <v>5556.7801342324883</v>
      </c>
      <c r="O82" s="12">
        <f t="shared" si="13"/>
        <v>165556.67411779781</v>
      </c>
      <c r="P82" s="11">
        <f t="shared" si="13"/>
        <v>0</v>
      </c>
      <c r="Q82" s="12">
        <f>K82</f>
        <v>198951</v>
      </c>
      <c r="R82" s="12"/>
      <c r="S82" s="12"/>
      <c r="T82" s="12"/>
      <c r="U82" s="12"/>
      <c r="V82" s="12"/>
    </row>
    <row r="83" spans="2:23" x14ac:dyDescent="0.2">
      <c r="E83" s="10" t="s">
        <v>21</v>
      </c>
      <c r="G83" s="36">
        <f>$G$116*K83</f>
        <v>0</v>
      </c>
      <c r="H83" s="36">
        <f>$H$116*K83</f>
        <v>0</v>
      </c>
      <c r="I83" s="36">
        <f>$I$116*K83</f>
        <v>0</v>
      </c>
      <c r="J83" s="34">
        <v>0</v>
      </c>
      <c r="K83" s="34">
        <v>0</v>
      </c>
      <c r="L83" s="5"/>
      <c r="M83" s="33">
        <f t="shared" si="13"/>
        <v>0</v>
      </c>
      <c r="N83" s="33">
        <f t="shared" si="13"/>
        <v>0</v>
      </c>
      <c r="O83" s="33">
        <f t="shared" si="13"/>
        <v>0</v>
      </c>
      <c r="P83" s="34">
        <f t="shared" si="13"/>
        <v>0</v>
      </c>
      <c r="Q83" s="33">
        <f t="shared" si="13"/>
        <v>0</v>
      </c>
      <c r="R83" s="33"/>
      <c r="S83" s="33"/>
      <c r="T83" s="33"/>
      <c r="U83" s="33"/>
      <c r="V83" s="33"/>
    </row>
    <row r="84" spans="2:23" x14ac:dyDescent="0.2">
      <c r="E84" s="10"/>
      <c r="J84" s="15"/>
      <c r="K84" s="15"/>
      <c r="L84" s="5"/>
      <c r="P84" s="15"/>
    </row>
    <row r="85" spans="2:23" x14ac:dyDescent="0.2">
      <c r="D85" s="15" t="s">
        <v>66</v>
      </c>
      <c r="E85" s="10" t="s">
        <v>20</v>
      </c>
      <c r="G85" s="12">
        <f>$G$116*K85</f>
        <v>1076.6968476188954</v>
      </c>
      <c r="H85" s="12">
        <f>$H$116*K85</f>
        <v>214.92439411171091</v>
      </c>
      <c r="I85" s="12">
        <f>$I$116*K85</f>
        <v>6403.378758269394</v>
      </c>
      <c r="J85" s="11">
        <v>0</v>
      </c>
      <c r="K85" s="11">
        <v>7695</v>
      </c>
      <c r="L85" s="5"/>
      <c r="M85" s="12">
        <f>G85</f>
        <v>1076.6968476188954</v>
      </c>
      <c r="N85" s="12">
        <f>H85</f>
        <v>214.92439411171091</v>
      </c>
      <c r="O85" s="12">
        <f>I85</f>
        <v>6403.378758269394</v>
      </c>
      <c r="P85" s="11">
        <f>J85</f>
        <v>0</v>
      </c>
      <c r="Q85" s="12">
        <f>K85</f>
        <v>7695</v>
      </c>
      <c r="R85" s="12"/>
      <c r="S85" s="12"/>
      <c r="T85" s="12"/>
      <c r="U85" s="12"/>
      <c r="V85" s="12"/>
    </row>
    <row r="86" spans="2:23" ht="13.5" thickBot="1" x14ac:dyDescent="0.25">
      <c r="D86" s="15"/>
      <c r="J86" s="15"/>
      <c r="L86" s="5"/>
      <c r="W86" s="38"/>
    </row>
    <row r="87" spans="2:23" ht="13.5" thickBot="1" x14ac:dyDescent="0.25">
      <c r="B87" s="2" t="s">
        <v>67</v>
      </c>
      <c r="E87" s="10" t="s">
        <v>20</v>
      </c>
      <c r="G87" s="31">
        <f>G61+G64+G67+G70+G73+G76+G79+G82+G85</f>
        <v>104822.00000000001</v>
      </c>
      <c r="H87" s="31">
        <f>H61+H64+H67+H70+H73+H76+H79+H82+H85</f>
        <v>20923.999999999996</v>
      </c>
      <c r="I87" s="31">
        <f>I61+I64+I67+I70+I73+I76+I79+I82+I85</f>
        <v>761587</v>
      </c>
      <c r="J87" s="31">
        <f>J61+J64+J67+J70+J73+J76+J79+J82+J85</f>
        <v>0</v>
      </c>
      <c r="K87" s="39">
        <f>SUM(G87:J87)</f>
        <v>887333</v>
      </c>
      <c r="L87" s="32"/>
      <c r="M87" s="31">
        <f>M61+M64+M67+M70+M73+M76+M79+M82+M85</f>
        <v>99774.635471762609</v>
      </c>
      <c r="N87" s="31">
        <f>N61+N64+N67+N70+N73+N76+N79+N82+N85</f>
        <v>19916.472425742308</v>
      </c>
      <c r="O87" s="31">
        <f>O61+O64+O67+O70+O73+O76+O79+O82+O85</f>
        <v>731569.09210249502</v>
      </c>
      <c r="P87" s="31">
        <f>P61+P64+P67+P70+P73+P76+P79+P82+P85</f>
        <v>0</v>
      </c>
      <c r="Q87" s="31">
        <f>SUM(M87:P87)</f>
        <v>851260.2</v>
      </c>
      <c r="R87" s="86"/>
      <c r="S87" s="86"/>
      <c r="T87" s="86"/>
      <c r="U87" s="86"/>
      <c r="V87" s="86"/>
      <c r="W87" s="40"/>
    </row>
    <row r="88" spans="2:23" x14ac:dyDescent="0.2">
      <c r="B88" s="2"/>
      <c r="E88" s="10" t="s">
        <v>21</v>
      </c>
      <c r="G88" s="41">
        <f>G62+G65+G68+G71+G74+G77+G80+G83</f>
        <v>0</v>
      </c>
      <c r="H88" s="41">
        <f>H62+H65+H68+H71+H74+H77+H80+H83</f>
        <v>0</v>
      </c>
      <c r="I88" s="41">
        <f>I62+I65+I68+I71+I74+I77+I80+I83</f>
        <v>0</v>
      </c>
      <c r="J88" s="41">
        <f>J62+J65+J68+J71+J74+J77+J80+J83</f>
        <v>0</v>
      </c>
      <c r="K88" s="42">
        <f>SUM(G88:J88)</f>
        <v>0</v>
      </c>
      <c r="L88" s="43"/>
      <c r="M88" s="41">
        <f>M62+M65+M68+M71+M74+M77+M80+M83</f>
        <v>0</v>
      </c>
      <c r="N88" s="41">
        <f>N62+N65+N68+N71+N74+N77+N80+N83</f>
        <v>0</v>
      </c>
      <c r="O88" s="41">
        <f>O62+O65+O68+O71+O74+O77+O80+O83</f>
        <v>0</v>
      </c>
      <c r="P88" s="41">
        <f>P62+P65+P68+P71+P74+P77+P80+P83</f>
        <v>0</v>
      </c>
      <c r="Q88" s="44">
        <f>SUM(M88:P88)</f>
        <v>0</v>
      </c>
      <c r="R88" s="42"/>
      <c r="S88" s="42"/>
      <c r="T88" s="42"/>
      <c r="U88" s="42"/>
      <c r="V88" s="42"/>
    </row>
    <row r="89" spans="2:23" x14ac:dyDescent="0.2">
      <c r="K89" s="12"/>
      <c r="L89" s="5"/>
      <c r="W89" s="12"/>
    </row>
    <row r="90" spans="2:23" ht="13.5" thickBot="1" x14ac:dyDescent="0.25">
      <c r="L90" s="5"/>
    </row>
    <row r="91" spans="2:23" ht="15" thickBot="1" x14ac:dyDescent="0.25">
      <c r="B91" s="6" t="s">
        <v>68</v>
      </c>
      <c r="G91" s="45">
        <f>G57+G87</f>
        <v>162489</v>
      </c>
      <c r="H91" s="45">
        <f>H57+H87</f>
        <v>25335.999999999996</v>
      </c>
      <c r="I91" s="45">
        <f>I57+I87</f>
        <v>952100</v>
      </c>
      <c r="J91" s="45">
        <f t="shared" ref="J91:Q91" si="14">J57+J87</f>
        <v>0</v>
      </c>
      <c r="K91" s="45">
        <f>K57+K87</f>
        <v>1139925</v>
      </c>
      <c r="L91" s="46">
        <f t="shared" si="14"/>
        <v>0</v>
      </c>
      <c r="M91" s="45">
        <f t="shared" si="14"/>
        <v>147759.25529573523</v>
      </c>
      <c r="N91" s="45">
        <f t="shared" si="14"/>
        <v>23370.474745835447</v>
      </c>
      <c r="O91" s="79">
        <f t="shared" si="14"/>
        <v>833719.16017507692</v>
      </c>
      <c r="P91" s="45">
        <f t="shared" si="14"/>
        <v>0</v>
      </c>
      <c r="Q91" s="45">
        <f t="shared" si="14"/>
        <v>1004848.8902166476</v>
      </c>
      <c r="R91" s="86"/>
      <c r="S91" s="86"/>
      <c r="T91" s="86"/>
      <c r="U91" s="86"/>
      <c r="V91" s="86"/>
    </row>
    <row r="92" spans="2:23" ht="13.5" thickTop="1" x14ac:dyDescent="0.2">
      <c r="I92" s="77"/>
      <c r="L92" s="5"/>
      <c r="O92" s="80"/>
    </row>
    <row r="93" spans="2:23" x14ac:dyDescent="0.2">
      <c r="I93" s="77"/>
      <c r="L93" s="5"/>
      <c r="O93" s="80"/>
    </row>
    <row r="94" spans="2:23" x14ac:dyDescent="0.2">
      <c r="I94" s="77"/>
      <c r="L94" s="5"/>
      <c r="O94" s="80"/>
    </row>
    <row r="95" spans="2:23" x14ac:dyDescent="0.2">
      <c r="I95" s="77"/>
      <c r="L95" s="5"/>
      <c r="O95" s="80"/>
    </row>
    <row r="96" spans="2:23" x14ac:dyDescent="0.2">
      <c r="I96" s="77"/>
      <c r="L96" s="5"/>
      <c r="O96" s="80"/>
    </row>
    <row r="97" spans="9:15" x14ac:dyDescent="0.2">
      <c r="I97" s="77"/>
      <c r="L97" s="5"/>
      <c r="O97" s="80"/>
    </row>
    <row r="98" spans="9:15" x14ac:dyDescent="0.2">
      <c r="I98" s="77"/>
      <c r="L98" s="5"/>
      <c r="O98" s="80"/>
    </row>
    <row r="99" spans="9:15" x14ac:dyDescent="0.2">
      <c r="I99" s="77"/>
      <c r="L99" s="5"/>
      <c r="O99" s="80"/>
    </row>
    <row r="100" spans="9:15" x14ac:dyDescent="0.2">
      <c r="I100" s="77"/>
      <c r="L100" s="5"/>
      <c r="O100" s="80"/>
    </row>
    <row r="101" spans="9:15" x14ac:dyDescent="0.2">
      <c r="I101" s="77"/>
      <c r="L101" s="5"/>
      <c r="O101" s="80"/>
    </row>
    <row r="102" spans="9:15" x14ac:dyDescent="0.2">
      <c r="I102" s="77"/>
      <c r="L102" s="5"/>
      <c r="O102" s="80"/>
    </row>
    <row r="103" spans="9:15" x14ac:dyDescent="0.2">
      <c r="I103" s="77"/>
      <c r="L103" s="5"/>
      <c r="O103" s="80"/>
    </row>
    <row r="104" spans="9:15" x14ac:dyDescent="0.2">
      <c r="I104" s="77"/>
      <c r="L104" s="5"/>
      <c r="O104" s="80"/>
    </row>
    <row r="105" spans="9:15" x14ac:dyDescent="0.2">
      <c r="I105" s="77"/>
      <c r="L105" s="5"/>
      <c r="O105" s="80"/>
    </row>
    <row r="106" spans="9:15" x14ac:dyDescent="0.2">
      <c r="I106" s="77"/>
      <c r="L106" s="5"/>
      <c r="O106" s="80"/>
    </row>
    <row r="107" spans="9:15" x14ac:dyDescent="0.2">
      <c r="I107" s="77"/>
      <c r="L107" s="5"/>
      <c r="O107" s="80"/>
    </row>
    <row r="108" spans="9:15" x14ac:dyDescent="0.2">
      <c r="I108" s="77"/>
      <c r="L108" s="5"/>
      <c r="O108" s="80"/>
    </row>
    <row r="109" spans="9:15" x14ac:dyDescent="0.2">
      <c r="I109" s="77"/>
      <c r="L109" s="5"/>
      <c r="O109" s="80"/>
    </row>
    <row r="110" spans="9:15" x14ac:dyDescent="0.2">
      <c r="I110" s="77"/>
      <c r="L110" s="5"/>
      <c r="O110" s="80"/>
    </row>
    <row r="111" spans="9:15" x14ac:dyDescent="0.2">
      <c r="I111" s="77"/>
      <c r="L111" s="5"/>
      <c r="O111" s="80"/>
    </row>
    <row r="112" spans="9:15" x14ac:dyDescent="0.2">
      <c r="I112" s="77"/>
      <c r="L112" s="5"/>
      <c r="O112" s="80"/>
    </row>
    <row r="113" spans="5:15" x14ac:dyDescent="0.2">
      <c r="I113" s="77"/>
      <c r="L113" s="5"/>
      <c r="O113" s="80"/>
    </row>
    <row r="114" spans="5:15" x14ac:dyDescent="0.2">
      <c r="I114" s="77"/>
      <c r="L114" s="5"/>
      <c r="O114" s="80"/>
    </row>
    <row r="115" spans="5:15" ht="13.5" thickBot="1" x14ac:dyDescent="0.25">
      <c r="L115" s="5"/>
    </row>
    <row r="116" spans="5:15" x14ac:dyDescent="0.2">
      <c r="E116" s="50"/>
      <c r="F116" s="51"/>
      <c r="G116" s="52">
        <f>G128</f>
        <v>0.1399216176242879</v>
      </c>
      <c r="H116" s="52">
        <f>H128</f>
        <v>2.7930395596063796E-2</v>
      </c>
      <c r="I116" s="52">
        <f>I128</f>
        <v>0.8321479867796483</v>
      </c>
      <c r="J116" s="51"/>
      <c r="K116" s="53"/>
      <c r="L116" s="5"/>
      <c r="M116" s="47"/>
      <c r="N116" s="47"/>
      <c r="O116" s="47"/>
    </row>
    <row r="117" spans="5:15" x14ac:dyDescent="0.2">
      <c r="E117" s="54"/>
      <c r="F117" s="38"/>
      <c r="G117" s="38"/>
      <c r="H117" s="38"/>
      <c r="I117" s="38"/>
      <c r="J117" s="38"/>
      <c r="K117" s="55"/>
      <c r="L117" s="5"/>
      <c r="M117" s="48"/>
    </row>
    <row r="118" spans="5:15" x14ac:dyDescent="0.2">
      <c r="E118" s="54" t="s">
        <v>69</v>
      </c>
      <c r="F118" s="38"/>
      <c r="G118" s="38"/>
      <c r="H118" s="38"/>
      <c r="I118" s="38"/>
      <c r="J118" s="38"/>
      <c r="K118" s="56">
        <v>887333</v>
      </c>
      <c r="L118" s="5"/>
      <c r="M118" s="49"/>
    </row>
    <row r="119" spans="5:15" x14ac:dyDescent="0.2">
      <c r="E119" s="54" t="s">
        <v>91</v>
      </c>
      <c r="F119" s="38"/>
      <c r="G119" s="38"/>
      <c r="H119" s="38"/>
      <c r="I119" s="38"/>
      <c r="J119" s="38"/>
      <c r="K119" s="56">
        <v>0</v>
      </c>
      <c r="L119" s="5"/>
      <c r="M119" s="49"/>
    </row>
    <row r="120" spans="5:15" x14ac:dyDescent="0.2">
      <c r="E120" s="54"/>
      <c r="F120" s="38"/>
      <c r="G120" s="38"/>
      <c r="H120" s="38"/>
      <c r="I120" s="38"/>
      <c r="J120" s="38"/>
      <c r="K120" s="56"/>
      <c r="L120" s="5"/>
      <c r="M120" s="49"/>
    </row>
    <row r="121" spans="5:15" x14ac:dyDescent="0.2">
      <c r="E121" s="54" t="s">
        <v>70</v>
      </c>
      <c r="F121" s="38"/>
      <c r="G121" s="38"/>
      <c r="H121" s="38"/>
      <c r="I121" s="38"/>
      <c r="J121" s="38"/>
      <c r="K121" s="72">
        <f>SUM(K118:K120)</f>
        <v>887333</v>
      </c>
      <c r="L121" s="5"/>
      <c r="M121" s="49"/>
    </row>
    <row r="122" spans="5:15" x14ac:dyDescent="0.2">
      <c r="E122" s="54" t="s">
        <v>71</v>
      </c>
      <c r="F122" s="38"/>
      <c r="G122" s="38"/>
      <c r="H122" s="38"/>
      <c r="I122" s="38"/>
      <c r="J122" s="38"/>
      <c r="K122" s="56">
        <f>-K61</f>
        <v>-138185</v>
      </c>
      <c r="L122" s="5"/>
      <c r="M122" s="49"/>
    </row>
    <row r="123" spans="5:15" ht="13.5" thickBot="1" x14ac:dyDescent="0.25">
      <c r="E123" s="54" t="s">
        <v>72</v>
      </c>
      <c r="F123" s="38"/>
      <c r="G123" s="38"/>
      <c r="H123" s="38"/>
      <c r="I123" s="38"/>
      <c r="J123" s="38"/>
      <c r="K123" s="73">
        <f>SUM(K121:K122)</f>
        <v>749148</v>
      </c>
      <c r="L123" s="5"/>
      <c r="M123" s="49"/>
    </row>
    <row r="124" spans="5:15" ht="13.5" thickTop="1" x14ac:dyDescent="0.2">
      <c r="E124" s="54"/>
      <c r="F124" s="38"/>
      <c r="G124" s="38"/>
      <c r="H124" s="38"/>
      <c r="I124" s="38"/>
      <c r="J124" s="38"/>
      <c r="K124" s="56"/>
      <c r="L124" s="5"/>
      <c r="M124" s="49"/>
    </row>
    <row r="125" spans="5:15" ht="13.5" thickBot="1" x14ac:dyDescent="0.25">
      <c r="E125" s="57" t="s">
        <v>73</v>
      </c>
      <c r="F125" s="38"/>
      <c r="G125" s="58">
        <v>104822</v>
      </c>
      <c r="H125" s="59">
        <v>20924</v>
      </c>
      <c r="I125" s="59">
        <v>761587</v>
      </c>
      <c r="J125" s="38"/>
      <c r="K125" s="56"/>
      <c r="L125" s="5"/>
      <c r="M125" s="49"/>
    </row>
    <row r="126" spans="5:15" ht="13.5" thickTop="1" x14ac:dyDescent="0.2">
      <c r="E126" s="54" t="s">
        <v>74</v>
      </c>
      <c r="F126" s="38"/>
      <c r="G126" s="60"/>
      <c r="H126" s="61"/>
      <c r="I126" s="61">
        <f>-K61</f>
        <v>-138185</v>
      </c>
      <c r="K126" s="55"/>
      <c r="L126" s="5"/>
    </row>
    <row r="127" spans="5:15" ht="13.5" thickBot="1" x14ac:dyDescent="0.25">
      <c r="E127" s="54" t="s">
        <v>75</v>
      </c>
      <c r="F127" s="38"/>
      <c r="G127" s="63"/>
      <c r="H127" s="64">
        <f>SUM(H125:H126)</f>
        <v>20924</v>
      </c>
      <c r="I127" s="64">
        <f>SUM(I125:I126)</f>
        <v>623402</v>
      </c>
      <c r="J127" s="65"/>
      <c r="K127" s="56"/>
      <c r="L127" s="5"/>
    </row>
    <row r="128" spans="5:15" ht="14.25" thickTop="1" thickBot="1" x14ac:dyDescent="0.25">
      <c r="E128" s="54" t="s">
        <v>76</v>
      </c>
      <c r="F128" s="38"/>
      <c r="G128" s="66">
        <f>1-(H128+I128)</f>
        <v>0.1399216176242879</v>
      </c>
      <c r="H128" s="66">
        <f>H$127/$K$123</f>
        <v>2.7930395596063796E-2</v>
      </c>
      <c r="I128" s="66">
        <f>I$127/$K$123</f>
        <v>0.8321479867796483</v>
      </c>
      <c r="J128" s="49"/>
      <c r="K128" s="56"/>
      <c r="L128" s="5"/>
    </row>
    <row r="129" spans="2:13" ht="14.25" thickTop="1" thickBot="1" x14ac:dyDescent="0.25">
      <c r="E129" s="67"/>
      <c r="F129" s="68"/>
      <c r="G129" s="69" t="s">
        <v>77</v>
      </c>
      <c r="H129" s="69" t="s">
        <v>78</v>
      </c>
      <c r="I129" s="69" t="s">
        <v>79</v>
      </c>
      <c r="J129" s="68"/>
      <c r="K129" s="70"/>
      <c r="L129" s="5"/>
    </row>
    <row r="130" spans="2:13" x14ac:dyDescent="0.2">
      <c r="J130" s="51"/>
      <c r="K130" s="74"/>
      <c r="L130" s="15"/>
    </row>
    <row r="131" spans="2:13" x14ac:dyDescent="0.2">
      <c r="J131" s="38"/>
      <c r="K131" s="63"/>
      <c r="L131" s="15"/>
    </row>
    <row r="132" spans="2:13" x14ac:dyDescent="0.2">
      <c r="B132" s="2" t="s">
        <v>84</v>
      </c>
      <c r="C132" s="2"/>
      <c r="D132" s="2" t="s">
        <v>123</v>
      </c>
      <c r="E132" s="78"/>
      <c r="F132" s="71"/>
      <c r="G132" s="49"/>
      <c r="H132" s="49"/>
      <c r="I132" s="88"/>
      <c r="J132" s="89"/>
      <c r="K132" s="90"/>
      <c r="L132" s="15"/>
    </row>
    <row r="133" spans="2:13" x14ac:dyDescent="0.2">
      <c r="B133" s="2" t="s">
        <v>85</v>
      </c>
      <c r="C133" s="2"/>
      <c r="D133" s="2"/>
      <c r="E133" s="71"/>
      <c r="F133" s="71"/>
      <c r="G133" s="71"/>
      <c r="H133" s="71"/>
      <c r="I133" s="88"/>
      <c r="J133" s="89"/>
      <c r="K133" s="89"/>
      <c r="M133" s="62"/>
    </row>
    <row r="134" spans="2:13" x14ac:dyDescent="0.2">
      <c r="B134" s="2" t="s">
        <v>81</v>
      </c>
      <c r="C134" s="2"/>
      <c r="D134" s="131" t="s">
        <v>124</v>
      </c>
      <c r="E134" s="71"/>
      <c r="F134" s="71"/>
      <c r="G134" s="71"/>
      <c r="H134" s="49"/>
      <c r="I134" s="49"/>
      <c r="J134" s="38"/>
      <c r="K134" s="38"/>
    </row>
    <row r="135" spans="2:13" x14ac:dyDescent="0.2">
      <c r="B135" s="2" t="s">
        <v>83</v>
      </c>
      <c r="C135" s="2"/>
      <c r="D135" s="131"/>
      <c r="E135" s="71"/>
      <c r="F135" s="71"/>
      <c r="G135" s="75"/>
      <c r="H135" s="75"/>
      <c r="I135" s="75"/>
    </row>
    <row r="136" spans="2:13" x14ac:dyDescent="0.2">
      <c r="B136" s="2" t="s">
        <v>82</v>
      </c>
      <c r="C136" s="2"/>
      <c r="D136" s="131"/>
      <c r="E136" s="71"/>
      <c r="F136" s="71"/>
      <c r="G136" s="49"/>
      <c r="H136" s="49"/>
      <c r="I136" s="49"/>
    </row>
    <row r="137" spans="2:13" x14ac:dyDescent="0.2">
      <c r="E137" s="71"/>
      <c r="F137" s="71"/>
      <c r="G137" s="75"/>
      <c r="H137" s="75"/>
      <c r="I137" s="75"/>
    </row>
    <row r="138" spans="2:13" x14ac:dyDescent="0.2">
      <c r="B138" s="2" t="s">
        <v>92</v>
      </c>
      <c r="D138" s="2" t="s">
        <v>125</v>
      </c>
      <c r="E138" s="71"/>
      <c r="F138" s="71"/>
      <c r="G138" s="76"/>
      <c r="H138" s="76"/>
      <c r="I138" s="76"/>
      <c r="J138" s="38"/>
    </row>
    <row r="139" spans="2:13" x14ac:dyDescent="0.2">
      <c r="G139" s="63"/>
      <c r="H139" s="63"/>
      <c r="I139" s="63"/>
      <c r="J139" s="38"/>
    </row>
    <row r="140" spans="2:13" x14ac:dyDescent="0.2">
      <c r="G140" s="38"/>
      <c r="H140" s="38"/>
      <c r="I140" s="38"/>
      <c r="J140" s="38"/>
    </row>
  </sheetData>
  <mergeCells count="3">
    <mergeCell ref="G3:K3"/>
    <mergeCell ref="M3:Q3"/>
    <mergeCell ref="D134:D136"/>
  </mergeCells>
  <printOptions horizontalCentered="1"/>
  <pageMargins left="0.25" right="0.25" top="0.5" bottom="0.25" header="0.25" footer="0"/>
  <pageSetup scale="58" fitToHeight="0" orientation="landscape" copies="2" r:id="rId1"/>
  <headerFooter alignWithMargins="0"/>
  <rowBreaks count="1" manualBreakCount="1">
    <brk id="58"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W176"/>
  <sheetViews>
    <sheetView zoomScaleNormal="100" workbookViewId="0">
      <selection activeCell="B1" sqref="B1"/>
    </sheetView>
  </sheetViews>
  <sheetFormatPr defaultRowHeight="12.75" x14ac:dyDescent="0.2"/>
  <cols>
    <col min="1" max="1" width="0.85546875" style="3" customWidth="1"/>
    <col min="2" max="2" width="22.140625" style="3" customWidth="1"/>
    <col min="3" max="3" width="0.85546875" style="3" customWidth="1"/>
    <col min="4" max="4" width="30.7109375" style="3" customWidth="1"/>
    <col min="5" max="5" width="22" style="3" bestFit="1" customWidth="1"/>
    <col min="6" max="6" width="0.85546875" style="3" customWidth="1"/>
    <col min="7" max="7" width="14.7109375" style="3" customWidth="1"/>
    <col min="8" max="8" width="16" style="3" customWidth="1"/>
    <col min="9" max="9" width="14.7109375" style="3" customWidth="1"/>
    <col min="10" max="10" width="17.85546875" style="3" customWidth="1"/>
    <col min="11" max="11" width="16.85546875" style="3" customWidth="1"/>
    <col min="12" max="12" width="1.7109375" style="3" customWidth="1"/>
    <col min="13" max="14" width="14.7109375" style="3" customWidth="1"/>
    <col min="15" max="15" width="17.42578125" style="3" customWidth="1"/>
    <col min="16" max="16" width="14.7109375" style="3" customWidth="1"/>
    <col min="17" max="21" width="15.7109375" style="3" customWidth="1"/>
    <col min="22" max="22" width="13.140625" style="3" bestFit="1" customWidth="1"/>
    <col min="23" max="23" width="47" style="3" bestFit="1" customWidth="1"/>
    <col min="24" max="260" width="9.140625" style="3"/>
    <col min="261" max="261" width="0.85546875" style="3" customWidth="1"/>
    <col min="262" max="262" width="22.140625" style="3" customWidth="1"/>
    <col min="263" max="263" width="0.85546875" style="3" customWidth="1"/>
    <col min="264" max="264" width="30.7109375" style="3" customWidth="1"/>
    <col min="265" max="265" width="22" style="3" bestFit="1" customWidth="1"/>
    <col min="266" max="266" width="0.85546875" style="3" customWidth="1"/>
    <col min="267" max="267" width="14.7109375" style="3" customWidth="1"/>
    <col min="268" max="268" width="16" style="3" customWidth="1"/>
    <col min="269" max="269" width="14.7109375" style="3" customWidth="1"/>
    <col min="270" max="270" width="17.85546875" style="3" customWidth="1"/>
    <col min="271" max="271" width="16.85546875" style="3" customWidth="1"/>
    <col min="272" max="272" width="1.7109375" style="3" customWidth="1"/>
    <col min="273" max="274" width="14.7109375" style="3" customWidth="1"/>
    <col min="275" max="275" width="17.42578125" style="3" customWidth="1"/>
    <col min="276" max="276" width="14.7109375" style="3" customWidth="1"/>
    <col min="277" max="277" width="15.7109375" style="3" customWidth="1"/>
    <col min="278" max="278" width="13.140625" style="3" bestFit="1" customWidth="1"/>
    <col min="279" max="279" width="47" style="3" bestFit="1" customWidth="1"/>
    <col min="280" max="516" width="9.140625" style="3"/>
    <col min="517" max="517" width="0.85546875" style="3" customWidth="1"/>
    <col min="518" max="518" width="22.140625" style="3" customWidth="1"/>
    <col min="519" max="519" width="0.85546875" style="3" customWidth="1"/>
    <col min="520" max="520" width="30.7109375" style="3" customWidth="1"/>
    <col min="521" max="521" width="22" style="3" bestFit="1" customWidth="1"/>
    <col min="522" max="522" width="0.85546875" style="3" customWidth="1"/>
    <col min="523" max="523" width="14.7109375" style="3" customWidth="1"/>
    <col min="524" max="524" width="16" style="3" customWidth="1"/>
    <col min="525" max="525" width="14.7109375" style="3" customWidth="1"/>
    <col min="526" max="526" width="17.85546875" style="3" customWidth="1"/>
    <col min="527" max="527" width="16.85546875" style="3" customWidth="1"/>
    <col min="528" max="528" width="1.7109375" style="3" customWidth="1"/>
    <col min="529" max="530" width="14.7109375" style="3" customWidth="1"/>
    <col min="531" max="531" width="17.42578125" style="3" customWidth="1"/>
    <col min="532" max="532" width="14.7109375" style="3" customWidth="1"/>
    <col min="533" max="533" width="15.7109375" style="3" customWidth="1"/>
    <col min="534" max="534" width="13.140625" style="3" bestFit="1" customWidth="1"/>
    <col min="535" max="535" width="47" style="3" bestFit="1" customWidth="1"/>
    <col min="536" max="772" width="9.140625" style="3"/>
    <col min="773" max="773" width="0.85546875" style="3" customWidth="1"/>
    <col min="774" max="774" width="22.140625" style="3" customWidth="1"/>
    <col min="775" max="775" width="0.85546875" style="3" customWidth="1"/>
    <col min="776" max="776" width="30.7109375" style="3" customWidth="1"/>
    <col min="777" max="777" width="22" style="3" bestFit="1" customWidth="1"/>
    <col min="778" max="778" width="0.85546875" style="3" customWidth="1"/>
    <col min="779" max="779" width="14.7109375" style="3" customWidth="1"/>
    <col min="780" max="780" width="16" style="3" customWidth="1"/>
    <col min="781" max="781" width="14.7109375" style="3" customWidth="1"/>
    <col min="782" max="782" width="17.85546875" style="3" customWidth="1"/>
    <col min="783" max="783" width="16.85546875" style="3" customWidth="1"/>
    <col min="784" max="784" width="1.7109375" style="3" customWidth="1"/>
    <col min="785" max="786" width="14.7109375" style="3" customWidth="1"/>
    <col min="787" max="787" width="17.42578125" style="3" customWidth="1"/>
    <col min="788" max="788" width="14.7109375" style="3" customWidth="1"/>
    <col min="789" max="789" width="15.7109375" style="3" customWidth="1"/>
    <col min="790" max="790" width="13.140625" style="3" bestFit="1" customWidth="1"/>
    <col min="791" max="791" width="47" style="3" bestFit="1" customWidth="1"/>
    <col min="792" max="1028" width="9.140625" style="3"/>
    <col min="1029" max="1029" width="0.85546875" style="3" customWidth="1"/>
    <col min="1030" max="1030" width="22.140625" style="3" customWidth="1"/>
    <col min="1031" max="1031" width="0.85546875" style="3" customWidth="1"/>
    <col min="1032" max="1032" width="30.7109375" style="3" customWidth="1"/>
    <col min="1033" max="1033" width="22" style="3" bestFit="1" customWidth="1"/>
    <col min="1034" max="1034" width="0.85546875" style="3" customWidth="1"/>
    <col min="1035" max="1035" width="14.7109375" style="3" customWidth="1"/>
    <col min="1036" max="1036" width="16" style="3" customWidth="1"/>
    <col min="1037" max="1037" width="14.7109375" style="3" customWidth="1"/>
    <col min="1038" max="1038" width="17.85546875" style="3" customWidth="1"/>
    <col min="1039" max="1039" width="16.85546875" style="3" customWidth="1"/>
    <col min="1040" max="1040" width="1.7109375" style="3" customWidth="1"/>
    <col min="1041" max="1042" width="14.7109375" style="3" customWidth="1"/>
    <col min="1043" max="1043" width="17.42578125" style="3" customWidth="1"/>
    <col min="1044" max="1044" width="14.7109375" style="3" customWidth="1"/>
    <col min="1045" max="1045" width="15.7109375" style="3" customWidth="1"/>
    <col min="1046" max="1046" width="13.140625" style="3" bestFit="1" customWidth="1"/>
    <col min="1047" max="1047" width="47" style="3" bestFit="1" customWidth="1"/>
    <col min="1048" max="1284" width="9.140625" style="3"/>
    <col min="1285" max="1285" width="0.85546875" style="3" customWidth="1"/>
    <col min="1286" max="1286" width="22.140625" style="3" customWidth="1"/>
    <col min="1287" max="1287" width="0.85546875" style="3" customWidth="1"/>
    <col min="1288" max="1288" width="30.7109375" style="3" customWidth="1"/>
    <col min="1289" max="1289" width="22" style="3" bestFit="1" customWidth="1"/>
    <col min="1290" max="1290" width="0.85546875" style="3" customWidth="1"/>
    <col min="1291" max="1291" width="14.7109375" style="3" customWidth="1"/>
    <col min="1292" max="1292" width="16" style="3" customWidth="1"/>
    <col min="1293" max="1293" width="14.7109375" style="3" customWidth="1"/>
    <col min="1294" max="1294" width="17.85546875" style="3" customWidth="1"/>
    <col min="1295" max="1295" width="16.85546875" style="3" customWidth="1"/>
    <col min="1296" max="1296" width="1.7109375" style="3" customWidth="1"/>
    <col min="1297" max="1298" width="14.7109375" style="3" customWidth="1"/>
    <col min="1299" max="1299" width="17.42578125" style="3" customWidth="1"/>
    <col min="1300" max="1300" width="14.7109375" style="3" customWidth="1"/>
    <col min="1301" max="1301" width="15.7109375" style="3" customWidth="1"/>
    <col min="1302" max="1302" width="13.140625" style="3" bestFit="1" customWidth="1"/>
    <col min="1303" max="1303" width="47" style="3" bestFit="1" customWidth="1"/>
    <col min="1304" max="1540" width="9.140625" style="3"/>
    <col min="1541" max="1541" width="0.85546875" style="3" customWidth="1"/>
    <col min="1542" max="1542" width="22.140625" style="3" customWidth="1"/>
    <col min="1543" max="1543" width="0.85546875" style="3" customWidth="1"/>
    <col min="1544" max="1544" width="30.7109375" style="3" customWidth="1"/>
    <col min="1545" max="1545" width="22" style="3" bestFit="1" customWidth="1"/>
    <col min="1546" max="1546" width="0.85546875" style="3" customWidth="1"/>
    <col min="1547" max="1547" width="14.7109375" style="3" customWidth="1"/>
    <col min="1548" max="1548" width="16" style="3" customWidth="1"/>
    <col min="1549" max="1549" width="14.7109375" style="3" customWidth="1"/>
    <col min="1550" max="1550" width="17.85546875" style="3" customWidth="1"/>
    <col min="1551" max="1551" width="16.85546875" style="3" customWidth="1"/>
    <col min="1552" max="1552" width="1.7109375" style="3" customWidth="1"/>
    <col min="1553" max="1554" width="14.7109375" style="3" customWidth="1"/>
    <col min="1555" max="1555" width="17.42578125" style="3" customWidth="1"/>
    <col min="1556" max="1556" width="14.7109375" style="3" customWidth="1"/>
    <col min="1557" max="1557" width="15.7109375" style="3" customWidth="1"/>
    <col min="1558" max="1558" width="13.140625" style="3" bestFit="1" customWidth="1"/>
    <col min="1559" max="1559" width="47" style="3" bestFit="1" customWidth="1"/>
    <col min="1560" max="1796" width="9.140625" style="3"/>
    <col min="1797" max="1797" width="0.85546875" style="3" customWidth="1"/>
    <col min="1798" max="1798" width="22.140625" style="3" customWidth="1"/>
    <col min="1799" max="1799" width="0.85546875" style="3" customWidth="1"/>
    <col min="1800" max="1800" width="30.7109375" style="3" customWidth="1"/>
    <col min="1801" max="1801" width="22" style="3" bestFit="1" customWidth="1"/>
    <col min="1802" max="1802" width="0.85546875" style="3" customWidth="1"/>
    <col min="1803" max="1803" width="14.7109375" style="3" customWidth="1"/>
    <col min="1804" max="1804" width="16" style="3" customWidth="1"/>
    <col min="1805" max="1805" width="14.7109375" style="3" customWidth="1"/>
    <col min="1806" max="1806" width="17.85546875" style="3" customWidth="1"/>
    <col min="1807" max="1807" width="16.85546875" style="3" customWidth="1"/>
    <col min="1808" max="1808" width="1.7109375" style="3" customWidth="1"/>
    <col min="1809" max="1810" width="14.7109375" style="3" customWidth="1"/>
    <col min="1811" max="1811" width="17.42578125" style="3" customWidth="1"/>
    <col min="1812" max="1812" width="14.7109375" style="3" customWidth="1"/>
    <col min="1813" max="1813" width="15.7109375" style="3" customWidth="1"/>
    <col min="1814" max="1814" width="13.140625" style="3" bestFit="1" customWidth="1"/>
    <col min="1815" max="1815" width="47" style="3" bestFit="1" customWidth="1"/>
    <col min="1816" max="2052" width="9.140625" style="3"/>
    <col min="2053" max="2053" width="0.85546875" style="3" customWidth="1"/>
    <col min="2054" max="2054" width="22.140625" style="3" customWidth="1"/>
    <col min="2055" max="2055" width="0.85546875" style="3" customWidth="1"/>
    <col min="2056" max="2056" width="30.7109375" style="3" customWidth="1"/>
    <col min="2057" max="2057" width="22" style="3" bestFit="1" customWidth="1"/>
    <col min="2058" max="2058" width="0.85546875" style="3" customWidth="1"/>
    <col min="2059" max="2059" width="14.7109375" style="3" customWidth="1"/>
    <col min="2060" max="2060" width="16" style="3" customWidth="1"/>
    <col min="2061" max="2061" width="14.7109375" style="3" customWidth="1"/>
    <col min="2062" max="2062" width="17.85546875" style="3" customWidth="1"/>
    <col min="2063" max="2063" width="16.85546875" style="3" customWidth="1"/>
    <col min="2064" max="2064" width="1.7109375" style="3" customWidth="1"/>
    <col min="2065" max="2066" width="14.7109375" style="3" customWidth="1"/>
    <col min="2067" max="2067" width="17.42578125" style="3" customWidth="1"/>
    <col min="2068" max="2068" width="14.7109375" style="3" customWidth="1"/>
    <col min="2069" max="2069" width="15.7109375" style="3" customWidth="1"/>
    <col min="2070" max="2070" width="13.140625" style="3" bestFit="1" customWidth="1"/>
    <col min="2071" max="2071" width="47" style="3" bestFit="1" customWidth="1"/>
    <col min="2072" max="2308" width="9.140625" style="3"/>
    <col min="2309" max="2309" width="0.85546875" style="3" customWidth="1"/>
    <col min="2310" max="2310" width="22.140625" style="3" customWidth="1"/>
    <col min="2311" max="2311" width="0.85546875" style="3" customWidth="1"/>
    <col min="2312" max="2312" width="30.7109375" style="3" customWidth="1"/>
    <col min="2313" max="2313" width="22" style="3" bestFit="1" customWidth="1"/>
    <col min="2314" max="2314" width="0.85546875" style="3" customWidth="1"/>
    <col min="2315" max="2315" width="14.7109375" style="3" customWidth="1"/>
    <col min="2316" max="2316" width="16" style="3" customWidth="1"/>
    <col min="2317" max="2317" width="14.7109375" style="3" customWidth="1"/>
    <col min="2318" max="2318" width="17.85546875" style="3" customWidth="1"/>
    <col min="2319" max="2319" width="16.85546875" style="3" customWidth="1"/>
    <col min="2320" max="2320" width="1.7109375" style="3" customWidth="1"/>
    <col min="2321" max="2322" width="14.7109375" style="3" customWidth="1"/>
    <col min="2323" max="2323" width="17.42578125" style="3" customWidth="1"/>
    <col min="2324" max="2324" width="14.7109375" style="3" customWidth="1"/>
    <col min="2325" max="2325" width="15.7109375" style="3" customWidth="1"/>
    <col min="2326" max="2326" width="13.140625" style="3" bestFit="1" customWidth="1"/>
    <col min="2327" max="2327" width="47" style="3" bestFit="1" customWidth="1"/>
    <col min="2328" max="2564" width="9.140625" style="3"/>
    <col min="2565" max="2565" width="0.85546875" style="3" customWidth="1"/>
    <col min="2566" max="2566" width="22.140625" style="3" customWidth="1"/>
    <col min="2567" max="2567" width="0.85546875" style="3" customWidth="1"/>
    <col min="2568" max="2568" width="30.7109375" style="3" customWidth="1"/>
    <col min="2569" max="2569" width="22" style="3" bestFit="1" customWidth="1"/>
    <col min="2570" max="2570" width="0.85546875" style="3" customWidth="1"/>
    <col min="2571" max="2571" width="14.7109375" style="3" customWidth="1"/>
    <col min="2572" max="2572" width="16" style="3" customWidth="1"/>
    <col min="2573" max="2573" width="14.7109375" style="3" customWidth="1"/>
    <col min="2574" max="2574" width="17.85546875" style="3" customWidth="1"/>
    <col min="2575" max="2575" width="16.85546875" style="3" customWidth="1"/>
    <col min="2576" max="2576" width="1.7109375" style="3" customWidth="1"/>
    <col min="2577" max="2578" width="14.7109375" style="3" customWidth="1"/>
    <col min="2579" max="2579" width="17.42578125" style="3" customWidth="1"/>
    <col min="2580" max="2580" width="14.7109375" style="3" customWidth="1"/>
    <col min="2581" max="2581" width="15.7109375" style="3" customWidth="1"/>
    <col min="2582" max="2582" width="13.140625" style="3" bestFit="1" customWidth="1"/>
    <col min="2583" max="2583" width="47" style="3" bestFit="1" customWidth="1"/>
    <col min="2584" max="2820" width="9.140625" style="3"/>
    <col min="2821" max="2821" width="0.85546875" style="3" customWidth="1"/>
    <col min="2822" max="2822" width="22.140625" style="3" customWidth="1"/>
    <col min="2823" max="2823" width="0.85546875" style="3" customWidth="1"/>
    <col min="2824" max="2824" width="30.7109375" style="3" customWidth="1"/>
    <col min="2825" max="2825" width="22" style="3" bestFit="1" customWidth="1"/>
    <col min="2826" max="2826" width="0.85546875" style="3" customWidth="1"/>
    <col min="2827" max="2827" width="14.7109375" style="3" customWidth="1"/>
    <col min="2828" max="2828" width="16" style="3" customWidth="1"/>
    <col min="2829" max="2829" width="14.7109375" style="3" customWidth="1"/>
    <col min="2830" max="2830" width="17.85546875" style="3" customWidth="1"/>
    <col min="2831" max="2831" width="16.85546875" style="3" customWidth="1"/>
    <col min="2832" max="2832" width="1.7109375" style="3" customWidth="1"/>
    <col min="2833" max="2834" width="14.7109375" style="3" customWidth="1"/>
    <col min="2835" max="2835" width="17.42578125" style="3" customWidth="1"/>
    <col min="2836" max="2836" width="14.7109375" style="3" customWidth="1"/>
    <col min="2837" max="2837" width="15.7109375" style="3" customWidth="1"/>
    <col min="2838" max="2838" width="13.140625" style="3" bestFit="1" customWidth="1"/>
    <col min="2839" max="2839" width="47" style="3" bestFit="1" customWidth="1"/>
    <col min="2840" max="3076" width="9.140625" style="3"/>
    <col min="3077" max="3077" width="0.85546875" style="3" customWidth="1"/>
    <col min="3078" max="3078" width="22.140625" style="3" customWidth="1"/>
    <col min="3079" max="3079" width="0.85546875" style="3" customWidth="1"/>
    <col min="3080" max="3080" width="30.7109375" style="3" customWidth="1"/>
    <col min="3081" max="3081" width="22" style="3" bestFit="1" customWidth="1"/>
    <col min="3082" max="3082" width="0.85546875" style="3" customWidth="1"/>
    <col min="3083" max="3083" width="14.7109375" style="3" customWidth="1"/>
    <col min="3084" max="3084" width="16" style="3" customWidth="1"/>
    <col min="3085" max="3085" width="14.7109375" style="3" customWidth="1"/>
    <col min="3086" max="3086" width="17.85546875" style="3" customWidth="1"/>
    <col min="3087" max="3087" width="16.85546875" style="3" customWidth="1"/>
    <col min="3088" max="3088" width="1.7109375" style="3" customWidth="1"/>
    <col min="3089" max="3090" width="14.7109375" style="3" customWidth="1"/>
    <col min="3091" max="3091" width="17.42578125" style="3" customWidth="1"/>
    <col min="3092" max="3092" width="14.7109375" style="3" customWidth="1"/>
    <col min="3093" max="3093" width="15.7109375" style="3" customWidth="1"/>
    <col min="3094" max="3094" width="13.140625" style="3" bestFit="1" customWidth="1"/>
    <col min="3095" max="3095" width="47" style="3" bestFit="1" customWidth="1"/>
    <col min="3096" max="3332" width="9.140625" style="3"/>
    <col min="3333" max="3333" width="0.85546875" style="3" customWidth="1"/>
    <col min="3334" max="3334" width="22.140625" style="3" customWidth="1"/>
    <col min="3335" max="3335" width="0.85546875" style="3" customWidth="1"/>
    <col min="3336" max="3336" width="30.7109375" style="3" customWidth="1"/>
    <col min="3337" max="3337" width="22" style="3" bestFit="1" customWidth="1"/>
    <col min="3338" max="3338" width="0.85546875" style="3" customWidth="1"/>
    <col min="3339" max="3339" width="14.7109375" style="3" customWidth="1"/>
    <col min="3340" max="3340" width="16" style="3" customWidth="1"/>
    <col min="3341" max="3341" width="14.7109375" style="3" customWidth="1"/>
    <col min="3342" max="3342" width="17.85546875" style="3" customWidth="1"/>
    <col min="3343" max="3343" width="16.85546875" style="3" customWidth="1"/>
    <col min="3344" max="3344" width="1.7109375" style="3" customWidth="1"/>
    <col min="3345" max="3346" width="14.7109375" style="3" customWidth="1"/>
    <col min="3347" max="3347" width="17.42578125" style="3" customWidth="1"/>
    <col min="3348" max="3348" width="14.7109375" style="3" customWidth="1"/>
    <col min="3349" max="3349" width="15.7109375" style="3" customWidth="1"/>
    <col min="3350" max="3350" width="13.140625" style="3" bestFit="1" customWidth="1"/>
    <col min="3351" max="3351" width="47" style="3" bestFit="1" customWidth="1"/>
    <col min="3352" max="3588" width="9.140625" style="3"/>
    <col min="3589" max="3589" width="0.85546875" style="3" customWidth="1"/>
    <col min="3590" max="3590" width="22.140625" style="3" customWidth="1"/>
    <col min="3591" max="3591" width="0.85546875" style="3" customWidth="1"/>
    <col min="3592" max="3592" width="30.7109375" style="3" customWidth="1"/>
    <col min="3593" max="3593" width="22" style="3" bestFit="1" customWidth="1"/>
    <col min="3594" max="3594" width="0.85546875" style="3" customWidth="1"/>
    <col min="3595" max="3595" width="14.7109375" style="3" customWidth="1"/>
    <col min="3596" max="3596" width="16" style="3" customWidth="1"/>
    <col min="3597" max="3597" width="14.7109375" style="3" customWidth="1"/>
    <col min="3598" max="3598" width="17.85546875" style="3" customWidth="1"/>
    <col min="3599" max="3599" width="16.85546875" style="3" customWidth="1"/>
    <col min="3600" max="3600" width="1.7109375" style="3" customWidth="1"/>
    <col min="3601" max="3602" width="14.7109375" style="3" customWidth="1"/>
    <col min="3603" max="3603" width="17.42578125" style="3" customWidth="1"/>
    <col min="3604" max="3604" width="14.7109375" style="3" customWidth="1"/>
    <col min="3605" max="3605" width="15.7109375" style="3" customWidth="1"/>
    <col min="3606" max="3606" width="13.140625" style="3" bestFit="1" customWidth="1"/>
    <col min="3607" max="3607" width="47" style="3" bestFit="1" customWidth="1"/>
    <col min="3608" max="3844" width="9.140625" style="3"/>
    <col min="3845" max="3845" width="0.85546875" style="3" customWidth="1"/>
    <col min="3846" max="3846" width="22.140625" style="3" customWidth="1"/>
    <col min="3847" max="3847" width="0.85546875" style="3" customWidth="1"/>
    <col min="3848" max="3848" width="30.7109375" style="3" customWidth="1"/>
    <col min="3849" max="3849" width="22" style="3" bestFit="1" customWidth="1"/>
    <col min="3850" max="3850" width="0.85546875" style="3" customWidth="1"/>
    <col min="3851" max="3851" width="14.7109375" style="3" customWidth="1"/>
    <col min="3852" max="3852" width="16" style="3" customWidth="1"/>
    <col min="3853" max="3853" width="14.7109375" style="3" customWidth="1"/>
    <col min="3854" max="3854" width="17.85546875" style="3" customWidth="1"/>
    <col min="3855" max="3855" width="16.85546875" style="3" customWidth="1"/>
    <col min="3856" max="3856" width="1.7109375" style="3" customWidth="1"/>
    <col min="3857" max="3858" width="14.7109375" style="3" customWidth="1"/>
    <col min="3859" max="3859" width="17.42578125" style="3" customWidth="1"/>
    <col min="3860" max="3860" width="14.7109375" style="3" customWidth="1"/>
    <col min="3861" max="3861" width="15.7109375" style="3" customWidth="1"/>
    <col min="3862" max="3862" width="13.140625" style="3" bestFit="1" customWidth="1"/>
    <col min="3863" max="3863" width="47" style="3" bestFit="1" customWidth="1"/>
    <col min="3864" max="4100" width="9.140625" style="3"/>
    <col min="4101" max="4101" width="0.85546875" style="3" customWidth="1"/>
    <col min="4102" max="4102" width="22.140625" style="3" customWidth="1"/>
    <col min="4103" max="4103" width="0.85546875" style="3" customWidth="1"/>
    <col min="4104" max="4104" width="30.7109375" style="3" customWidth="1"/>
    <col min="4105" max="4105" width="22" style="3" bestFit="1" customWidth="1"/>
    <col min="4106" max="4106" width="0.85546875" style="3" customWidth="1"/>
    <col min="4107" max="4107" width="14.7109375" style="3" customWidth="1"/>
    <col min="4108" max="4108" width="16" style="3" customWidth="1"/>
    <col min="4109" max="4109" width="14.7109375" style="3" customWidth="1"/>
    <col min="4110" max="4110" width="17.85546875" style="3" customWidth="1"/>
    <col min="4111" max="4111" width="16.85546875" style="3" customWidth="1"/>
    <col min="4112" max="4112" width="1.7109375" style="3" customWidth="1"/>
    <col min="4113" max="4114" width="14.7109375" style="3" customWidth="1"/>
    <col min="4115" max="4115" width="17.42578125" style="3" customWidth="1"/>
    <col min="4116" max="4116" width="14.7109375" style="3" customWidth="1"/>
    <col min="4117" max="4117" width="15.7109375" style="3" customWidth="1"/>
    <col min="4118" max="4118" width="13.140625" style="3" bestFit="1" customWidth="1"/>
    <col min="4119" max="4119" width="47" style="3" bestFit="1" customWidth="1"/>
    <col min="4120" max="4356" width="9.140625" style="3"/>
    <col min="4357" max="4357" width="0.85546875" style="3" customWidth="1"/>
    <col min="4358" max="4358" width="22.140625" style="3" customWidth="1"/>
    <col min="4359" max="4359" width="0.85546875" style="3" customWidth="1"/>
    <col min="4360" max="4360" width="30.7109375" style="3" customWidth="1"/>
    <col min="4361" max="4361" width="22" style="3" bestFit="1" customWidth="1"/>
    <col min="4362" max="4362" width="0.85546875" style="3" customWidth="1"/>
    <col min="4363" max="4363" width="14.7109375" style="3" customWidth="1"/>
    <col min="4364" max="4364" width="16" style="3" customWidth="1"/>
    <col min="4365" max="4365" width="14.7109375" style="3" customWidth="1"/>
    <col min="4366" max="4366" width="17.85546875" style="3" customWidth="1"/>
    <col min="4367" max="4367" width="16.85546875" style="3" customWidth="1"/>
    <col min="4368" max="4368" width="1.7109375" style="3" customWidth="1"/>
    <col min="4369" max="4370" width="14.7109375" style="3" customWidth="1"/>
    <col min="4371" max="4371" width="17.42578125" style="3" customWidth="1"/>
    <col min="4372" max="4372" width="14.7109375" style="3" customWidth="1"/>
    <col min="4373" max="4373" width="15.7109375" style="3" customWidth="1"/>
    <col min="4374" max="4374" width="13.140625" style="3" bestFit="1" customWidth="1"/>
    <col min="4375" max="4375" width="47" style="3" bestFit="1" customWidth="1"/>
    <col min="4376" max="4612" width="9.140625" style="3"/>
    <col min="4613" max="4613" width="0.85546875" style="3" customWidth="1"/>
    <col min="4614" max="4614" width="22.140625" style="3" customWidth="1"/>
    <col min="4615" max="4615" width="0.85546875" style="3" customWidth="1"/>
    <col min="4616" max="4616" width="30.7109375" style="3" customWidth="1"/>
    <col min="4617" max="4617" width="22" style="3" bestFit="1" customWidth="1"/>
    <col min="4618" max="4618" width="0.85546875" style="3" customWidth="1"/>
    <col min="4619" max="4619" width="14.7109375" style="3" customWidth="1"/>
    <col min="4620" max="4620" width="16" style="3" customWidth="1"/>
    <col min="4621" max="4621" width="14.7109375" style="3" customWidth="1"/>
    <col min="4622" max="4622" width="17.85546875" style="3" customWidth="1"/>
    <col min="4623" max="4623" width="16.85546875" style="3" customWidth="1"/>
    <col min="4624" max="4624" width="1.7109375" style="3" customWidth="1"/>
    <col min="4625" max="4626" width="14.7109375" style="3" customWidth="1"/>
    <col min="4627" max="4627" width="17.42578125" style="3" customWidth="1"/>
    <col min="4628" max="4628" width="14.7109375" style="3" customWidth="1"/>
    <col min="4629" max="4629" width="15.7109375" style="3" customWidth="1"/>
    <col min="4630" max="4630" width="13.140625" style="3" bestFit="1" customWidth="1"/>
    <col min="4631" max="4631" width="47" style="3" bestFit="1" customWidth="1"/>
    <col min="4632" max="4868" width="9.140625" style="3"/>
    <col min="4869" max="4869" width="0.85546875" style="3" customWidth="1"/>
    <col min="4870" max="4870" width="22.140625" style="3" customWidth="1"/>
    <col min="4871" max="4871" width="0.85546875" style="3" customWidth="1"/>
    <col min="4872" max="4872" width="30.7109375" style="3" customWidth="1"/>
    <col min="4873" max="4873" width="22" style="3" bestFit="1" customWidth="1"/>
    <col min="4874" max="4874" width="0.85546875" style="3" customWidth="1"/>
    <col min="4875" max="4875" width="14.7109375" style="3" customWidth="1"/>
    <col min="4876" max="4876" width="16" style="3" customWidth="1"/>
    <col min="4877" max="4877" width="14.7109375" style="3" customWidth="1"/>
    <col min="4878" max="4878" width="17.85546875" style="3" customWidth="1"/>
    <col min="4879" max="4879" width="16.85546875" style="3" customWidth="1"/>
    <col min="4880" max="4880" width="1.7109375" style="3" customWidth="1"/>
    <col min="4881" max="4882" width="14.7109375" style="3" customWidth="1"/>
    <col min="4883" max="4883" width="17.42578125" style="3" customWidth="1"/>
    <col min="4884" max="4884" width="14.7109375" style="3" customWidth="1"/>
    <col min="4885" max="4885" width="15.7109375" style="3" customWidth="1"/>
    <col min="4886" max="4886" width="13.140625" style="3" bestFit="1" customWidth="1"/>
    <col min="4887" max="4887" width="47" style="3" bestFit="1" customWidth="1"/>
    <col min="4888" max="5124" width="9.140625" style="3"/>
    <col min="5125" max="5125" width="0.85546875" style="3" customWidth="1"/>
    <col min="5126" max="5126" width="22.140625" style="3" customWidth="1"/>
    <col min="5127" max="5127" width="0.85546875" style="3" customWidth="1"/>
    <col min="5128" max="5128" width="30.7109375" style="3" customWidth="1"/>
    <col min="5129" max="5129" width="22" style="3" bestFit="1" customWidth="1"/>
    <col min="5130" max="5130" width="0.85546875" style="3" customWidth="1"/>
    <col min="5131" max="5131" width="14.7109375" style="3" customWidth="1"/>
    <col min="5132" max="5132" width="16" style="3" customWidth="1"/>
    <col min="5133" max="5133" width="14.7109375" style="3" customWidth="1"/>
    <col min="5134" max="5134" width="17.85546875" style="3" customWidth="1"/>
    <col min="5135" max="5135" width="16.85546875" style="3" customWidth="1"/>
    <col min="5136" max="5136" width="1.7109375" style="3" customWidth="1"/>
    <col min="5137" max="5138" width="14.7109375" style="3" customWidth="1"/>
    <col min="5139" max="5139" width="17.42578125" style="3" customWidth="1"/>
    <col min="5140" max="5140" width="14.7109375" style="3" customWidth="1"/>
    <col min="5141" max="5141" width="15.7109375" style="3" customWidth="1"/>
    <col min="5142" max="5142" width="13.140625" style="3" bestFit="1" customWidth="1"/>
    <col min="5143" max="5143" width="47" style="3" bestFit="1" customWidth="1"/>
    <col min="5144" max="5380" width="9.140625" style="3"/>
    <col min="5381" max="5381" width="0.85546875" style="3" customWidth="1"/>
    <col min="5382" max="5382" width="22.140625" style="3" customWidth="1"/>
    <col min="5383" max="5383" width="0.85546875" style="3" customWidth="1"/>
    <col min="5384" max="5384" width="30.7109375" style="3" customWidth="1"/>
    <col min="5385" max="5385" width="22" style="3" bestFit="1" customWidth="1"/>
    <col min="5386" max="5386" width="0.85546875" style="3" customWidth="1"/>
    <col min="5387" max="5387" width="14.7109375" style="3" customWidth="1"/>
    <col min="5388" max="5388" width="16" style="3" customWidth="1"/>
    <col min="5389" max="5389" width="14.7109375" style="3" customWidth="1"/>
    <col min="5390" max="5390" width="17.85546875" style="3" customWidth="1"/>
    <col min="5391" max="5391" width="16.85546875" style="3" customWidth="1"/>
    <col min="5392" max="5392" width="1.7109375" style="3" customWidth="1"/>
    <col min="5393" max="5394" width="14.7109375" style="3" customWidth="1"/>
    <col min="5395" max="5395" width="17.42578125" style="3" customWidth="1"/>
    <col min="5396" max="5396" width="14.7109375" style="3" customWidth="1"/>
    <col min="5397" max="5397" width="15.7109375" style="3" customWidth="1"/>
    <col min="5398" max="5398" width="13.140625" style="3" bestFit="1" customWidth="1"/>
    <col min="5399" max="5399" width="47" style="3" bestFit="1" customWidth="1"/>
    <col min="5400" max="5636" width="9.140625" style="3"/>
    <col min="5637" max="5637" width="0.85546875" style="3" customWidth="1"/>
    <col min="5638" max="5638" width="22.140625" style="3" customWidth="1"/>
    <col min="5639" max="5639" width="0.85546875" style="3" customWidth="1"/>
    <col min="5640" max="5640" width="30.7109375" style="3" customWidth="1"/>
    <col min="5641" max="5641" width="22" style="3" bestFit="1" customWidth="1"/>
    <col min="5642" max="5642" width="0.85546875" style="3" customWidth="1"/>
    <col min="5643" max="5643" width="14.7109375" style="3" customWidth="1"/>
    <col min="5644" max="5644" width="16" style="3" customWidth="1"/>
    <col min="5645" max="5645" width="14.7109375" style="3" customWidth="1"/>
    <col min="5646" max="5646" width="17.85546875" style="3" customWidth="1"/>
    <col min="5647" max="5647" width="16.85546875" style="3" customWidth="1"/>
    <col min="5648" max="5648" width="1.7109375" style="3" customWidth="1"/>
    <col min="5649" max="5650" width="14.7109375" style="3" customWidth="1"/>
    <col min="5651" max="5651" width="17.42578125" style="3" customWidth="1"/>
    <col min="5652" max="5652" width="14.7109375" style="3" customWidth="1"/>
    <col min="5653" max="5653" width="15.7109375" style="3" customWidth="1"/>
    <col min="5654" max="5654" width="13.140625" style="3" bestFit="1" customWidth="1"/>
    <col min="5655" max="5655" width="47" style="3" bestFit="1" customWidth="1"/>
    <col min="5656" max="5892" width="9.140625" style="3"/>
    <col min="5893" max="5893" width="0.85546875" style="3" customWidth="1"/>
    <col min="5894" max="5894" width="22.140625" style="3" customWidth="1"/>
    <col min="5895" max="5895" width="0.85546875" style="3" customWidth="1"/>
    <col min="5896" max="5896" width="30.7109375" style="3" customWidth="1"/>
    <col min="5897" max="5897" width="22" style="3" bestFit="1" customWidth="1"/>
    <col min="5898" max="5898" width="0.85546875" style="3" customWidth="1"/>
    <col min="5899" max="5899" width="14.7109375" style="3" customWidth="1"/>
    <col min="5900" max="5900" width="16" style="3" customWidth="1"/>
    <col min="5901" max="5901" width="14.7109375" style="3" customWidth="1"/>
    <col min="5902" max="5902" width="17.85546875" style="3" customWidth="1"/>
    <col min="5903" max="5903" width="16.85546875" style="3" customWidth="1"/>
    <col min="5904" max="5904" width="1.7109375" style="3" customWidth="1"/>
    <col min="5905" max="5906" width="14.7109375" style="3" customWidth="1"/>
    <col min="5907" max="5907" width="17.42578125" style="3" customWidth="1"/>
    <col min="5908" max="5908" width="14.7109375" style="3" customWidth="1"/>
    <col min="5909" max="5909" width="15.7109375" style="3" customWidth="1"/>
    <col min="5910" max="5910" width="13.140625" style="3" bestFit="1" customWidth="1"/>
    <col min="5911" max="5911" width="47" style="3" bestFit="1" customWidth="1"/>
    <col min="5912" max="6148" width="9.140625" style="3"/>
    <col min="6149" max="6149" width="0.85546875" style="3" customWidth="1"/>
    <col min="6150" max="6150" width="22.140625" style="3" customWidth="1"/>
    <col min="6151" max="6151" width="0.85546875" style="3" customWidth="1"/>
    <col min="6152" max="6152" width="30.7109375" style="3" customWidth="1"/>
    <col min="6153" max="6153" width="22" style="3" bestFit="1" customWidth="1"/>
    <col min="6154" max="6154" width="0.85546875" style="3" customWidth="1"/>
    <col min="6155" max="6155" width="14.7109375" style="3" customWidth="1"/>
    <col min="6156" max="6156" width="16" style="3" customWidth="1"/>
    <col min="6157" max="6157" width="14.7109375" style="3" customWidth="1"/>
    <col min="6158" max="6158" width="17.85546875" style="3" customWidth="1"/>
    <col min="6159" max="6159" width="16.85546875" style="3" customWidth="1"/>
    <col min="6160" max="6160" width="1.7109375" style="3" customWidth="1"/>
    <col min="6161" max="6162" width="14.7109375" style="3" customWidth="1"/>
    <col min="6163" max="6163" width="17.42578125" style="3" customWidth="1"/>
    <col min="6164" max="6164" width="14.7109375" style="3" customWidth="1"/>
    <col min="6165" max="6165" width="15.7109375" style="3" customWidth="1"/>
    <col min="6166" max="6166" width="13.140625" style="3" bestFit="1" customWidth="1"/>
    <col min="6167" max="6167" width="47" style="3" bestFit="1" customWidth="1"/>
    <col min="6168" max="6404" width="9.140625" style="3"/>
    <col min="6405" max="6405" width="0.85546875" style="3" customWidth="1"/>
    <col min="6406" max="6406" width="22.140625" style="3" customWidth="1"/>
    <col min="6407" max="6407" width="0.85546875" style="3" customWidth="1"/>
    <col min="6408" max="6408" width="30.7109375" style="3" customWidth="1"/>
    <col min="6409" max="6409" width="22" style="3" bestFit="1" customWidth="1"/>
    <col min="6410" max="6410" width="0.85546875" style="3" customWidth="1"/>
    <col min="6411" max="6411" width="14.7109375" style="3" customWidth="1"/>
    <col min="6412" max="6412" width="16" style="3" customWidth="1"/>
    <col min="6413" max="6413" width="14.7109375" style="3" customWidth="1"/>
    <col min="6414" max="6414" width="17.85546875" style="3" customWidth="1"/>
    <col min="6415" max="6415" width="16.85546875" style="3" customWidth="1"/>
    <col min="6416" max="6416" width="1.7109375" style="3" customWidth="1"/>
    <col min="6417" max="6418" width="14.7109375" style="3" customWidth="1"/>
    <col min="6419" max="6419" width="17.42578125" style="3" customWidth="1"/>
    <col min="6420" max="6420" width="14.7109375" style="3" customWidth="1"/>
    <col min="6421" max="6421" width="15.7109375" style="3" customWidth="1"/>
    <col min="6422" max="6422" width="13.140625" style="3" bestFit="1" customWidth="1"/>
    <col min="6423" max="6423" width="47" style="3" bestFit="1" customWidth="1"/>
    <col min="6424" max="6660" width="9.140625" style="3"/>
    <col min="6661" max="6661" width="0.85546875" style="3" customWidth="1"/>
    <col min="6662" max="6662" width="22.140625" style="3" customWidth="1"/>
    <col min="6663" max="6663" width="0.85546875" style="3" customWidth="1"/>
    <col min="6664" max="6664" width="30.7109375" style="3" customWidth="1"/>
    <col min="6665" max="6665" width="22" style="3" bestFit="1" customWidth="1"/>
    <col min="6666" max="6666" width="0.85546875" style="3" customWidth="1"/>
    <col min="6667" max="6667" width="14.7109375" style="3" customWidth="1"/>
    <col min="6668" max="6668" width="16" style="3" customWidth="1"/>
    <col min="6669" max="6669" width="14.7109375" style="3" customWidth="1"/>
    <col min="6670" max="6670" width="17.85546875" style="3" customWidth="1"/>
    <col min="6671" max="6671" width="16.85546875" style="3" customWidth="1"/>
    <col min="6672" max="6672" width="1.7109375" style="3" customWidth="1"/>
    <col min="6673" max="6674" width="14.7109375" style="3" customWidth="1"/>
    <col min="6675" max="6675" width="17.42578125" style="3" customWidth="1"/>
    <col min="6676" max="6676" width="14.7109375" style="3" customWidth="1"/>
    <col min="6677" max="6677" width="15.7109375" style="3" customWidth="1"/>
    <col min="6678" max="6678" width="13.140625" style="3" bestFit="1" customWidth="1"/>
    <col min="6679" max="6679" width="47" style="3" bestFit="1" customWidth="1"/>
    <col min="6680" max="6916" width="9.140625" style="3"/>
    <col min="6917" max="6917" width="0.85546875" style="3" customWidth="1"/>
    <col min="6918" max="6918" width="22.140625" style="3" customWidth="1"/>
    <col min="6919" max="6919" width="0.85546875" style="3" customWidth="1"/>
    <col min="6920" max="6920" width="30.7109375" style="3" customWidth="1"/>
    <col min="6921" max="6921" width="22" style="3" bestFit="1" customWidth="1"/>
    <col min="6922" max="6922" width="0.85546875" style="3" customWidth="1"/>
    <col min="6923" max="6923" width="14.7109375" style="3" customWidth="1"/>
    <col min="6924" max="6924" width="16" style="3" customWidth="1"/>
    <col min="6925" max="6925" width="14.7109375" style="3" customWidth="1"/>
    <col min="6926" max="6926" width="17.85546875" style="3" customWidth="1"/>
    <col min="6927" max="6927" width="16.85546875" style="3" customWidth="1"/>
    <col min="6928" max="6928" width="1.7109375" style="3" customWidth="1"/>
    <col min="6929" max="6930" width="14.7109375" style="3" customWidth="1"/>
    <col min="6931" max="6931" width="17.42578125" style="3" customWidth="1"/>
    <col min="6932" max="6932" width="14.7109375" style="3" customWidth="1"/>
    <col min="6933" max="6933" width="15.7109375" style="3" customWidth="1"/>
    <col min="6934" max="6934" width="13.140625" style="3" bestFit="1" customWidth="1"/>
    <col min="6935" max="6935" width="47" style="3" bestFit="1" customWidth="1"/>
    <col min="6936" max="7172" width="9.140625" style="3"/>
    <col min="7173" max="7173" width="0.85546875" style="3" customWidth="1"/>
    <col min="7174" max="7174" width="22.140625" style="3" customWidth="1"/>
    <col min="7175" max="7175" width="0.85546875" style="3" customWidth="1"/>
    <col min="7176" max="7176" width="30.7109375" style="3" customWidth="1"/>
    <col min="7177" max="7177" width="22" style="3" bestFit="1" customWidth="1"/>
    <col min="7178" max="7178" width="0.85546875" style="3" customWidth="1"/>
    <col min="7179" max="7179" width="14.7109375" style="3" customWidth="1"/>
    <col min="7180" max="7180" width="16" style="3" customWidth="1"/>
    <col min="7181" max="7181" width="14.7109375" style="3" customWidth="1"/>
    <col min="7182" max="7182" width="17.85546875" style="3" customWidth="1"/>
    <col min="7183" max="7183" width="16.85546875" style="3" customWidth="1"/>
    <col min="7184" max="7184" width="1.7109375" style="3" customWidth="1"/>
    <col min="7185" max="7186" width="14.7109375" style="3" customWidth="1"/>
    <col min="7187" max="7187" width="17.42578125" style="3" customWidth="1"/>
    <col min="7188" max="7188" width="14.7109375" style="3" customWidth="1"/>
    <col min="7189" max="7189" width="15.7109375" style="3" customWidth="1"/>
    <col min="7190" max="7190" width="13.140625" style="3" bestFit="1" customWidth="1"/>
    <col min="7191" max="7191" width="47" style="3" bestFit="1" customWidth="1"/>
    <col min="7192" max="7428" width="9.140625" style="3"/>
    <col min="7429" max="7429" width="0.85546875" style="3" customWidth="1"/>
    <col min="7430" max="7430" width="22.140625" style="3" customWidth="1"/>
    <col min="7431" max="7431" width="0.85546875" style="3" customWidth="1"/>
    <col min="7432" max="7432" width="30.7109375" style="3" customWidth="1"/>
    <col min="7433" max="7433" width="22" style="3" bestFit="1" customWidth="1"/>
    <col min="7434" max="7434" width="0.85546875" style="3" customWidth="1"/>
    <col min="7435" max="7435" width="14.7109375" style="3" customWidth="1"/>
    <col min="7436" max="7436" width="16" style="3" customWidth="1"/>
    <col min="7437" max="7437" width="14.7109375" style="3" customWidth="1"/>
    <col min="7438" max="7438" width="17.85546875" style="3" customWidth="1"/>
    <col min="7439" max="7439" width="16.85546875" style="3" customWidth="1"/>
    <col min="7440" max="7440" width="1.7109375" style="3" customWidth="1"/>
    <col min="7441" max="7442" width="14.7109375" style="3" customWidth="1"/>
    <col min="7443" max="7443" width="17.42578125" style="3" customWidth="1"/>
    <col min="7444" max="7444" width="14.7109375" style="3" customWidth="1"/>
    <col min="7445" max="7445" width="15.7109375" style="3" customWidth="1"/>
    <col min="7446" max="7446" width="13.140625" style="3" bestFit="1" customWidth="1"/>
    <col min="7447" max="7447" width="47" style="3" bestFit="1" customWidth="1"/>
    <col min="7448" max="7684" width="9.140625" style="3"/>
    <col min="7685" max="7685" width="0.85546875" style="3" customWidth="1"/>
    <col min="7686" max="7686" width="22.140625" style="3" customWidth="1"/>
    <col min="7687" max="7687" width="0.85546875" style="3" customWidth="1"/>
    <col min="7688" max="7688" width="30.7109375" style="3" customWidth="1"/>
    <col min="7689" max="7689" width="22" style="3" bestFit="1" customWidth="1"/>
    <col min="7690" max="7690" width="0.85546875" style="3" customWidth="1"/>
    <col min="7691" max="7691" width="14.7109375" style="3" customWidth="1"/>
    <col min="7692" max="7692" width="16" style="3" customWidth="1"/>
    <col min="7693" max="7693" width="14.7109375" style="3" customWidth="1"/>
    <col min="7694" max="7694" width="17.85546875" style="3" customWidth="1"/>
    <col min="7695" max="7695" width="16.85546875" style="3" customWidth="1"/>
    <col min="7696" max="7696" width="1.7109375" style="3" customWidth="1"/>
    <col min="7697" max="7698" width="14.7109375" style="3" customWidth="1"/>
    <col min="7699" max="7699" width="17.42578125" style="3" customWidth="1"/>
    <col min="7700" max="7700" width="14.7109375" style="3" customWidth="1"/>
    <col min="7701" max="7701" width="15.7109375" style="3" customWidth="1"/>
    <col min="7702" max="7702" width="13.140625" style="3" bestFit="1" customWidth="1"/>
    <col min="7703" max="7703" width="47" style="3" bestFit="1" customWidth="1"/>
    <col min="7704" max="7940" width="9.140625" style="3"/>
    <col min="7941" max="7941" width="0.85546875" style="3" customWidth="1"/>
    <col min="7942" max="7942" width="22.140625" style="3" customWidth="1"/>
    <col min="7943" max="7943" width="0.85546875" style="3" customWidth="1"/>
    <col min="7944" max="7944" width="30.7109375" style="3" customWidth="1"/>
    <col min="7945" max="7945" width="22" style="3" bestFit="1" customWidth="1"/>
    <col min="7946" max="7946" width="0.85546875" style="3" customWidth="1"/>
    <col min="7947" max="7947" width="14.7109375" style="3" customWidth="1"/>
    <col min="7948" max="7948" width="16" style="3" customWidth="1"/>
    <col min="7949" max="7949" width="14.7109375" style="3" customWidth="1"/>
    <col min="7950" max="7950" width="17.85546875" style="3" customWidth="1"/>
    <col min="7951" max="7951" width="16.85546875" style="3" customWidth="1"/>
    <col min="7952" max="7952" width="1.7109375" style="3" customWidth="1"/>
    <col min="7953" max="7954" width="14.7109375" style="3" customWidth="1"/>
    <col min="7955" max="7955" width="17.42578125" style="3" customWidth="1"/>
    <col min="7956" max="7956" width="14.7109375" style="3" customWidth="1"/>
    <col min="7957" max="7957" width="15.7109375" style="3" customWidth="1"/>
    <col min="7958" max="7958" width="13.140625" style="3" bestFit="1" customWidth="1"/>
    <col min="7959" max="7959" width="47" style="3" bestFit="1" customWidth="1"/>
    <col min="7960" max="8196" width="9.140625" style="3"/>
    <col min="8197" max="8197" width="0.85546875" style="3" customWidth="1"/>
    <col min="8198" max="8198" width="22.140625" style="3" customWidth="1"/>
    <col min="8199" max="8199" width="0.85546875" style="3" customWidth="1"/>
    <col min="8200" max="8200" width="30.7109375" style="3" customWidth="1"/>
    <col min="8201" max="8201" width="22" style="3" bestFit="1" customWidth="1"/>
    <col min="8202" max="8202" width="0.85546875" style="3" customWidth="1"/>
    <col min="8203" max="8203" width="14.7109375" style="3" customWidth="1"/>
    <col min="8204" max="8204" width="16" style="3" customWidth="1"/>
    <col min="8205" max="8205" width="14.7109375" style="3" customWidth="1"/>
    <col min="8206" max="8206" width="17.85546875" style="3" customWidth="1"/>
    <col min="8207" max="8207" width="16.85546875" style="3" customWidth="1"/>
    <col min="8208" max="8208" width="1.7109375" style="3" customWidth="1"/>
    <col min="8209" max="8210" width="14.7109375" style="3" customWidth="1"/>
    <col min="8211" max="8211" width="17.42578125" style="3" customWidth="1"/>
    <col min="8212" max="8212" width="14.7109375" style="3" customWidth="1"/>
    <col min="8213" max="8213" width="15.7109375" style="3" customWidth="1"/>
    <col min="8214" max="8214" width="13.140625" style="3" bestFit="1" customWidth="1"/>
    <col min="8215" max="8215" width="47" style="3" bestFit="1" customWidth="1"/>
    <col min="8216" max="8452" width="9.140625" style="3"/>
    <col min="8453" max="8453" width="0.85546875" style="3" customWidth="1"/>
    <col min="8454" max="8454" width="22.140625" style="3" customWidth="1"/>
    <col min="8455" max="8455" width="0.85546875" style="3" customWidth="1"/>
    <col min="8456" max="8456" width="30.7109375" style="3" customWidth="1"/>
    <col min="8457" max="8457" width="22" style="3" bestFit="1" customWidth="1"/>
    <col min="8458" max="8458" width="0.85546875" style="3" customWidth="1"/>
    <col min="8459" max="8459" width="14.7109375" style="3" customWidth="1"/>
    <col min="8460" max="8460" width="16" style="3" customWidth="1"/>
    <col min="8461" max="8461" width="14.7109375" style="3" customWidth="1"/>
    <col min="8462" max="8462" width="17.85546875" style="3" customWidth="1"/>
    <col min="8463" max="8463" width="16.85546875" style="3" customWidth="1"/>
    <col min="8464" max="8464" width="1.7109375" style="3" customWidth="1"/>
    <col min="8465" max="8466" width="14.7109375" style="3" customWidth="1"/>
    <col min="8467" max="8467" width="17.42578125" style="3" customWidth="1"/>
    <col min="8468" max="8468" width="14.7109375" style="3" customWidth="1"/>
    <col min="8469" max="8469" width="15.7109375" style="3" customWidth="1"/>
    <col min="8470" max="8470" width="13.140625" style="3" bestFit="1" customWidth="1"/>
    <col min="8471" max="8471" width="47" style="3" bestFit="1" customWidth="1"/>
    <col min="8472" max="8708" width="9.140625" style="3"/>
    <col min="8709" max="8709" width="0.85546875" style="3" customWidth="1"/>
    <col min="8710" max="8710" width="22.140625" style="3" customWidth="1"/>
    <col min="8711" max="8711" width="0.85546875" style="3" customWidth="1"/>
    <col min="8712" max="8712" width="30.7109375" style="3" customWidth="1"/>
    <col min="8713" max="8713" width="22" style="3" bestFit="1" customWidth="1"/>
    <col min="8714" max="8714" width="0.85546875" style="3" customWidth="1"/>
    <col min="8715" max="8715" width="14.7109375" style="3" customWidth="1"/>
    <col min="8716" max="8716" width="16" style="3" customWidth="1"/>
    <col min="8717" max="8717" width="14.7109375" style="3" customWidth="1"/>
    <col min="8718" max="8718" width="17.85546875" style="3" customWidth="1"/>
    <col min="8719" max="8719" width="16.85546875" style="3" customWidth="1"/>
    <col min="8720" max="8720" width="1.7109375" style="3" customWidth="1"/>
    <col min="8721" max="8722" width="14.7109375" style="3" customWidth="1"/>
    <col min="8723" max="8723" width="17.42578125" style="3" customWidth="1"/>
    <col min="8724" max="8724" width="14.7109375" style="3" customWidth="1"/>
    <col min="8725" max="8725" width="15.7109375" style="3" customWidth="1"/>
    <col min="8726" max="8726" width="13.140625" style="3" bestFit="1" customWidth="1"/>
    <col min="8727" max="8727" width="47" style="3" bestFit="1" customWidth="1"/>
    <col min="8728" max="8964" width="9.140625" style="3"/>
    <col min="8965" max="8965" width="0.85546875" style="3" customWidth="1"/>
    <col min="8966" max="8966" width="22.140625" style="3" customWidth="1"/>
    <col min="8967" max="8967" width="0.85546875" style="3" customWidth="1"/>
    <col min="8968" max="8968" width="30.7109375" style="3" customWidth="1"/>
    <col min="8969" max="8969" width="22" style="3" bestFit="1" customWidth="1"/>
    <col min="8970" max="8970" width="0.85546875" style="3" customWidth="1"/>
    <col min="8971" max="8971" width="14.7109375" style="3" customWidth="1"/>
    <col min="8972" max="8972" width="16" style="3" customWidth="1"/>
    <col min="8973" max="8973" width="14.7109375" style="3" customWidth="1"/>
    <col min="8974" max="8974" width="17.85546875" style="3" customWidth="1"/>
    <col min="8975" max="8975" width="16.85546875" style="3" customWidth="1"/>
    <col min="8976" max="8976" width="1.7109375" style="3" customWidth="1"/>
    <col min="8977" max="8978" width="14.7109375" style="3" customWidth="1"/>
    <col min="8979" max="8979" width="17.42578125" style="3" customWidth="1"/>
    <col min="8980" max="8980" width="14.7109375" style="3" customWidth="1"/>
    <col min="8981" max="8981" width="15.7109375" style="3" customWidth="1"/>
    <col min="8982" max="8982" width="13.140625" style="3" bestFit="1" customWidth="1"/>
    <col min="8983" max="8983" width="47" style="3" bestFit="1" customWidth="1"/>
    <col min="8984" max="9220" width="9.140625" style="3"/>
    <col min="9221" max="9221" width="0.85546875" style="3" customWidth="1"/>
    <col min="9222" max="9222" width="22.140625" style="3" customWidth="1"/>
    <col min="9223" max="9223" width="0.85546875" style="3" customWidth="1"/>
    <col min="9224" max="9224" width="30.7109375" style="3" customWidth="1"/>
    <col min="9225" max="9225" width="22" style="3" bestFit="1" customWidth="1"/>
    <col min="9226" max="9226" width="0.85546875" style="3" customWidth="1"/>
    <col min="9227" max="9227" width="14.7109375" style="3" customWidth="1"/>
    <col min="9228" max="9228" width="16" style="3" customWidth="1"/>
    <col min="9229" max="9229" width="14.7109375" style="3" customWidth="1"/>
    <col min="9230" max="9230" width="17.85546875" style="3" customWidth="1"/>
    <col min="9231" max="9231" width="16.85546875" style="3" customWidth="1"/>
    <col min="9232" max="9232" width="1.7109375" style="3" customWidth="1"/>
    <col min="9233" max="9234" width="14.7109375" style="3" customWidth="1"/>
    <col min="9235" max="9235" width="17.42578125" style="3" customWidth="1"/>
    <col min="9236" max="9236" width="14.7109375" style="3" customWidth="1"/>
    <col min="9237" max="9237" width="15.7109375" style="3" customWidth="1"/>
    <col min="9238" max="9238" width="13.140625" style="3" bestFit="1" customWidth="1"/>
    <col min="9239" max="9239" width="47" style="3" bestFit="1" customWidth="1"/>
    <col min="9240" max="9476" width="9.140625" style="3"/>
    <col min="9477" max="9477" width="0.85546875" style="3" customWidth="1"/>
    <col min="9478" max="9478" width="22.140625" style="3" customWidth="1"/>
    <col min="9479" max="9479" width="0.85546875" style="3" customWidth="1"/>
    <col min="9480" max="9480" width="30.7109375" style="3" customWidth="1"/>
    <col min="9481" max="9481" width="22" style="3" bestFit="1" customWidth="1"/>
    <col min="9482" max="9482" width="0.85546875" style="3" customWidth="1"/>
    <col min="9483" max="9483" width="14.7109375" style="3" customWidth="1"/>
    <col min="9484" max="9484" width="16" style="3" customWidth="1"/>
    <col min="9485" max="9485" width="14.7109375" style="3" customWidth="1"/>
    <col min="9486" max="9486" width="17.85546875" style="3" customWidth="1"/>
    <col min="9487" max="9487" width="16.85546875" style="3" customWidth="1"/>
    <col min="9488" max="9488" width="1.7109375" style="3" customWidth="1"/>
    <col min="9489" max="9490" width="14.7109375" style="3" customWidth="1"/>
    <col min="9491" max="9491" width="17.42578125" style="3" customWidth="1"/>
    <col min="9492" max="9492" width="14.7109375" style="3" customWidth="1"/>
    <col min="9493" max="9493" width="15.7109375" style="3" customWidth="1"/>
    <col min="9494" max="9494" width="13.140625" style="3" bestFit="1" customWidth="1"/>
    <col min="9495" max="9495" width="47" style="3" bestFit="1" customWidth="1"/>
    <col min="9496" max="9732" width="9.140625" style="3"/>
    <col min="9733" max="9733" width="0.85546875" style="3" customWidth="1"/>
    <col min="9734" max="9734" width="22.140625" style="3" customWidth="1"/>
    <col min="9735" max="9735" width="0.85546875" style="3" customWidth="1"/>
    <col min="9736" max="9736" width="30.7109375" style="3" customWidth="1"/>
    <col min="9737" max="9737" width="22" style="3" bestFit="1" customWidth="1"/>
    <col min="9738" max="9738" width="0.85546875" style="3" customWidth="1"/>
    <col min="9739" max="9739" width="14.7109375" style="3" customWidth="1"/>
    <col min="9740" max="9740" width="16" style="3" customWidth="1"/>
    <col min="9741" max="9741" width="14.7109375" style="3" customWidth="1"/>
    <col min="9742" max="9742" width="17.85546875" style="3" customWidth="1"/>
    <col min="9743" max="9743" width="16.85546875" style="3" customWidth="1"/>
    <col min="9744" max="9744" width="1.7109375" style="3" customWidth="1"/>
    <col min="9745" max="9746" width="14.7109375" style="3" customWidth="1"/>
    <col min="9747" max="9747" width="17.42578125" style="3" customWidth="1"/>
    <col min="9748" max="9748" width="14.7109375" style="3" customWidth="1"/>
    <col min="9749" max="9749" width="15.7109375" style="3" customWidth="1"/>
    <col min="9750" max="9750" width="13.140625" style="3" bestFit="1" customWidth="1"/>
    <col min="9751" max="9751" width="47" style="3" bestFit="1" customWidth="1"/>
    <col min="9752" max="9988" width="9.140625" style="3"/>
    <col min="9989" max="9989" width="0.85546875" style="3" customWidth="1"/>
    <col min="9990" max="9990" width="22.140625" style="3" customWidth="1"/>
    <col min="9991" max="9991" width="0.85546875" style="3" customWidth="1"/>
    <col min="9992" max="9992" width="30.7109375" style="3" customWidth="1"/>
    <col min="9993" max="9993" width="22" style="3" bestFit="1" customWidth="1"/>
    <col min="9994" max="9994" width="0.85546875" style="3" customWidth="1"/>
    <col min="9995" max="9995" width="14.7109375" style="3" customWidth="1"/>
    <col min="9996" max="9996" width="16" style="3" customWidth="1"/>
    <col min="9997" max="9997" width="14.7109375" style="3" customWidth="1"/>
    <col min="9998" max="9998" width="17.85546875" style="3" customWidth="1"/>
    <col min="9999" max="9999" width="16.85546875" style="3" customWidth="1"/>
    <col min="10000" max="10000" width="1.7109375" style="3" customWidth="1"/>
    <col min="10001" max="10002" width="14.7109375" style="3" customWidth="1"/>
    <col min="10003" max="10003" width="17.42578125" style="3" customWidth="1"/>
    <col min="10004" max="10004" width="14.7109375" style="3" customWidth="1"/>
    <col min="10005" max="10005" width="15.7109375" style="3" customWidth="1"/>
    <col min="10006" max="10006" width="13.140625" style="3" bestFit="1" customWidth="1"/>
    <col min="10007" max="10007" width="47" style="3" bestFit="1" customWidth="1"/>
    <col min="10008" max="10244" width="9.140625" style="3"/>
    <col min="10245" max="10245" width="0.85546875" style="3" customWidth="1"/>
    <col min="10246" max="10246" width="22.140625" style="3" customWidth="1"/>
    <col min="10247" max="10247" width="0.85546875" style="3" customWidth="1"/>
    <col min="10248" max="10248" width="30.7109375" style="3" customWidth="1"/>
    <col min="10249" max="10249" width="22" style="3" bestFit="1" customWidth="1"/>
    <col min="10250" max="10250" width="0.85546875" style="3" customWidth="1"/>
    <col min="10251" max="10251" width="14.7109375" style="3" customWidth="1"/>
    <col min="10252" max="10252" width="16" style="3" customWidth="1"/>
    <col min="10253" max="10253" width="14.7109375" style="3" customWidth="1"/>
    <col min="10254" max="10254" width="17.85546875" style="3" customWidth="1"/>
    <col min="10255" max="10255" width="16.85546875" style="3" customWidth="1"/>
    <col min="10256" max="10256" width="1.7109375" style="3" customWidth="1"/>
    <col min="10257" max="10258" width="14.7109375" style="3" customWidth="1"/>
    <col min="10259" max="10259" width="17.42578125" style="3" customWidth="1"/>
    <col min="10260" max="10260" width="14.7109375" style="3" customWidth="1"/>
    <col min="10261" max="10261" width="15.7109375" style="3" customWidth="1"/>
    <col min="10262" max="10262" width="13.140625" style="3" bestFit="1" customWidth="1"/>
    <col min="10263" max="10263" width="47" style="3" bestFit="1" customWidth="1"/>
    <col min="10264" max="10500" width="9.140625" style="3"/>
    <col min="10501" max="10501" width="0.85546875" style="3" customWidth="1"/>
    <col min="10502" max="10502" width="22.140625" style="3" customWidth="1"/>
    <col min="10503" max="10503" width="0.85546875" style="3" customWidth="1"/>
    <col min="10504" max="10504" width="30.7109375" style="3" customWidth="1"/>
    <col min="10505" max="10505" width="22" style="3" bestFit="1" customWidth="1"/>
    <col min="10506" max="10506" width="0.85546875" style="3" customWidth="1"/>
    <col min="10507" max="10507" width="14.7109375" style="3" customWidth="1"/>
    <col min="10508" max="10508" width="16" style="3" customWidth="1"/>
    <col min="10509" max="10509" width="14.7109375" style="3" customWidth="1"/>
    <col min="10510" max="10510" width="17.85546875" style="3" customWidth="1"/>
    <col min="10511" max="10511" width="16.85546875" style="3" customWidth="1"/>
    <col min="10512" max="10512" width="1.7109375" style="3" customWidth="1"/>
    <col min="10513" max="10514" width="14.7109375" style="3" customWidth="1"/>
    <col min="10515" max="10515" width="17.42578125" style="3" customWidth="1"/>
    <col min="10516" max="10516" width="14.7109375" style="3" customWidth="1"/>
    <col min="10517" max="10517" width="15.7109375" style="3" customWidth="1"/>
    <col min="10518" max="10518" width="13.140625" style="3" bestFit="1" customWidth="1"/>
    <col min="10519" max="10519" width="47" style="3" bestFit="1" customWidth="1"/>
    <col min="10520" max="10756" width="9.140625" style="3"/>
    <col min="10757" max="10757" width="0.85546875" style="3" customWidth="1"/>
    <col min="10758" max="10758" width="22.140625" style="3" customWidth="1"/>
    <col min="10759" max="10759" width="0.85546875" style="3" customWidth="1"/>
    <col min="10760" max="10760" width="30.7109375" style="3" customWidth="1"/>
    <col min="10761" max="10761" width="22" style="3" bestFit="1" customWidth="1"/>
    <col min="10762" max="10762" width="0.85546875" style="3" customWidth="1"/>
    <col min="10763" max="10763" width="14.7109375" style="3" customWidth="1"/>
    <col min="10764" max="10764" width="16" style="3" customWidth="1"/>
    <col min="10765" max="10765" width="14.7109375" style="3" customWidth="1"/>
    <col min="10766" max="10766" width="17.85546875" style="3" customWidth="1"/>
    <col min="10767" max="10767" width="16.85546875" style="3" customWidth="1"/>
    <col min="10768" max="10768" width="1.7109375" style="3" customWidth="1"/>
    <col min="10769" max="10770" width="14.7109375" style="3" customWidth="1"/>
    <col min="10771" max="10771" width="17.42578125" style="3" customWidth="1"/>
    <col min="10772" max="10772" width="14.7109375" style="3" customWidth="1"/>
    <col min="10773" max="10773" width="15.7109375" style="3" customWidth="1"/>
    <col min="10774" max="10774" width="13.140625" style="3" bestFit="1" customWidth="1"/>
    <col min="10775" max="10775" width="47" style="3" bestFit="1" customWidth="1"/>
    <col min="10776" max="11012" width="9.140625" style="3"/>
    <col min="11013" max="11013" width="0.85546875" style="3" customWidth="1"/>
    <col min="11014" max="11014" width="22.140625" style="3" customWidth="1"/>
    <col min="11015" max="11015" width="0.85546875" style="3" customWidth="1"/>
    <col min="11016" max="11016" width="30.7109375" style="3" customWidth="1"/>
    <col min="11017" max="11017" width="22" style="3" bestFit="1" customWidth="1"/>
    <col min="11018" max="11018" width="0.85546875" style="3" customWidth="1"/>
    <col min="11019" max="11019" width="14.7109375" style="3" customWidth="1"/>
    <col min="11020" max="11020" width="16" style="3" customWidth="1"/>
    <col min="11021" max="11021" width="14.7109375" style="3" customWidth="1"/>
    <col min="11022" max="11022" width="17.85546875" style="3" customWidth="1"/>
    <col min="11023" max="11023" width="16.85546875" style="3" customWidth="1"/>
    <col min="11024" max="11024" width="1.7109375" style="3" customWidth="1"/>
    <col min="11025" max="11026" width="14.7109375" style="3" customWidth="1"/>
    <col min="11027" max="11027" width="17.42578125" style="3" customWidth="1"/>
    <col min="11028" max="11028" width="14.7109375" style="3" customWidth="1"/>
    <col min="11029" max="11029" width="15.7109375" style="3" customWidth="1"/>
    <col min="11030" max="11030" width="13.140625" style="3" bestFit="1" customWidth="1"/>
    <col min="11031" max="11031" width="47" style="3" bestFit="1" customWidth="1"/>
    <col min="11032" max="11268" width="9.140625" style="3"/>
    <col min="11269" max="11269" width="0.85546875" style="3" customWidth="1"/>
    <col min="11270" max="11270" width="22.140625" style="3" customWidth="1"/>
    <col min="11271" max="11271" width="0.85546875" style="3" customWidth="1"/>
    <col min="11272" max="11272" width="30.7109375" style="3" customWidth="1"/>
    <col min="11273" max="11273" width="22" style="3" bestFit="1" customWidth="1"/>
    <col min="11274" max="11274" width="0.85546875" style="3" customWidth="1"/>
    <col min="11275" max="11275" width="14.7109375" style="3" customWidth="1"/>
    <col min="11276" max="11276" width="16" style="3" customWidth="1"/>
    <col min="11277" max="11277" width="14.7109375" style="3" customWidth="1"/>
    <col min="11278" max="11278" width="17.85546875" style="3" customWidth="1"/>
    <col min="11279" max="11279" width="16.85546875" style="3" customWidth="1"/>
    <col min="11280" max="11280" width="1.7109375" style="3" customWidth="1"/>
    <col min="11281" max="11282" width="14.7109375" style="3" customWidth="1"/>
    <col min="11283" max="11283" width="17.42578125" style="3" customWidth="1"/>
    <col min="11284" max="11284" width="14.7109375" style="3" customWidth="1"/>
    <col min="11285" max="11285" width="15.7109375" style="3" customWidth="1"/>
    <col min="11286" max="11286" width="13.140625" style="3" bestFit="1" customWidth="1"/>
    <col min="11287" max="11287" width="47" style="3" bestFit="1" customWidth="1"/>
    <col min="11288" max="11524" width="9.140625" style="3"/>
    <col min="11525" max="11525" width="0.85546875" style="3" customWidth="1"/>
    <col min="11526" max="11526" width="22.140625" style="3" customWidth="1"/>
    <col min="11527" max="11527" width="0.85546875" style="3" customWidth="1"/>
    <col min="11528" max="11528" width="30.7109375" style="3" customWidth="1"/>
    <col min="11529" max="11529" width="22" style="3" bestFit="1" customWidth="1"/>
    <col min="11530" max="11530" width="0.85546875" style="3" customWidth="1"/>
    <col min="11531" max="11531" width="14.7109375" style="3" customWidth="1"/>
    <col min="11532" max="11532" width="16" style="3" customWidth="1"/>
    <col min="11533" max="11533" width="14.7109375" style="3" customWidth="1"/>
    <col min="11534" max="11534" width="17.85546875" style="3" customWidth="1"/>
    <col min="11535" max="11535" width="16.85546875" style="3" customWidth="1"/>
    <col min="11536" max="11536" width="1.7109375" style="3" customWidth="1"/>
    <col min="11537" max="11538" width="14.7109375" style="3" customWidth="1"/>
    <col min="11539" max="11539" width="17.42578125" style="3" customWidth="1"/>
    <col min="11540" max="11540" width="14.7109375" style="3" customWidth="1"/>
    <col min="11541" max="11541" width="15.7109375" style="3" customWidth="1"/>
    <col min="11542" max="11542" width="13.140625" style="3" bestFit="1" customWidth="1"/>
    <col min="11543" max="11543" width="47" style="3" bestFit="1" customWidth="1"/>
    <col min="11544" max="11780" width="9.140625" style="3"/>
    <col min="11781" max="11781" width="0.85546875" style="3" customWidth="1"/>
    <col min="11782" max="11782" width="22.140625" style="3" customWidth="1"/>
    <col min="11783" max="11783" width="0.85546875" style="3" customWidth="1"/>
    <col min="11784" max="11784" width="30.7109375" style="3" customWidth="1"/>
    <col min="11785" max="11785" width="22" style="3" bestFit="1" customWidth="1"/>
    <col min="11786" max="11786" width="0.85546875" style="3" customWidth="1"/>
    <col min="11787" max="11787" width="14.7109375" style="3" customWidth="1"/>
    <col min="11788" max="11788" width="16" style="3" customWidth="1"/>
    <col min="11789" max="11789" width="14.7109375" style="3" customWidth="1"/>
    <col min="11790" max="11790" width="17.85546875" style="3" customWidth="1"/>
    <col min="11791" max="11791" width="16.85546875" style="3" customWidth="1"/>
    <col min="11792" max="11792" width="1.7109375" style="3" customWidth="1"/>
    <col min="11793" max="11794" width="14.7109375" style="3" customWidth="1"/>
    <col min="11795" max="11795" width="17.42578125" style="3" customWidth="1"/>
    <col min="11796" max="11796" width="14.7109375" style="3" customWidth="1"/>
    <col min="11797" max="11797" width="15.7109375" style="3" customWidth="1"/>
    <col min="11798" max="11798" width="13.140625" style="3" bestFit="1" customWidth="1"/>
    <col min="11799" max="11799" width="47" style="3" bestFit="1" customWidth="1"/>
    <col min="11800" max="12036" width="9.140625" style="3"/>
    <col min="12037" max="12037" width="0.85546875" style="3" customWidth="1"/>
    <col min="12038" max="12038" width="22.140625" style="3" customWidth="1"/>
    <col min="12039" max="12039" width="0.85546875" style="3" customWidth="1"/>
    <col min="12040" max="12040" width="30.7109375" style="3" customWidth="1"/>
    <col min="12041" max="12041" width="22" style="3" bestFit="1" customWidth="1"/>
    <col min="12042" max="12042" width="0.85546875" style="3" customWidth="1"/>
    <col min="12043" max="12043" width="14.7109375" style="3" customWidth="1"/>
    <col min="12044" max="12044" width="16" style="3" customWidth="1"/>
    <col min="12045" max="12045" width="14.7109375" style="3" customWidth="1"/>
    <col min="12046" max="12046" width="17.85546875" style="3" customWidth="1"/>
    <col min="12047" max="12047" width="16.85546875" style="3" customWidth="1"/>
    <col min="12048" max="12048" width="1.7109375" style="3" customWidth="1"/>
    <col min="12049" max="12050" width="14.7109375" style="3" customWidth="1"/>
    <col min="12051" max="12051" width="17.42578125" style="3" customWidth="1"/>
    <col min="12052" max="12052" width="14.7109375" style="3" customWidth="1"/>
    <col min="12053" max="12053" width="15.7109375" style="3" customWidth="1"/>
    <col min="12054" max="12054" width="13.140625" style="3" bestFit="1" customWidth="1"/>
    <col min="12055" max="12055" width="47" style="3" bestFit="1" customWidth="1"/>
    <col min="12056" max="12292" width="9.140625" style="3"/>
    <col min="12293" max="12293" width="0.85546875" style="3" customWidth="1"/>
    <col min="12294" max="12294" width="22.140625" style="3" customWidth="1"/>
    <col min="12295" max="12295" width="0.85546875" style="3" customWidth="1"/>
    <col min="12296" max="12296" width="30.7109375" style="3" customWidth="1"/>
    <col min="12297" max="12297" width="22" style="3" bestFit="1" customWidth="1"/>
    <col min="12298" max="12298" width="0.85546875" style="3" customWidth="1"/>
    <col min="12299" max="12299" width="14.7109375" style="3" customWidth="1"/>
    <col min="12300" max="12300" width="16" style="3" customWidth="1"/>
    <col min="12301" max="12301" width="14.7109375" style="3" customWidth="1"/>
    <col min="12302" max="12302" width="17.85546875" style="3" customWidth="1"/>
    <col min="12303" max="12303" width="16.85546875" style="3" customWidth="1"/>
    <col min="12304" max="12304" width="1.7109375" style="3" customWidth="1"/>
    <col min="12305" max="12306" width="14.7109375" style="3" customWidth="1"/>
    <col min="12307" max="12307" width="17.42578125" style="3" customWidth="1"/>
    <col min="12308" max="12308" width="14.7109375" style="3" customWidth="1"/>
    <col min="12309" max="12309" width="15.7109375" style="3" customWidth="1"/>
    <col min="12310" max="12310" width="13.140625" style="3" bestFit="1" customWidth="1"/>
    <col min="12311" max="12311" width="47" style="3" bestFit="1" customWidth="1"/>
    <col min="12312" max="12548" width="9.140625" style="3"/>
    <col min="12549" max="12549" width="0.85546875" style="3" customWidth="1"/>
    <col min="12550" max="12550" width="22.140625" style="3" customWidth="1"/>
    <col min="12551" max="12551" width="0.85546875" style="3" customWidth="1"/>
    <col min="12552" max="12552" width="30.7109375" style="3" customWidth="1"/>
    <col min="12553" max="12553" width="22" style="3" bestFit="1" customWidth="1"/>
    <col min="12554" max="12554" width="0.85546875" style="3" customWidth="1"/>
    <col min="12555" max="12555" width="14.7109375" style="3" customWidth="1"/>
    <col min="12556" max="12556" width="16" style="3" customWidth="1"/>
    <col min="12557" max="12557" width="14.7109375" style="3" customWidth="1"/>
    <col min="12558" max="12558" width="17.85546875" style="3" customWidth="1"/>
    <col min="12559" max="12559" width="16.85546875" style="3" customWidth="1"/>
    <col min="12560" max="12560" width="1.7109375" style="3" customWidth="1"/>
    <col min="12561" max="12562" width="14.7109375" style="3" customWidth="1"/>
    <col min="12563" max="12563" width="17.42578125" style="3" customWidth="1"/>
    <col min="12564" max="12564" width="14.7109375" style="3" customWidth="1"/>
    <col min="12565" max="12565" width="15.7109375" style="3" customWidth="1"/>
    <col min="12566" max="12566" width="13.140625" style="3" bestFit="1" customWidth="1"/>
    <col min="12567" max="12567" width="47" style="3" bestFit="1" customWidth="1"/>
    <col min="12568" max="12804" width="9.140625" style="3"/>
    <col min="12805" max="12805" width="0.85546875" style="3" customWidth="1"/>
    <col min="12806" max="12806" width="22.140625" style="3" customWidth="1"/>
    <col min="12807" max="12807" width="0.85546875" style="3" customWidth="1"/>
    <col min="12808" max="12808" width="30.7109375" style="3" customWidth="1"/>
    <col min="12809" max="12809" width="22" style="3" bestFit="1" customWidth="1"/>
    <col min="12810" max="12810" width="0.85546875" style="3" customWidth="1"/>
    <col min="12811" max="12811" width="14.7109375" style="3" customWidth="1"/>
    <col min="12812" max="12812" width="16" style="3" customWidth="1"/>
    <col min="12813" max="12813" width="14.7109375" style="3" customWidth="1"/>
    <col min="12814" max="12814" width="17.85546875" style="3" customWidth="1"/>
    <col min="12815" max="12815" width="16.85546875" style="3" customWidth="1"/>
    <col min="12816" max="12816" width="1.7109375" style="3" customWidth="1"/>
    <col min="12817" max="12818" width="14.7109375" style="3" customWidth="1"/>
    <col min="12819" max="12819" width="17.42578125" style="3" customWidth="1"/>
    <col min="12820" max="12820" width="14.7109375" style="3" customWidth="1"/>
    <col min="12821" max="12821" width="15.7109375" style="3" customWidth="1"/>
    <col min="12822" max="12822" width="13.140625" style="3" bestFit="1" customWidth="1"/>
    <col min="12823" max="12823" width="47" style="3" bestFit="1" customWidth="1"/>
    <col min="12824" max="13060" width="9.140625" style="3"/>
    <col min="13061" max="13061" width="0.85546875" style="3" customWidth="1"/>
    <col min="13062" max="13062" width="22.140625" style="3" customWidth="1"/>
    <col min="13063" max="13063" width="0.85546875" style="3" customWidth="1"/>
    <col min="13064" max="13064" width="30.7109375" style="3" customWidth="1"/>
    <col min="13065" max="13065" width="22" style="3" bestFit="1" customWidth="1"/>
    <col min="13066" max="13066" width="0.85546875" style="3" customWidth="1"/>
    <col min="13067" max="13067" width="14.7109375" style="3" customWidth="1"/>
    <col min="13068" max="13068" width="16" style="3" customWidth="1"/>
    <col min="13069" max="13069" width="14.7109375" style="3" customWidth="1"/>
    <col min="13070" max="13070" width="17.85546875" style="3" customWidth="1"/>
    <col min="13071" max="13071" width="16.85546875" style="3" customWidth="1"/>
    <col min="13072" max="13072" width="1.7109375" style="3" customWidth="1"/>
    <col min="13073" max="13074" width="14.7109375" style="3" customWidth="1"/>
    <col min="13075" max="13075" width="17.42578125" style="3" customWidth="1"/>
    <col min="13076" max="13076" width="14.7109375" style="3" customWidth="1"/>
    <col min="13077" max="13077" width="15.7109375" style="3" customWidth="1"/>
    <col min="13078" max="13078" width="13.140625" style="3" bestFit="1" customWidth="1"/>
    <col min="13079" max="13079" width="47" style="3" bestFit="1" customWidth="1"/>
    <col min="13080" max="13316" width="9.140625" style="3"/>
    <col min="13317" max="13317" width="0.85546875" style="3" customWidth="1"/>
    <col min="13318" max="13318" width="22.140625" style="3" customWidth="1"/>
    <col min="13319" max="13319" width="0.85546875" style="3" customWidth="1"/>
    <col min="13320" max="13320" width="30.7109375" style="3" customWidth="1"/>
    <col min="13321" max="13321" width="22" style="3" bestFit="1" customWidth="1"/>
    <col min="13322" max="13322" width="0.85546875" style="3" customWidth="1"/>
    <col min="13323" max="13323" width="14.7109375" style="3" customWidth="1"/>
    <col min="13324" max="13324" width="16" style="3" customWidth="1"/>
    <col min="13325" max="13325" width="14.7109375" style="3" customWidth="1"/>
    <col min="13326" max="13326" width="17.85546875" style="3" customWidth="1"/>
    <col min="13327" max="13327" width="16.85546875" style="3" customWidth="1"/>
    <col min="13328" max="13328" width="1.7109375" style="3" customWidth="1"/>
    <col min="13329" max="13330" width="14.7109375" style="3" customWidth="1"/>
    <col min="13331" max="13331" width="17.42578125" style="3" customWidth="1"/>
    <col min="13332" max="13332" width="14.7109375" style="3" customWidth="1"/>
    <col min="13333" max="13333" width="15.7109375" style="3" customWidth="1"/>
    <col min="13334" max="13334" width="13.140625" style="3" bestFit="1" customWidth="1"/>
    <col min="13335" max="13335" width="47" style="3" bestFit="1" customWidth="1"/>
    <col min="13336" max="13572" width="9.140625" style="3"/>
    <col min="13573" max="13573" width="0.85546875" style="3" customWidth="1"/>
    <col min="13574" max="13574" width="22.140625" style="3" customWidth="1"/>
    <col min="13575" max="13575" width="0.85546875" style="3" customWidth="1"/>
    <col min="13576" max="13576" width="30.7109375" style="3" customWidth="1"/>
    <col min="13577" max="13577" width="22" style="3" bestFit="1" customWidth="1"/>
    <col min="13578" max="13578" width="0.85546875" style="3" customWidth="1"/>
    <col min="13579" max="13579" width="14.7109375" style="3" customWidth="1"/>
    <col min="13580" max="13580" width="16" style="3" customWidth="1"/>
    <col min="13581" max="13581" width="14.7109375" style="3" customWidth="1"/>
    <col min="13582" max="13582" width="17.85546875" style="3" customWidth="1"/>
    <col min="13583" max="13583" width="16.85546875" style="3" customWidth="1"/>
    <col min="13584" max="13584" width="1.7109375" style="3" customWidth="1"/>
    <col min="13585" max="13586" width="14.7109375" style="3" customWidth="1"/>
    <col min="13587" max="13587" width="17.42578125" style="3" customWidth="1"/>
    <col min="13588" max="13588" width="14.7109375" style="3" customWidth="1"/>
    <col min="13589" max="13589" width="15.7109375" style="3" customWidth="1"/>
    <col min="13590" max="13590" width="13.140625" style="3" bestFit="1" customWidth="1"/>
    <col min="13591" max="13591" width="47" style="3" bestFit="1" customWidth="1"/>
    <col min="13592" max="13828" width="9.140625" style="3"/>
    <col min="13829" max="13829" width="0.85546875" style="3" customWidth="1"/>
    <col min="13830" max="13830" width="22.140625" style="3" customWidth="1"/>
    <col min="13831" max="13831" width="0.85546875" style="3" customWidth="1"/>
    <col min="13832" max="13832" width="30.7109375" style="3" customWidth="1"/>
    <col min="13833" max="13833" width="22" style="3" bestFit="1" customWidth="1"/>
    <col min="13834" max="13834" width="0.85546875" style="3" customWidth="1"/>
    <col min="13835" max="13835" width="14.7109375" style="3" customWidth="1"/>
    <col min="13836" max="13836" width="16" style="3" customWidth="1"/>
    <col min="13837" max="13837" width="14.7109375" style="3" customWidth="1"/>
    <col min="13838" max="13838" width="17.85546875" style="3" customWidth="1"/>
    <col min="13839" max="13839" width="16.85546875" style="3" customWidth="1"/>
    <col min="13840" max="13840" width="1.7109375" style="3" customWidth="1"/>
    <col min="13841" max="13842" width="14.7109375" style="3" customWidth="1"/>
    <col min="13843" max="13843" width="17.42578125" style="3" customWidth="1"/>
    <col min="13844" max="13844" width="14.7109375" style="3" customWidth="1"/>
    <col min="13845" max="13845" width="15.7109375" style="3" customWidth="1"/>
    <col min="13846" max="13846" width="13.140625" style="3" bestFit="1" customWidth="1"/>
    <col min="13847" max="13847" width="47" style="3" bestFit="1" customWidth="1"/>
    <col min="13848" max="14084" width="9.140625" style="3"/>
    <col min="14085" max="14085" width="0.85546875" style="3" customWidth="1"/>
    <col min="14086" max="14086" width="22.140625" style="3" customWidth="1"/>
    <col min="14087" max="14087" width="0.85546875" style="3" customWidth="1"/>
    <col min="14088" max="14088" width="30.7109375" style="3" customWidth="1"/>
    <col min="14089" max="14089" width="22" style="3" bestFit="1" customWidth="1"/>
    <col min="14090" max="14090" width="0.85546875" style="3" customWidth="1"/>
    <col min="14091" max="14091" width="14.7109375" style="3" customWidth="1"/>
    <col min="14092" max="14092" width="16" style="3" customWidth="1"/>
    <col min="14093" max="14093" width="14.7109375" style="3" customWidth="1"/>
    <col min="14094" max="14094" width="17.85546875" style="3" customWidth="1"/>
    <col min="14095" max="14095" width="16.85546875" style="3" customWidth="1"/>
    <col min="14096" max="14096" width="1.7109375" style="3" customWidth="1"/>
    <col min="14097" max="14098" width="14.7109375" style="3" customWidth="1"/>
    <col min="14099" max="14099" width="17.42578125" style="3" customWidth="1"/>
    <col min="14100" max="14100" width="14.7109375" style="3" customWidth="1"/>
    <col min="14101" max="14101" width="15.7109375" style="3" customWidth="1"/>
    <col min="14102" max="14102" width="13.140625" style="3" bestFit="1" customWidth="1"/>
    <col min="14103" max="14103" width="47" style="3" bestFit="1" customWidth="1"/>
    <col min="14104" max="14340" width="9.140625" style="3"/>
    <col min="14341" max="14341" width="0.85546875" style="3" customWidth="1"/>
    <col min="14342" max="14342" width="22.140625" style="3" customWidth="1"/>
    <col min="14343" max="14343" width="0.85546875" style="3" customWidth="1"/>
    <col min="14344" max="14344" width="30.7109375" style="3" customWidth="1"/>
    <col min="14345" max="14345" width="22" style="3" bestFit="1" customWidth="1"/>
    <col min="14346" max="14346" width="0.85546875" style="3" customWidth="1"/>
    <col min="14347" max="14347" width="14.7109375" style="3" customWidth="1"/>
    <col min="14348" max="14348" width="16" style="3" customWidth="1"/>
    <col min="14349" max="14349" width="14.7109375" style="3" customWidth="1"/>
    <col min="14350" max="14350" width="17.85546875" style="3" customWidth="1"/>
    <col min="14351" max="14351" width="16.85546875" style="3" customWidth="1"/>
    <col min="14352" max="14352" width="1.7109375" style="3" customWidth="1"/>
    <col min="14353" max="14354" width="14.7109375" style="3" customWidth="1"/>
    <col min="14355" max="14355" width="17.42578125" style="3" customWidth="1"/>
    <col min="14356" max="14356" width="14.7109375" style="3" customWidth="1"/>
    <col min="14357" max="14357" width="15.7109375" style="3" customWidth="1"/>
    <col min="14358" max="14358" width="13.140625" style="3" bestFit="1" customWidth="1"/>
    <col min="14359" max="14359" width="47" style="3" bestFit="1" customWidth="1"/>
    <col min="14360" max="14596" width="9.140625" style="3"/>
    <col min="14597" max="14597" width="0.85546875" style="3" customWidth="1"/>
    <col min="14598" max="14598" width="22.140625" style="3" customWidth="1"/>
    <col min="14599" max="14599" width="0.85546875" style="3" customWidth="1"/>
    <col min="14600" max="14600" width="30.7109375" style="3" customWidth="1"/>
    <col min="14601" max="14601" width="22" style="3" bestFit="1" customWidth="1"/>
    <col min="14602" max="14602" width="0.85546875" style="3" customWidth="1"/>
    <col min="14603" max="14603" width="14.7109375" style="3" customWidth="1"/>
    <col min="14604" max="14604" width="16" style="3" customWidth="1"/>
    <col min="14605" max="14605" width="14.7109375" style="3" customWidth="1"/>
    <col min="14606" max="14606" width="17.85546875" style="3" customWidth="1"/>
    <col min="14607" max="14607" width="16.85546875" style="3" customWidth="1"/>
    <col min="14608" max="14608" width="1.7109375" style="3" customWidth="1"/>
    <col min="14609" max="14610" width="14.7109375" style="3" customWidth="1"/>
    <col min="14611" max="14611" width="17.42578125" style="3" customWidth="1"/>
    <col min="14612" max="14612" width="14.7109375" style="3" customWidth="1"/>
    <col min="14613" max="14613" width="15.7109375" style="3" customWidth="1"/>
    <col min="14614" max="14614" width="13.140625" style="3" bestFit="1" customWidth="1"/>
    <col min="14615" max="14615" width="47" style="3" bestFit="1" customWidth="1"/>
    <col min="14616" max="14852" width="9.140625" style="3"/>
    <col min="14853" max="14853" width="0.85546875" style="3" customWidth="1"/>
    <col min="14854" max="14854" width="22.140625" style="3" customWidth="1"/>
    <col min="14855" max="14855" width="0.85546875" style="3" customWidth="1"/>
    <col min="14856" max="14856" width="30.7109375" style="3" customWidth="1"/>
    <col min="14857" max="14857" width="22" style="3" bestFit="1" customWidth="1"/>
    <col min="14858" max="14858" width="0.85546875" style="3" customWidth="1"/>
    <col min="14859" max="14859" width="14.7109375" style="3" customWidth="1"/>
    <col min="14860" max="14860" width="16" style="3" customWidth="1"/>
    <col min="14861" max="14861" width="14.7109375" style="3" customWidth="1"/>
    <col min="14862" max="14862" width="17.85546875" style="3" customWidth="1"/>
    <col min="14863" max="14863" width="16.85546875" style="3" customWidth="1"/>
    <col min="14864" max="14864" width="1.7109375" style="3" customWidth="1"/>
    <col min="14865" max="14866" width="14.7109375" style="3" customWidth="1"/>
    <col min="14867" max="14867" width="17.42578125" style="3" customWidth="1"/>
    <col min="14868" max="14868" width="14.7109375" style="3" customWidth="1"/>
    <col min="14869" max="14869" width="15.7109375" style="3" customWidth="1"/>
    <col min="14870" max="14870" width="13.140625" style="3" bestFit="1" customWidth="1"/>
    <col min="14871" max="14871" width="47" style="3" bestFit="1" customWidth="1"/>
    <col min="14872" max="15108" width="9.140625" style="3"/>
    <col min="15109" max="15109" width="0.85546875" style="3" customWidth="1"/>
    <col min="15110" max="15110" width="22.140625" style="3" customWidth="1"/>
    <col min="15111" max="15111" width="0.85546875" style="3" customWidth="1"/>
    <col min="15112" max="15112" width="30.7109375" style="3" customWidth="1"/>
    <col min="15113" max="15113" width="22" style="3" bestFit="1" customWidth="1"/>
    <col min="15114" max="15114" width="0.85546875" style="3" customWidth="1"/>
    <col min="15115" max="15115" width="14.7109375" style="3" customWidth="1"/>
    <col min="15116" max="15116" width="16" style="3" customWidth="1"/>
    <col min="15117" max="15117" width="14.7109375" style="3" customWidth="1"/>
    <col min="15118" max="15118" width="17.85546875" style="3" customWidth="1"/>
    <col min="15119" max="15119" width="16.85546875" style="3" customWidth="1"/>
    <col min="15120" max="15120" width="1.7109375" style="3" customWidth="1"/>
    <col min="15121" max="15122" width="14.7109375" style="3" customWidth="1"/>
    <col min="15123" max="15123" width="17.42578125" style="3" customWidth="1"/>
    <col min="15124" max="15124" width="14.7109375" style="3" customWidth="1"/>
    <col min="15125" max="15125" width="15.7109375" style="3" customWidth="1"/>
    <col min="15126" max="15126" width="13.140625" style="3" bestFit="1" customWidth="1"/>
    <col min="15127" max="15127" width="47" style="3" bestFit="1" customWidth="1"/>
    <col min="15128" max="15364" width="9.140625" style="3"/>
    <col min="15365" max="15365" width="0.85546875" style="3" customWidth="1"/>
    <col min="15366" max="15366" width="22.140625" style="3" customWidth="1"/>
    <col min="15367" max="15367" width="0.85546875" style="3" customWidth="1"/>
    <col min="15368" max="15368" width="30.7109375" style="3" customWidth="1"/>
    <col min="15369" max="15369" width="22" style="3" bestFit="1" customWidth="1"/>
    <col min="15370" max="15370" width="0.85546875" style="3" customWidth="1"/>
    <col min="15371" max="15371" width="14.7109375" style="3" customWidth="1"/>
    <col min="15372" max="15372" width="16" style="3" customWidth="1"/>
    <col min="15373" max="15373" width="14.7109375" style="3" customWidth="1"/>
    <col min="15374" max="15374" width="17.85546875" style="3" customWidth="1"/>
    <col min="15375" max="15375" width="16.85546875" style="3" customWidth="1"/>
    <col min="15376" max="15376" width="1.7109375" style="3" customWidth="1"/>
    <col min="15377" max="15378" width="14.7109375" style="3" customWidth="1"/>
    <col min="15379" max="15379" width="17.42578125" style="3" customWidth="1"/>
    <col min="15380" max="15380" width="14.7109375" style="3" customWidth="1"/>
    <col min="15381" max="15381" width="15.7109375" style="3" customWidth="1"/>
    <col min="15382" max="15382" width="13.140625" style="3" bestFit="1" customWidth="1"/>
    <col min="15383" max="15383" width="47" style="3" bestFit="1" customWidth="1"/>
    <col min="15384" max="15620" width="9.140625" style="3"/>
    <col min="15621" max="15621" width="0.85546875" style="3" customWidth="1"/>
    <col min="15622" max="15622" width="22.140625" style="3" customWidth="1"/>
    <col min="15623" max="15623" width="0.85546875" style="3" customWidth="1"/>
    <col min="15624" max="15624" width="30.7109375" style="3" customWidth="1"/>
    <col min="15625" max="15625" width="22" style="3" bestFit="1" customWidth="1"/>
    <col min="15626" max="15626" width="0.85546875" style="3" customWidth="1"/>
    <col min="15627" max="15627" width="14.7109375" style="3" customWidth="1"/>
    <col min="15628" max="15628" width="16" style="3" customWidth="1"/>
    <col min="15629" max="15629" width="14.7109375" style="3" customWidth="1"/>
    <col min="15630" max="15630" width="17.85546875" style="3" customWidth="1"/>
    <col min="15631" max="15631" width="16.85546875" style="3" customWidth="1"/>
    <col min="15632" max="15632" width="1.7109375" style="3" customWidth="1"/>
    <col min="15633" max="15634" width="14.7109375" style="3" customWidth="1"/>
    <col min="15635" max="15635" width="17.42578125" style="3" customWidth="1"/>
    <col min="15636" max="15636" width="14.7109375" style="3" customWidth="1"/>
    <col min="15637" max="15637" width="15.7109375" style="3" customWidth="1"/>
    <col min="15638" max="15638" width="13.140625" style="3" bestFit="1" customWidth="1"/>
    <col min="15639" max="15639" width="47" style="3" bestFit="1" customWidth="1"/>
    <col min="15640" max="15876" width="9.140625" style="3"/>
    <col min="15877" max="15877" width="0.85546875" style="3" customWidth="1"/>
    <col min="15878" max="15878" width="22.140625" style="3" customWidth="1"/>
    <col min="15879" max="15879" width="0.85546875" style="3" customWidth="1"/>
    <col min="15880" max="15880" width="30.7109375" style="3" customWidth="1"/>
    <col min="15881" max="15881" width="22" style="3" bestFit="1" customWidth="1"/>
    <col min="15882" max="15882" width="0.85546875" style="3" customWidth="1"/>
    <col min="15883" max="15883" width="14.7109375" style="3" customWidth="1"/>
    <col min="15884" max="15884" width="16" style="3" customWidth="1"/>
    <col min="15885" max="15885" width="14.7109375" style="3" customWidth="1"/>
    <col min="15886" max="15886" width="17.85546875" style="3" customWidth="1"/>
    <col min="15887" max="15887" width="16.85546875" style="3" customWidth="1"/>
    <col min="15888" max="15888" width="1.7109375" style="3" customWidth="1"/>
    <col min="15889" max="15890" width="14.7109375" style="3" customWidth="1"/>
    <col min="15891" max="15891" width="17.42578125" style="3" customWidth="1"/>
    <col min="15892" max="15892" width="14.7109375" style="3" customWidth="1"/>
    <col min="15893" max="15893" width="15.7109375" style="3" customWidth="1"/>
    <col min="15894" max="15894" width="13.140625" style="3" bestFit="1" customWidth="1"/>
    <col min="15895" max="15895" width="47" style="3" bestFit="1" customWidth="1"/>
    <col min="15896" max="16132" width="9.140625" style="3"/>
    <col min="16133" max="16133" width="0.85546875" style="3" customWidth="1"/>
    <col min="16134" max="16134" width="22.140625" style="3" customWidth="1"/>
    <col min="16135" max="16135" width="0.85546875" style="3" customWidth="1"/>
    <col min="16136" max="16136" width="30.7109375" style="3" customWidth="1"/>
    <col min="16137" max="16137" width="22" style="3" bestFit="1" customWidth="1"/>
    <col min="16138" max="16138" width="0.85546875" style="3" customWidth="1"/>
    <col min="16139" max="16139" width="14.7109375" style="3" customWidth="1"/>
    <col min="16140" max="16140" width="16" style="3" customWidth="1"/>
    <col min="16141" max="16141" width="14.7109375" style="3" customWidth="1"/>
    <col min="16142" max="16142" width="17.85546875" style="3" customWidth="1"/>
    <col min="16143" max="16143" width="16.85546875" style="3" customWidth="1"/>
    <col min="16144" max="16144" width="1.7109375" style="3" customWidth="1"/>
    <col min="16145" max="16146" width="14.7109375" style="3" customWidth="1"/>
    <col min="16147" max="16147" width="17.42578125" style="3" customWidth="1"/>
    <col min="16148" max="16148" width="14.7109375" style="3" customWidth="1"/>
    <col min="16149" max="16149" width="15.7109375" style="3" customWidth="1"/>
    <col min="16150" max="16150" width="13.140625" style="3" bestFit="1" customWidth="1"/>
    <col min="16151" max="16151" width="47" style="3" bestFit="1" customWidth="1"/>
    <col min="16152" max="16384" width="9.140625" style="3"/>
  </cols>
  <sheetData>
    <row r="1" spans="2:23" x14ac:dyDescent="0.2">
      <c r="E1" s="2"/>
      <c r="F1" s="2"/>
    </row>
    <row r="2" spans="2:23" x14ac:dyDescent="0.2">
      <c r="E2" s="2"/>
      <c r="F2" s="2"/>
    </row>
    <row r="3" spans="2:23" ht="20.25" thickBot="1" x14ac:dyDescent="0.3">
      <c r="B3" s="1" t="s">
        <v>0</v>
      </c>
      <c r="C3" s="2"/>
      <c r="D3" s="2"/>
      <c r="E3" s="2"/>
      <c r="F3" s="2"/>
      <c r="G3" s="130" t="s">
        <v>215</v>
      </c>
      <c r="H3" s="130"/>
      <c r="I3" s="130"/>
      <c r="J3" s="130"/>
      <c r="K3" s="130"/>
      <c r="L3" s="5"/>
      <c r="M3" s="130" t="s">
        <v>216</v>
      </c>
      <c r="N3" s="130"/>
      <c r="O3" s="130"/>
      <c r="P3" s="130"/>
      <c r="Q3" s="130"/>
      <c r="R3" s="83"/>
      <c r="S3" s="83"/>
      <c r="T3" s="83"/>
      <c r="U3" s="83"/>
    </row>
    <row r="4" spans="2:23" ht="19.5" x14ac:dyDescent="0.25">
      <c r="B4" s="1" t="s">
        <v>1</v>
      </c>
      <c r="C4" s="2"/>
      <c r="D4" s="2"/>
      <c r="L4" s="5"/>
    </row>
    <row r="5" spans="2:23" x14ac:dyDescent="0.2">
      <c r="B5" s="2" t="s">
        <v>217</v>
      </c>
      <c r="C5" s="2"/>
      <c r="D5" s="2"/>
      <c r="G5" s="7" t="s">
        <v>4</v>
      </c>
      <c r="H5" s="7" t="s">
        <v>5</v>
      </c>
      <c r="I5" s="7" t="s">
        <v>6</v>
      </c>
      <c r="J5" s="7" t="s">
        <v>7</v>
      </c>
      <c r="K5" s="7" t="s">
        <v>8</v>
      </c>
      <c r="L5" s="5"/>
      <c r="M5" s="7" t="s">
        <v>4</v>
      </c>
      <c r="N5" s="7" t="s">
        <v>5</v>
      </c>
      <c r="O5" s="7" t="s">
        <v>6</v>
      </c>
      <c r="P5" s="7" t="s">
        <v>7</v>
      </c>
      <c r="Q5" s="7" t="s">
        <v>8</v>
      </c>
      <c r="R5" s="7"/>
      <c r="S5" s="7"/>
      <c r="T5" s="7"/>
      <c r="U5" s="7"/>
    </row>
    <row r="6" spans="2:23"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row>
    <row r="7" spans="2:23" x14ac:dyDescent="0.2">
      <c r="D7" s="81"/>
      <c r="G7" s="7"/>
      <c r="H7" s="7" t="s">
        <v>14</v>
      </c>
      <c r="I7" s="7"/>
      <c r="J7" s="7"/>
      <c r="K7" s="7"/>
      <c r="L7" s="5"/>
      <c r="M7" s="7"/>
      <c r="N7" s="7" t="s">
        <v>14</v>
      </c>
      <c r="O7" s="7"/>
      <c r="P7" s="7"/>
      <c r="Q7" s="7"/>
      <c r="R7" s="7"/>
      <c r="S7" s="7"/>
      <c r="T7" s="7"/>
      <c r="U7" s="7"/>
    </row>
    <row r="8" spans="2:23" ht="13.5" thickBot="1" x14ac:dyDescent="0.25">
      <c r="B8" s="2"/>
      <c r="E8" s="15"/>
      <c r="G8" s="8" t="s">
        <v>15</v>
      </c>
      <c r="H8" s="8" t="s">
        <v>16</v>
      </c>
      <c r="I8" s="8" t="s">
        <v>17</v>
      </c>
      <c r="J8" s="8"/>
      <c r="K8" s="8" t="s">
        <v>18</v>
      </c>
      <c r="L8" s="5"/>
      <c r="M8" s="8" t="s">
        <v>15</v>
      </c>
      <c r="N8" s="8" t="s">
        <v>16</v>
      </c>
      <c r="O8" s="8" t="s">
        <v>17</v>
      </c>
      <c r="P8" s="8"/>
      <c r="Q8" s="8" t="s">
        <v>18</v>
      </c>
      <c r="R8" s="84"/>
      <c r="S8" s="84"/>
      <c r="T8" s="84"/>
      <c r="U8" s="84"/>
    </row>
    <row r="9" spans="2:23" ht="5.0999999999999996" customHeight="1" x14ac:dyDescent="0.2">
      <c r="B9" s="2"/>
      <c r="E9" s="15"/>
      <c r="G9" s="9"/>
      <c r="H9" s="9"/>
      <c r="I9" s="9"/>
      <c r="J9" s="9"/>
      <c r="K9" s="9"/>
      <c r="L9" s="5"/>
      <c r="M9" s="9"/>
      <c r="N9" s="9"/>
      <c r="O9" s="9"/>
      <c r="P9" s="9"/>
      <c r="Q9" s="9"/>
      <c r="R9" s="9"/>
      <c r="S9" s="9"/>
      <c r="T9" s="9"/>
      <c r="U9" s="9"/>
    </row>
    <row r="10" spans="2:23" ht="15" thickBot="1" x14ac:dyDescent="0.25">
      <c r="B10" s="6" t="s">
        <v>3</v>
      </c>
      <c r="D10" s="3" t="s">
        <v>19</v>
      </c>
      <c r="E10" s="18" t="s">
        <v>20</v>
      </c>
      <c r="G10" s="11">
        <v>6586</v>
      </c>
      <c r="H10" s="11">
        <v>3293</v>
      </c>
      <c r="I10" s="11">
        <v>55980</v>
      </c>
      <c r="J10" s="12">
        <v>0</v>
      </c>
      <c r="K10" s="11">
        <f>SUM(G10:J10)</f>
        <v>65859</v>
      </c>
      <c r="L10" s="5"/>
      <c r="M10" s="11">
        <v>0</v>
      </c>
      <c r="N10" s="11">
        <v>0</v>
      </c>
      <c r="O10" s="11">
        <v>0</v>
      </c>
      <c r="P10" s="12">
        <v>0</v>
      </c>
      <c r="Q10" s="12">
        <f>SUM(M10:P10)</f>
        <v>0</v>
      </c>
      <c r="R10" s="12"/>
      <c r="S10" s="12"/>
      <c r="T10" s="12"/>
      <c r="U10" s="12"/>
    </row>
    <row r="11" spans="2:23" x14ac:dyDescent="0.2">
      <c r="B11" s="2" t="s">
        <v>9</v>
      </c>
      <c r="E11" s="18" t="s">
        <v>21</v>
      </c>
      <c r="G11" s="13">
        <v>162</v>
      </c>
      <c r="H11" s="13">
        <v>81</v>
      </c>
      <c r="I11" s="13">
        <v>1486.9</v>
      </c>
      <c r="J11" s="14">
        <v>0</v>
      </c>
      <c r="K11" s="13">
        <f>SUM(G11:J11)</f>
        <v>1729.9</v>
      </c>
      <c r="L11" s="5"/>
      <c r="M11" s="13">
        <f>G11</f>
        <v>162</v>
      </c>
      <c r="N11" s="13">
        <f>H11</f>
        <v>81</v>
      </c>
      <c r="O11" s="13">
        <f>I11</f>
        <v>1486.9</v>
      </c>
      <c r="P11" s="14">
        <v>0</v>
      </c>
      <c r="Q11" s="14">
        <f>SUM(M11:P11)</f>
        <v>1729.9</v>
      </c>
      <c r="R11" s="85"/>
      <c r="S11" s="85"/>
      <c r="T11" s="85"/>
      <c r="U11" s="85"/>
    </row>
    <row r="12" spans="2:23" x14ac:dyDescent="0.2">
      <c r="E12" s="18"/>
      <c r="G12" s="15"/>
      <c r="H12" s="15"/>
      <c r="I12" s="15"/>
      <c r="K12" s="15"/>
      <c r="L12" s="5"/>
      <c r="M12" s="15"/>
      <c r="N12" s="15"/>
      <c r="O12" s="15"/>
    </row>
    <row r="13" spans="2:23" ht="13.5" thickBot="1" x14ac:dyDescent="0.25">
      <c r="D13" s="3" t="s">
        <v>22</v>
      </c>
      <c r="E13" s="18" t="s">
        <v>20</v>
      </c>
      <c r="G13" s="11">
        <v>14479</v>
      </c>
      <c r="H13" s="11">
        <v>7239</v>
      </c>
      <c r="I13" s="11">
        <v>123625</v>
      </c>
      <c r="J13" s="12">
        <v>0</v>
      </c>
      <c r="K13" s="11">
        <f>SUM(G13:J13)</f>
        <v>145343</v>
      </c>
      <c r="L13" s="5"/>
      <c r="M13" s="11">
        <f t="shared" ref="M13:O14" si="0">G13</f>
        <v>14479</v>
      </c>
      <c r="N13" s="11">
        <f t="shared" si="0"/>
        <v>7239</v>
      </c>
      <c r="O13" s="11">
        <f t="shared" si="0"/>
        <v>123625</v>
      </c>
      <c r="P13" s="12">
        <v>0</v>
      </c>
      <c r="Q13" s="12">
        <f>SUM(M13:P13)</f>
        <v>145343</v>
      </c>
      <c r="R13" s="12"/>
      <c r="S13" s="12"/>
      <c r="T13" s="12"/>
      <c r="U13" s="12"/>
    </row>
    <row r="14" spans="2:23" ht="13.5" thickBot="1" x14ac:dyDescent="0.25">
      <c r="E14" s="18" t="s">
        <v>21</v>
      </c>
      <c r="G14" s="13">
        <v>347</v>
      </c>
      <c r="H14" s="13">
        <v>173.7</v>
      </c>
      <c r="I14" s="13">
        <v>3054</v>
      </c>
      <c r="J14" s="14">
        <v>0</v>
      </c>
      <c r="K14" s="13">
        <f>SUM(G14:J14)</f>
        <v>3574.7</v>
      </c>
      <c r="L14" s="5"/>
      <c r="M14" s="13">
        <f t="shared" si="0"/>
        <v>347</v>
      </c>
      <c r="N14" s="13">
        <f t="shared" si="0"/>
        <v>173.7</v>
      </c>
      <c r="O14" s="13">
        <f t="shared" si="0"/>
        <v>3054</v>
      </c>
      <c r="P14" s="14">
        <v>0</v>
      </c>
      <c r="Q14" s="14">
        <f>SUM(M14:P14)</f>
        <v>3574.7</v>
      </c>
      <c r="R14" s="85"/>
      <c r="S14" s="85"/>
      <c r="T14" s="85"/>
      <c r="U14" s="85"/>
    </row>
    <row r="15" spans="2:23" x14ac:dyDescent="0.2">
      <c r="E15" s="15"/>
      <c r="G15" s="15"/>
      <c r="H15" s="15"/>
      <c r="I15" s="15"/>
      <c r="K15" s="15"/>
      <c r="L15" s="5"/>
      <c r="M15" s="15"/>
      <c r="N15" s="15"/>
      <c r="O15" s="15"/>
      <c r="W15" s="16" t="s">
        <v>87</v>
      </c>
    </row>
    <row r="16" spans="2:23" x14ac:dyDescent="0.2">
      <c r="D16" s="3" t="s">
        <v>23</v>
      </c>
      <c r="E16" s="18" t="s">
        <v>24</v>
      </c>
      <c r="G16" s="11">
        <v>3543</v>
      </c>
      <c r="H16" s="11">
        <v>1772</v>
      </c>
      <c r="I16" s="11">
        <v>0</v>
      </c>
      <c r="J16" s="12">
        <v>0</v>
      </c>
      <c r="K16" s="11">
        <f t="shared" ref="K16:K22" si="1">SUM(G16:J16)</f>
        <v>5315</v>
      </c>
      <c r="L16" s="5"/>
      <c r="M16" s="11">
        <v>0</v>
      </c>
      <c r="N16" s="11">
        <v>0</v>
      </c>
      <c r="O16" s="11">
        <v>0</v>
      </c>
      <c r="P16" s="12">
        <v>0</v>
      </c>
      <c r="Q16" s="12">
        <f t="shared" ref="Q16:Q21" si="2">SUM(M16:P16)</f>
        <v>0</v>
      </c>
      <c r="R16" s="12"/>
      <c r="S16" s="12"/>
      <c r="T16" s="12"/>
      <c r="U16" s="12"/>
      <c r="W16" s="17"/>
    </row>
    <row r="17" spans="2:23" x14ac:dyDescent="0.2">
      <c r="D17" s="3" t="s">
        <v>25</v>
      </c>
      <c r="E17" s="18" t="s">
        <v>26</v>
      </c>
      <c r="G17" s="11">
        <v>1729</v>
      </c>
      <c r="H17" s="11">
        <v>865</v>
      </c>
      <c r="I17" s="11">
        <v>555</v>
      </c>
      <c r="J17" s="12">
        <v>0</v>
      </c>
      <c r="K17" s="11">
        <f t="shared" si="1"/>
        <v>3149</v>
      </c>
      <c r="L17" s="5"/>
      <c r="M17" s="11">
        <f>G17</f>
        <v>1729</v>
      </c>
      <c r="N17" s="11">
        <f>H17</f>
        <v>865</v>
      </c>
      <c r="O17" s="11">
        <f>I17</f>
        <v>555</v>
      </c>
      <c r="P17" s="12">
        <v>0</v>
      </c>
      <c r="Q17" s="12">
        <f t="shared" si="2"/>
        <v>3149</v>
      </c>
      <c r="R17" s="12"/>
      <c r="S17" s="12"/>
      <c r="T17" s="12"/>
      <c r="U17" s="12"/>
      <c r="W17" s="17" t="s">
        <v>88</v>
      </c>
    </row>
    <row r="18" spans="2:23" x14ac:dyDescent="0.2">
      <c r="E18" s="18" t="s">
        <v>27</v>
      </c>
      <c r="G18" s="11">
        <f>196+1</f>
        <v>197</v>
      </c>
      <c r="H18" s="11">
        <f>98+0</f>
        <v>98</v>
      </c>
      <c r="I18" s="11">
        <f>25+0</f>
        <v>25</v>
      </c>
      <c r="J18" s="12">
        <v>0</v>
      </c>
      <c r="K18" s="11">
        <f t="shared" si="1"/>
        <v>320</v>
      </c>
      <c r="L18" s="5"/>
      <c r="M18" s="11">
        <v>0</v>
      </c>
      <c r="N18" s="11">
        <v>0</v>
      </c>
      <c r="O18" s="11">
        <v>0</v>
      </c>
      <c r="P18" s="12">
        <v>0</v>
      </c>
      <c r="Q18" s="12">
        <f t="shared" si="2"/>
        <v>0</v>
      </c>
      <c r="R18" s="12"/>
      <c r="S18" s="12"/>
      <c r="T18" s="12"/>
      <c r="U18" s="12"/>
      <c r="W18" s="19">
        <f>395196+21379</f>
        <v>416575</v>
      </c>
    </row>
    <row r="19" spans="2:23" x14ac:dyDescent="0.2">
      <c r="E19" s="18" t="s">
        <v>28</v>
      </c>
      <c r="G19" s="95">
        <v>1696</v>
      </c>
      <c r="H19" s="11">
        <v>848</v>
      </c>
      <c r="I19" s="11">
        <v>14456</v>
      </c>
      <c r="J19" s="12">
        <v>0</v>
      </c>
      <c r="K19" s="11">
        <f t="shared" si="1"/>
        <v>17000</v>
      </c>
      <c r="L19" s="5"/>
      <c r="M19" s="11">
        <v>0</v>
      </c>
      <c r="N19" s="11">
        <v>0</v>
      </c>
      <c r="O19" s="11">
        <v>0</v>
      </c>
      <c r="P19" s="12">
        <v>0</v>
      </c>
      <c r="Q19" s="12">
        <f t="shared" si="2"/>
        <v>0</v>
      </c>
      <c r="R19" s="12"/>
      <c r="S19" s="12"/>
      <c r="T19" s="12"/>
      <c r="U19" s="12"/>
      <c r="W19" s="17"/>
    </row>
    <row r="20" spans="2:23" x14ac:dyDescent="0.2">
      <c r="E20" s="18" t="s">
        <v>29</v>
      </c>
      <c r="G20" s="11">
        <v>9693</v>
      </c>
      <c r="H20" s="11">
        <v>2610</v>
      </c>
      <c r="I20" s="11">
        <v>0</v>
      </c>
      <c r="J20" s="12">
        <v>0</v>
      </c>
      <c r="K20" s="11">
        <f t="shared" si="1"/>
        <v>12303</v>
      </c>
      <c r="L20" s="5"/>
      <c r="M20" s="11">
        <f>G20</f>
        <v>9693</v>
      </c>
      <c r="N20" s="11">
        <f>H20</f>
        <v>2610</v>
      </c>
      <c r="O20" s="11">
        <f>I20</f>
        <v>0</v>
      </c>
      <c r="P20" s="12">
        <v>0</v>
      </c>
      <c r="Q20" s="12">
        <f t="shared" si="2"/>
        <v>12303</v>
      </c>
      <c r="R20" s="12"/>
      <c r="S20" s="12"/>
      <c r="T20" s="12"/>
      <c r="U20" s="12"/>
      <c r="W20" s="17" t="s">
        <v>89</v>
      </c>
    </row>
    <row r="21" spans="2:23" x14ac:dyDescent="0.2">
      <c r="E21" s="18" t="s">
        <v>30</v>
      </c>
      <c r="G21" s="21">
        <f>255+159</f>
        <v>414</v>
      </c>
      <c r="H21" s="21">
        <f>127+0</f>
        <v>127</v>
      </c>
      <c r="I21" s="21">
        <f>15252+0</f>
        <v>15252</v>
      </c>
      <c r="J21" s="22">
        <v>0</v>
      </c>
      <c r="K21" s="21">
        <f t="shared" si="1"/>
        <v>15793</v>
      </c>
      <c r="L21" s="5"/>
      <c r="M21" s="11">
        <v>0</v>
      </c>
      <c r="N21" s="11">
        <v>0</v>
      </c>
      <c r="O21" s="11">
        <v>0</v>
      </c>
      <c r="P21" s="12">
        <v>0</v>
      </c>
      <c r="Q21" s="12">
        <f t="shared" si="2"/>
        <v>0</v>
      </c>
      <c r="R21" s="12"/>
      <c r="S21" s="12"/>
      <c r="T21" s="12"/>
      <c r="U21" s="12"/>
      <c r="W21" s="19">
        <f>31030+1679</f>
        <v>32709</v>
      </c>
    </row>
    <row r="22" spans="2:23" x14ac:dyDescent="0.2">
      <c r="D22" s="2" t="s">
        <v>31</v>
      </c>
      <c r="E22" s="18"/>
      <c r="G22" s="23">
        <f>G10+G13+SUM(G16:G21)</f>
        <v>38337</v>
      </c>
      <c r="H22" s="23">
        <f>H10+H13+SUM(H16:H21)</f>
        <v>16852</v>
      </c>
      <c r="I22" s="23">
        <f>I10+I13+SUM(I16:I21)</f>
        <v>209893</v>
      </c>
      <c r="J22" s="24">
        <f>J10+J13+SUM(J16:J21)</f>
        <v>0</v>
      </c>
      <c r="K22" s="23">
        <f t="shared" si="1"/>
        <v>265082</v>
      </c>
      <c r="L22" s="5"/>
      <c r="M22" s="25">
        <f>M10+M13+SUM(M16:M21)</f>
        <v>25901</v>
      </c>
      <c r="N22" s="25">
        <f>N10+N13+SUM(N16:N21)</f>
        <v>10714</v>
      </c>
      <c r="O22" s="25">
        <f>O10+O13+SUM(O16:O21)</f>
        <v>124180</v>
      </c>
      <c r="P22" s="26">
        <f>P10+P13+SUM(P16:P21)</f>
        <v>0</v>
      </c>
      <c r="Q22" s="26">
        <f>Q10+Q13+SUM(Q16:Q21)</f>
        <v>160795</v>
      </c>
      <c r="R22" s="86"/>
      <c r="S22" s="86"/>
      <c r="T22" s="86"/>
      <c r="U22" s="86"/>
      <c r="W22" s="17"/>
    </row>
    <row r="23" spans="2:23" x14ac:dyDescent="0.2">
      <c r="E23" s="18"/>
      <c r="G23" s="11"/>
      <c r="H23" s="11"/>
      <c r="I23" s="11"/>
      <c r="J23" s="12"/>
      <c r="K23" s="11"/>
      <c r="L23" s="5"/>
      <c r="M23" s="27"/>
      <c r="N23" s="11"/>
      <c r="O23" s="11"/>
      <c r="P23" s="12"/>
      <c r="Q23" s="12"/>
      <c r="R23" s="12"/>
      <c r="S23" s="12"/>
      <c r="T23" s="12"/>
      <c r="U23" s="12"/>
      <c r="W23" s="17" t="s">
        <v>90</v>
      </c>
    </row>
    <row r="24" spans="2:23" ht="13.5" thickBot="1" x14ac:dyDescent="0.25">
      <c r="B24" s="2" t="s">
        <v>32</v>
      </c>
      <c r="E24" s="18" t="s">
        <v>33</v>
      </c>
      <c r="G24" s="21">
        <v>6229</v>
      </c>
      <c r="H24" s="21">
        <v>2739</v>
      </c>
      <c r="I24" s="21">
        <v>56721</v>
      </c>
      <c r="J24" s="22">
        <v>0</v>
      </c>
      <c r="K24" s="21">
        <f>SUM(G24:J24)</f>
        <v>65689</v>
      </c>
      <c r="L24" s="5"/>
      <c r="M24" s="21">
        <f>$Q$24*G$131</f>
        <v>512.29767857545005</v>
      </c>
      <c r="N24" s="21">
        <f>$Q$24*H$131</f>
        <v>256.1547540091164</v>
      </c>
      <c r="O24" s="21">
        <f>$Q$24*I$131</f>
        <v>4389.373891606755</v>
      </c>
      <c r="P24" s="21">
        <v>0</v>
      </c>
      <c r="Q24" s="21">
        <f>K24*W24</f>
        <v>5157.8263241913219</v>
      </c>
      <c r="R24" s="29"/>
      <c r="S24" s="29"/>
      <c r="T24" s="29"/>
      <c r="U24" s="29"/>
      <c r="W24" s="28">
        <f>W21/W18</f>
        <v>7.8518874152313511E-2</v>
      </c>
    </row>
    <row r="25" spans="2:23" x14ac:dyDescent="0.2">
      <c r="B25" s="2"/>
      <c r="D25" s="2" t="s">
        <v>34</v>
      </c>
      <c r="E25" s="18"/>
      <c r="G25" s="23">
        <f>SUM(G24)</f>
        <v>6229</v>
      </c>
      <c r="H25" s="23">
        <f>SUM(H24)</f>
        <v>2739</v>
      </c>
      <c r="I25" s="23">
        <f>SUM(I24)</f>
        <v>56721</v>
      </c>
      <c r="J25" s="24">
        <f>SUM(J24)</f>
        <v>0</v>
      </c>
      <c r="K25" s="23">
        <f>SUM(G25:J25)</f>
        <v>65689</v>
      </c>
      <c r="L25" s="5"/>
      <c r="M25" s="23">
        <f>SUM(M24)</f>
        <v>512.29767857545005</v>
      </c>
      <c r="N25" s="23">
        <f>SUM(N24)</f>
        <v>256.1547540091164</v>
      </c>
      <c r="O25" s="23">
        <f>SUM(O24)</f>
        <v>4389.373891606755</v>
      </c>
      <c r="P25" s="24">
        <f>SUM(P24)</f>
        <v>0</v>
      </c>
      <c r="Q25" s="24">
        <f>SUM(M25:P25)</f>
        <v>5157.826324191321</v>
      </c>
      <c r="R25" s="24"/>
      <c r="S25" s="24"/>
      <c r="T25" s="24"/>
      <c r="U25" s="24"/>
    </row>
    <row r="26" spans="2:23" x14ac:dyDescent="0.2">
      <c r="B26" s="2"/>
      <c r="E26" s="15"/>
      <c r="G26" s="15"/>
      <c r="H26" s="15"/>
      <c r="I26" s="15"/>
      <c r="K26" s="15"/>
      <c r="L26" s="5"/>
      <c r="M26" s="15"/>
      <c r="N26" s="15"/>
      <c r="O26" s="15"/>
    </row>
    <row r="27" spans="2:23" x14ac:dyDescent="0.2">
      <c r="B27" s="2" t="s">
        <v>35</v>
      </c>
      <c r="E27" s="18" t="s">
        <v>36</v>
      </c>
      <c r="F27" s="15"/>
      <c r="G27" s="11">
        <v>36</v>
      </c>
      <c r="H27" s="11">
        <v>14</v>
      </c>
      <c r="I27" s="11">
        <v>350</v>
      </c>
      <c r="J27" s="12">
        <v>0</v>
      </c>
      <c r="K27" s="11">
        <f t="shared" ref="K27:K32" si="3">SUM(G27:J27)</f>
        <v>400</v>
      </c>
      <c r="L27" s="5"/>
      <c r="M27" s="29">
        <v>0</v>
      </c>
      <c r="N27" s="29">
        <v>0</v>
      </c>
      <c r="O27" s="29">
        <v>0</v>
      </c>
      <c r="P27" s="12">
        <v>0</v>
      </c>
      <c r="Q27" s="12">
        <f t="shared" ref="Q27:Q32" si="4">SUM(M27:P27)</f>
        <v>0</v>
      </c>
      <c r="R27" s="12"/>
      <c r="S27" s="12"/>
      <c r="T27" s="12"/>
      <c r="U27" s="12"/>
    </row>
    <row r="28" spans="2:23" x14ac:dyDescent="0.2">
      <c r="B28" s="2"/>
      <c r="E28" s="18" t="s">
        <v>37</v>
      </c>
      <c r="G28" s="11">
        <v>287</v>
      </c>
      <c r="H28" s="11">
        <v>143</v>
      </c>
      <c r="I28" s="11">
        <v>2438</v>
      </c>
      <c r="J28" s="12">
        <v>0</v>
      </c>
      <c r="K28" s="11">
        <f t="shared" si="3"/>
        <v>2868</v>
      </c>
      <c r="L28" s="5"/>
      <c r="M28" s="11">
        <f>G28</f>
        <v>287</v>
      </c>
      <c r="N28" s="11">
        <f>H28</f>
        <v>143</v>
      </c>
      <c r="O28" s="11">
        <f>I28</f>
        <v>2438</v>
      </c>
      <c r="P28" s="12">
        <v>0</v>
      </c>
      <c r="Q28" s="12">
        <f t="shared" si="4"/>
        <v>2868</v>
      </c>
      <c r="R28" s="12"/>
      <c r="S28" s="12"/>
      <c r="T28" s="12"/>
      <c r="U28" s="12"/>
    </row>
    <row r="29" spans="2:23" x14ac:dyDescent="0.2">
      <c r="B29" s="2"/>
      <c r="E29" s="15" t="s">
        <v>38</v>
      </c>
      <c r="G29" s="11">
        <v>0</v>
      </c>
      <c r="H29" s="11">
        <v>0</v>
      </c>
      <c r="I29" s="11">
        <v>0</v>
      </c>
      <c r="J29" s="12">
        <v>0</v>
      </c>
      <c r="K29" s="11">
        <f t="shared" si="3"/>
        <v>0</v>
      </c>
      <c r="L29" s="5"/>
      <c r="M29" s="11">
        <v>0</v>
      </c>
      <c r="N29" s="11">
        <v>0</v>
      </c>
      <c r="O29" s="11">
        <v>0</v>
      </c>
      <c r="P29" s="12">
        <v>0</v>
      </c>
      <c r="Q29" s="12">
        <f t="shared" si="4"/>
        <v>0</v>
      </c>
      <c r="R29" s="12"/>
      <c r="S29" s="12"/>
      <c r="T29" s="12"/>
      <c r="U29" s="12"/>
    </row>
    <row r="30" spans="2:23" x14ac:dyDescent="0.2">
      <c r="B30" s="2"/>
      <c r="E30" s="18" t="s">
        <v>39</v>
      </c>
      <c r="G30" s="11">
        <v>1608</v>
      </c>
      <c r="H30" s="11">
        <v>804</v>
      </c>
      <c r="I30" s="11">
        <v>13882</v>
      </c>
      <c r="J30" s="12">
        <v>0</v>
      </c>
      <c r="K30" s="11">
        <f t="shared" si="3"/>
        <v>16294</v>
      </c>
      <c r="L30" s="5"/>
      <c r="M30" s="11">
        <f t="shared" ref="M30:O31" si="5">G30</f>
        <v>1608</v>
      </c>
      <c r="N30" s="11">
        <f t="shared" si="5"/>
        <v>804</v>
      </c>
      <c r="O30" s="11">
        <f t="shared" si="5"/>
        <v>13882</v>
      </c>
      <c r="P30" s="12">
        <v>0</v>
      </c>
      <c r="Q30" s="12">
        <f t="shared" si="4"/>
        <v>16294</v>
      </c>
      <c r="R30" s="12"/>
      <c r="S30" s="12"/>
      <c r="T30" s="12"/>
      <c r="U30" s="12"/>
    </row>
    <row r="31" spans="2:23" x14ac:dyDescent="0.2">
      <c r="B31" s="2"/>
      <c r="E31" s="18" t="s">
        <v>40</v>
      </c>
      <c r="G31" s="21">
        <v>0</v>
      </c>
      <c r="H31" s="21">
        <v>0</v>
      </c>
      <c r="I31" s="21">
        <v>0</v>
      </c>
      <c r="J31" s="22">
        <v>0</v>
      </c>
      <c r="K31" s="21">
        <f t="shared" si="3"/>
        <v>0</v>
      </c>
      <c r="L31" s="5"/>
      <c r="M31" s="21">
        <f t="shared" si="5"/>
        <v>0</v>
      </c>
      <c r="N31" s="21">
        <f t="shared" si="5"/>
        <v>0</v>
      </c>
      <c r="O31" s="21">
        <f t="shared" si="5"/>
        <v>0</v>
      </c>
      <c r="P31" s="22">
        <v>0</v>
      </c>
      <c r="Q31" s="22">
        <f t="shared" si="4"/>
        <v>0</v>
      </c>
      <c r="R31" s="82"/>
      <c r="S31" s="82"/>
      <c r="T31" s="82"/>
      <c r="U31" s="82"/>
    </row>
    <row r="32" spans="2:23" x14ac:dyDescent="0.2">
      <c r="B32" s="2"/>
      <c r="D32" s="2" t="s">
        <v>41</v>
      </c>
      <c r="E32" s="15"/>
      <c r="G32" s="24">
        <f>SUM(G27:G31)</f>
        <v>1931</v>
      </c>
      <c r="H32" s="24">
        <f>SUM(H27:H31)</f>
        <v>961</v>
      </c>
      <c r="I32" s="24">
        <f>SUM(I27:I31)</f>
        <v>16670</v>
      </c>
      <c r="J32" s="24">
        <f>SUM(J27:J31)</f>
        <v>0</v>
      </c>
      <c r="K32" s="23">
        <f t="shared" si="3"/>
        <v>19562</v>
      </c>
      <c r="L32" s="5"/>
      <c r="M32" s="23">
        <f>SUM(M27:M31)</f>
        <v>1895</v>
      </c>
      <c r="N32" s="23">
        <f>SUM(N27:N31)</f>
        <v>947</v>
      </c>
      <c r="O32" s="23">
        <f>SUM(O27:O31)</f>
        <v>16320</v>
      </c>
      <c r="P32" s="24">
        <f>SUM(P27:P31)</f>
        <v>0</v>
      </c>
      <c r="Q32" s="24">
        <f t="shared" si="4"/>
        <v>19162</v>
      </c>
      <c r="R32" s="24"/>
      <c r="S32" s="24"/>
      <c r="T32" s="24"/>
      <c r="U32" s="24"/>
    </row>
    <row r="33" spans="2:21" x14ac:dyDescent="0.2">
      <c r="B33" s="2"/>
      <c r="E33" s="15"/>
      <c r="K33" s="15"/>
      <c r="L33" s="5"/>
    </row>
    <row r="34" spans="2:21" x14ac:dyDescent="0.2">
      <c r="B34" s="2" t="s">
        <v>42</v>
      </c>
      <c r="D34" s="2" t="s">
        <v>43</v>
      </c>
      <c r="E34" s="3" t="s">
        <v>44</v>
      </c>
      <c r="G34" s="11">
        <v>4849</v>
      </c>
      <c r="H34" s="11">
        <v>0</v>
      </c>
      <c r="I34" s="11">
        <v>0</v>
      </c>
      <c r="J34" s="11">
        <v>0</v>
      </c>
      <c r="K34" s="11">
        <f>SUM(G34:J34)</f>
        <v>4849</v>
      </c>
      <c r="L34" s="5"/>
      <c r="M34" s="12">
        <f t="shared" ref="M34:P35" si="6">G34</f>
        <v>4849</v>
      </c>
      <c r="N34" s="12">
        <f t="shared" si="6"/>
        <v>0</v>
      </c>
      <c r="O34" s="12">
        <f t="shared" si="6"/>
        <v>0</v>
      </c>
      <c r="P34" s="12">
        <f t="shared" si="6"/>
        <v>0</v>
      </c>
      <c r="Q34" s="12">
        <f>SUM(M34:P34)</f>
        <v>4849</v>
      </c>
      <c r="R34" s="12"/>
      <c r="S34" s="12"/>
      <c r="T34" s="12"/>
      <c r="U34" s="12"/>
    </row>
    <row r="35" spans="2:21" x14ac:dyDescent="0.2">
      <c r="B35" s="2" t="s">
        <v>45</v>
      </c>
      <c r="D35" s="2" t="s">
        <v>46</v>
      </c>
      <c r="E35" s="3" t="s">
        <v>47</v>
      </c>
      <c r="G35" s="11">
        <v>986</v>
      </c>
      <c r="H35" s="11">
        <v>0</v>
      </c>
      <c r="I35" s="11">
        <v>0</v>
      </c>
      <c r="J35" s="11">
        <v>0</v>
      </c>
      <c r="K35" s="11">
        <f>SUM(G35:J35)</f>
        <v>986</v>
      </c>
      <c r="L35" s="5"/>
      <c r="M35" s="12">
        <f t="shared" si="6"/>
        <v>986</v>
      </c>
      <c r="N35" s="12">
        <f t="shared" si="6"/>
        <v>0</v>
      </c>
      <c r="O35" s="12">
        <f t="shared" si="6"/>
        <v>0</v>
      </c>
      <c r="P35" s="12">
        <f t="shared" si="6"/>
        <v>0</v>
      </c>
      <c r="Q35" s="12">
        <f>SUM(M35:P35)</f>
        <v>986</v>
      </c>
      <c r="R35" s="12"/>
      <c r="S35" s="12"/>
      <c r="T35" s="12"/>
      <c r="U35" s="12"/>
    </row>
    <row r="36" spans="2:21" x14ac:dyDescent="0.2">
      <c r="D36" s="2"/>
      <c r="G36" s="15"/>
      <c r="H36" s="15"/>
      <c r="I36" s="15"/>
      <c r="J36" s="15"/>
      <c r="K36" s="15"/>
      <c r="L36" s="5"/>
      <c r="Q36" s="12"/>
      <c r="R36" s="12"/>
      <c r="S36" s="12"/>
      <c r="T36" s="12"/>
      <c r="U36" s="12"/>
    </row>
    <row r="37" spans="2:21" x14ac:dyDescent="0.2">
      <c r="D37" s="2" t="s">
        <v>48</v>
      </c>
      <c r="E37" s="3" t="s">
        <v>49</v>
      </c>
      <c r="G37" s="11">
        <v>7599</v>
      </c>
      <c r="H37" s="11"/>
      <c r="I37" s="11">
        <v>0</v>
      </c>
      <c r="J37" s="11">
        <v>0</v>
      </c>
      <c r="K37" s="11">
        <f>SUM(G37:J37)</f>
        <v>7599</v>
      </c>
      <c r="L37" s="5"/>
      <c r="M37" s="12">
        <f t="shared" ref="M37:P40" si="7">G37</f>
        <v>7599</v>
      </c>
      <c r="N37" s="12">
        <f t="shared" si="7"/>
        <v>0</v>
      </c>
      <c r="O37" s="12">
        <f t="shared" si="7"/>
        <v>0</v>
      </c>
      <c r="P37" s="12">
        <f t="shared" si="7"/>
        <v>0</v>
      </c>
      <c r="Q37" s="12">
        <f>SUM(M37:P37)</f>
        <v>7599</v>
      </c>
      <c r="R37" s="12"/>
      <c r="S37" s="12"/>
      <c r="T37" s="12"/>
      <c r="U37" s="12"/>
    </row>
    <row r="38" spans="2:21" x14ac:dyDescent="0.2">
      <c r="D38" s="2" t="s">
        <v>50</v>
      </c>
      <c r="E38" s="3" t="s">
        <v>51</v>
      </c>
      <c r="G38" s="11">
        <v>2125</v>
      </c>
      <c r="H38" s="11">
        <v>0</v>
      </c>
      <c r="I38" s="11">
        <v>0</v>
      </c>
      <c r="J38" s="11">
        <v>0</v>
      </c>
      <c r="K38" s="11">
        <f>SUM(G38:J38)</f>
        <v>2125</v>
      </c>
      <c r="L38" s="5"/>
      <c r="M38" s="12">
        <f t="shared" si="7"/>
        <v>2125</v>
      </c>
      <c r="N38" s="12">
        <f t="shared" si="7"/>
        <v>0</v>
      </c>
      <c r="O38" s="12">
        <f t="shared" si="7"/>
        <v>0</v>
      </c>
      <c r="P38" s="12">
        <f t="shared" si="7"/>
        <v>0</v>
      </c>
      <c r="Q38" s="12">
        <f>SUM(M38:P38)</f>
        <v>2125</v>
      </c>
      <c r="R38" s="12"/>
      <c r="S38" s="12"/>
      <c r="T38" s="12"/>
      <c r="U38" s="12"/>
    </row>
    <row r="39" spans="2:21" x14ac:dyDescent="0.2">
      <c r="D39" s="2"/>
      <c r="E39" s="3" t="s">
        <v>52</v>
      </c>
      <c r="G39" s="11">
        <v>2339</v>
      </c>
      <c r="H39" s="11">
        <v>0</v>
      </c>
      <c r="I39" s="11">
        <v>0</v>
      </c>
      <c r="J39" s="11">
        <v>0</v>
      </c>
      <c r="K39" s="11">
        <f>SUM(G39:J39)</f>
        <v>2339</v>
      </c>
      <c r="L39" s="5"/>
      <c r="M39" s="12">
        <f t="shared" si="7"/>
        <v>2339</v>
      </c>
      <c r="N39" s="12">
        <f t="shared" si="7"/>
        <v>0</v>
      </c>
      <c r="O39" s="12">
        <f t="shared" si="7"/>
        <v>0</v>
      </c>
      <c r="P39" s="12">
        <f t="shared" si="7"/>
        <v>0</v>
      </c>
      <c r="Q39" s="12">
        <f>SUM(M39:P39)</f>
        <v>2339</v>
      </c>
      <c r="R39" s="12"/>
      <c r="S39" s="12"/>
      <c r="T39" s="12"/>
      <c r="U39" s="12"/>
    </row>
    <row r="40" spans="2:21" x14ac:dyDescent="0.2">
      <c r="D40" s="2"/>
      <c r="E40" s="3" t="s">
        <v>53</v>
      </c>
      <c r="G40" s="11">
        <v>9000</v>
      </c>
      <c r="H40" s="11">
        <v>0</v>
      </c>
      <c r="I40" s="11"/>
      <c r="J40" s="11">
        <v>0</v>
      </c>
      <c r="K40" s="11">
        <f>SUM(G40:J40)</f>
        <v>9000</v>
      </c>
      <c r="L40" s="5"/>
      <c r="M40" s="12">
        <f t="shared" si="7"/>
        <v>9000</v>
      </c>
      <c r="N40" s="12">
        <f t="shared" si="7"/>
        <v>0</v>
      </c>
      <c r="O40" s="12">
        <f t="shared" si="7"/>
        <v>0</v>
      </c>
      <c r="P40" s="12">
        <f t="shared" si="7"/>
        <v>0</v>
      </c>
      <c r="Q40" s="12">
        <f>SUM(M40:P40)</f>
        <v>9000</v>
      </c>
      <c r="R40" s="12"/>
      <c r="S40" s="12"/>
      <c r="T40" s="12"/>
      <c r="U40" s="12"/>
    </row>
    <row r="41" spans="2:21" x14ac:dyDescent="0.2">
      <c r="D41" s="2"/>
      <c r="G41" s="15"/>
      <c r="H41" s="15"/>
      <c r="I41" s="15"/>
      <c r="J41" s="15"/>
      <c r="K41" s="15"/>
      <c r="L41" s="5"/>
      <c r="Q41" s="12"/>
      <c r="R41" s="12"/>
      <c r="S41" s="12"/>
      <c r="T41" s="12"/>
      <c r="U41" s="12"/>
    </row>
    <row r="42" spans="2:21" x14ac:dyDescent="0.2">
      <c r="D42" s="2" t="s">
        <v>54</v>
      </c>
      <c r="G42" s="11">
        <v>6432</v>
      </c>
      <c r="H42" s="11"/>
      <c r="I42" s="11">
        <v>0</v>
      </c>
      <c r="J42" s="11">
        <v>0</v>
      </c>
      <c r="K42" s="11">
        <f>SUM(G42:J42)</f>
        <v>6432</v>
      </c>
      <c r="L42" s="5"/>
      <c r="M42" s="12">
        <f>G42</f>
        <v>6432</v>
      </c>
      <c r="N42" s="12">
        <f>H42</f>
        <v>0</v>
      </c>
      <c r="O42" s="12">
        <f>I42</f>
        <v>0</v>
      </c>
      <c r="P42" s="12">
        <f>J42</f>
        <v>0</v>
      </c>
      <c r="Q42" s="12">
        <f>SUM(M42:P42)</f>
        <v>6432</v>
      </c>
      <c r="R42" s="12"/>
      <c r="S42" s="12"/>
      <c r="T42" s="12"/>
      <c r="U42" s="12"/>
    </row>
    <row r="43" spans="2:21" x14ac:dyDescent="0.2">
      <c r="D43" s="2"/>
      <c r="G43" s="15"/>
      <c r="H43" s="15"/>
      <c r="I43" s="15"/>
      <c r="J43" s="15"/>
      <c r="L43" s="5"/>
    </row>
    <row r="44" spans="2:21"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row>
    <row r="45" spans="2:21" x14ac:dyDescent="0.2">
      <c r="D45" s="2"/>
      <c r="G45" s="15"/>
      <c r="H45" s="15"/>
      <c r="I45" s="15"/>
      <c r="J45" s="15"/>
      <c r="L45" s="5"/>
    </row>
    <row r="46" spans="2:21"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row>
    <row r="47" spans="2:21" x14ac:dyDescent="0.2">
      <c r="D47" s="2"/>
      <c r="G47" s="15"/>
      <c r="H47" s="15"/>
      <c r="I47" s="15"/>
      <c r="J47" s="15"/>
      <c r="L47" s="5"/>
    </row>
    <row r="48" spans="2:21"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row>
    <row r="49" spans="2:23" x14ac:dyDescent="0.2">
      <c r="D49" s="2" t="s">
        <v>58</v>
      </c>
      <c r="G49" s="15"/>
      <c r="H49" s="15"/>
      <c r="I49" s="15"/>
      <c r="J49" s="15"/>
      <c r="L49" s="5"/>
    </row>
    <row r="50" spans="2:23" x14ac:dyDescent="0.2">
      <c r="D50" s="2"/>
      <c r="G50" s="15"/>
      <c r="H50" s="15"/>
      <c r="I50" s="15"/>
      <c r="J50" s="15"/>
      <c r="L50" s="5"/>
    </row>
    <row r="51" spans="2:23" x14ac:dyDescent="0.2">
      <c r="B51" s="2"/>
      <c r="D51" s="2" t="s">
        <v>53</v>
      </c>
      <c r="G51" s="21">
        <v>-6509</v>
      </c>
      <c r="H51" s="21">
        <v>1</v>
      </c>
      <c r="I51" s="21">
        <v>11073</v>
      </c>
      <c r="J51" s="21">
        <v>0</v>
      </c>
      <c r="K51" s="21">
        <f>SUM(G51:J51)</f>
        <v>4565</v>
      </c>
      <c r="L51" s="5"/>
      <c r="M51" s="22">
        <f>G51</f>
        <v>-6509</v>
      </c>
      <c r="N51" s="22">
        <f>H51</f>
        <v>1</v>
      </c>
      <c r="O51" s="22">
        <f>I51</f>
        <v>11073</v>
      </c>
      <c r="P51" s="22">
        <f>J51</f>
        <v>0</v>
      </c>
      <c r="Q51" s="22">
        <f>SUM(M51:P51)</f>
        <v>4565</v>
      </c>
      <c r="R51" s="82"/>
      <c r="S51" s="82"/>
      <c r="T51" s="82"/>
      <c r="U51" s="82"/>
    </row>
    <row r="52" spans="2:23" x14ac:dyDescent="0.2">
      <c r="D52" s="2" t="s">
        <v>59</v>
      </c>
      <c r="G52" s="24">
        <f>SUM(G34:G51)</f>
        <v>26821</v>
      </c>
      <c r="H52" s="24">
        <f>SUM(H34:H51)</f>
        <v>1</v>
      </c>
      <c r="I52" s="24">
        <f>SUM(I34:I51)</f>
        <v>11073</v>
      </c>
      <c r="J52" s="24">
        <f>SUM(J34:J51)</f>
        <v>0</v>
      </c>
      <c r="K52" s="24">
        <f>SUM(G52:J52)</f>
        <v>37895</v>
      </c>
      <c r="L52" s="5"/>
      <c r="M52" s="24">
        <f>SUM(M34:M51)</f>
        <v>26821</v>
      </c>
      <c r="N52" s="24">
        <f>SUM(N34:N51)</f>
        <v>1</v>
      </c>
      <c r="O52" s="24">
        <f>SUM(O34:O51)</f>
        <v>11073</v>
      </c>
      <c r="P52" s="24">
        <f>SUM(P34:P51)</f>
        <v>0</v>
      </c>
      <c r="Q52" s="24">
        <f>SUM(M52:P52)</f>
        <v>37895</v>
      </c>
      <c r="R52" s="24"/>
      <c r="S52" s="24"/>
      <c r="T52" s="24"/>
      <c r="U52" s="24"/>
    </row>
    <row r="53" spans="2:23" x14ac:dyDescent="0.2">
      <c r="B53" s="2"/>
      <c r="L53" s="5"/>
    </row>
    <row r="54" spans="2:23"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row>
    <row r="55" spans="2:23" x14ac:dyDescent="0.2">
      <c r="B55" s="2" t="s">
        <v>61</v>
      </c>
      <c r="L55" s="5"/>
    </row>
    <row r="56" spans="2:23" ht="13.5" thickBot="1" x14ac:dyDescent="0.25">
      <c r="K56" s="12"/>
      <c r="L56" s="5"/>
      <c r="Q56" s="30"/>
      <c r="R56" s="40"/>
      <c r="S56" s="40"/>
      <c r="T56" s="40"/>
      <c r="U56" s="40"/>
    </row>
    <row r="57" spans="2:23" x14ac:dyDescent="0.2">
      <c r="B57" s="2" t="s">
        <v>62</v>
      </c>
      <c r="G57" s="31">
        <f>G22+G25+G32+G52+G54</f>
        <v>73318</v>
      </c>
      <c r="H57" s="31">
        <f>H22+H25+H32+H52+H54</f>
        <v>20553</v>
      </c>
      <c r="I57" s="31">
        <f>I22+I25+I32+I52+I54</f>
        <v>294357</v>
      </c>
      <c r="J57" s="31">
        <f>J22+J25+J32+J52+J54</f>
        <v>0</v>
      </c>
      <c r="K57" s="31">
        <f>SUM(G57:J57)</f>
        <v>388228</v>
      </c>
      <c r="L57" s="32"/>
      <c r="M57" s="31">
        <f>M22+M25+M32+M52+M54</f>
        <v>55129.297678575451</v>
      </c>
      <c r="N57" s="31">
        <f>N22+N25+N32+N52+N54</f>
        <v>11918.154754009116</v>
      </c>
      <c r="O57" s="31">
        <f>O22+O25+O32+O52+O54</f>
        <v>155962.37389160675</v>
      </c>
      <c r="P57" s="31">
        <f>P22+P25+P32+P52+P54</f>
        <v>0</v>
      </c>
      <c r="Q57" s="31">
        <f>SUM(M57:P57)</f>
        <v>223009.82632419132</v>
      </c>
      <c r="R57" s="86"/>
      <c r="S57" s="86"/>
      <c r="T57" s="86"/>
      <c r="U57" s="86"/>
    </row>
    <row r="58" spans="2:23" x14ac:dyDescent="0.2">
      <c r="L58" s="5"/>
    </row>
    <row r="59" spans="2:23" x14ac:dyDescent="0.2">
      <c r="L59" s="5"/>
    </row>
    <row r="60" spans="2:23" ht="14.25" x14ac:dyDescent="0.2">
      <c r="B60" s="6" t="s">
        <v>63</v>
      </c>
      <c r="K60" s="15"/>
      <c r="L60" s="5"/>
    </row>
    <row r="61" spans="2:23" x14ac:dyDescent="0.2">
      <c r="D61" s="15" t="s">
        <v>64</v>
      </c>
      <c r="E61" s="10" t="s">
        <v>20</v>
      </c>
      <c r="G61" s="12">
        <v>0</v>
      </c>
      <c r="H61" s="12">
        <v>0</v>
      </c>
      <c r="I61" s="12">
        <f>K61</f>
        <v>167521</v>
      </c>
      <c r="J61" s="11">
        <v>0</v>
      </c>
      <c r="K61" s="11">
        <v>167521</v>
      </c>
      <c r="L61" s="5"/>
      <c r="M61" s="12">
        <f>G61</f>
        <v>0</v>
      </c>
      <c r="N61" s="12">
        <f>H61</f>
        <v>0</v>
      </c>
      <c r="O61" s="12">
        <f>Q61</f>
        <v>167521</v>
      </c>
      <c r="P61" s="11">
        <f>J61</f>
        <v>0</v>
      </c>
      <c r="Q61" s="12">
        <f>$K$61</f>
        <v>167521</v>
      </c>
      <c r="R61" s="12"/>
      <c r="S61" s="12"/>
      <c r="T61" s="12"/>
      <c r="U61" s="12"/>
    </row>
    <row r="62" spans="2:23"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W62" s="35">
        <f>K61-(445*25.09*8)</f>
        <v>78200.600000000006</v>
      </c>
    </row>
    <row r="63" spans="2:23" x14ac:dyDescent="0.2">
      <c r="D63" s="15"/>
      <c r="E63" s="10"/>
      <c r="J63" s="15"/>
      <c r="K63" s="15"/>
      <c r="L63" s="5"/>
      <c r="P63" s="15"/>
    </row>
    <row r="64" spans="2:23" x14ac:dyDescent="0.2">
      <c r="D64" s="15" t="s">
        <v>95</v>
      </c>
      <c r="E64" s="10" t="s">
        <v>20</v>
      </c>
      <c r="G64" s="12">
        <f>$G$114*K64</f>
        <v>28780.418457120821</v>
      </c>
      <c r="H64" s="12">
        <f>$H$114*K64</f>
        <v>14390.541512238084</v>
      </c>
      <c r="I64" s="12">
        <f>$I$114*K64</f>
        <v>246591.04003064107</v>
      </c>
      <c r="J64" s="11">
        <v>0</v>
      </c>
      <c r="K64" s="11">
        <v>289762</v>
      </c>
      <c r="L64" s="5"/>
      <c r="M64" s="12">
        <f>$G$114*Q64</f>
        <v>20063.794125903623</v>
      </c>
      <c r="N64" s="12">
        <f>$H$114*Q64</f>
        <v>10032.128709038201</v>
      </c>
      <c r="O64" s="12">
        <f>$I$114*Q64</f>
        <v>171906.87716505816</v>
      </c>
      <c r="P64" s="11">
        <f>J64</f>
        <v>0</v>
      </c>
      <c r="Q64" s="11">
        <f>K64-(163*67.3*8)</f>
        <v>202002.8</v>
      </c>
      <c r="R64" s="11"/>
      <c r="S64" s="11"/>
      <c r="T64" s="11"/>
      <c r="U64" s="11"/>
    </row>
    <row r="65" spans="4:21" x14ac:dyDescent="0.2">
      <c r="D65" s="15"/>
      <c r="E65" s="10" t="s">
        <v>21</v>
      </c>
      <c r="G65" s="36">
        <f>$G$114*K65</f>
        <v>0</v>
      </c>
      <c r="H65" s="36">
        <f>$H$114*K65</f>
        <v>0</v>
      </c>
      <c r="I65" s="36">
        <f>$I$114*K65</f>
        <v>0</v>
      </c>
      <c r="J65" s="37">
        <v>0</v>
      </c>
      <c r="K65" s="34">
        <v>0</v>
      </c>
      <c r="L65" s="5"/>
      <c r="M65" s="33">
        <f>G65</f>
        <v>0</v>
      </c>
      <c r="N65" s="33">
        <f>H65</f>
        <v>0</v>
      </c>
      <c r="O65" s="33">
        <f>I65</f>
        <v>0</v>
      </c>
      <c r="P65" s="34">
        <f>J65</f>
        <v>0</v>
      </c>
      <c r="Q65" s="33">
        <f>K65</f>
        <v>0</v>
      </c>
      <c r="R65" s="33"/>
      <c r="S65" s="33"/>
      <c r="T65" s="33"/>
      <c r="U65" s="33"/>
    </row>
    <row r="66" spans="4:21" x14ac:dyDescent="0.2">
      <c r="D66" s="15"/>
      <c r="E66" s="10"/>
      <c r="J66" s="15"/>
      <c r="K66" s="15"/>
      <c r="L66" s="5"/>
      <c r="P66" s="15"/>
    </row>
    <row r="67" spans="4:21" x14ac:dyDescent="0.2">
      <c r="D67" s="15" t="s">
        <v>80</v>
      </c>
      <c r="E67" s="10" t="s">
        <v>20</v>
      </c>
      <c r="G67" s="12">
        <f>$G$114*K67</f>
        <v>255.16422103775992</v>
      </c>
      <c r="H67" s="12">
        <f>$H$114*K67</f>
        <v>127.58505651168765</v>
      </c>
      <c r="I67" s="12">
        <f>$I$114*K67</f>
        <v>2186.2507224505525</v>
      </c>
      <c r="J67" s="11">
        <v>0</v>
      </c>
      <c r="K67" s="11">
        <v>2569</v>
      </c>
      <c r="L67" s="5"/>
      <c r="M67" s="12">
        <f t="shared" ref="M67:Q68" si="8">G67</f>
        <v>255.16422103775992</v>
      </c>
      <c r="N67" s="12">
        <f t="shared" si="8"/>
        <v>127.58505651168765</v>
      </c>
      <c r="O67" s="12">
        <f t="shared" si="8"/>
        <v>2186.2507224505525</v>
      </c>
      <c r="P67" s="11">
        <f t="shared" si="8"/>
        <v>0</v>
      </c>
      <c r="Q67" s="12">
        <f t="shared" si="8"/>
        <v>2569</v>
      </c>
      <c r="R67" s="12"/>
      <c r="S67" s="12"/>
      <c r="T67" s="12"/>
      <c r="U67" s="12"/>
    </row>
    <row r="68" spans="4:21" x14ac:dyDescent="0.2">
      <c r="D68" s="15"/>
      <c r="E68" s="10" t="s">
        <v>21</v>
      </c>
      <c r="G68" s="36">
        <f>$G$114*K68</f>
        <v>0</v>
      </c>
      <c r="H68" s="36">
        <f>$H$114*K68</f>
        <v>0</v>
      </c>
      <c r="I68" s="36">
        <f>$I$114*K68</f>
        <v>0</v>
      </c>
      <c r="J68" s="34">
        <v>0</v>
      </c>
      <c r="K68" s="34">
        <v>0</v>
      </c>
      <c r="L68" s="5"/>
      <c r="M68" s="33">
        <f t="shared" si="8"/>
        <v>0</v>
      </c>
      <c r="N68" s="33">
        <f t="shared" si="8"/>
        <v>0</v>
      </c>
      <c r="O68" s="33">
        <f t="shared" si="8"/>
        <v>0</v>
      </c>
      <c r="P68" s="34">
        <f t="shared" si="8"/>
        <v>0</v>
      </c>
      <c r="Q68" s="33">
        <f t="shared" si="8"/>
        <v>0</v>
      </c>
      <c r="R68" s="33"/>
      <c r="S68" s="33"/>
      <c r="T68" s="33"/>
      <c r="U68" s="33"/>
    </row>
    <row r="69" spans="4:21" x14ac:dyDescent="0.2">
      <c r="D69" s="15"/>
      <c r="E69" s="10"/>
      <c r="J69" s="15"/>
      <c r="K69" s="15"/>
      <c r="L69" s="5"/>
      <c r="P69" s="15"/>
    </row>
    <row r="70" spans="4:21" x14ac:dyDescent="0.2">
      <c r="D70" s="15" t="s">
        <v>65</v>
      </c>
      <c r="E70" s="10" t="s">
        <v>20</v>
      </c>
      <c r="G70" s="12">
        <f>$G$114*K70</f>
        <v>1571.5096556089675</v>
      </c>
      <c r="H70" s="12">
        <f>$H$114*K70</f>
        <v>785.77297163406854</v>
      </c>
      <c r="I70" s="12">
        <f>$I$114*K70</f>
        <v>13464.717372756964</v>
      </c>
      <c r="J70" s="11">
        <v>0</v>
      </c>
      <c r="K70" s="11">
        <v>15822</v>
      </c>
      <c r="L70" s="5"/>
      <c r="M70" s="12">
        <f>$G$114*Q$70</f>
        <v>1571.5096556089675</v>
      </c>
      <c r="N70" s="12">
        <f>$H$114*Q$70</f>
        <v>785.77297163406854</v>
      </c>
      <c r="O70" s="12">
        <f>$I$114*Q$70</f>
        <v>13464.717372756964</v>
      </c>
      <c r="P70" s="11">
        <f>J70</f>
        <v>0</v>
      </c>
      <c r="Q70" s="11">
        <f>K70</f>
        <v>15822</v>
      </c>
      <c r="R70" s="11"/>
      <c r="S70" s="11"/>
      <c r="T70" s="11"/>
      <c r="U70" s="11"/>
    </row>
    <row r="71" spans="4:21" x14ac:dyDescent="0.2">
      <c r="D71" s="15"/>
      <c r="E71" s="10" t="s">
        <v>21</v>
      </c>
      <c r="G71" s="36">
        <f>$G$114*K71</f>
        <v>0</v>
      </c>
      <c r="H71" s="36">
        <f>$H$114*K71</f>
        <v>0</v>
      </c>
      <c r="I71" s="36">
        <f>$I$114*K71</f>
        <v>0</v>
      </c>
      <c r="J71" s="34">
        <v>0</v>
      </c>
      <c r="K71" s="34">
        <v>0</v>
      </c>
      <c r="L71" s="5"/>
      <c r="M71" s="33">
        <f>G71</f>
        <v>0</v>
      </c>
      <c r="N71" s="33">
        <f>H71</f>
        <v>0</v>
      </c>
      <c r="O71" s="33">
        <f>I71</f>
        <v>0</v>
      </c>
      <c r="P71" s="34">
        <f>J71</f>
        <v>0</v>
      </c>
      <c r="Q71" s="33">
        <f>K71</f>
        <v>0</v>
      </c>
      <c r="R71" s="33"/>
      <c r="S71" s="33"/>
      <c r="T71" s="33"/>
      <c r="U71" s="33"/>
    </row>
    <row r="72" spans="4:21" x14ac:dyDescent="0.2">
      <c r="E72" s="10"/>
      <c r="G72" s="36"/>
      <c r="H72" s="36"/>
      <c r="I72" s="36"/>
      <c r="J72" s="34"/>
      <c r="K72" s="34"/>
      <c r="L72" s="5"/>
      <c r="M72" s="33"/>
      <c r="N72" s="33"/>
      <c r="O72" s="33"/>
      <c r="P72" s="34"/>
      <c r="Q72" s="33"/>
      <c r="R72" s="33"/>
      <c r="S72" s="33"/>
      <c r="T72" s="33"/>
      <c r="U72" s="33"/>
    </row>
    <row r="73" spans="4:21" x14ac:dyDescent="0.2">
      <c r="D73" s="15" t="s">
        <v>218</v>
      </c>
      <c r="E73" s="10" t="s">
        <v>20</v>
      </c>
      <c r="G73" s="12">
        <f>$G$114*K73</f>
        <v>5796.2703180617191</v>
      </c>
      <c r="H73" s="12">
        <f>$H$114*K73</f>
        <v>2898.2020797401933</v>
      </c>
      <c r="I73" s="12">
        <f>$I$114*K73</f>
        <v>49662.52760219809</v>
      </c>
      <c r="J73" s="11">
        <v>0</v>
      </c>
      <c r="K73" s="11">
        <v>58357</v>
      </c>
      <c r="L73" s="5"/>
      <c r="M73" s="12">
        <f t="shared" ref="M73:Q74" si="9">G73</f>
        <v>5796.2703180617191</v>
      </c>
      <c r="N73" s="12">
        <f t="shared" si="9"/>
        <v>2898.2020797401933</v>
      </c>
      <c r="O73" s="12">
        <f t="shared" si="9"/>
        <v>49662.52760219809</v>
      </c>
      <c r="P73" s="11">
        <f t="shared" si="9"/>
        <v>0</v>
      </c>
      <c r="Q73" s="12">
        <f t="shared" si="9"/>
        <v>58357</v>
      </c>
      <c r="R73" s="12"/>
      <c r="S73" s="12"/>
      <c r="T73" s="12"/>
      <c r="U73" s="12"/>
    </row>
    <row r="74" spans="4:21" x14ac:dyDescent="0.2">
      <c r="E74" s="10" t="s">
        <v>21</v>
      </c>
      <c r="G74" s="36">
        <f>$G$114*K74</f>
        <v>0</v>
      </c>
      <c r="H74" s="36">
        <f>$H$114*K74</f>
        <v>0</v>
      </c>
      <c r="I74" s="36">
        <f>$I$114*K74</f>
        <v>0</v>
      </c>
      <c r="J74" s="34">
        <v>0</v>
      </c>
      <c r="K74" s="34">
        <v>0</v>
      </c>
      <c r="L74" s="5"/>
      <c r="M74" s="33">
        <f t="shared" si="9"/>
        <v>0</v>
      </c>
      <c r="N74" s="33">
        <f t="shared" si="9"/>
        <v>0</v>
      </c>
      <c r="O74" s="33">
        <f t="shared" si="9"/>
        <v>0</v>
      </c>
      <c r="P74" s="34">
        <f t="shared" si="9"/>
        <v>0</v>
      </c>
      <c r="Q74" s="33">
        <f t="shared" si="9"/>
        <v>0</v>
      </c>
      <c r="R74" s="33"/>
      <c r="S74" s="33"/>
      <c r="T74" s="33"/>
      <c r="U74" s="33"/>
    </row>
    <row r="75" spans="4:21" x14ac:dyDescent="0.2">
      <c r="E75" s="10"/>
      <c r="J75" s="15"/>
      <c r="K75" s="15"/>
      <c r="L75" s="5"/>
      <c r="P75" s="15"/>
    </row>
    <row r="76" spans="4:21" x14ac:dyDescent="0.2">
      <c r="D76" s="15" t="s">
        <v>86</v>
      </c>
      <c r="E76" s="10" t="s">
        <v>20</v>
      </c>
      <c r="G76" s="12">
        <f>$G$114*K76</f>
        <v>5917.8433062089425</v>
      </c>
      <c r="H76" s="12">
        <f>$H$114*K76</f>
        <v>2958.9899774320211</v>
      </c>
      <c r="I76" s="12">
        <f>$I$114*K76</f>
        <v>50704.166716359032</v>
      </c>
      <c r="J76" s="11">
        <v>0</v>
      </c>
      <c r="K76" s="11">
        <v>59581</v>
      </c>
      <c r="L76" s="5"/>
      <c r="M76" s="12">
        <f t="shared" ref="M76:Q77" si="10">G76</f>
        <v>5917.8433062089425</v>
      </c>
      <c r="N76" s="12">
        <f t="shared" si="10"/>
        <v>2958.9899774320211</v>
      </c>
      <c r="O76" s="12">
        <f t="shared" si="10"/>
        <v>50704.166716359032</v>
      </c>
      <c r="P76" s="11">
        <f t="shared" si="10"/>
        <v>0</v>
      </c>
      <c r="Q76" s="12">
        <f t="shared" si="10"/>
        <v>59581</v>
      </c>
      <c r="R76" s="12"/>
      <c r="S76" s="12"/>
      <c r="T76" s="12"/>
      <c r="U76" s="12"/>
    </row>
    <row r="77" spans="4:21" x14ac:dyDescent="0.2">
      <c r="E77" s="10" t="s">
        <v>21</v>
      </c>
      <c r="G77" s="36">
        <f>$G$114*K77</f>
        <v>0</v>
      </c>
      <c r="H77" s="36">
        <f>$H$114*K77</f>
        <v>0</v>
      </c>
      <c r="I77" s="36">
        <f>$I$114*K77</f>
        <v>0</v>
      </c>
      <c r="J77" s="34">
        <v>0</v>
      </c>
      <c r="K77" s="34">
        <v>0</v>
      </c>
      <c r="L77" s="5"/>
      <c r="M77" s="33">
        <f t="shared" si="10"/>
        <v>0</v>
      </c>
      <c r="N77" s="33">
        <f t="shared" si="10"/>
        <v>0</v>
      </c>
      <c r="O77" s="33">
        <f t="shared" si="10"/>
        <v>0</v>
      </c>
      <c r="P77" s="34">
        <f t="shared" si="10"/>
        <v>0</v>
      </c>
      <c r="Q77" s="33">
        <f t="shared" si="10"/>
        <v>0</v>
      </c>
      <c r="R77" s="33"/>
      <c r="S77" s="33"/>
      <c r="T77" s="33"/>
      <c r="U77" s="33"/>
    </row>
    <row r="78" spans="4:21" x14ac:dyDescent="0.2">
      <c r="D78" s="15"/>
      <c r="E78" s="10"/>
      <c r="J78" s="15"/>
      <c r="K78" s="15"/>
      <c r="L78" s="5"/>
      <c r="P78" s="15"/>
    </row>
    <row r="79" spans="4:21" x14ac:dyDescent="0.2">
      <c r="D79" s="15" t="s">
        <v>66</v>
      </c>
      <c r="E79" s="10" t="s">
        <v>20</v>
      </c>
      <c r="G79" s="12">
        <f>$G$114*K79</f>
        <v>985.79404196176222</v>
      </c>
      <c r="H79" s="12">
        <f>$H$114*K79</f>
        <v>492.90840244394701</v>
      </c>
      <c r="I79" s="12">
        <f>$I$114*K79</f>
        <v>8446.2975555942903</v>
      </c>
      <c r="J79" s="11">
        <v>0</v>
      </c>
      <c r="K79" s="11">
        <v>9925</v>
      </c>
      <c r="L79" s="5"/>
      <c r="M79" s="12">
        <f>G79</f>
        <v>985.79404196176222</v>
      </c>
      <c r="N79" s="12">
        <f>H79</f>
        <v>492.90840244394701</v>
      </c>
      <c r="O79" s="12">
        <f>I79</f>
        <v>8446.2975555942903</v>
      </c>
      <c r="P79" s="11">
        <f>J79</f>
        <v>0</v>
      </c>
      <c r="Q79" s="12">
        <f>K79</f>
        <v>9925</v>
      </c>
      <c r="R79" s="12"/>
      <c r="S79" s="12"/>
      <c r="T79" s="12"/>
      <c r="U79" s="12"/>
    </row>
    <row r="80" spans="4:21" x14ac:dyDescent="0.2">
      <c r="D80" s="15"/>
      <c r="E80" s="10"/>
      <c r="G80" s="12"/>
      <c r="H80" s="12"/>
      <c r="I80" s="12"/>
      <c r="J80" s="11"/>
      <c r="K80" s="11"/>
      <c r="L80" s="5"/>
      <c r="M80" s="12"/>
      <c r="N80" s="12"/>
      <c r="O80" s="12"/>
      <c r="P80" s="11"/>
      <c r="Q80" s="12"/>
      <c r="R80" s="12"/>
      <c r="S80" s="12"/>
      <c r="T80" s="12"/>
      <c r="U80" s="12"/>
    </row>
    <row r="81" spans="2:22" x14ac:dyDescent="0.2">
      <c r="D81" s="15" t="s">
        <v>207</v>
      </c>
      <c r="E81" s="10" t="s">
        <v>20</v>
      </c>
      <c r="G81" s="12">
        <v>0</v>
      </c>
      <c r="H81" s="12">
        <v>0</v>
      </c>
      <c r="I81" s="12">
        <v>0</v>
      </c>
      <c r="J81" s="12">
        <v>0</v>
      </c>
      <c r="K81" s="12">
        <v>0</v>
      </c>
      <c r="L81" s="5"/>
      <c r="M81" s="12">
        <f>G81</f>
        <v>0</v>
      </c>
      <c r="N81" s="12">
        <f>H81</f>
        <v>0</v>
      </c>
      <c r="O81" s="12">
        <f>I81</f>
        <v>0</v>
      </c>
      <c r="P81" s="11">
        <f>J81</f>
        <v>0</v>
      </c>
      <c r="Q81" s="12">
        <f>K81</f>
        <v>0</v>
      </c>
      <c r="R81" s="12"/>
      <c r="S81" s="12"/>
      <c r="T81" s="12"/>
      <c r="U81" s="12"/>
      <c r="V81" s="38"/>
    </row>
    <row r="82" spans="2:22" ht="13.5" thickBot="1" x14ac:dyDescent="0.25">
      <c r="D82" s="15"/>
      <c r="E82" s="10"/>
      <c r="J82" s="15"/>
      <c r="L82" s="5"/>
      <c r="P82" s="11"/>
      <c r="Q82" s="12"/>
      <c r="R82" s="12"/>
      <c r="S82" s="12"/>
      <c r="T82" s="12"/>
      <c r="U82" s="12"/>
      <c r="V82" s="38"/>
    </row>
    <row r="83" spans="2:22" ht="13.5" thickBot="1" x14ac:dyDescent="0.25">
      <c r="B83" s="2" t="s">
        <v>67</v>
      </c>
      <c r="E83" s="10" t="s">
        <v>20</v>
      </c>
      <c r="G83" s="31">
        <f>G61+G64+G67+G70+G73+G76+G79+G81</f>
        <v>43306.999999999964</v>
      </c>
      <c r="H83" s="31">
        <f>H61+H64+H67+H70+H73+H76+H79+H81</f>
        <v>21654.000000000004</v>
      </c>
      <c r="I83" s="31">
        <f>I61+I64+I67+I70+I73+I76+I79+I81</f>
        <v>538576</v>
      </c>
      <c r="J83" s="31">
        <f>J61+J64+J67+J70+J73+J76+J79+J81</f>
        <v>0</v>
      </c>
      <c r="K83" s="39">
        <f>SUM(G83:J83)</f>
        <v>603537</v>
      </c>
      <c r="L83" s="32"/>
      <c r="M83" s="31">
        <f>M61+M64+M67+M70+M73+M76+M79+M81</f>
        <v>34590.375668782777</v>
      </c>
      <c r="N83" s="31">
        <f>N61+N64+N67+N70+N73+N76+N79+N81</f>
        <v>17295.587196800119</v>
      </c>
      <c r="O83" s="31">
        <f>O61+O64+O67+O70+O73+O76+O79+O81</f>
        <v>463891.83713441709</v>
      </c>
      <c r="P83" s="31">
        <f>P61+P64+P67+P70+P73+P76+P79+P81</f>
        <v>0</v>
      </c>
      <c r="Q83" s="31">
        <f>SUM(M83:P83)</f>
        <v>515777.8</v>
      </c>
      <c r="R83" s="86"/>
      <c r="S83" s="86"/>
      <c r="T83" s="86"/>
      <c r="U83" s="86"/>
      <c r="V83" s="40"/>
    </row>
    <row r="84" spans="2:22" x14ac:dyDescent="0.2">
      <c r="B84" s="2"/>
      <c r="E84" s="10" t="s">
        <v>21</v>
      </c>
      <c r="G84" s="41">
        <f>G62+G65+G68+G71+G74+G77</f>
        <v>0</v>
      </c>
      <c r="H84" s="41">
        <f>H62+H65+H68+H71+H74+H77</f>
        <v>0</v>
      </c>
      <c r="I84" s="41">
        <f>I62+I65+I68+I71+I74+I77</f>
        <v>0</v>
      </c>
      <c r="J84" s="41">
        <f>J62+J65+J68+J71+J74+J77</f>
        <v>0</v>
      </c>
      <c r="K84" s="42">
        <f>SUM(G84:J84)</f>
        <v>0</v>
      </c>
      <c r="L84" s="43"/>
      <c r="M84" s="41">
        <f>M62+M65+M68+M71+M74+M77</f>
        <v>0</v>
      </c>
      <c r="N84" s="41">
        <f>N62+N65+N68+N71+N74+N77</f>
        <v>0</v>
      </c>
      <c r="O84" s="41">
        <f>O62+O65+O68+O71+O74+O77</f>
        <v>0</v>
      </c>
      <c r="P84" s="41">
        <f>P62+P65+P68+P71+P74+P77</f>
        <v>0</v>
      </c>
      <c r="Q84" s="44">
        <f>SUM(M84:P84)</f>
        <v>0</v>
      </c>
      <c r="R84" s="42"/>
      <c r="S84" s="42"/>
      <c r="T84" s="42"/>
      <c r="U84" s="42"/>
    </row>
    <row r="85" spans="2:22" x14ac:dyDescent="0.2">
      <c r="K85" s="12"/>
      <c r="L85" s="5"/>
      <c r="V85" s="12"/>
    </row>
    <row r="86" spans="2:22" ht="13.5" thickBot="1" x14ac:dyDescent="0.25">
      <c r="L86" s="5"/>
    </row>
    <row r="87" spans="2:22" ht="15" thickBot="1" x14ac:dyDescent="0.25">
      <c r="B87" s="6" t="s">
        <v>68</v>
      </c>
      <c r="G87" s="45">
        <f t="shared" ref="G87:Q87" si="11">G57+G83</f>
        <v>116624.99999999997</v>
      </c>
      <c r="H87" s="45">
        <f t="shared" si="11"/>
        <v>42207</v>
      </c>
      <c r="I87" s="45">
        <f t="shared" si="11"/>
        <v>832933</v>
      </c>
      <c r="J87" s="45">
        <f t="shared" si="11"/>
        <v>0</v>
      </c>
      <c r="K87" s="45">
        <f t="shared" si="11"/>
        <v>991765</v>
      </c>
      <c r="L87" s="46">
        <f t="shared" si="11"/>
        <v>0</v>
      </c>
      <c r="M87" s="45">
        <f t="shared" si="11"/>
        <v>89719.673347358228</v>
      </c>
      <c r="N87" s="45">
        <f t="shared" si="11"/>
        <v>29213.741950809235</v>
      </c>
      <c r="O87" s="79">
        <f t="shared" si="11"/>
        <v>619854.21102602384</v>
      </c>
      <c r="P87" s="45">
        <f t="shared" si="11"/>
        <v>0</v>
      </c>
      <c r="Q87" s="45">
        <f t="shared" si="11"/>
        <v>738787.62632419134</v>
      </c>
      <c r="R87" s="86"/>
      <c r="S87" s="86"/>
      <c r="T87" s="86"/>
      <c r="U87" s="86"/>
    </row>
    <row r="88" spans="2:22" ht="13.5" thickTop="1" x14ac:dyDescent="0.2">
      <c r="I88" s="97"/>
      <c r="L88" s="5"/>
      <c r="O88" s="80"/>
    </row>
    <row r="89" spans="2:22" x14ac:dyDescent="0.2">
      <c r="L89" s="5"/>
    </row>
    <row r="90" spans="2:22" x14ac:dyDescent="0.2">
      <c r="L90" s="5"/>
      <c r="M90" s="47"/>
      <c r="N90" s="47"/>
      <c r="O90" s="47"/>
    </row>
    <row r="91" spans="2:22" x14ac:dyDescent="0.2">
      <c r="L91" s="5"/>
      <c r="M91" s="47"/>
      <c r="N91" s="47"/>
      <c r="O91" s="47"/>
    </row>
    <row r="92" spans="2:22" x14ac:dyDescent="0.2">
      <c r="L92" s="5"/>
      <c r="M92" s="47"/>
      <c r="N92" s="47"/>
      <c r="O92" s="47"/>
    </row>
    <row r="93" spans="2:22" x14ac:dyDescent="0.2">
      <c r="L93" s="5"/>
      <c r="M93" s="47"/>
      <c r="N93" s="47"/>
      <c r="O93" s="47"/>
    </row>
    <row r="94" spans="2:22" x14ac:dyDescent="0.2">
      <c r="L94" s="5"/>
      <c r="M94" s="47"/>
      <c r="N94" s="47"/>
      <c r="O94" s="47"/>
    </row>
    <row r="95" spans="2:22" x14ac:dyDescent="0.2">
      <c r="L95" s="5"/>
      <c r="M95" s="47"/>
      <c r="N95" s="47"/>
      <c r="O95" s="47"/>
    </row>
    <row r="96" spans="2:22" x14ac:dyDescent="0.2">
      <c r="L96" s="5"/>
      <c r="M96" s="47"/>
      <c r="N96" s="47"/>
      <c r="O96" s="47"/>
    </row>
    <row r="97" spans="12:15" x14ac:dyDescent="0.2">
      <c r="L97" s="5"/>
      <c r="M97" s="47"/>
      <c r="N97" s="47"/>
      <c r="O97" s="47"/>
    </row>
    <row r="98" spans="12:15" x14ac:dyDescent="0.2">
      <c r="L98" s="5"/>
      <c r="M98" s="47"/>
      <c r="N98" s="47"/>
      <c r="O98" s="47"/>
    </row>
    <row r="99" spans="12:15" x14ac:dyDescent="0.2">
      <c r="L99" s="5"/>
      <c r="M99" s="47"/>
      <c r="N99" s="47"/>
      <c r="O99" s="47"/>
    </row>
    <row r="100" spans="12:15" x14ac:dyDescent="0.2">
      <c r="L100" s="5"/>
      <c r="M100" s="47"/>
      <c r="N100" s="47"/>
      <c r="O100" s="47"/>
    </row>
    <row r="101" spans="12:15" x14ac:dyDescent="0.2">
      <c r="L101" s="5"/>
      <c r="M101" s="47"/>
      <c r="N101" s="47"/>
      <c r="O101" s="47"/>
    </row>
    <row r="102" spans="12:15" x14ac:dyDescent="0.2">
      <c r="L102" s="5"/>
      <c r="M102" s="47"/>
      <c r="N102" s="47"/>
      <c r="O102" s="47"/>
    </row>
    <row r="103" spans="12:15" x14ac:dyDescent="0.2">
      <c r="L103" s="5"/>
      <c r="M103" s="47"/>
      <c r="N103" s="47"/>
      <c r="O103" s="47"/>
    </row>
    <row r="104" spans="12:15" x14ac:dyDescent="0.2">
      <c r="L104" s="5"/>
      <c r="M104" s="47"/>
      <c r="N104" s="47"/>
      <c r="O104" s="47"/>
    </row>
    <row r="105" spans="12:15" x14ac:dyDescent="0.2">
      <c r="L105" s="5"/>
      <c r="M105" s="47"/>
      <c r="N105" s="47"/>
      <c r="O105" s="47"/>
    </row>
    <row r="106" spans="12:15" x14ac:dyDescent="0.2">
      <c r="L106" s="5"/>
      <c r="M106" s="47"/>
      <c r="N106" s="47"/>
      <c r="O106" s="47"/>
    </row>
    <row r="107" spans="12:15" x14ac:dyDescent="0.2">
      <c r="L107" s="5"/>
      <c r="M107" s="47"/>
      <c r="N107" s="47"/>
      <c r="O107" s="47"/>
    </row>
    <row r="108" spans="12:15" x14ac:dyDescent="0.2">
      <c r="L108" s="5"/>
      <c r="M108" s="47"/>
      <c r="N108" s="47"/>
      <c r="O108" s="47"/>
    </row>
    <row r="109" spans="12:15" x14ac:dyDescent="0.2">
      <c r="L109" s="5"/>
      <c r="M109" s="47"/>
      <c r="N109" s="47"/>
      <c r="O109" s="47"/>
    </row>
    <row r="110" spans="12:15" x14ac:dyDescent="0.2">
      <c r="L110" s="5"/>
      <c r="M110" s="47"/>
      <c r="N110" s="47"/>
      <c r="O110" s="47"/>
    </row>
    <row r="111" spans="12:15" x14ac:dyDescent="0.2">
      <c r="L111" s="5"/>
      <c r="M111" s="47"/>
      <c r="N111" s="47"/>
      <c r="O111" s="47"/>
    </row>
    <row r="112" spans="12:15" x14ac:dyDescent="0.2">
      <c r="L112" s="5"/>
      <c r="M112" s="48"/>
    </row>
    <row r="113" spans="2:13" ht="13.5" thickBot="1" x14ac:dyDescent="0.25">
      <c r="L113" s="5"/>
      <c r="M113" s="49"/>
    </row>
    <row r="114" spans="2:13" x14ac:dyDescent="0.2">
      <c r="E114" s="50"/>
      <c r="F114" s="51"/>
      <c r="G114" s="52">
        <f>G131</f>
        <v>9.9324336721588136E-2</v>
      </c>
      <c r="H114" s="52">
        <f>H131</f>
        <v>4.9663315107702471E-2</v>
      </c>
      <c r="I114" s="52">
        <f>I131</f>
        <v>0.85101234817070937</v>
      </c>
      <c r="J114" s="51"/>
      <c r="K114" s="53"/>
      <c r="L114" s="5"/>
      <c r="M114" s="49"/>
    </row>
    <row r="115" spans="2:13" x14ac:dyDescent="0.2">
      <c r="E115" s="54"/>
      <c r="F115" s="38"/>
      <c r="G115" s="38"/>
      <c r="H115" s="38"/>
      <c r="I115" s="38"/>
      <c r="J115" s="38"/>
      <c r="K115" s="55"/>
      <c r="L115" s="5"/>
      <c r="M115" s="49"/>
    </row>
    <row r="116" spans="2:13" x14ac:dyDescent="0.2">
      <c r="E116" s="54" t="s">
        <v>69</v>
      </c>
      <c r="F116" s="38"/>
      <c r="G116" s="38"/>
      <c r="H116" s="38"/>
      <c r="I116" s="38"/>
      <c r="J116" s="38"/>
      <c r="K116" s="103">
        <v>603537</v>
      </c>
      <c r="L116" s="5"/>
      <c r="M116" s="49"/>
    </row>
    <row r="117" spans="2:13" x14ac:dyDescent="0.2">
      <c r="E117" s="54" t="s">
        <v>91</v>
      </c>
      <c r="F117" s="38"/>
      <c r="G117" s="38"/>
      <c r="H117" s="38"/>
      <c r="I117" s="38"/>
      <c r="J117" s="38"/>
      <c r="K117" s="56">
        <v>0</v>
      </c>
      <c r="L117" s="5"/>
      <c r="M117" s="49"/>
    </row>
    <row r="118" spans="2:13" x14ac:dyDescent="0.2">
      <c r="E118" s="54"/>
      <c r="K118" s="105"/>
      <c r="L118" s="5"/>
      <c r="M118" s="49"/>
    </row>
    <row r="119" spans="2:13" x14ac:dyDescent="0.2">
      <c r="E119" s="54" t="s">
        <v>208</v>
      </c>
      <c r="F119" s="38"/>
      <c r="G119" s="38"/>
      <c r="H119" s="38"/>
      <c r="I119" s="38"/>
      <c r="J119" s="38"/>
      <c r="K119" s="104">
        <f>SUM(K116:K118)</f>
        <v>603537</v>
      </c>
      <c r="L119" s="5"/>
      <c r="M119" s="49"/>
    </row>
    <row r="120" spans="2:13" x14ac:dyDescent="0.2">
      <c r="E120" s="106"/>
      <c r="K120" s="105">
        <v>0</v>
      </c>
      <c r="L120" s="5"/>
      <c r="M120" s="49"/>
    </row>
    <row r="121" spans="2:13" x14ac:dyDescent="0.2">
      <c r="E121" s="106" t="s">
        <v>219</v>
      </c>
      <c r="K121" s="105">
        <v>0</v>
      </c>
      <c r="L121" s="5"/>
    </row>
    <row r="122" spans="2:13" x14ac:dyDescent="0.2">
      <c r="E122" s="106"/>
      <c r="K122" s="105">
        <v>0</v>
      </c>
      <c r="L122" s="5"/>
    </row>
    <row r="123" spans="2:13" x14ac:dyDescent="0.2">
      <c r="E123" s="106"/>
      <c r="K123" s="105">
        <v>0</v>
      </c>
      <c r="L123" s="5"/>
    </row>
    <row r="124" spans="2:13" x14ac:dyDescent="0.2">
      <c r="E124" s="54" t="s">
        <v>70</v>
      </c>
      <c r="F124" s="38"/>
      <c r="G124" s="38"/>
      <c r="H124" s="38"/>
      <c r="I124" s="38"/>
      <c r="J124" s="38"/>
      <c r="K124" s="104">
        <f>SUM(K119:K123)</f>
        <v>603537</v>
      </c>
      <c r="L124" s="5"/>
    </row>
    <row r="125" spans="2:13" x14ac:dyDescent="0.2">
      <c r="E125" s="54" t="s">
        <v>71</v>
      </c>
      <c r="F125" s="38"/>
      <c r="G125" s="38"/>
      <c r="H125" s="38"/>
      <c r="I125" s="38"/>
      <c r="J125" s="38"/>
      <c r="K125" s="56">
        <f>-K61</f>
        <v>-167521</v>
      </c>
      <c r="L125" s="5"/>
    </row>
    <row r="126" spans="2:13" ht="13.5" thickBot="1" x14ac:dyDescent="0.25">
      <c r="E126" s="54" t="s">
        <v>72</v>
      </c>
      <c r="F126" s="38"/>
      <c r="G126" s="38"/>
      <c r="H126" s="38"/>
      <c r="I126" s="38"/>
      <c r="J126" s="38"/>
      <c r="K126" s="107">
        <f>SUM(K124:K125)</f>
        <v>436016</v>
      </c>
      <c r="L126" s="5"/>
    </row>
    <row r="127" spans="2:13" ht="13.5" thickTop="1" x14ac:dyDescent="0.2">
      <c r="E127" s="108" t="s">
        <v>178</v>
      </c>
      <c r="F127" s="38"/>
      <c r="G127" s="109">
        <v>55000</v>
      </c>
      <c r="H127" s="109">
        <v>27500</v>
      </c>
      <c r="I127" s="109">
        <v>467500</v>
      </c>
      <c r="J127" s="38"/>
      <c r="K127" s="56"/>
      <c r="L127" s="5"/>
    </row>
    <row r="128" spans="2:13" ht="13.5" thickBot="1" x14ac:dyDescent="0.25">
      <c r="B128" s="2" t="s">
        <v>84</v>
      </c>
      <c r="C128" s="2"/>
      <c r="D128" s="2" t="s">
        <v>220</v>
      </c>
      <c r="E128" s="57" t="s">
        <v>73</v>
      </c>
      <c r="F128" s="38"/>
      <c r="G128" s="58">
        <v>43307</v>
      </c>
      <c r="H128" s="59">
        <v>21654</v>
      </c>
      <c r="I128" s="59">
        <v>538576</v>
      </c>
      <c r="J128" s="38"/>
      <c r="K128" s="56"/>
      <c r="L128" s="5"/>
    </row>
    <row r="129" spans="2:13" ht="13.5" thickTop="1" x14ac:dyDescent="0.2">
      <c r="B129" s="2" t="s">
        <v>85</v>
      </c>
      <c r="C129" s="2"/>
      <c r="D129" s="2"/>
      <c r="E129" s="54" t="s">
        <v>74</v>
      </c>
      <c r="F129" s="38"/>
      <c r="G129" s="60"/>
      <c r="H129" s="61"/>
      <c r="I129" s="61">
        <f>-K61</f>
        <v>-167521</v>
      </c>
      <c r="K129" s="55"/>
      <c r="L129" s="5"/>
      <c r="M129" s="62"/>
    </row>
    <row r="130" spans="2:13" ht="13.5" thickBot="1" x14ac:dyDescent="0.25">
      <c r="B130" s="2" t="s">
        <v>81</v>
      </c>
      <c r="C130" s="2"/>
      <c r="D130" s="131" t="s">
        <v>221</v>
      </c>
      <c r="E130" s="54" t="s">
        <v>75</v>
      </c>
      <c r="F130" s="38"/>
      <c r="G130" s="63"/>
      <c r="H130" s="64">
        <f>SUM(H128:H129)</f>
        <v>21654</v>
      </c>
      <c r="I130" s="64">
        <f>SUM(I128:I129)</f>
        <v>371055</v>
      </c>
      <c r="J130" s="65"/>
      <c r="K130" s="56"/>
      <c r="L130" s="5"/>
    </row>
    <row r="131" spans="2:13" ht="14.25" thickTop="1" thickBot="1" x14ac:dyDescent="0.25">
      <c r="B131" s="2" t="s">
        <v>83</v>
      </c>
      <c r="C131" s="2"/>
      <c r="D131" s="131"/>
      <c r="E131" s="54" t="s">
        <v>76</v>
      </c>
      <c r="F131" s="38"/>
      <c r="G131" s="66">
        <f>1-(H131+I131)</f>
        <v>9.9324336721588136E-2</v>
      </c>
      <c r="H131" s="66">
        <f>H$130/$K$126</f>
        <v>4.9663315107702471E-2</v>
      </c>
      <c r="I131" s="66">
        <f>I$130/$K$126</f>
        <v>0.85101234817070937</v>
      </c>
      <c r="J131" s="49"/>
      <c r="K131" s="56"/>
      <c r="L131" s="5"/>
    </row>
    <row r="132" spans="2:13" ht="14.25" thickTop="1" thickBot="1" x14ac:dyDescent="0.25">
      <c r="B132" s="2" t="s">
        <v>82</v>
      </c>
      <c r="C132" s="2"/>
      <c r="D132" s="131"/>
      <c r="E132" s="67"/>
      <c r="F132" s="68"/>
      <c r="G132" s="69" t="s">
        <v>77</v>
      </c>
      <c r="H132" s="69" t="s">
        <v>78</v>
      </c>
      <c r="I132" s="69" t="s">
        <v>79</v>
      </c>
      <c r="J132" s="68"/>
      <c r="K132" s="70"/>
      <c r="L132" s="5"/>
    </row>
    <row r="133" spans="2:13" x14ac:dyDescent="0.2">
      <c r="L133" s="5"/>
    </row>
    <row r="134" spans="2:13" x14ac:dyDescent="0.2">
      <c r="B134" s="2" t="s">
        <v>92</v>
      </c>
      <c r="D134" s="2" t="s">
        <v>222</v>
      </c>
      <c r="L134" s="5"/>
    </row>
    <row r="135" spans="2:13" x14ac:dyDescent="0.2">
      <c r="G135" s="110">
        <f>K124</f>
        <v>603537</v>
      </c>
      <c r="H135" s="110">
        <f>K124</f>
        <v>603537</v>
      </c>
      <c r="I135" s="110">
        <f>K124</f>
        <v>603537</v>
      </c>
      <c r="J135" s="71" t="s">
        <v>223</v>
      </c>
      <c r="K135" s="15"/>
      <c r="L135" s="5"/>
    </row>
    <row r="136" spans="2:13" x14ac:dyDescent="0.2">
      <c r="G136" s="125">
        <v>0.1</v>
      </c>
      <c r="H136" s="125">
        <v>0.05</v>
      </c>
      <c r="I136" s="125">
        <v>0.85</v>
      </c>
      <c r="J136" s="71" t="s">
        <v>180</v>
      </c>
      <c r="K136" s="15"/>
      <c r="L136" s="5"/>
    </row>
    <row r="137" spans="2:13" ht="13.5" thickBot="1" x14ac:dyDescent="0.25">
      <c r="G137" s="112">
        <f>G135*G136</f>
        <v>60353.700000000004</v>
      </c>
      <c r="H137" s="112">
        <f>H135*H136</f>
        <v>30176.850000000002</v>
      </c>
      <c r="I137" s="112">
        <f>I135*I136</f>
        <v>513006.45</v>
      </c>
      <c r="J137" s="71" t="s">
        <v>224</v>
      </c>
      <c r="K137" s="15"/>
      <c r="L137" s="5"/>
    </row>
    <row r="138" spans="2:13" ht="13.5" thickTop="1" x14ac:dyDescent="0.2">
      <c r="B138" s="3" t="s">
        <v>225</v>
      </c>
      <c r="L138" s="5"/>
    </row>
    <row r="139" spans="2:13" x14ac:dyDescent="0.2">
      <c r="B139" s="100" t="s">
        <v>226</v>
      </c>
      <c r="G139" s="110">
        <v>0</v>
      </c>
      <c r="H139" s="110">
        <f>G139</f>
        <v>0</v>
      </c>
      <c r="I139" s="110">
        <f>G139</f>
        <v>0</v>
      </c>
      <c r="J139" s="71" t="s">
        <v>227</v>
      </c>
      <c r="L139" s="5"/>
    </row>
    <row r="140" spans="2:13" x14ac:dyDescent="0.2">
      <c r="B140" s="3" t="s">
        <v>228</v>
      </c>
      <c r="D140" s="12">
        <f>K64</f>
        <v>289762</v>
      </c>
      <c r="G140" s="125">
        <v>0.1</v>
      </c>
      <c r="H140" s="125">
        <v>0.05</v>
      </c>
      <c r="I140" s="125">
        <v>0.85</v>
      </c>
      <c r="J140" s="71" t="s">
        <v>180</v>
      </c>
      <c r="L140" s="5"/>
    </row>
    <row r="141" spans="2:13" ht="13.5" thickBot="1" x14ac:dyDescent="0.25">
      <c r="B141" s="3" t="s">
        <v>229</v>
      </c>
      <c r="D141" s="62">
        <v>167521</v>
      </c>
      <c r="G141" s="112">
        <f>G139*G140</f>
        <v>0</v>
      </c>
      <c r="H141" s="112">
        <f>H139*H140</f>
        <v>0</v>
      </c>
      <c r="I141" s="112">
        <f>I139*I140</f>
        <v>0</v>
      </c>
      <c r="J141" s="71" t="s">
        <v>230</v>
      </c>
      <c r="L141" s="5"/>
    </row>
    <row r="142" spans="2:13" ht="13.5" thickTop="1" x14ac:dyDescent="0.2">
      <c r="B142" s="3" t="s">
        <v>218</v>
      </c>
      <c r="D142" s="62">
        <f>K73</f>
        <v>58357</v>
      </c>
      <c r="L142" s="5"/>
    </row>
    <row r="143" spans="2:13" x14ac:dyDescent="0.2">
      <c r="B143" s="3" t="s">
        <v>231</v>
      </c>
      <c r="D143" s="62">
        <f>K76</f>
        <v>59581</v>
      </c>
      <c r="L143" s="5"/>
    </row>
    <row r="144" spans="2:13" x14ac:dyDescent="0.2">
      <c r="B144" s="3" t="s">
        <v>232</v>
      </c>
      <c r="D144" s="62">
        <f>K67</f>
        <v>2569</v>
      </c>
      <c r="G144" s="110">
        <v>17042</v>
      </c>
      <c r="H144" s="110">
        <v>8521</v>
      </c>
      <c r="I144" s="110">
        <v>321164</v>
      </c>
      <c r="J144" s="3" t="s">
        <v>233</v>
      </c>
      <c r="L144" s="5"/>
    </row>
    <row r="145" spans="2:12" x14ac:dyDescent="0.2">
      <c r="B145" s="3" t="s">
        <v>234</v>
      </c>
      <c r="D145" s="62">
        <f>K70</f>
        <v>15822</v>
      </c>
      <c r="G145" s="62">
        <v>0</v>
      </c>
      <c r="H145" s="62">
        <v>0</v>
      </c>
      <c r="I145" s="62">
        <v>0</v>
      </c>
      <c r="J145" s="3" t="s">
        <v>235</v>
      </c>
      <c r="L145" s="5"/>
    </row>
    <row r="146" spans="2:12" x14ac:dyDescent="0.2">
      <c r="B146" s="3" t="s">
        <v>236</v>
      </c>
      <c r="D146" s="62">
        <v>243</v>
      </c>
      <c r="E146" s="71"/>
      <c r="F146" s="71"/>
      <c r="G146" s="113">
        <f>SUM(G144:G145)</f>
        <v>17042</v>
      </c>
      <c r="H146" s="113">
        <f>SUM(H144:H145)</f>
        <v>8521</v>
      </c>
      <c r="I146" s="113">
        <f>SUM(I144:I145)</f>
        <v>321164</v>
      </c>
      <c r="J146" s="3" t="s">
        <v>211</v>
      </c>
      <c r="L146" s="5"/>
    </row>
    <row r="147" spans="2:12" x14ac:dyDescent="0.2">
      <c r="B147" s="3" t="s">
        <v>237</v>
      </c>
      <c r="D147" s="62">
        <v>5475</v>
      </c>
      <c r="E147" s="71"/>
      <c r="F147" s="71"/>
      <c r="G147" s="62">
        <f>G141</f>
        <v>0</v>
      </c>
      <c r="H147" s="62">
        <f>H141</f>
        <v>0</v>
      </c>
      <c r="I147" s="62">
        <f>I141</f>
        <v>0</v>
      </c>
      <c r="J147" s="3" t="s">
        <v>238</v>
      </c>
      <c r="L147" s="5"/>
    </row>
    <row r="148" spans="2:12" x14ac:dyDescent="0.2">
      <c r="B148" s="3" t="s">
        <v>239</v>
      </c>
      <c r="D148" s="62">
        <v>139</v>
      </c>
      <c r="E148" s="71"/>
      <c r="F148" s="71"/>
      <c r="G148" s="113">
        <f>SUM(G146:G147)</f>
        <v>17042</v>
      </c>
      <c r="H148" s="113">
        <f>SUM(H146:H147)</f>
        <v>8521</v>
      </c>
      <c r="I148" s="113">
        <f>SUM(I146:I147)</f>
        <v>321164</v>
      </c>
      <c r="J148" s="3" t="s">
        <v>188</v>
      </c>
      <c r="L148" s="5"/>
    </row>
    <row r="149" spans="2:12" x14ac:dyDescent="0.2">
      <c r="B149" s="3" t="s">
        <v>240</v>
      </c>
      <c r="D149" s="62">
        <v>9914</v>
      </c>
      <c r="E149" s="71"/>
      <c r="F149" s="71"/>
      <c r="G149" s="38"/>
      <c r="H149" s="38"/>
      <c r="I149" s="126">
        <f>D154</f>
        <v>0</v>
      </c>
      <c r="J149" s="3" t="s">
        <v>189</v>
      </c>
      <c r="L149" s="5"/>
    </row>
    <row r="150" spans="2:12" ht="13.5" thickBot="1" x14ac:dyDescent="0.25">
      <c r="B150" s="3" t="s">
        <v>241</v>
      </c>
      <c r="D150" s="127">
        <f>SUM(D140:D149)</f>
        <v>609383</v>
      </c>
      <c r="G150" s="64">
        <f>SUM(G148:G149)</f>
        <v>17042</v>
      </c>
      <c r="H150" s="64">
        <f>SUM(H148:H149)</f>
        <v>8521</v>
      </c>
      <c r="I150" s="64">
        <f>SUM(I148:I149)</f>
        <v>321164</v>
      </c>
      <c r="J150" s="3" t="s">
        <v>242</v>
      </c>
      <c r="L150" s="5"/>
    </row>
    <row r="151" spans="2:12" ht="13.5" thickTop="1" x14ac:dyDescent="0.2">
      <c r="G151" s="128"/>
      <c r="H151" s="128"/>
      <c r="I151" s="128"/>
      <c r="L151" s="5"/>
    </row>
    <row r="152" spans="2:12" x14ac:dyDescent="0.2">
      <c r="B152" s="100" t="s">
        <v>243</v>
      </c>
      <c r="L152" s="5"/>
    </row>
    <row r="153" spans="2:12" x14ac:dyDescent="0.2">
      <c r="B153" s="3" t="s">
        <v>244</v>
      </c>
      <c r="D153" s="12">
        <f>K64-D140</f>
        <v>0</v>
      </c>
      <c r="L153" s="5"/>
    </row>
    <row r="154" spans="2:12" x14ac:dyDescent="0.2">
      <c r="B154" s="3" t="s">
        <v>229</v>
      </c>
      <c r="D154" s="62">
        <f>K61-D141</f>
        <v>0</v>
      </c>
      <c r="G154" s="100" t="s">
        <v>192</v>
      </c>
      <c r="H154" s="100" t="s">
        <v>193</v>
      </c>
      <c r="I154" s="100" t="s">
        <v>79</v>
      </c>
      <c r="J154" s="117" t="s">
        <v>53</v>
      </c>
      <c r="L154" s="5"/>
    </row>
    <row r="155" spans="2:12" x14ac:dyDescent="0.2">
      <c r="B155" s="3" t="s">
        <v>218</v>
      </c>
      <c r="D155" s="62">
        <v>0</v>
      </c>
      <c r="E155" s="10" t="s">
        <v>194</v>
      </c>
      <c r="G155" s="118">
        <v>47873</v>
      </c>
      <c r="H155" s="118">
        <v>10417</v>
      </c>
      <c r="I155" s="118">
        <v>533316</v>
      </c>
      <c r="J155" s="118">
        <v>0</v>
      </c>
      <c r="K155" s="118">
        <v>591607</v>
      </c>
      <c r="L155" s="5"/>
    </row>
    <row r="156" spans="2:12" x14ac:dyDescent="0.2">
      <c r="B156" s="3" t="s">
        <v>231</v>
      </c>
      <c r="D156" s="62">
        <v>0</v>
      </c>
      <c r="L156" s="5"/>
    </row>
    <row r="157" spans="2:12" x14ac:dyDescent="0.2">
      <c r="B157" s="3" t="s">
        <v>245</v>
      </c>
      <c r="D157" s="127">
        <f>SUM(D153:D156)</f>
        <v>0</v>
      </c>
      <c r="E157" s="10" t="s">
        <v>195</v>
      </c>
      <c r="G157" s="110">
        <f>G137</f>
        <v>60353.700000000004</v>
      </c>
      <c r="H157" s="110">
        <f>H137</f>
        <v>30176.850000000002</v>
      </c>
      <c r="I157" s="110">
        <f>I137</f>
        <v>513006.45</v>
      </c>
      <c r="J157" s="110">
        <v>0</v>
      </c>
      <c r="K157" s="110">
        <f>SUM(G157:J157)</f>
        <v>603537</v>
      </c>
      <c r="L157" s="5"/>
    </row>
    <row r="158" spans="2:12" x14ac:dyDescent="0.2">
      <c r="E158" s="10" t="s">
        <v>196</v>
      </c>
      <c r="G158" s="114"/>
      <c r="H158" s="114"/>
      <c r="I158" s="119">
        <v>0</v>
      </c>
      <c r="J158" s="119">
        <v>0</v>
      </c>
      <c r="K158" s="119">
        <f>SUM(G158:J158)</f>
        <v>0</v>
      </c>
      <c r="L158" s="5"/>
    </row>
    <row r="159" spans="2:12" ht="13.5" thickBot="1" x14ac:dyDescent="0.25">
      <c r="B159" s="3" t="s">
        <v>246</v>
      </c>
      <c r="D159" s="129">
        <f>D150+D157</f>
        <v>609383</v>
      </c>
      <c r="E159" s="10" t="s">
        <v>197</v>
      </c>
      <c r="G159" s="120">
        <f>SUM(G157:G158)</f>
        <v>60353.700000000004</v>
      </c>
      <c r="H159" s="120">
        <f>SUM(H157:H158)</f>
        <v>30176.850000000002</v>
      </c>
      <c r="I159" s="120">
        <f>SUM(I157:I158)</f>
        <v>513006.45</v>
      </c>
      <c r="J159" s="120">
        <f>SUM(J157:J158)</f>
        <v>0</v>
      </c>
      <c r="K159" s="120">
        <f>SUM(K157:K158)</f>
        <v>603537</v>
      </c>
      <c r="L159" s="5"/>
    </row>
    <row r="160" spans="2:12" ht="13.5" thickTop="1" x14ac:dyDescent="0.2">
      <c r="L160" s="5"/>
    </row>
    <row r="161" spans="5:12" ht="13.5" thickBot="1" x14ac:dyDescent="0.25">
      <c r="E161" s="10" t="s">
        <v>198</v>
      </c>
      <c r="G161" s="101">
        <f>G155+G159</f>
        <v>108226.70000000001</v>
      </c>
      <c r="H161" s="101">
        <f>H155+H159</f>
        <v>40593.850000000006</v>
      </c>
      <c r="I161" s="101">
        <f>I155+I159</f>
        <v>1046322.45</v>
      </c>
      <c r="J161" s="101">
        <f>J155+J159</f>
        <v>0</v>
      </c>
      <c r="K161" s="101">
        <f>K155+K159</f>
        <v>1195144</v>
      </c>
      <c r="L161" s="5"/>
    </row>
    <row r="162" spans="5:12" ht="13.5" thickTop="1" x14ac:dyDescent="0.2">
      <c r="L162" s="5"/>
    </row>
    <row r="163" spans="5:12" x14ac:dyDescent="0.2">
      <c r="G163" s="100" t="s">
        <v>192</v>
      </c>
      <c r="H163" s="100" t="s">
        <v>193</v>
      </c>
      <c r="I163" s="100" t="s">
        <v>79</v>
      </c>
      <c r="J163" s="117" t="s">
        <v>53</v>
      </c>
      <c r="L163" s="5"/>
    </row>
    <row r="164" spans="5:12" x14ac:dyDescent="0.2">
      <c r="E164" s="10" t="s">
        <v>199</v>
      </c>
      <c r="G164" s="118">
        <v>86733</v>
      </c>
      <c r="H164" s="118">
        <v>13140</v>
      </c>
      <c r="I164" s="118">
        <v>688417</v>
      </c>
      <c r="J164" s="118">
        <v>0</v>
      </c>
      <c r="K164" s="118">
        <v>788291</v>
      </c>
      <c r="L164" s="5"/>
    </row>
    <row r="165" spans="5:12" x14ac:dyDescent="0.2">
      <c r="G165" s="38"/>
      <c r="H165" s="38"/>
      <c r="I165" s="38"/>
      <c r="J165" s="38"/>
      <c r="K165" s="38"/>
      <c r="L165" s="5"/>
    </row>
    <row r="166" spans="5:12" x14ac:dyDescent="0.2">
      <c r="E166" s="10" t="s">
        <v>214</v>
      </c>
      <c r="G166" s="63">
        <f>G159</f>
        <v>60353.700000000004</v>
      </c>
      <c r="H166" s="63">
        <f>H159</f>
        <v>30176.850000000002</v>
      </c>
      <c r="I166" s="63">
        <f>I159</f>
        <v>513006.45</v>
      </c>
      <c r="J166" s="63">
        <f>J159</f>
        <v>0</v>
      </c>
      <c r="K166" s="63">
        <f>SUM(G166:J166)</f>
        <v>603537</v>
      </c>
      <c r="L166" s="5"/>
    </row>
    <row r="167" spans="5:12" x14ac:dyDescent="0.2">
      <c r="L167" s="5"/>
    </row>
    <row r="168" spans="5:12" x14ac:dyDescent="0.2">
      <c r="E168" s="10" t="s">
        <v>201</v>
      </c>
      <c r="G168" s="61">
        <f>G42</f>
        <v>6432</v>
      </c>
      <c r="H168" s="114"/>
      <c r="I168" s="114"/>
      <c r="J168" s="114"/>
      <c r="K168" s="61">
        <f>SUM(G168:J168)</f>
        <v>6432</v>
      </c>
      <c r="L168" s="5"/>
    </row>
    <row r="169" spans="5:12" ht="13.5" thickBot="1" x14ac:dyDescent="0.25">
      <c r="K169" s="101">
        <f>SUM(K164:K168)</f>
        <v>1398260</v>
      </c>
      <c r="L169" s="5"/>
    </row>
    <row r="170" spans="5:12" ht="13.5" thickTop="1" x14ac:dyDescent="0.2">
      <c r="K170" s="122"/>
      <c r="L170" s="5"/>
    </row>
    <row r="171" spans="5:12" ht="13.5" thickBot="1" x14ac:dyDescent="0.25">
      <c r="E171" s="10" t="s">
        <v>202</v>
      </c>
      <c r="G171" s="101">
        <f>SUM(G164:G168)</f>
        <v>153518.70000000001</v>
      </c>
      <c r="H171" s="101">
        <f>SUM(H164:H168)</f>
        <v>43316.850000000006</v>
      </c>
      <c r="I171" s="101">
        <f>SUM(I164:I168)</f>
        <v>1201423.45</v>
      </c>
      <c r="J171" s="101">
        <f>SUM(J164:J168)</f>
        <v>0</v>
      </c>
      <c r="K171" s="101">
        <f>SUM(G171:J171)</f>
        <v>1398259</v>
      </c>
      <c r="L171" s="5"/>
    </row>
    <row r="172" spans="5:12" ht="13.5" thickTop="1" x14ac:dyDescent="0.2"/>
    <row r="174" spans="5:12" x14ac:dyDescent="0.2">
      <c r="G174" s="110"/>
      <c r="H174" s="110"/>
      <c r="I174" s="110"/>
      <c r="J174" s="15"/>
      <c r="K174" s="15"/>
    </row>
    <row r="175" spans="5:12" x14ac:dyDescent="0.2">
      <c r="G175" s="15"/>
      <c r="H175" s="15"/>
      <c r="I175" s="15"/>
      <c r="J175" s="15"/>
      <c r="K175" s="15"/>
    </row>
    <row r="176" spans="5:12" x14ac:dyDescent="0.2">
      <c r="G176" s="15"/>
      <c r="H176" s="15"/>
      <c r="I176" s="15"/>
      <c r="J176" s="15"/>
      <c r="K176" s="15"/>
    </row>
  </sheetData>
  <mergeCells count="3">
    <mergeCell ref="G3:K3"/>
    <mergeCell ref="M3:Q3"/>
    <mergeCell ref="D130:D132"/>
  </mergeCells>
  <printOptions horizontalCentered="1"/>
  <pageMargins left="0.25" right="0.25" top="0.5" bottom="0.25" header="0.25" footer="0"/>
  <pageSetup scale="58" fitToHeight="0" orientation="landscape" copies="2" r:id="rId1"/>
  <headerFooter alignWithMargins="0"/>
  <rowBreaks count="1" manualBreakCount="1">
    <brk id="58" max="1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C178"/>
  <sheetViews>
    <sheetView zoomScaleNormal="100" workbookViewId="0">
      <selection activeCell="B1" sqref="B1"/>
    </sheetView>
  </sheetViews>
  <sheetFormatPr defaultRowHeight="12.75" x14ac:dyDescent="0.2"/>
  <cols>
    <col min="1" max="1" width="0.85546875" style="3" customWidth="1"/>
    <col min="2" max="2" width="22.140625" style="3" customWidth="1"/>
    <col min="3" max="3" width="0.85546875" style="3" customWidth="1"/>
    <col min="4" max="4" width="30.7109375" style="3" customWidth="1"/>
    <col min="5" max="5" width="22" style="3" bestFit="1" customWidth="1"/>
    <col min="6" max="6" width="0.85546875" style="3" customWidth="1"/>
    <col min="7" max="7" width="14.7109375" style="3" customWidth="1"/>
    <col min="8" max="8" width="16" style="3" customWidth="1"/>
    <col min="9" max="9" width="14.7109375" style="3" customWidth="1"/>
    <col min="10" max="10" width="17.85546875" style="3" customWidth="1"/>
    <col min="11" max="11" width="16.85546875" style="3" customWidth="1"/>
    <col min="12" max="12" width="1.7109375" style="3" customWidth="1"/>
    <col min="13" max="14" width="14.7109375" style="3" customWidth="1"/>
    <col min="15" max="15" width="17.42578125" style="3" customWidth="1"/>
    <col min="16" max="16" width="14.7109375" style="3" customWidth="1"/>
    <col min="17" max="17" width="15.7109375" style="3" customWidth="1"/>
    <col min="18" max="18" width="2.28515625" style="3" customWidth="1"/>
    <col min="19" max="27" width="15.7109375" style="3" customWidth="1"/>
    <col min="28" max="28" width="13.140625" style="3" bestFit="1" customWidth="1"/>
    <col min="29" max="29" width="47" style="3" bestFit="1" customWidth="1"/>
    <col min="30" max="256" width="9.140625" style="3"/>
    <col min="257" max="257" width="0.85546875" style="3" customWidth="1"/>
    <col min="258" max="258" width="22.140625" style="3" customWidth="1"/>
    <col min="259" max="259" width="0.85546875" style="3" customWidth="1"/>
    <col min="260" max="260" width="30.7109375" style="3" customWidth="1"/>
    <col min="261" max="261" width="22" style="3" bestFit="1" customWidth="1"/>
    <col min="262" max="262" width="0.85546875" style="3" customWidth="1"/>
    <col min="263" max="263" width="14.7109375" style="3" customWidth="1"/>
    <col min="264" max="264" width="16" style="3" customWidth="1"/>
    <col min="265" max="265" width="14.7109375" style="3" customWidth="1"/>
    <col min="266" max="266" width="17.85546875" style="3" customWidth="1"/>
    <col min="267" max="267" width="16.85546875" style="3" customWidth="1"/>
    <col min="268" max="268" width="1.7109375" style="3" customWidth="1"/>
    <col min="269" max="270" width="14.7109375" style="3" customWidth="1"/>
    <col min="271" max="271" width="17.42578125" style="3" customWidth="1"/>
    <col min="272" max="272" width="14.7109375" style="3" customWidth="1"/>
    <col min="273" max="273" width="15.7109375" style="3" customWidth="1"/>
    <col min="274" max="274" width="2.28515625" style="3" customWidth="1"/>
    <col min="275" max="283" width="15.7109375" style="3" customWidth="1"/>
    <col min="284" max="284" width="13.140625" style="3" bestFit="1" customWidth="1"/>
    <col min="285" max="285" width="47" style="3" bestFit="1" customWidth="1"/>
    <col min="286" max="512" width="9.140625" style="3"/>
    <col min="513" max="513" width="0.85546875" style="3" customWidth="1"/>
    <col min="514" max="514" width="22.140625" style="3" customWidth="1"/>
    <col min="515" max="515" width="0.85546875" style="3" customWidth="1"/>
    <col min="516" max="516" width="30.7109375" style="3" customWidth="1"/>
    <col min="517" max="517" width="22" style="3" bestFit="1" customWidth="1"/>
    <col min="518" max="518" width="0.85546875" style="3" customWidth="1"/>
    <col min="519" max="519" width="14.7109375" style="3" customWidth="1"/>
    <col min="520" max="520" width="16" style="3" customWidth="1"/>
    <col min="521" max="521" width="14.7109375" style="3" customWidth="1"/>
    <col min="522" max="522" width="17.85546875" style="3" customWidth="1"/>
    <col min="523" max="523" width="16.85546875" style="3" customWidth="1"/>
    <col min="524" max="524" width="1.7109375" style="3" customWidth="1"/>
    <col min="525" max="526" width="14.7109375" style="3" customWidth="1"/>
    <col min="527" max="527" width="17.42578125" style="3" customWidth="1"/>
    <col min="528" max="528" width="14.7109375" style="3" customWidth="1"/>
    <col min="529" max="529" width="15.7109375" style="3" customWidth="1"/>
    <col min="530" max="530" width="2.28515625" style="3" customWidth="1"/>
    <col min="531" max="539" width="15.7109375" style="3" customWidth="1"/>
    <col min="540" max="540" width="13.140625" style="3" bestFit="1" customWidth="1"/>
    <col min="541" max="541" width="47" style="3" bestFit="1" customWidth="1"/>
    <col min="542" max="768" width="9.140625" style="3"/>
    <col min="769" max="769" width="0.85546875" style="3" customWidth="1"/>
    <col min="770" max="770" width="22.140625" style="3" customWidth="1"/>
    <col min="771" max="771" width="0.85546875" style="3" customWidth="1"/>
    <col min="772" max="772" width="30.7109375" style="3" customWidth="1"/>
    <col min="773" max="773" width="22" style="3" bestFit="1" customWidth="1"/>
    <col min="774" max="774" width="0.85546875" style="3" customWidth="1"/>
    <col min="775" max="775" width="14.7109375" style="3" customWidth="1"/>
    <col min="776" max="776" width="16" style="3" customWidth="1"/>
    <col min="777" max="777" width="14.7109375" style="3" customWidth="1"/>
    <col min="778" max="778" width="17.85546875" style="3" customWidth="1"/>
    <col min="779" max="779" width="16.85546875" style="3" customWidth="1"/>
    <col min="780" max="780" width="1.7109375" style="3" customWidth="1"/>
    <col min="781" max="782" width="14.7109375" style="3" customWidth="1"/>
    <col min="783" max="783" width="17.42578125" style="3" customWidth="1"/>
    <col min="784" max="784" width="14.7109375" style="3" customWidth="1"/>
    <col min="785" max="785" width="15.7109375" style="3" customWidth="1"/>
    <col min="786" max="786" width="2.28515625" style="3" customWidth="1"/>
    <col min="787" max="795" width="15.7109375" style="3" customWidth="1"/>
    <col min="796" max="796" width="13.140625" style="3" bestFit="1" customWidth="1"/>
    <col min="797" max="797" width="47" style="3" bestFit="1" customWidth="1"/>
    <col min="798" max="1024" width="9.140625" style="3"/>
    <col min="1025" max="1025" width="0.85546875" style="3" customWidth="1"/>
    <col min="1026" max="1026" width="22.140625" style="3" customWidth="1"/>
    <col min="1027" max="1027" width="0.85546875" style="3" customWidth="1"/>
    <col min="1028" max="1028" width="30.7109375" style="3" customWidth="1"/>
    <col min="1029" max="1029" width="22" style="3" bestFit="1" customWidth="1"/>
    <col min="1030" max="1030" width="0.85546875" style="3" customWidth="1"/>
    <col min="1031" max="1031" width="14.7109375" style="3" customWidth="1"/>
    <col min="1032" max="1032" width="16" style="3" customWidth="1"/>
    <col min="1033" max="1033" width="14.7109375" style="3" customWidth="1"/>
    <col min="1034" max="1034" width="17.85546875" style="3" customWidth="1"/>
    <col min="1035" max="1035" width="16.85546875" style="3" customWidth="1"/>
    <col min="1036" max="1036" width="1.7109375" style="3" customWidth="1"/>
    <col min="1037" max="1038" width="14.7109375" style="3" customWidth="1"/>
    <col min="1039" max="1039" width="17.42578125" style="3" customWidth="1"/>
    <col min="1040" max="1040" width="14.7109375" style="3" customWidth="1"/>
    <col min="1041" max="1041" width="15.7109375" style="3" customWidth="1"/>
    <col min="1042" max="1042" width="2.28515625" style="3" customWidth="1"/>
    <col min="1043" max="1051" width="15.7109375" style="3" customWidth="1"/>
    <col min="1052" max="1052" width="13.140625" style="3" bestFit="1" customWidth="1"/>
    <col min="1053" max="1053" width="47" style="3" bestFit="1" customWidth="1"/>
    <col min="1054" max="1280" width="9.140625" style="3"/>
    <col min="1281" max="1281" width="0.85546875" style="3" customWidth="1"/>
    <col min="1282" max="1282" width="22.140625" style="3" customWidth="1"/>
    <col min="1283" max="1283" width="0.85546875" style="3" customWidth="1"/>
    <col min="1284" max="1284" width="30.7109375" style="3" customWidth="1"/>
    <col min="1285" max="1285" width="22" style="3" bestFit="1" customWidth="1"/>
    <col min="1286" max="1286" width="0.85546875" style="3" customWidth="1"/>
    <col min="1287" max="1287" width="14.7109375" style="3" customWidth="1"/>
    <col min="1288" max="1288" width="16" style="3" customWidth="1"/>
    <col min="1289" max="1289" width="14.7109375" style="3" customWidth="1"/>
    <col min="1290" max="1290" width="17.85546875" style="3" customWidth="1"/>
    <col min="1291" max="1291" width="16.85546875" style="3" customWidth="1"/>
    <col min="1292" max="1292" width="1.7109375" style="3" customWidth="1"/>
    <col min="1293" max="1294" width="14.7109375" style="3" customWidth="1"/>
    <col min="1295" max="1295" width="17.42578125" style="3" customWidth="1"/>
    <col min="1296" max="1296" width="14.7109375" style="3" customWidth="1"/>
    <col min="1297" max="1297" width="15.7109375" style="3" customWidth="1"/>
    <col min="1298" max="1298" width="2.28515625" style="3" customWidth="1"/>
    <col min="1299" max="1307" width="15.7109375" style="3" customWidth="1"/>
    <col min="1308" max="1308" width="13.140625" style="3" bestFit="1" customWidth="1"/>
    <col min="1309" max="1309" width="47" style="3" bestFit="1" customWidth="1"/>
    <col min="1310" max="1536" width="9.140625" style="3"/>
    <col min="1537" max="1537" width="0.85546875" style="3" customWidth="1"/>
    <col min="1538" max="1538" width="22.140625" style="3" customWidth="1"/>
    <col min="1539" max="1539" width="0.85546875" style="3" customWidth="1"/>
    <col min="1540" max="1540" width="30.7109375" style="3" customWidth="1"/>
    <col min="1541" max="1541" width="22" style="3" bestFit="1" customWidth="1"/>
    <col min="1542" max="1542" width="0.85546875" style="3" customWidth="1"/>
    <col min="1543" max="1543" width="14.7109375" style="3" customWidth="1"/>
    <col min="1544" max="1544" width="16" style="3" customWidth="1"/>
    <col min="1545" max="1545" width="14.7109375" style="3" customWidth="1"/>
    <col min="1546" max="1546" width="17.85546875" style="3" customWidth="1"/>
    <col min="1547" max="1547" width="16.85546875" style="3" customWidth="1"/>
    <col min="1548" max="1548" width="1.7109375" style="3" customWidth="1"/>
    <col min="1549" max="1550" width="14.7109375" style="3" customWidth="1"/>
    <col min="1551" max="1551" width="17.42578125" style="3" customWidth="1"/>
    <col min="1552" max="1552" width="14.7109375" style="3" customWidth="1"/>
    <col min="1553" max="1553" width="15.7109375" style="3" customWidth="1"/>
    <col min="1554" max="1554" width="2.28515625" style="3" customWidth="1"/>
    <col min="1555" max="1563" width="15.7109375" style="3" customWidth="1"/>
    <col min="1564" max="1564" width="13.140625" style="3" bestFit="1" customWidth="1"/>
    <col min="1565" max="1565" width="47" style="3" bestFit="1" customWidth="1"/>
    <col min="1566" max="1792" width="9.140625" style="3"/>
    <col min="1793" max="1793" width="0.85546875" style="3" customWidth="1"/>
    <col min="1794" max="1794" width="22.140625" style="3" customWidth="1"/>
    <col min="1795" max="1795" width="0.85546875" style="3" customWidth="1"/>
    <col min="1796" max="1796" width="30.7109375" style="3" customWidth="1"/>
    <col min="1797" max="1797" width="22" style="3" bestFit="1" customWidth="1"/>
    <col min="1798" max="1798" width="0.85546875" style="3" customWidth="1"/>
    <col min="1799" max="1799" width="14.7109375" style="3" customWidth="1"/>
    <col min="1800" max="1800" width="16" style="3" customWidth="1"/>
    <col min="1801" max="1801" width="14.7109375" style="3" customWidth="1"/>
    <col min="1802" max="1802" width="17.85546875" style="3" customWidth="1"/>
    <col min="1803" max="1803" width="16.85546875" style="3" customWidth="1"/>
    <col min="1804" max="1804" width="1.7109375" style="3" customWidth="1"/>
    <col min="1805" max="1806" width="14.7109375" style="3" customWidth="1"/>
    <col min="1807" max="1807" width="17.42578125" style="3" customWidth="1"/>
    <col min="1808" max="1808" width="14.7109375" style="3" customWidth="1"/>
    <col min="1809" max="1809" width="15.7109375" style="3" customWidth="1"/>
    <col min="1810" max="1810" width="2.28515625" style="3" customWidth="1"/>
    <col min="1811" max="1819" width="15.7109375" style="3" customWidth="1"/>
    <col min="1820" max="1820" width="13.140625" style="3" bestFit="1" customWidth="1"/>
    <col min="1821" max="1821" width="47" style="3" bestFit="1" customWidth="1"/>
    <col min="1822" max="2048" width="9.140625" style="3"/>
    <col min="2049" max="2049" width="0.85546875" style="3" customWidth="1"/>
    <col min="2050" max="2050" width="22.140625" style="3" customWidth="1"/>
    <col min="2051" max="2051" width="0.85546875" style="3" customWidth="1"/>
    <col min="2052" max="2052" width="30.7109375" style="3" customWidth="1"/>
    <col min="2053" max="2053" width="22" style="3" bestFit="1" customWidth="1"/>
    <col min="2054" max="2054" width="0.85546875" style="3" customWidth="1"/>
    <col min="2055" max="2055" width="14.7109375" style="3" customWidth="1"/>
    <col min="2056" max="2056" width="16" style="3" customWidth="1"/>
    <col min="2057" max="2057" width="14.7109375" style="3" customWidth="1"/>
    <col min="2058" max="2058" width="17.85546875" style="3" customWidth="1"/>
    <col min="2059" max="2059" width="16.85546875" style="3" customWidth="1"/>
    <col min="2060" max="2060" width="1.7109375" style="3" customWidth="1"/>
    <col min="2061" max="2062" width="14.7109375" style="3" customWidth="1"/>
    <col min="2063" max="2063" width="17.42578125" style="3" customWidth="1"/>
    <col min="2064" max="2064" width="14.7109375" style="3" customWidth="1"/>
    <col min="2065" max="2065" width="15.7109375" style="3" customWidth="1"/>
    <col min="2066" max="2066" width="2.28515625" style="3" customWidth="1"/>
    <col min="2067" max="2075" width="15.7109375" style="3" customWidth="1"/>
    <col min="2076" max="2076" width="13.140625" style="3" bestFit="1" customWidth="1"/>
    <col min="2077" max="2077" width="47" style="3" bestFit="1" customWidth="1"/>
    <col min="2078" max="2304" width="9.140625" style="3"/>
    <col min="2305" max="2305" width="0.85546875" style="3" customWidth="1"/>
    <col min="2306" max="2306" width="22.140625" style="3" customWidth="1"/>
    <col min="2307" max="2307" width="0.85546875" style="3" customWidth="1"/>
    <col min="2308" max="2308" width="30.7109375" style="3" customWidth="1"/>
    <col min="2309" max="2309" width="22" style="3" bestFit="1" customWidth="1"/>
    <col min="2310" max="2310" width="0.85546875" style="3" customWidth="1"/>
    <col min="2311" max="2311" width="14.7109375" style="3" customWidth="1"/>
    <col min="2312" max="2312" width="16" style="3" customWidth="1"/>
    <col min="2313" max="2313" width="14.7109375" style="3" customWidth="1"/>
    <col min="2314" max="2314" width="17.85546875" style="3" customWidth="1"/>
    <col min="2315" max="2315" width="16.85546875" style="3" customWidth="1"/>
    <col min="2316" max="2316" width="1.7109375" style="3" customWidth="1"/>
    <col min="2317" max="2318" width="14.7109375" style="3" customWidth="1"/>
    <col min="2319" max="2319" width="17.42578125" style="3" customWidth="1"/>
    <col min="2320" max="2320" width="14.7109375" style="3" customWidth="1"/>
    <col min="2321" max="2321" width="15.7109375" style="3" customWidth="1"/>
    <col min="2322" max="2322" width="2.28515625" style="3" customWidth="1"/>
    <col min="2323" max="2331" width="15.7109375" style="3" customWidth="1"/>
    <col min="2332" max="2332" width="13.140625" style="3" bestFit="1" customWidth="1"/>
    <col min="2333" max="2333" width="47" style="3" bestFit="1" customWidth="1"/>
    <col min="2334" max="2560" width="9.140625" style="3"/>
    <col min="2561" max="2561" width="0.85546875" style="3" customWidth="1"/>
    <col min="2562" max="2562" width="22.140625" style="3" customWidth="1"/>
    <col min="2563" max="2563" width="0.85546875" style="3" customWidth="1"/>
    <col min="2564" max="2564" width="30.7109375" style="3" customWidth="1"/>
    <col min="2565" max="2565" width="22" style="3" bestFit="1" customWidth="1"/>
    <col min="2566" max="2566" width="0.85546875" style="3" customWidth="1"/>
    <col min="2567" max="2567" width="14.7109375" style="3" customWidth="1"/>
    <col min="2568" max="2568" width="16" style="3" customWidth="1"/>
    <col min="2569" max="2569" width="14.7109375" style="3" customWidth="1"/>
    <col min="2570" max="2570" width="17.85546875" style="3" customWidth="1"/>
    <col min="2571" max="2571" width="16.85546875" style="3" customWidth="1"/>
    <col min="2572" max="2572" width="1.7109375" style="3" customWidth="1"/>
    <col min="2573" max="2574" width="14.7109375" style="3" customWidth="1"/>
    <col min="2575" max="2575" width="17.42578125" style="3" customWidth="1"/>
    <col min="2576" max="2576" width="14.7109375" style="3" customWidth="1"/>
    <col min="2577" max="2577" width="15.7109375" style="3" customWidth="1"/>
    <col min="2578" max="2578" width="2.28515625" style="3" customWidth="1"/>
    <col min="2579" max="2587" width="15.7109375" style="3" customWidth="1"/>
    <col min="2588" max="2588" width="13.140625" style="3" bestFit="1" customWidth="1"/>
    <col min="2589" max="2589" width="47" style="3" bestFit="1" customWidth="1"/>
    <col min="2590" max="2816" width="9.140625" style="3"/>
    <col min="2817" max="2817" width="0.85546875" style="3" customWidth="1"/>
    <col min="2818" max="2818" width="22.140625" style="3" customWidth="1"/>
    <col min="2819" max="2819" width="0.85546875" style="3" customWidth="1"/>
    <col min="2820" max="2820" width="30.7109375" style="3" customWidth="1"/>
    <col min="2821" max="2821" width="22" style="3" bestFit="1" customWidth="1"/>
    <col min="2822" max="2822" width="0.85546875" style="3" customWidth="1"/>
    <col min="2823" max="2823" width="14.7109375" style="3" customWidth="1"/>
    <col min="2824" max="2824" width="16" style="3" customWidth="1"/>
    <col min="2825" max="2825" width="14.7109375" style="3" customWidth="1"/>
    <col min="2826" max="2826" width="17.85546875" style="3" customWidth="1"/>
    <col min="2827" max="2827" width="16.85546875" style="3" customWidth="1"/>
    <col min="2828" max="2828" width="1.7109375" style="3" customWidth="1"/>
    <col min="2829" max="2830" width="14.7109375" style="3" customWidth="1"/>
    <col min="2831" max="2831" width="17.42578125" style="3" customWidth="1"/>
    <col min="2832" max="2832" width="14.7109375" style="3" customWidth="1"/>
    <col min="2833" max="2833" width="15.7109375" style="3" customWidth="1"/>
    <col min="2834" max="2834" width="2.28515625" style="3" customWidth="1"/>
    <col min="2835" max="2843" width="15.7109375" style="3" customWidth="1"/>
    <col min="2844" max="2844" width="13.140625" style="3" bestFit="1" customWidth="1"/>
    <col min="2845" max="2845" width="47" style="3" bestFit="1" customWidth="1"/>
    <col min="2846" max="3072" width="9.140625" style="3"/>
    <col min="3073" max="3073" width="0.85546875" style="3" customWidth="1"/>
    <col min="3074" max="3074" width="22.140625" style="3" customWidth="1"/>
    <col min="3075" max="3075" width="0.85546875" style="3" customWidth="1"/>
    <col min="3076" max="3076" width="30.7109375" style="3" customWidth="1"/>
    <col min="3077" max="3077" width="22" style="3" bestFit="1" customWidth="1"/>
    <col min="3078" max="3078" width="0.85546875" style="3" customWidth="1"/>
    <col min="3079" max="3079" width="14.7109375" style="3" customWidth="1"/>
    <col min="3080" max="3080" width="16" style="3" customWidth="1"/>
    <col min="3081" max="3081" width="14.7109375" style="3" customWidth="1"/>
    <col min="3082" max="3082" width="17.85546875" style="3" customWidth="1"/>
    <col min="3083" max="3083" width="16.85546875" style="3" customWidth="1"/>
    <col min="3084" max="3084" width="1.7109375" style="3" customWidth="1"/>
    <col min="3085" max="3086" width="14.7109375" style="3" customWidth="1"/>
    <col min="3087" max="3087" width="17.42578125" style="3" customWidth="1"/>
    <col min="3088" max="3088" width="14.7109375" style="3" customWidth="1"/>
    <col min="3089" max="3089" width="15.7109375" style="3" customWidth="1"/>
    <col min="3090" max="3090" width="2.28515625" style="3" customWidth="1"/>
    <col min="3091" max="3099" width="15.7109375" style="3" customWidth="1"/>
    <col min="3100" max="3100" width="13.140625" style="3" bestFit="1" customWidth="1"/>
    <col min="3101" max="3101" width="47" style="3" bestFit="1" customWidth="1"/>
    <col min="3102" max="3328" width="9.140625" style="3"/>
    <col min="3329" max="3329" width="0.85546875" style="3" customWidth="1"/>
    <col min="3330" max="3330" width="22.140625" style="3" customWidth="1"/>
    <col min="3331" max="3331" width="0.85546875" style="3" customWidth="1"/>
    <col min="3332" max="3332" width="30.7109375" style="3" customWidth="1"/>
    <col min="3333" max="3333" width="22" style="3" bestFit="1" customWidth="1"/>
    <col min="3334" max="3334" width="0.85546875" style="3" customWidth="1"/>
    <col min="3335" max="3335" width="14.7109375" style="3" customWidth="1"/>
    <col min="3336" max="3336" width="16" style="3" customWidth="1"/>
    <col min="3337" max="3337" width="14.7109375" style="3" customWidth="1"/>
    <col min="3338" max="3338" width="17.85546875" style="3" customWidth="1"/>
    <col min="3339" max="3339" width="16.85546875" style="3" customWidth="1"/>
    <col min="3340" max="3340" width="1.7109375" style="3" customWidth="1"/>
    <col min="3341" max="3342" width="14.7109375" style="3" customWidth="1"/>
    <col min="3343" max="3343" width="17.42578125" style="3" customWidth="1"/>
    <col min="3344" max="3344" width="14.7109375" style="3" customWidth="1"/>
    <col min="3345" max="3345" width="15.7109375" style="3" customWidth="1"/>
    <col min="3346" max="3346" width="2.28515625" style="3" customWidth="1"/>
    <col min="3347" max="3355" width="15.7109375" style="3" customWidth="1"/>
    <col min="3356" max="3356" width="13.140625" style="3" bestFit="1" customWidth="1"/>
    <col min="3357" max="3357" width="47" style="3" bestFit="1" customWidth="1"/>
    <col min="3358" max="3584" width="9.140625" style="3"/>
    <col min="3585" max="3585" width="0.85546875" style="3" customWidth="1"/>
    <col min="3586" max="3586" width="22.140625" style="3" customWidth="1"/>
    <col min="3587" max="3587" width="0.85546875" style="3" customWidth="1"/>
    <col min="3588" max="3588" width="30.7109375" style="3" customWidth="1"/>
    <col min="3589" max="3589" width="22" style="3" bestFit="1" customWidth="1"/>
    <col min="3590" max="3590" width="0.85546875" style="3" customWidth="1"/>
    <col min="3591" max="3591" width="14.7109375" style="3" customWidth="1"/>
    <col min="3592" max="3592" width="16" style="3" customWidth="1"/>
    <col min="3593" max="3593" width="14.7109375" style="3" customWidth="1"/>
    <col min="3594" max="3594" width="17.85546875" style="3" customWidth="1"/>
    <col min="3595" max="3595" width="16.85546875" style="3" customWidth="1"/>
    <col min="3596" max="3596" width="1.7109375" style="3" customWidth="1"/>
    <col min="3597" max="3598" width="14.7109375" style="3" customWidth="1"/>
    <col min="3599" max="3599" width="17.42578125" style="3" customWidth="1"/>
    <col min="3600" max="3600" width="14.7109375" style="3" customWidth="1"/>
    <col min="3601" max="3601" width="15.7109375" style="3" customWidth="1"/>
    <col min="3602" max="3602" width="2.28515625" style="3" customWidth="1"/>
    <col min="3603" max="3611" width="15.7109375" style="3" customWidth="1"/>
    <col min="3612" max="3612" width="13.140625" style="3" bestFit="1" customWidth="1"/>
    <col min="3613" max="3613" width="47" style="3" bestFit="1" customWidth="1"/>
    <col min="3614" max="3840" width="9.140625" style="3"/>
    <col min="3841" max="3841" width="0.85546875" style="3" customWidth="1"/>
    <col min="3842" max="3842" width="22.140625" style="3" customWidth="1"/>
    <col min="3843" max="3843" width="0.85546875" style="3" customWidth="1"/>
    <col min="3844" max="3844" width="30.7109375" style="3" customWidth="1"/>
    <col min="3845" max="3845" width="22" style="3" bestFit="1" customWidth="1"/>
    <col min="3846" max="3846" width="0.85546875" style="3" customWidth="1"/>
    <col min="3847" max="3847" width="14.7109375" style="3" customWidth="1"/>
    <col min="3848" max="3848" width="16" style="3" customWidth="1"/>
    <col min="3849" max="3849" width="14.7109375" style="3" customWidth="1"/>
    <col min="3850" max="3850" width="17.85546875" style="3" customWidth="1"/>
    <col min="3851" max="3851" width="16.85546875" style="3" customWidth="1"/>
    <col min="3852" max="3852" width="1.7109375" style="3" customWidth="1"/>
    <col min="3853" max="3854" width="14.7109375" style="3" customWidth="1"/>
    <col min="3855" max="3855" width="17.42578125" style="3" customWidth="1"/>
    <col min="3856" max="3856" width="14.7109375" style="3" customWidth="1"/>
    <col min="3857" max="3857" width="15.7109375" style="3" customWidth="1"/>
    <col min="3858" max="3858" width="2.28515625" style="3" customWidth="1"/>
    <col min="3859" max="3867" width="15.7109375" style="3" customWidth="1"/>
    <col min="3868" max="3868" width="13.140625" style="3" bestFit="1" customWidth="1"/>
    <col min="3869" max="3869" width="47" style="3" bestFit="1" customWidth="1"/>
    <col min="3870" max="4096" width="9.140625" style="3"/>
    <col min="4097" max="4097" width="0.85546875" style="3" customWidth="1"/>
    <col min="4098" max="4098" width="22.140625" style="3" customWidth="1"/>
    <col min="4099" max="4099" width="0.85546875" style="3" customWidth="1"/>
    <col min="4100" max="4100" width="30.7109375" style="3" customWidth="1"/>
    <col min="4101" max="4101" width="22" style="3" bestFit="1" customWidth="1"/>
    <col min="4102" max="4102" width="0.85546875" style="3" customWidth="1"/>
    <col min="4103" max="4103" width="14.7109375" style="3" customWidth="1"/>
    <col min="4104" max="4104" width="16" style="3" customWidth="1"/>
    <col min="4105" max="4105" width="14.7109375" style="3" customWidth="1"/>
    <col min="4106" max="4106" width="17.85546875" style="3" customWidth="1"/>
    <col min="4107" max="4107" width="16.85546875" style="3" customWidth="1"/>
    <col min="4108" max="4108" width="1.7109375" style="3" customWidth="1"/>
    <col min="4109" max="4110" width="14.7109375" style="3" customWidth="1"/>
    <col min="4111" max="4111" width="17.42578125" style="3" customWidth="1"/>
    <col min="4112" max="4112" width="14.7109375" style="3" customWidth="1"/>
    <col min="4113" max="4113" width="15.7109375" style="3" customWidth="1"/>
    <col min="4114" max="4114" width="2.28515625" style="3" customWidth="1"/>
    <col min="4115" max="4123" width="15.7109375" style="3" customWidth="1"/>
    <col min="4124" max="4124" width="13.140625" style="3" bestFit="1" customWidth="1"/>
    <col min="4125" max="4125" width="47" style="3" bestFit="1" customWidth="1"/>
    <col min="4126" max="4352" width="9.140625" style="3"/>
    <col min="4353" max="4353" width="0.85546875" style="3" customWidth="1"/>
    <col min="4354" max="4354" width="22.140625" style="3" customWidth="1"/>
    <col min="4355" max="4355" width="0.85546875" style="3" customWidth="1"/>
    <col min="4356" max="4356" width="30.7109375" style="3" customWidth="1"/>
    <col min="4357" max="4357" width="22" style="3" bestFit="1" customWidth="1"/>
    <col min="4358" max="4358" width="0.85546875" style="3" customWidth="1"/>
    <col min="4359" max="4359" width="14.7109375" style="3" customWidth="1"/>
    <col min="4360" max="4360" width="16" style="3" customWidth="1"/>
    <col min="4361" max="4361" width="14.7109375" style="3" customWidth="1"/>
    <col min="4362" max="4362" width="17.85546875" style="3" customWidth="1"/>
    <col min="4363" max="4363" width="16.85546875" style="3" customWidth="1"/>
    <col min="4364" max="4364" width="1.7109375" style="3" customWidth="1"/>
    <col min="4365" max="4366" width="14.7109375" style="3" customWidth="1"/>
    <col min="4367" max="4367" width="17.42578125" style="3" customWidth="1"/>
    <col min="4368" max="4368" width="14.7109375" style="3" customWidth="1"/>
    <col min="4369" max="4369" width="15.7109375" style="3" customWidth="1"/>
    <col min="4370" max="4370" width="2.28515625" style="3" customWidth="1"/>
    <col min="4371" max="4379" width="15.7109375" style="3" customWidth="1"/>
    <col min="4380" max="4380" width="13.140625" style="3" bestFit="1" customWidth="1"/>
    <col min="4381" max="4381" width="47" style="3" bestFit="1" customWidth="1"/>
    <col min="4382" max="4608" width="9.140625" style="3"/>
    <col min="4609" max="4609" width="0.85546875" style="3" customWidth="1"/>
    <col min="4610" max="4610" width="22.140625" style="3" customWidth="1"/>
    <col min="4611" max="4611" width="0.85546875" style="3" customWidth="1"/>
    <col min="4612" max="4612" width="30.7109375" style="3" customWidth="1"/>
    <col min="4613" max="4613" width="22" style="3" bestFit="1" customWidth="1"/>
    <col min="4614" max="4614" width="0.85546875" style="3" customWidth="1"/>
    <col min="4615" max="4615" width="14.7109375" style="3" customWidth="1"/>
    <col min="4616" max="4616" width="16" style="3" customWidth="1"/>
    <col min="4617" max="4617" width="14.7109375" style="3" customWidth="1"/>
    <col min="4618" max="4618" width="17.85546875" style="3" customWidth="1"/>
    <col min="4619" max="4619" width="16.85546875" style="3" customWidth="1"/>
    <col min="4620" max="4620" width="1.7109375" style="3" customWidth="1"/>
    <col min="4621" max="4622" width="14.7109375" style="3" customWidth="1"/>
    <col min="4623" max="4623" width="17.42578125" style="3" customWidth="1"/>
    <col min="4624" max="4624" width="14.7109375" style="3" customWidth="1"/>
    <col min="4625" max="4625" width="15.7109375" style="3" customWidth="1"/>
    <col min="4626" max="4626" width="2.28515625" style="3" customWidth="1"/>
    <col min="4627" max="4635" width="15.7109375" style="3" customWidth="1"/>
    <col min="4636" max="4636" width="13.140625" style="3" bestFit="1" customWidth="1"/>
    <col min="4637" max="4637" width="47" style="3" bestFit="1" customWidth="1"/>
    <col min="4638" max="4864" width="9.140625" style="3"/>
    <col min="4865" max="4865" width="0.85546875" style="3" customWidth="1"/>
    <col min="4866" max="4866" width="22.140625" style="3" customWidth="1"/>
    <col min="4867" max="4867" width="0.85546875" style="3" customWidth="1"/>
    <col min="4868" max="4868" width="30.7109375" style="3" customWidth="1"/>
    <col min="4869" max="4869" width="22" style="3" bestFit="1" customWidth="1"/>
    <col min="4870" max="4870" width="0.85546875" style="3" customWidth="1"/>
    <col min="4871" max="4871" width="14.7109375" style="3" customWidth="1"/>
    <col min="4872" max="4872" width="16" style="3" customWidth="1"/>
    <col min="4873" max="4873" width="14.7109375" style="3" customWidth="1"/>
    <col min="4874" max="4874" width="17.85546875" style="3" customWidth="1"/>
    <col min="4875" max="4875" width="16.85546875" style="3" customWidth="1"/>
    <col min="4876" max="4876" width="1.7109375" style="3" customWidth="1"/>
    <col min="4877" max="4878" width="14.7109375" style="3" customWidth="1"/>
    <col min="4879" max="4879" width="17.42578125" style="3" customWidth="1"/>
    <col min="4880" max="4880" width="14.7109375" style="3" customWidth="1"/>
    <col min="4881" max="4881" width="15.7109375" style="3" customWidth="1"/>
    <col min="4882" max="4882" width="2.28515625" style="3" customWidth="1"/>
    <col min="4883" max="4891" width="15.7109375" style="3" customWidth="1"/>
    <col min="4892" max="4892" width="13.140625" style="3" bestFit="1" customWidth="1"/>
    <col min="4893" max="4893" width="47" style="3" bestFit="1" customWidth="1"/>
    <col min="4894" max="5120" width="9.140625" style="3"/>
    <col min="5121" max="5121" width="0.85546875" style="3" customWidth="1"/>
    <col min="5122" max="5122" width="22.140625" style="3" customWidth="1"/>
    <col min="5123" max="5123" width="0.85546875" style="3" customWidth="1"/>
    <col min="5124" max="5124" width="30.7109375" style="3" customWidth="1"/>
    <col min="5125" max="5125" width="22" style="3" bestFit="1" customWidth="1"/>
    <col min="5126" max="5126" width="0.85546875" style="3" customWidth="1"/>
    <col min="5127" max="5127" width="14.7109375" style="3" customWidth="1"/>
    <col min="5128" max="5128" width="16" style="3" customWidth="1"/>
    <col min="5129" max="5129" width="14.7109375" style="3" customWidth="1"/>
    <col min="5130" max="5130" width="17.85546875" style="3" customWidth="1"/>
    <col min="5131" max="5131" width="16.85546875" style="3" customWidth="1"/>
    <col min="5132" max="5132" width="1.7109375" style="3" customWidth="1"/>
    <col min="5133" max="5134" width="14.7109375" style="3" customWidth="1"/>
    <col min="5135" max="5135" width="17.42578125" style="3" customWidth="1"/>
    <col min="5136" max="5136" width="14.7109375" style="3" customWidth="1"/>
    <col min="5137" max="5137" width="15.7109375" style="3" customWidth="1"/>
    <col min="5138" max="5138" width="2.28515625" style="3" customWidth="1"/>
    <col min="5139" max="5147" width="15.7109375" style="3" customWidth="1"/>
    <col min="5148" max="5148" width="13.140625" style="3" bestFit="1" customWidth="1"/>
    <col min="5149" max="5149" width="47" style="3" bestFit="1" customWidth="1"/>
    <col min="5150" max="5376" width="9.140625" style="3"/>
    <col min="5377" max="5377" width="0.85546875" style="3" customWidth="1"/>
    <col min="5378" max="5378" width="22.140625" style="3" customWidth="1"/>
    <col min="5379" max="5379" width="0.85546875" style="3" customWidth="1"/>
    <col min="5380" max="5380" width="30.7109375" style="3" customWidth="1"/>
    <col min="5381" max="5381" width="22" style="3" bestFit="1" customWidth="1"/>
    <col min="5382" max="5382" width="0.85546875" style="3" customWidth="1"/>
    <col min="5383" max="5383" width="14.7109375" style="3" customWidth="1"/>
    <col min="5384" max="5384" width="16" style="3" customWidth="1"/>
    <col min="5385" max="5385" width="14.7109375" style="3" customWidth="1"/>
    <col min="5386" max="5386" width="17.85546875" style="3" customWidth="1"/>
    <col min="5387" max="5387" width="16.85546875" style="3" customWidth="1"/>
    <col min="5388" max="5388" width="1.7109375" style="3" customWidth="1"/>
    <col min="5389" max="5390" width="14.7109375" style="3" customWidth="1"/>
    <col min="5391" max="5391" width="17.42578125" style="3" customWidth="1"/>
    <col min="5392" max="5392" width="14.7109375" style="3" customWidth="1"/>
    <col min="5393" max="5393" width="15.7109375" style="3" customWidth="1"/>
    <col min="5394" max="5394" width="2.28515625" style="3" customWidth="1"/>
    <col min="5395" max="5403" width="15.7109375" style="3" customWidth="1"/>
    <col min="5404" max="5404" width="13.140625" style="3" bestFit="1" customWidth="1"/>
    <col min="5405" max="5405" width="47" style="3" bestFit="1" customWidth="1"/>
    <col min="5406" max="5632" width="9.140625" style="3"/>
    <col min="5633" max="5633" width="0.85546875" style="3" customWidth="1"/>
    <col min="5634" max="5634" width="22.140625" style="3" customWidth="1"/>
    <col min="5635" max="5635" width="0.85546875" style="3" customWidth="1"/>
    <col min="5636" max="5636" width="30.7109375" style="3" customWidth="1"/>
    <col min="5637" max="5637" width="22" style="3" bestFit="1" customWidth="1"/>
    <col min="5638" max="5638" width="0.85546875" style="3" customWidth="1"/>
    <col min="5639" max="5639" width="14.7109375" style="3" customWidth="1"/>
    <col min="5640" max="5640" width="16" style="3" customWidth="1"/>
    <col min="5641" max="5641" width="14.7109375" style="3" customWidth="1"/>
    <col min="5642" max="5642" width="17.85546875" style="3" customWidth="1"/>
    <col min="5643" max="5643" width="16.85546875" style="3" customWidth="1"/>
    <col min="5644" max="5644" width="1.7109375" style="3" customWidth="1"/>
    <col min="5645" max="5646" width="14.7109375" style="3" customWidth="1"/>
    <col min="5647" max="5647" width="17.42578125" style="3" customWidth="1"/>
    <col min="5648" max="5648" width="14.7109375" style="3" customWidth="1"/>
    <col min="5649" max="5649" width="15.7109375" style="3" customWidth="1"/>
    <col min="5650" max="5650" width="2.28515625" style="3" customWidth="1"/>
    <col min="5651" max="5659" width="15.7109375" style="3" customWidth="1"/>
    <col min="5660" max="5660" width="13.140625" style="3" bestFit="1" customWidth="1"/>
    <col min="5661" max="5661" width="47" style="3" bestFit="1" customWidth="1"/>
    <col min="5662" max="5888" width="9.140625" style="3"/>
    <col min="5889" max="5889" width="0.85546875" style="3" customWidth="1"/>
    <col min="5890" max="5890" width="22.140625" style="3" customWidth="1"/>
    <col min="5891" max="5891" width="0.85546875" style="3" customWidth="1"/>
    <col min="5892" max="5892" width="30.7109375" style="3" customWidth="1"/>
    <col min="5893" max="5893" width="22" style="3" bestFit="1" customWidth="1"/>
    <col min="5894" max="5894" width="0.85546875" style="3" customWidth="1"/>
    <col min="5895" max="5895" width="14.7109375" style="3" customWidth="1"/>
    <col min="5896" max="5896" width="16" style="3" customWidth="1"/>
    <col min="5897" max="5897" width="14.7109375" style="3" customWidth="1"/>
    <col min="5898" max="5898" width="17.85546875" style="3" customWidth="1"/>
    <col min="5899" max="5899" width="16.85546875" style="3" customWidth="1"/>
    <col min="5900" max="5900" width="1.7109375" style="3" customWidth="1"/>
    <col min="5901" max="5902" width="14.7109375" style="3" customWidth="1"/>
    <col min="5903" max="5903" width="17.42578125" style="3" customWidth="1"/>
    <col min="5904" max="5904" width="14.7109375" style="3" customWidth="1"/>
    <col min="5905" max="5905" width="15.7109375" style="3" customWidth="1"/>
    <col min="5906" max="5906" width="2.28515625" style="3" customWidth="1"/>
    <col min="5907" max="5915" width="15.7109375" style="3" customWidth="1"/>
    <col min="5916" max="5916" width="13.140625" style="3" bestFit="1" customWidth="1"/>
    <col min="5917" max="5917" width="47" style="3" bestFit="1" customWidth="1"/>
    <col min="5918" max="6144" width="9.140625" style="3"/>
    <col min="6145" max="6145" width="0.85546875" style="3" customWidth="1"/>
    <col min="6146" max="6146" width="22.140625" style="3" customWidth="1"/>
    <col min="6147" max="6147" width="0.85546875" style="3" customWidth="1"/>
    <col min="6148" max="6148" width="30.7109375" style="3" customWidth="1"/>
    <col min="6149" max="6149" width="22" style="3" bestFit="1" customWidth="1"/>
    <col min="6150" max="6150" width="0.85546875" style="3" customWidth="1"/>
    <col min="6151" max="6151" width="14.7109375" style="3" customWidth="1"/>
    <col min="6152" max="6152" width="16" style="3" customWidth="1"/>
    <col min="6153" max="6153" width="14.7109375" style="3" customWidth="1"/>
    <col min="6154" max="6154" width="17.85546875" style="3" customWidth="1"/>
    <col min="6155" max="6155" width="16.85546875" style="3" customWidth="1"/>
    <col min="6156" max="6156" width="1.7109375" style="3" customWidth="1"/>
    <col min="6157" max="6158" width="14.7109375" style="3" customWidth="1"/>
    <col min="6159" max="6159" width="17.42578125" style="3" customWidth="1"/>
    <col min="6160" max="6160" width="14.7109375" style="3" customWidth="1"/>
    <col min="6161" max="6161" width="15.7109375" style="3" customWidth="1"/>
    <col min="6162" max="6162" width="2.28515625" style="3" customWidth="1"/>
    <col min="6163" max="6171" width="15.7109375" style="3" customWidth="1"/>
    <col min="6172" max="6172" width="13.140625" style="3" bestFit="1" customWidth="1"/>
    <col min="6173" max="6173" width="47" style="3" bestFit="1" customWidth="1"/>
    <col min="6174" max="6400" width="9.140625" style="3"/>
    <col min="6401" max="6401" width="0.85546875" style="3" customWidth="1"/>
    <col min="6402" max="6402" width="22.140625" style="3" customWidth="1"/>
    <col min="6403" max="6403" width="0.85546875" style="3" customWidth="1"/>
    <col min="6404" max="6404" width="30.7109375" style="3" customWidth="1"/>
    <col min="6405" max="6405" width="22" style="3" bestFit="1" customWidth="1"/>
    <col min="6406" max="6406" width="0.85546875" style="3" customWidth="1"/>
    <col min="6407" max="6407" width="14.7109375" style="3" customWidth="1"/>
    <col min="6408" max="6408" width="16" style="3" customWidth="1"/>
    <col min="6409" max="6409" width="14.7109375" style="3" customWidth="1"/>
    <col min="6410" max="6410" width="17.85546875" style="3" customWidth="1"/>
    <col min="6411" max="6411" width="16.85546875" style="3" customWidth="1"/>
    <col min="6412" max="6412" width="1.7109375" style="3" customWidth="1"/>
    <col min="6413" max="6414" width="14.7109375" style="3" customWidth="1"/>
    <col min="6415" max="6415" width="17.42578125" style="3" customWidth="1"/>
    <col min="6416" max="6416" width="14.7109375" style="3" customWidth="1"/>
    <col min="6417" max="6417" width="15.7109375" style="3" customWidth="1"/>
    <col min="6418" max="6418" width="2.28515625" style="3" customWidth="1"/>
    <col min="6419" max="6427" width="15.7109375" style="3" customWidth="1"/>
    <col min="6428" max="6428" width="13.140625" style="3" bestFit="1" customWidth="1"/>
    <col min="6429" max="6429" width="47" style="3" bestFit="1" customWidth="1"/>
    <col min="6430" max="6656" width="9.140625" style="3"/>
    <col min="6657" max="6657" width="0.85546875" style="3" customWidth="1"/>
    <col min="6658" max="6658" width="22.140625" style="3" customWidth="1"/>
    <col min="6659" max="6659" width="0.85546875" style="3" customWidth="1"/>
    <col min="6660" max="6660" width="30.7109375" style="3" customWidth="1"/>
    <col min="6661" max="6661" width="22" style="3" bestFit="1" customWidth="1"/>
    <col min="6662" max="6662" width="0.85546875" style="3" customWidth="1"/>
    <col min="6663" max="6663" width="14.7109375" style="3" customWidth="1"/>
    <col min="6664" max="6664" width="16" style="3" customWidth="1"/>
    <col min="6665" max="6665" width="14.7109375" style="3" customWidth="1"/>
    <col min="6666" max="6666" width="17.85546875" style="3" customWidth="1"/>
    <col min="6667" max="6667" width="16.85546875" style="3" customWidth="1"/>
    <col min="6668" max="6668" width="1.7109375" style="3" customWidth="1"/>
    <col min="6669" max="6670" width="14.7109375" style="3" customWidth="1"/>
    <col min="6671" max="6671" width="17.42578125" style="3" customWidth="1"/>
    <col min="6672" max="6672" width="14.7109375" style="3" customWidth="1"/>
    <col min="6673" max="6673" width="15.7109375" style="3" customWidth="1"/>
    <col min="6674" max="6674" width="2.28515625" style="3" customWidth="1"/>
    <col min="6675" max="6683" width="15.7109375" style="3" customWidth="1"/>
    <col min="6684" max="6684" width="13.140625" style="3" bestFit="1" customWidth="1"/>
    <col min="6685" max="6685" width="47" style="3" bestFit="1" customWidth="1"/>
    <col min="6686" max="6912" width="9.140625" style="3"/>
    <col min="6913" max="6913" width="0.85546875" style="3" customWidth="1"/>
    <col min="6914" max="6914" width="22.140625" style="3" customWidth="1"/>
    <col min="6915" max="6915" width="0.85546875" style="3" customWidth="1"/>
    <col min="6916" max="6916" width="30.7109375" style="3" customWidth="1"/>
    <col min="6917" max="6917" width="22" style="3" bestFit="1" customWidth="1"/>
    <col min="6918" max="6918" width="0.85546875" style="3" customWidth="1"/>
    <col min="6919" max="6919" width="14.7109375" style="3" customWidth="1"/>
    <col min="6920" max="6920" width="16" style="3" customWidth="1"/>
    <col min="6921" max="6921" width="14.7109375" style="3" customWidth="1"/>
    <col min="6922" max="6922" width="17.85546875" style="3" customWidth="1"/>
    <col min="6923" max="6923" width="16.85546875" style="3" customWidth="1"/>
    <col min="6924" max="6924" width="1.7109375" style="3" customWidth="1"/>
    <col min="6925" max="6926" width="14.7109375" style="3" customWidth="1"/>
    <col min="6927" max="6927" width="17.42578125" style="3" customWidth="1"/>
    <col min="6928" max="6928" width="14.7109375" style="3" customWidth="1"/>
    <col min="6929" max="6929" width="15.7109375" style="3" customWidth="1"/>
    <col min="6930" max="6930" width="2.28515625" style="3" customWidth="1"/>
    <col min="6931" max="6939" width="15.7109375" style="3" customWidth="1"/>
    <col min="6940" max="6940" width="13.140625" style="3" bestFit="1" customWidth="1"/>
    <col min="6941" max="6941" width="47" style="3" bestFit="1" customWidth="1"/>
    <col min="6942" max="7168" width="9.140625" style="3"/>
    <col min="7169" max="7169" width="0.85546875" style="3" customWidth="1"/>
    <col min="7170" max="7170" width="22.140625" style="3" customWidth="1"/>
    <col min="7171" max="7171" width="0.85546875" style="3" customWidth="1"/>
    <col min="7172" max="7172" width="30.7109375" style="3" customWidth="1"/>
    <col min="7173" max="7173" width="22" style="3" bestFit="1" customWidth="1"/>
    <col min="7174" max="7174" width="0.85546875" style="3" customWidth="1"/>
    <col min="7175" max="7175" width="14.7109375" style="3" customWidth="1"/>
    <col min="7176" max="7176" width="16" style="3" customWidth="1"/>
    <col min="7177" max="7177" width="14.7109375" style="3" customWidth="1"/>
    <col min="7178" max="7178" width="17.85546875" style="3" customWidth="1"/>
    <col min="7179" max="7179" width="16.85546875" style="3" customWidth="1"/>
    <col min="7180" max="7180" width="1.7109375" style="3" customWidth="1"/>
    <col min="7181" max="7182" width="14.7109375" style="3" customWidth="1"/>
    <col min="7183" max="7183" width="17.42578125" style="3" customWidth="1"/>
    <col min="7184" max="7184" width="14.7109375" style="3" customWidth="1"/>
    <col min="7185" max="7185" width="15.7109375" style="3" customWidth="1"/>
    <col min="7186" max="7186" width="2.28515625" style="3" customWidth="1"/>
    <col min="7187" max="7195" width="15.7109375" style="3" customWidth="1"/>
    <col min="7196" max="7196" width="13.140625" style="3" bestFit="1" customWidth="1"/>
    <col min="7197" max="7197" width="47" style="3" bestFit="1" customWidth="1"/>
    <col min="7198" max="7424" width="9.140625" style="3"/>
    <col min="7425" max="7425" width="0.85546875" style="3" customWidth="1"/>
    <col min="7426" max="7426" width="22.140625" style="3" customWidth="1"/>
    <col min="7427" max="7427" width="0.85546875" style="3" customWidth="1"/>
    <col min="7428" max="7428" width="30.7109375" style="3" customWidth="1"/>
    <col min="7429" max="7429" width="22" style="3" bestFit="1" customWidth="1"/>
    <col min="7430" max="7430" width="0.85546875" style="3" customWidth="1"/>
    <col min="7431" max="7431" width="14.7109375" style="3" customWidth="1"/>
    <col min="7432" max="7432" width="16" style="3" customWidth="1"/>
    <col min="7433" max="7433" width="14.7109375" style="3" customWidth="1"/>
    <col min="7434" max="7434" width="17.85546875" style="3" customWidth="1"/>
    <col min="7435" max="7435" width="16.85546875" style="3" customWidth="1"/>
    <col min="7436" max="7436" width="1.7109375" style="3" customWidth="1"/>
    <col min="7437" max="7438" width="14.7109375" style="3" customWidth="1"/>
    <col min="7439" max="7439" width="17.42578125" style="3" customWidth="1"/>
    <col min="7440" max="7440" width="14.7109375" style="3" customWidth="1"/>
    <col min="7441" max="7441" width="15.7109375" style="3" customWidth="1"/>
    <col min="7442" max="7442" width="2.28515625" style="3" customWidth="1"/>
    <col min="7443" max="7451" width="15.7109375" style="3" customWidth="1"/>
    <col min="7452" max="7452" width="13.140625" style="3" bestFit="1" customWidth="1"/>
    <col min="7453" max="7453" width="47" style="3" bestFit="1" customWidth="1"/>
    <col min="7454" max="7680" width="9.140625" style="3"/>
    <col min="7681" max="7681" width="0.85546875" style="3" customWidth="1"/>
    <col min="7682" max="7682" width="22.140625" style="3" customWidth="1"/>
    <col min="7683" max="7683" width="0.85546875" style="3" customWidth="1"/>
    <col min="7684" max="7684" width="30.7109375" style="3" customWidth="1"/>
    <col min="7685" max="7685" width="22" style="3" bestFit="1" customWidth="1"/>
    <col min="7686" max="7686" width="0.85546875" style="3" customWidth="1"/>
    <col min="7687" max="7687" width="14.7109375" style="3" customWidth="1"/>
    <col min="7688" max="7688" width="16" style="3" customWidth="1"/>
    <col min="7689" max="7689" width="14.7109375" style="3" customWidth="1"/>
    <col min="7690" max="7690" width="17.85546875" style="3" customWidth="1"/>
    <col min="7691" max="7691" width="16.85546875" style="3" customWidth="1"/>
    <col min="7692" max="7692" width="1.7109375" style="3" customWidth="1"/>
    <col min="7693" max="7694" width="14.7109375" style="3" customWidth="1"/>
    <col min="7695" max="7695" width="17.42578125" style="3" customWidth="1"/>
    <col min="7696" max="7696" width="14.7109375" style="3" customWidth="1"/>
    <col min="7697" max="7697" width="15.7109375" style="3" customWidth="1"/>
    <col min="7698" max="7698" width="2.28515625" style="3" customWidth="1"/>
    <col min="7699" max="7707" width="15.7109375" style="3" customWidth="1"/>
    <col min="7708" max="7708" width="13.140625" style="3" bestFit="1" customWidth="1"/>
    <col min="7709" max="7709" width="47" style="3" bestFit="1" customWidth="1"/>
    <col min="7710" max="7936" width="9.140625" style="3"/>
    <col min="7937" max="7937" width="0.85546875" style="3" customWidth="1"/>
    <col min="7938" max="7938" width="22.140625" style="3" customWidth="1"/>
    <col min="7939" max="7939" width="0.85546875" style="3" customWidth="1"/>
    <col min="7940" max="7940" width="30.7109375" style="3" customWidth="1"/>
    <col min="7941" max="7941" width="22" style="3" bestFit="1" customWidth="1"/>
    <col min="7942" max="7942" width="0.85546875" style="3" customWidth="1"/>
    <col min="7943" max="7943" width="14.7109375" style="3" customWidth="1"/>
    <col min="7944" max="7944" width="16" style="3" customWidth="1"/>
    <col min="7945" max="7945" width="14.7109375" style="3" customWidth="1"/>
    <col min="7946" max="7946" width="17.85546875" style="3" customWidth="1"/>
    <col min="7947" max="7947" width="16.85546875" style="3" customWidth="1"/>
    <col min="7948" max="7948" width="1.7109375" style="3" customWidth="1"/>
    <col min="7949" max="7950" width="14.7109375" style="3" customWidth="1"/>
    <col min="7951" max="7951" width="17.42578125" style="3" customWidth="1"/>
    <col min="7952" max="7952" width="14.7109375" style="3" customWidth="1"/>
    <col min="7953" max="7953" width="15.7109375" style="3" customWidth="1"/>
    <col min="7954" max="7954" width="2.28515625" style="3" customWidth="1"/>
    <col min="7955" max="7963" width="15.7109375" style="3" customWidth="1"/>
    <col min="7964" max="7964" width="13.140625" style="3" bestFit="1" customWidth="1"/>
    <col min="7965" max="7965" width="47" style="3" bestFit="1" customWidth="1"/>
    <col min="7966" max="8192" width="9.140625" style="3"/>
    <col min="8193" max="8193" width="0.85546875" style="3" customWidth="1"/>
    <col min="8194" max="8194" width="22.140625" style="3" customWidth="1"/>
    <col min="8195" max="8195" width="0.85546875" style="3" customWidth="1"/>
    <col min="8196" max="8196" width="30.7109375" style="3" customWidth="1"/>
    <col min="8197" max="8197" width="22" style="3" bestFit="1" customWidth="1"/>
    <col min="8198" max="8198" width="0.85546875" style="3" customWidth="1"/>
    <col min="8199" max="8199" width="14.7109375" style="3" customWidth="1"/>
    <col min="8200" max="8200" width="16" style="3" customWidth="1"/>
    <col min="8201" max="8201" width="14.7109375" style="3" customWidth="1"/>
    <col min="8202" max="8202" width="17.85546875" style="3" customWidth="1"/>
    <col min="8203" max="8203" width="16.85546875" style="3" customWidth="1"/>
    <col min="8204" max="8204" width="1.7109375" style="3" customWidth="1"/>
    <col min="8205" max="8206" width="14.7109375" style="3" customWidth="1"/>
    <col min="8207" max="8207" width="17.42578125" style="3" customWidth="1"/>
    <col min="8208" max="8208" width="14.7109375" style="3" customWidth="1"/>
    <col min="8209" max="8209" width="15.7109375" style="3" customWidth="1"/>
    <col min="8210" max="8210" width="2.28515625" style="3" customWidth="1"/>
    <col min="8211" max="8219" width="15.7109375" style="3" customWidth="1"/>
    <col min="8220" max="8220" width="13.140625" style="3" bestFit="1" customWidth="1"/>
    <col min="8221" max="8221" width="47" style="3" bestFit="1" customWidth="1"/>
    <col min="8222" max="8448" width="9.140625" style="3"/>
    <col min="8449" max="8449" width="0.85546875" style="3" customWidth="1"/>
    <col min="8450" max="8450" width="22.140625" style="3" customWidth="1"/>
    <col min="8451" max="8451" width="0.85546875" style="3" customWidth="1"/>
    <col min="8452" max="8452" width="30.7109375" style="3" customWidth="1"/>
    <col min="8453" max="8453" width="22" style="3" bestFit="1" customWidth="1"/>
    <col min="8454" max="8454" width="0.85546875" style="3" customWidth="1"/>
    <col min="8455" max="8455" width="14.7109375" style="3" customWidth="1"/>
    <col min="8456" max="8456" width="16" style="3" customWidth="1"/>
    <col min="8457" max="8457" width="14.7109375" style="3" customWidth="1"/>
    <col min="8458" max="8458" width="17.85546875" style="3" customWidth="1"/>
    <col min="8459" max="8459" width="16.85546875" style="3" customWidth="1"/>
    <col min="8460" max="8460" width="1.7109375" style="3" customWidth="1"/>
    <col min="8461" max="8462" width="14.7109375" style="3" customWidth="1"/>
    <col min="8463" max="8463" width="17.42578125" style="3" customWidth="1"/>
    <col min="8464" max="8464" width="14.7109375" style="3" customWidth="1"/>
    <col min="8465" max="8465" width="15.7109375" style="3" customWidth="1"/>
    <col min="8466" max="8466" width="2.28515625" style="3" customWidth="1"/>
    <col min="8467" max="8475" width="15.7109375" style="3" customWidth="1"/>
    <col min="8476" max="8476" width="13.140625" style="3" bestFit="1" customWidth="1"/>
    <col min="8477" max="8477" width="47" style="3" bestFit="1" customWidth="1"/>
    <col min="8478" max="8704" width="9.140625" style="3"/>
    <col min="8705" max="8705" width="0.85546875" style="3" customWidth="1"/>
    <col min="8706" max="8706" width="22.140625" style="3" customWidth="1"/>
    <col min="8707" max="8707" width="0.85546875" style="3" customWidth="1"/>
    <col min="8708" max="8708" width="30.7109375" style="3" customWidth="1"/>
    <col min="8709" max="8709" width="22" style="3" bestFit="1" customWidth="1"/>
    <col min="8710" max="8710" width="0.85546875" style="3" customWidth="1"/>
    <col min="8711" max="8711" width="14.7109375" style="3" customWidth="1"/>
    <col min="8712" max="8712" width="16" style="3" customWidth="1"/>
    <col min="8713" max="8713" width="14.7109375" style="3" customWidth="1"/>
    <col min="8714" max="8714" width="17.85546875" style="3" customWidth="1"/>
    <col min="8715" max="8715" width="16.85546875" style="3" customWidth="1"/>
    <col min="8716" max="8716" width="1.7109375" style="3" customWidth="1"/>
    <col min="8717" max="8718" width="14.7109375" style="3" customWidth="1"/>
    <col min="8719" max="8719" width="17.42578125" style="3" customWidth="1"/>
    <col min="8720" max="8720" width="14.7109375" style="3" customWidth="1"/>
    <col min="8721" max="8721" width="15.7109375" style="3" customWidth="1"/>
    <col min="8722" max="8722" width="2.28515625" style="3" customWidth="1"/>
    <col min="8723" max="8731" width="15.7109375" style="3" customWidth="1"/>
    <col min="8732" max="8732" width="13.140625" style="3" bestFit="1" customWidth="1"/>
    <col min="8733" max="8733" width="47" style="3" bestFit="1" customWidth="1"/>
    <col min="8734" max="8960" width="9.140625" style="3"/>
    <col min="8961" max="8961" width="0.85546875" style="3" customWidth="1"/>
    <col min="8962" max="8962" width="22.140625" style="3" customWidth="1"/>
    <col min="8963" max="8963" width="0.85546875" style="3" customWidth="1"/>
    <col min="8964" max="8964" width="30.7109375" style="3" customWidth="1"/>
    <col min="8965" max="8965" width="22" style="3" bestFit="1" customWidth="1"/>
    <col min="8966" max="8966" width="0.85546875" style="3" customWidth="1"/>
    <col min="8967" max="8967" width="14.7109375" style="3" customWidth="1"/>
    <col min="8968" max="8968" width="16" style="3" customWidth="1"/>
    <col min="8969" max="8969" width="14.7109375" style="3" customWidth="1"/>
    <col min="8970" max="8970" width="17.85546875" style="3" customWidth="1"/>
    <col min="8971" max="8971" width="16.85546875" style="3" customWidth="1"/>
    <col min="8972" max="8972" width="1.7109375" style="3" customWidth="1"/>
    <col min="8973" max="8974" width="14.7109375" style="3" customWidth="1"/>
    <col min="8975" max="8975" width="17.42578125" style="3" customWidth="1"/>
    <col min="8976" max="8976" width="14.7109375" style="3" customWidth="1"/>
    <col min="8977" max="8977" width="15.7109375" style="3" customWidth="1"/>
    <col min="8978" max="8978" width="2.28515625" style="3" customWidth="1"/>
    <col min="8979" max="8987" width="15.7109375" style="3" customWidth="1"/>
    <col min="8988" max="8988" width="13.140625" style="3" bestFit="1" customWidth="1"/>
    <col min="8989" max="8989" width="47" style="3" bestFit="1" customWidth="1"/>
    <col min="8990" max="9216" width="9.140625" style="3"/>
    <col min="9217" max="9217" width="0.85546875" style="3" customWidth="1"/>
    <col min="9218" max="9218" width="22.140625" style="3" customWidth="1"/>
    <col min="9219" max="9219" width="0.85546875" style="3" customWidth="1"/>
    <col min="9220" max="9220" width="30.7109375" style="3" customWidth="1"/>
    <col min="9221" max="9221" width="22" style="3" bestFit="1" customWidth="1"/>
    <col min="9222" max="9222" width="0.85546875" style="3" customWidth="1"/>
    <col min="9223" max="9223" width="14.7109375" style="3" customWidth="1"/>
    <col min="9224" max="9224" width="16" style="3" customWidth="1"/>
    <col min="9225" max="9225" width="14.7109375" style="3" customWidth="1"/>
    <col min="9226" max="9226" width="17.85546875" style="3" customWidth="1"/>
    <col min="9227" max="9227" width="16.85546875" style="3" customWidth="1"/>
    <col min="9228" max="9228" width="1.7109375" style="3" customWidth="1"/>
    <col min="9229" max="9230" width="14.7109375" style="3" customWidth="1"/>
    <col min="9231" max="9231" width="17.42578125" style="3" customWidth="1"/>
    <col min="9232" max="9232" width="14.7109375" style="3" customWidth="1"/>
    <col min="9233" max="9233" width="15.7109375" style="3" customWidth="1"/>
    <col min="9234" max="9234" width="2.28515625" style="3" customWidth="1"/>
    <col min="9235" max="9243" width="15.7109375" style="3" customWidth="1"/>
    <col min="9244" max="9244" width="13.140625" style="3" bestFit="1" customWidth="1"/>
    <col min="9245" max="9245" width="47" style="3" bestFit="1" customWidth="1"/>
    <col min="9246" max="9472" width="9.140625" style="3"/>
    <col min="9473" max="9473" width="0.85546875" style="3" customWidth="1"/>
    <col min="9474" max="9474" width="22.140625" style="3" customWidth="1"/>
    <col min="9475" max="9475" width="0.85546875" style="3" customWidth="1"/>
    <col min="9476" max="9476" width="30.7109375" style="3" customWidth="1"/>
    <col min="9477" max="9477" width="22" style="3" bestFit="1" customWidth="1"/>
    <col min="9478" max="9478" width="0.85546875" style="3" customWidth="1"/>
    <col min="9479" max="9479" width="14.7109375" style="3" customWidth="1"/>
    <col min="9480" max="9480" width="16" style="3" customWidth="1"/>
    <col min="9481" max="9481" width="14.7109375" style="3" customWidth="1"/>
    <col min="9482" max="9482" width="17.85546875" style="3" customWidth="1"/>
    <col min="9483" max="9483" width="16.85546875" style="3" customWidth="1"/>
    <col min="9484" max="9484" width="1.7109375" style="3" customWidth="1"/>
    <col min="9485" max="9486" width="14.7109375" style="3" customWidth="1"/>
    <col min="9487" max="9487" width="17.42578125" style="3" customWidth="1"/>
    <col min="9488" max="9488" width="14.7109375" style="3" customWidth="1"/>
    <col min="9489" max="9489" width="15.7109375" style="3" customWidth="1"/>
    <col min="9490" max="9490" width="2.28515625" style="3" customWidth="1"/>
    <col min="9491" max="9499" width="15.7109375" style="3" customWidth="1"/>
    <col min="9500" max="9500" width="13.140625" style="3" bestFit="1" customWidth="1"/>
    <col min="9501" max="9501" width="47" style="3" bestFit="1" customWidth="1"/>
    <col min="9502" max="9728" width="9.140625" style="3"/>
    <col min="9729" max="9729" width="0.85546875" style="3" customWidth="1"/>
    <col min="9730" max="9730" width="22.140625" style="3" customWidth="1"/>
    <col min="9731" max="9731" width="0.85546875" style="3" customWidth="1"/>
    <col min="9732" max="9732" width="30.7109375" style="3" customWidth="1"/>
    <col min="9733" max="9733" width="22" style="3" bestFit="1" customWidth="1"/>
    <col min="9734" max="9734" width="0.85546875" style="3" customWidth="1"/>
    <col min="9735" max="9735" width="14.7109375" style="3" customWidth="1"/>
    <col min="9736" max="9736" width="16" style="3" customWidth="1"/>
    <col min="9737" max="9737" width="14.7109375" style="3" customWidth="1"/>
    <col min="9738" max="9738" width="17.85546875" style="3" customWidth="1"/>
    <col min="9739" max="9739" width="16.85546875" style="3" customWidth="1"/>
    <col min="9740" max="9740" width="1.7109375" style="3" customWidth="1"/>
    <col min="9741" max="9742" width="14.7109375" style="3" customWidth="1"/>
    <col min="9743" max="9743" width="17.42578125" style="3" customWidth="1"/>
    <col min="9744" max="9744" width="14.7109375" style="3" customWidth="1"/>
    <col min="9745" max="9745" width="15.7109375" style="3" customWidth="1"/>
    <col min="9746" max="9746" width="2.28515625" style="3" customWidth="1"/>
    <col min="9747" max="9755" width="15.7109375" style="3" customWidth="1"/>
    <col min="9756" max="9756" width="13.140625" style="3" bestFit="1" customWidth="1"/>
    <col min="9757" max="9757" width="47" style="3" bestFit="1" customWidth="1"/>
    <col min="9758" max="9984" width="9.140625" style="3"/>
    <col min="9985" max="9985" width="0.85546875" style="3" customWidth="1"/>
    <col min="9986" max="9986" width="22.140625" style="3" customWidth="1"/>
    <col min="9987" max="9987" width="0.85546875" style="3" customWidth="1"/>
    <col min="9988" max="9988" width="30.7109375" style="3" customWidth="1"/>
    <col min="9989" max="9989" width="22" style="3" bestFit="1" customWidth="1"/>
    <col min="9990" max="9990" width="0.85546875" style="3" customWidth="1"/>
    <col min="9991" max="9991" width="14.7109375" style="3" customWidth="1"/>
    <col min="9992" max="9992" width="16" style="3" customWidth="1"/>
    <col min="9993" max="9993" width="14.7109375" style="3" customWidth="1"/>
    <col min="9994" max="9994" width="17.85546875" style="3" customWidth="1"/>
    <col min="9995" max="9995" width="16.85546875" style="3" customWidth="1"/>
    <col min="9996" max="9996" width="1.7109375" style="3" customWidth="1"/>
    <col min="9997" max="9998" width="14.7109375" style="3" customWidth="1"/>
    <col min="9999" max="9999" width="17.42578125" style="3" customWidth="1"/>
    <col min="10000" max="10000" width="14.7109375" style="3" customWidth="1"/>
    <col min="10001" max="10001" width="15.7109375" style="3" customWidth="1"/>
    <col min="10002" max="10002" width="2.28515625" style="3" customWidth="1"/>
    <col min="10003" max="10011" width="15.7109375" style="3" customWidth="1"/>
    <col min="10012" max="10012" width="13.140625" style="3" bestFit="1" customWidth="1"/>
    <col min="10013" max="10013" width="47" style="3" bestFit="1" customWidth="1"/>
    <col min="10014" max="10240" width="9.140625" style="3"/>
    <col min="10241" max="10241" width="0.85546875" style="3" customWidth="1"/>
    <col min="10242" max="10242" width="22.140625" style="3" customWidth="1"/>
    <col min="10243" max="10243" width="0.85546875" style="3" customWidth="1"/>
    <col min="10244" max="10244" width="30.7109375" style="3" customWidth="1"/>
    <col min="10245" max="10245" width="22" style="3" bestFit="1" customWidth="1"/>
    <col min="10246" max="10246" width="0.85546875" style="3" customWidth="1"/>
    <col min="10247" max="10247" width="14.7109375" style="3" customWidth="1"/>
    <col min="10248" max="10248" width="16" style="3" customWidth="1"/>
    <col min="10249" max="10249" width="14.7109375" style="3" customWidth="1"/>
    <col min="10250" max="10250" width="17.85546875" style="3" customWidth="1"/>
    <col min="10251" max="10251" width="16.85546875" style="3" customWidth="1"/>
    <col min="10252" max="10252" width="1.7109375" style="3" customWidth="1"/>
    <col min="10253" max="10254" width="14.7109375" style="3" customWidth="1"/>
    <col min="10255" max="10255" width="17.42578125" style="3" customWidth="1"/>
    <col min="10256" max="10256" width="14.7109375" style="3" customWidth="1"/>
    <col min="10257" max="10257" width="15.7109375" style="3" customWidth="1"/>
    <col min="10258" max="10258" width="2.28515625" style="3" customWidth="1"/>
    <col min="10259" max="10267" width="15.7109375" style="3" customWidth="1"/>
    <col min="10268" max="10268" width="13.140625" style="3" bestFit="1" customWidth="1"/>
    <col min="10269" max="10269" width="47" style="3" bestFit="1" customWidth="1"/>
    <col min="10270" max="10496" width="9.140625" style="3"/>
    <col min="10497" max="10497" width="0.85546875" style="3" customWidth="1"/>
    <col min="10498" max="10498" width="22.140625" style="3" customWidth="1"/>
    <col min="10499" max="10499" width="0.85546875" style="3" customWidth="1"/>
    <col min="10500" max="10500" width="30.7109375" style="3" customWidth="1"/>
    <col min="10501" max="10501" width="22" style="3" bestFit="1" customWidth="1"/>
    <col min="10502" max="10502" width="0.85546875" style="3" customWidth="1"/>
    <col min="10503" max="10503" width="14.7109375" style="3" customWidth="1"/>
    <col min="10504" max="10504" width="16" style="3" customWidth="1"/>
    <col min="10505" max="10505" width="14.7109375" style="3" customWidth="1"/>
    <col min="10506" max="10506" width="17.85546875" style="3" customWidth="1"/>
    <col min="10507" max="10507" width="16.85546875" style="3" customWidth="1"/>
    <col min="10508" max="10508" width="1.7109375" style="3" customWidth="1"/>
    <col min="10509" max="10510" width="14.7109375" style="3" customWidth="1"/>
    <col min="10511" max="10511" width="17.42578125" style="3" customWidth="1"/>
    <col min="10512" max="10512" width="14.7109375" style="3" customWidth="1"/>
    <col min="10513" max="10513" width="15.7109375" style="3" customWidth="1"/>
    <col min="10514" max="10514" width="2.28515625" style="3" customWidth="1"/>
    <col min="10515" max="10523" width="15.7109375" style="3" customWidth="1"/>
    <col min="10524" max="10524" width="13.140625" style="3" bestFit="1" customWidth="1"/>
    <col min="10525" max="10525" width="47" style="3" bestFit="1" customWidth="1"/>
    <col min="10526" max="10752" width="9.140625" style="3"/>
    <col min="10753" max="10753" width="0.85546875" style="3" customWidth="1"/>
    <col min="10754" max="10754" width="22.140625" style="3" customWidth="1"/>
    <col min="10755" max="10755" width="0.85546875" style="3" customWidth="1"/>
    <col min="10756" max="10756" width="30.7109375" style="3" customWidth="1"/>
    <col min="10757" max="10757" width="22" style="3" bestFit="1" customWidth="1"/>
    <col min="10758" max="10758" width="0.85546875" style="3" customWidth="1"/>
    <col min="10759" max="10759" width="14.7109375" style="3" customWidth="1"/>
    <col min="10760" max="10760" width="16" style="3" customWidth="1"/>
    <col min="10761" max="10761" width="14.7109375" style="3" customWidth="1"/>
    <col min="10762" max="10762" width="17.85546875" style="3" customWidth="1"/>
    <col min="10763" max="10763" width="16.85546875" style="3" customWidth="1"/>
    <col min="10764" max="10764" width="1.7109375" style="3" customWidth="1"/>
    <col min="10765" max="10766" width="14.7109375" style="3" customWidth="1"/>
    <col min="10767" max="10767" width="17.42578125" style="3" customWidth="1"/>
    <col min="10768" max="10768" width="14.7109375" style="3" customWidth="1"/>
    <col min="10769" max="10769" width="15.7109375" style="3" customWidth="1"/>
    <col min="10770" max="10770" width="2.28515625" style="3" customWidth="1"/>
    <col min="10771" max="10779" width="15.7109375" style="3" customWidth="1"/>
    <col min="10780" max="10780" width="13.140625" style="3" bestFit="1" customWidth="1"/>
    <col min="10781" max="10781" width="47" style="3" bestFit="1" customWidth="1"/>
    <col min="10782" max="11008" width="9.140625" style="3"/>
    <col min="11009" max="11009" width="0.85546875" style="3" customWidth="1"/>
    <col min="11010" max="11010" width="22.140625" style="3" customWidth="1"/>
    <col min="11011" max="11011" width="0.85546875" style="3" customWidth="1"/>
    <col min="11012" max="11012" width="30.7109375" style="3" customWidth="1"/>
    <col min="11013" max="11013" width="22" style="3" bestFit="1" customWidth="1"/>
    <col min="11014" max="11014" width="0.85546875" style="3" customWidth="1"/>
    <col min="11015" max="11015" width="14.7109375" style="3" customWidth="1"/>
    <col min="11016" max="11016" width="16" style="3" customWidth="1"/>
    <col min="11017" max="11017" width="14.7109375" style="3" customWidth="1"/>
    <col min="11018" max="11018" width="17.85546875" style="3" customWidth="1"/>
    <col min="11019" max="11019" width="16.85546875" style="3" customWidth="1"/>
    <col min="11020" max="11020" width="1.7109375" style="3" customWidth="1"/>
    <col min="11021" max="11022" width="14.7109375" style="3" customWidth="1"/>
    <col min="11023" max="11023" width="17.42578125" style="3" customWidth="1"/>
    <col min="11024" max="11024" width="14.7109375" style="3" customWidth="1"/>
    <col min="11025" max="11025" width="15.7109375" style="3" customWidth="1"/>
    <col min="11026" max="11026" width="2.28515625" style="3" customWidth="1"/>
    <col min="11027" max="11035" width="15.7109375" style="3" customWidth="1"/>
    <col min="11036" max="11036" width="13.140625" style="3" bestFit="1" customWidth="1"/>
    <col min="11037" max="11037" width="47" style="3" bestFit="1" customWidth="1"/>
    <col min="11038" max="11264" width="9.140625" style="3"/>
    <col min="11265" max="11265" width="0.85546875" style="3" customWidth="1"/>
    <col min="11266" max="11266" width="22.140625" style="3" customWidth="1"/>
    <col min="11267" max="11267" width="0.85546875" style="3" customWidth="1"/>
    <col min="11268" max="11268" width="30.7109375" style="3" customWidth="1"/>
    <col min="11269" max="11269" width="22" style="3" bestFit="1" customWidth="1"/>
    <col min="11270" max="11270" width="0.85546875" style="3" customWidth="1"/>
    <col min="11271" max="11271" width="14.7109375" style="3" customWidth="1"/>
    <col min="11272" max="11272" width="16" style="3" customWidth="1"/>
    <col min="11273" max="11273" width="14.7109375" style="3" customWidth="1"/>
    <col min="11274" max="11274" width="17.85546875" style="3" customWidth="1"/>
    <col min="11275" max="11275" width="16.85546875" style="3" customWidth="1"/>
    <col min="11276" max="11276" width="1.7109375" style="3" customWidth="1"/>
    <col min="11277" max="11278" width="14.7109375" style="3" customWidth="1"/>
    <col min="11279" max="11279" width="17.42578125" style="3" customWidth="1"/>
    <col min="11280" max="11280" width="14.7109375" style="3" customWidth="1"/>
    <col min="11281" max="11281" width="15.7109375" style="3" customWidth="1"/>
    <col min="11282" max="11282" width="2.28515625" style="3" customWidth="1"/>
    <col min="11283" max="11291" width="15.7109375" style="3" customWidth="1"/>
    <col min="11292" max="11292" width="13.140625" style="3" bestFit="1" customWidth="1"/>
    <col min="11293" max="11293" width="47" style="3" bestFit="1" customWidth="1"/>
    <col min="11294" max="11520" width="9.140625" style="3"/>
    <col min="11521" max="11521" width="0.85546875" style="3" customWidth="1"/>
    <col min="11522" max="11522" width="22.140625" style="3" customWidth="1"/>
    <col min="11523" max="11523" width="0.85546875" style="3" customWidth="1"/>
    <col min="11524" max="11524" width="30.7109375" style="3" customWidth="1"/>
    <col min="11525" max="11525" width="22" style="3" bestFit="1" customWidth="1"/>
    <col min="11526" max="11526" width="0.85546875" style="3" customWidth="1"/>
    <col min="11527" max="11527" width="14.7109375" style="3" customWidth="1"/>
    <col min="11528" max="11528" width="16" style="3" customWidth="1"/>
    <col min="11529" max="11529" width="14.7109375" style="3" customWidth="1"/>
    <col min="11530" max="11530" width="17.85546875" style="3" customWidth="1"/>
    <col min="11531" max="11531" width="16.85546875" style="3" customWidth="1"/>
    <col min="11532" max="11532" width="1.7109375" style="3" customWidth="1"/>
    <col min="11533" max="11534" width="14.7109375" style="3" customWidth="1"/>
    <col min="11535" max="11535" width="17.42578125" style="3" customWidth="1"/>
    <col min="11536" max="11536" width="14.7109375" style="3" customWidth="1"/>
    <col min="11537" max="11537" width="15.7109375" style="3" customWidth="1"/>
    <col min="11538" max="11538" width="2.28515625" style="3" customWidth="1"/>
    <col min="11539" max="11547" width="15.7109375" style="3" customWidth="1"/>
    <col min="11548" max="11548" width="13.140625" style="3" bestFit="1" customWidth="1"/>
    <col min="11549" max="11549" width="47" style="3" bestFit="1" customWidth="1"/>
    <col min="11550" max="11776" width="9.140625" style="3"/>
    <col min="11777" max="11777" width="0.85546875" style="3" customWidth="1"/>
    <col min="11778" max="11778" width="22.140625" style="3" customWidth="1"/>
    <col min="11779" max="11779" width="0.85546875" style="3" customWidth="1"/>
    <col min="11780" max="11780" width="30.7109375" style="3" customWidth="1"/>
    <col min="11781" max="11781" width="22" style="3" bestFit="1" customWidth="1"/>
    <col min="11782" max="11782" width="0.85546875" style="3" customWidth="1"/>
    <col min="11783" max="11783" width="14.7109375" style="3" customWidth="1"/>
    <col min="11784" max="11784" width="16" style="3" customWidth="1"/>
    <col min="11785" max="11785" width="14.7109375" style="3" customWidth="1"/>
    <col min="11786" max="11786" width="17.85546875" style="3" customWidth="1"/>
    <col min="11787" max="11787" width="16.85546875" style="3" customWidth="1"/>
    <col min="11788" max="11788" width="1.7109375" style="3" customWidth="1"/>
    <col min="11789" max="11790" width="14.7109375" style="3" customWidth="1"/>
    <col min="11791" max="11791" width="17.42578125" style="3" customWidth="1"/>
    <col min="11792" max="11792" width="14.7109375" style="3" customWidth="1"/>
    <col min="11793" max="11793" width="15.7109375" style="3" customWidth="1"/>
    <col min="11794" max="11794" width="2.28515625" style="3" customWidth="1"/>
    <col min="11795" max="11803" width="15.7109375" style="3" customWidth="1"/>
    <col min="11804" max="11804" width="13.140625" style="3" bestFit="1" customWidth="1"/>
    <col min="11805" max="11805" width="47" style="3" bestFit="1" customWidth="1"/>
    <col min="11806" max="12032" width="9.140625" style="3"/>
    <col min="12033" max="12033" width="0.85546875" style="3" customWidth="1"/>
    <col min="12034" max="12034" width="22.140625" style="3" customWidth="1"/>
    <col min="12035" max="12035" width="0.85546875" style="3" customWidth="1"/>
    <col min="12036" max="12036" width="30.7109375" style="3" customWidth="1"/>
    <col min="12037" max="12037" width="22" style="3" bestFit="1" customWidth="1"/>
    <col min="12038" max="12038" width="0.85546875" style="3" customWidth="1"/>
    <col min="12039" max="12039" width="14.7109375" style="3" customWidth="1"/>
    <col min="12040" max="12040" width="16" style="3" customWidth="1"/>
    <col min="12041" max="12041" width="14.7109375" style="3" customWidth="1"/>
    <col min="12042" max="12042" width="17.85546875" style="3" customWidth="1"/>
    <col min="12043" max="12043" width="16.85546875" style="3" customWidth="1"/>
    <col min="12044" max="12044" width="1.7109375" style="3" customWidth="1"/>
    <col min="12045" max="12046" width="14.7109375" style="3" customWidth="1"/>
    <col min="12047" max="12047" width="17.42578125" style="3" customWidth="1"/>
    <col min="12048" max="12048" width="14.7109375" style="3" customWidth="1"/>
    <col min="12049" max="12049" width="15.7109375" style="3" customWidth="1"/>
    <col min="12050" max="12050" width="2.28515625" style="3" customWidth="1"/>
    <col min="12051" max="12059" width="15.7109375" style="3" customWidth="1"/>
    <col min="12060" max="12060" width="13.140625" style="3" bestFit="1" customWidth="1"/>
    <col min="12061" max="12061" width="47" style="3" bestFit="1" customWidth="1"/>
    <col min="12062" max="12288" width="9.140625" style="3"/>
    <col min="12289" max="12289" width="0.85546875" style="3" customWidth="1"/>
    <col min="12290" max="12290" width="22.140625" style="3" customWidth="1"/>
    <col min="12291" max="12291" width="0.85546875" style="3" customWidth="1"/>
    <col min="12292" max="12292" width="30.7109375" style="3" customWidth="1"/>
    <col min="12293" max="12293" width="22" style="3" bestFit="1" customWidth="1"/>
    <col min="12294" max="12294" width="0.85546875" style="3" customWidth="1"/>
    <col min="12295" max="12295" width="14.7109375" style="3" customWidth="1"/>
    <col min="12296" max="12296" width="16" style="3" customWidth="1"/>
    <col min="12297" max="12297" width="14.7109375" style="3" customWidth="1"/>
    <col min="12298" max="12298" width="17.85546875" style="3" customWidth="1"/>
    <col min="12299" max="12299" width="16.85546875" style="3" customWidth="1"/>
    <col min="12300" max="12300" width="1.7109375" style="3" customWidth="1"/>
    <col min="12301" max="12302" width="14.7109375" style="3" customWidth="1"/>
    <col min="12303" max="12303" width="17.42578125" style="3" customWidth="1"/>
    <col min="12304" max="12304" width="14.7109375" style="3" customWidth="1"/>
    <col min="12305" max="12305" width="15.7109375" style="3" customWidth="1"/>
    <col min="12306" max="12306" width="2.28515625" style="3" customWidth="1"/>
    <col min="12307" max="12315" width="15.7109375" style="3" customWidth="1"/>
    <col min="12316" max="12316" width="13.140625" style="3" bestFit="1" customWidth="1"/>
    <col min="12317" max="12317" width="47" style="3" bestFit="1" customWidth="1"/>
    <col min="12318" max="12544" width="9.140625" style="3"/>
    <col min="12545" max="12545" width="0.85546875" style="3" customWidth="1"/>
    <col min="12546" max="12546" width="22.140625" style="3" customWidth="1"/>
    <col min="12547" max="12547" width="0.85546875" style="3" customWidth="1"/>
    <col min="12548" max="12548" width="30.7109375" style="3" customWidth="1"/>
    <col min="12549" max="12549" width="22" style="3" bestFit="1" customWidth="1"/>
    <col min="12550" max="12550" width="0.85546875" style="3" customWidth="1"/>
    <col min="12551" max="12551" width="14.7109375" style="3" customWidth="1"/>
    <col min="12552" max="12552" width="16" style="3" customWidth="1"/>
    <col min="12553" max="12553" width="14.7109375" style="3" customWidth="1"/>
    <col min="12554" max="12554" width="17.85546875" style="3" customWidth="1"/>
    <col min="12555" max="12555" width="16.85546875" style="3" customWidth="1"/>
    <col min="12556" max="12556" width="1.7109375" style="3" customWidth="1"/>
    <col min="12557" max="12558" width="14.7109375" style="3" customWidth="1"/>
    <col min="12559" max="12559" width="17.42578125" style="3" customWidth="1"/>
    <col min="12560" max="12560" width="14.7109375" style="3" customWidth="1"/>
    <col min="12561" max="12561" width="15.7109375" style="3" customWidth="1"/>
    <col min="12562" max="12562" width="2.28515625" style="3" customWidth="1"/>
    <col min="12563" max="12571" width="15.7109375" style="3" customWidth="1"/>
    <col min="12572" max="12572" width="13.140625" style="3" bestFit="1" customWidth="1"/>
    <col min="12573" max="12573" width="47" style="3" bestFit="1" customWidth="1"/>
    <col min="12574" max="12800" width="9.140625" style="3"/>
    <col min="12801" max="12801" width="0.85546875" style="3" customWidth="1"/>
    <col min="12802" max="12802" width="22.140625" style="3" customWidth="1"/>
    <col min="12803" max="12803" width="0.85546875" style="3" customWidth="1"/>
    <col min="12804" max="12804" width="30.7109375" style="3" customWidth="1"/>
    <col min="12805" max="12805" width="22" style="3" bestFit="1" customWidth="1"/>
    <col min="12806" max="12806" width="0.85546875" style="3" customWidth="1"/>
    <col min="12807" max="12807" width="14.7109375" style="3" customWidth="1"/>
    <col min="12808" max="12808" width="16" style="3" customWidth="1"/>
    <col min="12809" max="12809" width="14.7109375" style="3" customWidth="1"/>
    <col min="12810" max="12810" width="17.85546875" style="3" customWidth="1"/>
    <col min="12811" max="12811" width="16.85546875" style="3" customWidth="1"/>
    <col min="12812" max="12812" width="1.7109375" style="3" customWidth="1"/>
    <col min="12813" max="12814" width="14.7109375" style="3" customWidth="1"/>
    <col min="12815" max="12815" width="17.42578125" style="3" customWidth="1"/>
    <col min="12816" max="12816" width="14.7109375" style="3" customWidth="1"/>
    <col min="12817" max="12817" width="15.7109375" style="3" customWidth="1"/>
    <col min="12818" max="12818" width="2.28515625" style="3" customWidth="1"/>
    <col min="12819" max="12827" width="15.7109375" style="3" customWidth="1"/>
    <col min="12828" max="12828" width="13.140625" style="3" bestFit="1" customWidth="1"/>
    <col min="12829" max="12829" width="47" style="3" bestFit="1" customWidth="1"/>
    <col min="12830" max="13056" width="9.140625" style="3"/>
    <col min="13057" max="13057" width="0.85546875" style="3" customWidth="1"/>
    <col min="13058" max="13058" width="22.140625" style="3" customWidth="1"/>
    <col min="13059" max="13059" width="0.85546875" style="3" customWidth="1"/>
    <col min="13060" max="13060" width="30.7109375" style="3" customWidth="1"/>
    <col min="13061" max="13061" width="22" style="3" bestFit="1" customWidth="1"/>
    <col min="13062" max="13062" width="0.85546875" style="3" customWidth="1"/>
    <col min="13063" max="13063" width="14.7109375" style="3" customWidth="1"/>
    <col min="13064" max="13064" width="16" style="3" customWidth="1"/>
    <col min="13065" max="13065" width="14.7109375" style="3" customWidth="1"/>
    <col min="13066" max="13066" width="17.85546875" style="3" customWidth="1"/>
    <col min="13067" max="13067" width="16.85546875" style="3" customWidth="1"/>
    <col min="13068" max="13068" width="1.7109375" style="3" customWidth="1"/>
    <col min="13069" max="13070" width="14.7109375" style="3" customWidth="1"/>
    <col min="13071" max="13071" width="17.42578125" style="3" customWidth="1"/>
    <col min="13072" max="13072" width="14.7109375" style="3" customWidth="1"/>
    <col min="13073" max="13073" width="15.7109375" style="3" customWidth="1"/>
    <col min="13074" max="13074" width="2.28515625" style="3" customWidth="1"/>
    <col min="13075" max="13083" width="15.7109375" style="3" customWidth="1"/>
    <col min="13084" max="13084" width="13.140625" style="3" bestFit="1" customWidth="1"/>
    <col min="13085" max="13085" width="47" style="3" bestFit="1" customWidth="1"/>
    <col min="13086" max="13312" width="9.140625" style="3"/>
    <col min="13313" max="13313" width="0.85546875" style="3" customWidth="1"/>
    <col min="13314" max="13314" width="22.140625" style="3" customWidth="1"/>
    <col min="13315" max="13315" width="0.85546875" style="3" customWidth="1"/>
    <col min="13316" max="13316" width="30.7109375" style="3" customWidth="1"/>
    <col min="13317" max="13317" width="22" style="3" bestFit="1" customWidth="1"/>
    <col min="13318" max="13318" width="0.85546875" style="3" customWidth="1"/>
    <col min="13319" max="13319" width="14.7109375" style="3" customWidth="1"/>
    <col min="13320" max="13320" width="16" style="3" customWidth="1"/>
    <col min="13321" max="13321" width="14.7109375" style="3" customWidth="1"/>
    <col min="13322" max="13322" width="17.85546875" style="3" customWidth="1"/>
    <col min="13323" max="13323" width="16.85546875" style="3" customWidth="1"/>
    <col min="13324" max="13324" width="1.7109375" style="3" customWidth="1"/>
    <col min="13325" max="13326" width="14.7109375" style="3" customWidth="1"/>
    <col min="13327" max="13327" width="17.42578125" style="3" customWidth="1"/>
    <col min="13328" max="13328" width="14.7109375" style="3" customWidth="1"/>
    <col min="13329" max="13329" width="15.7109375" style="3" customWidth="1"/>
    <col min="13330" max="13330" width="2.28515625" style="3" customWidth="1"/>
    <col min="13331" max="13339" width="15.7109375" style="3" customWidth="1"/>
    <col min="13340" max="13340" width="13.140625" style="3" bestFit="1" customWidth="1"/>
    <col min="13341" max="13341" width="47" style="3" bestFit="1" customWidth="1"/>
    <col min="13342" max="13568" width="9.140625" style="3"/>
    <col min="13569" max="13569" width="0.85546875" style="3" customWidth="1"/>
    <col min="13570" max="13570" width="22.140625" style="3" customWidth="1"/>
    <col min="13571" max="13571" width="0.85546875" style="3" customWidth="1"/>
    <col min="13572" max="13572" width="30.7109375" style="3" customWidth="1"/>
    <col min="13573" max="13573" width="22" style="3" bestFit="1" customWidth="1"/>
    <col min="13574" max="13574" width="0.85546875" style="3" customWidth="1"/>
    <col min="13575" max="13575" width="14.7109375" style="3" customWidth="1"/>
    <col min="13576" max="13576" width="16" style="3" customWidth="1"/>
    <col min="13577" max="13577" width="14.7109375" style="3" customWidth="1"/>
    <col min="13578" max="13578" width="17.85546875" style="3" customWidth="1"/>
    <col min="13579" max="13579" width="16.85546875" style="3" customWidth="1"/>
    <col min="13580" max="13580" width="1.7109375" style="3" customWidth="1"/>
    <col min="13581" max="13582" width="14.7109375" style="3" customWidth="1"/>
    <col min="13583" max="13583" width="17.42578125" style="3" customWidth="1"/>
    <col min="13584" max="13584" width="14.7109375" style="3" customWidth="1"/>
    <col min="13585" max="13585" width="15.7109375" style="3" customWidth="1"/>
    <col min="13586" max="13586" width="2.28515625" style="3" customWidth="1"/>
    <col min="13587" max="13595" width="15.7109375" style="3" customWidth="1"/>
    <col min="13596" max="13596" width="13.140625" style="3" bestFit="1" customWidth="1"/>
    <col min="13597" max="13597" width="47" style="3" bestFit="1" customWidth="1"/>
    <col min="13598" max="13824" width="9.140625" style="3"/>
    <col min="13825" max="13825" width="0.85546875" style="3" customWidth="1"/>
    <col min="13826" max="13826" width="22.140625" style="3" customWidth="1"/>
    <col min="13827" max="13827" width="0.85546875" style="3" customWidth="1"/>
    <col min="13828" max="13828" width="30.7109375" style="3" customWidth="1"/>
    <col min="13829" max="13829" width="22" style="3" bestFit="1" customWidth="1"/>
    <col min="13830" max="13830" width="0.85546875" style="3" customWidth="1"/>
    <col min="13831" max="13831" width="14.7109375" style="3" customWidth="1"/>
    <col min="13832" max="13832" width="16" style="3" customWidth="1"/>
    <col min="13833" max="13833" width="14.7109375" style="3" customWidth="1"/>
    <col min="13834" max="13834" width="17.85546875" style="3" customWidth="1"/>
    <col min="13835" max="13835" width="16.85546875" style="3" customWidth="1"/>
    <col min="13836" max="13836" width="1.7109375" style="3" customWidth="1"/>
    <col min="13837" max="13838" width="14.7109375" style="3" customWidth="1"/>
    <col min="13839" max="13839" width="17.42578125" style="3" customWidth="1"/>
    <col min="13840" max="13840" width="14.7109375" style="3" customWidth="1"/>
    <col min="13841" max="13841" width="15.7109375" style="3" customWidth="1"/>
    <col min="13842" max="13842" width="2.28515625" style="3" customWidth="1"/>
    <col min="13843" max="13851" width="15.7109375" style="3" customWidth="1"/>
    <col min="13852" max="13852" width="13.140625" style="3" bestFit="1" customWidth="1"/>
    <col min="13853" max="13853" width="47" style="3" bestFit="1" customWidth="1"/>
    <col min="13854" max="14080" width="9.140625" style="3"/>
    <col min="14081" max="14081" width="0.85546875" style="3" customWidth="1"/>
    <col min="14082" max="14082" width="22.140625" style="3" customWidth="1"/>
    <col min="14083" max="14083" width="0.85546875" style="3" customWidth="1"/>
    <col min="14084" max="14084" width="30.7109375" style="3" customWidth="1"/>
    <col min="14085" max="14085" width="22" style="3" bestFit="1" customWidth="1"/>
    <col min="14086" max="14086" width="0.85546875" style="3" customWidth="1"/>
    <col min="14087" max="14087" width="14.7109375" style="3" customWidth="1"/>
    <col min="14088" max="14088" width="16" style="3" customWidth="1"/>
    <col min="14089" max="14089" width="14.7109375" style="3" customWidth="1"/>
    <col min="14090" max="14090" width="17.85546875" style="3" customWidth="1"/>
    <col min="14091" max="14091" width="16.85546875" style="3" customWidth="1"/>
    <col min="14092" max="14092" width="1.7109375" style="3" customWidth="1"/>
    <col min="14093" max="14094" width="14.7109375" style="3" customWidth="1"/>
    <col min="14095" max="14095" width="17.42578125" style="3" customWidth="1"/>
    <col min="14096" max="14096" width="14.7109375" style="3" customWidth="1"/>
    <col min="14097" max="14097" width="15.7109375" style="3" customWidth="1"/>
    <col min="14098" max="14098" width="2.28515625" style="3" customWidth="1"/>
    <col min="14099" max="14107" width="15.7109375" style="3" customWidth="1"/>
    <col min="14108" max="14108" width="13.140625" style="3" bestFit="1" customWidth="1"/>
    <col min="14109" max="14109" width="47" style="3" bestFit="1" customWidth="1"/>
    <col min="14110" max="14336" width="9.140625" style="3"/>
    <col min="14337" max="14337" width="0.85546875" style="3" customWidth="1"/>
    <col min="14338" max="14338" width="22.140625" style="3" customWidth="1"/>
    <col min="14339" max="14339" width="0.85546875" style="3" customWidth="1"/>
    <col min="14340" max="14340" width="30.7109375" style="3" customWidth="1"/>
    <col min="14341" max="14341" width="22" style="3" bestFit="1" customWidth="1"/>
    <col min="14342" max="14342" width="0.85546875" style="3" customWidth="1"/>
    <col min="14343" max="14343" width="14.7109375" style="3" customWidth="1"/>
    <col min="14344" max="14344" width="16" style="3" customWidth="1"/>
    <col min="14345" max="14345" width="14.7109375" style="3" customWidth="1"/>
    <col min="14346" max="14346" width="17.85546875" style="3" customWidth="1"/>
    <col min="14347" max="14347" width="16.85546875" style="3" customWidth="1"/>
    <col min="14348" max="14348" width="1.7109375" style="3" customWidth="1"/>
    <col min="14349" max="14350" width="14.7109375" style="3" customWidth="1"/>
    <col min="14351" max="14351" width="17.42578125" style="3" customWidth="1"/>
    <col min="14352" max="14352" width="14.7109375" style="3" customWidth="1"/>
    <col min="14353" max="14353" width="15.7109375" style="3" customWidth="1"/>
    <col min="14354" max="14354" width="2.28515625" style="3" customWidth="1"/>
    <col min="14355" max="14363" width="15.7109375" style="3" customWidth="1"/>
    <col min="14364" max="14364" width="13.140625" style="3" bestFit="1" customWidth="1"/>
    <col min="14365" max="14365" width="47" style="3" bestFit="1" customWidth="1"/>
    <col min="14366" max="14592" width="9.140625" style="3"/>
    <col min="14593" max="14593" width="0.85546875" style="3" customWidth="1"/>
    <col min="14594" max="14594" width="22.140625" style="3" customWidth="1"/>
    <col min="14595" max="14595" width="0.85546875" style="3" customWidth="1"/>
    <col min="14596" max="14596" width="30.7109375" style="3" customWidth="1"/>
    <col min="14597" max="14597" width="22" style="3" bestFit="1" customWidth="1"/>
    <col min="14598" max="14598" width="0.85546875" style="3" customWidth="1"/>
    <col min="14599" max="14599" width="14.7109375" style="3" customWidth="1"/>
    <col min="14600" max="14600" width="16" style="3" customWidth="1"/>
    <col min="14601" max="14601" width="14.7109375" style="3" customWidth="1"/>
    <col min="14602" max="14602" width="17.85546875" style="3" customWidth="1"/>
    <col min="14603" max="14603" width="16.85546875" style="3" customWidth="1"/>
    <col min="14604" max="14604" width="1.7109375" style="3" customWidth="1"/>
    <col min="14605" max="14606" width="14.7109375" style="3" customWidth="1"/>
    <col min="14607" max="14607" width="17.42578125" style="3" customWidth="1"/>
    <col min="14608" max="14608" width="14.7109375" style="3" customWidth="1"/>
    <col min="14609" max="14609" width="15.7109375" style="3" customWidth="1"/>
    <col min="14610" max="14610" width="2.28515625" style="3" customWidth="1"/>
    <col min="14611" max="14619" width="15.7109375" style="3" customWidth="1"/>
    <col min="14620" max="14620" width="13.140625" style="3" bestFit="1" customWidth="1"/>
    <col min="14621" max="14621" width="47" style="3" bestFit="1" customWidth="1"/>
    <col min="14622" max="14848" width="9.140625" style="3"/>
    <col min="14849" max="14849" width="0.85546875" style="3" customWidth="1"/>
    <col min="14850" max="14850" width="22.140625" style="3" customWidth="1"/>
    <col min="14851" max="14851" width="0.85546875" style="3" customWidth="1"/>
    <col min="14852" max="14852" width="30.7109375" style="3" customWidth="1"/>
    <col min="14853" max="14853" width="22" style="3" bestFit="1" customWidth="1"/>
    <col min="14854" max="14854" width="0.85546875" style="3" customWidth="1"/>
    <col min="14855" max="14855" width="14.7109375" style="3" customWidth="1"/>
    <col min="14856" max="14856" width="16" style="3" customWidth="1"/>
    <col min="14857" max="14857" width="14.7109375" style="3" customWidth="1"/>
    <col min="14858" max="14858" width="17.85546875" style="3" customWidth="1"/>
    <col min="14859" max="14859" width="16.85546875" style="3" customWidth="1"/>
    <col min="14860" max="14860" width="1.7109375" style="3" customWidth="1"/>
    <col min="14861" max="14862" width="14.7109375" style="3" customWidth="1"/>
    <col min="14863" max="14863" width="17.42578125" style="3" customWidth="1"/>
    <col min="14864" max="14864" width="14.7109375" style="3" customWidth="1"/>
    <col min="14865" max="14865" width="15.7109375" style="3" customWidth="1"/>
    <col min="14866" max="14866" width="2.28515625" style="3" customWidth="1"/>
    <col min="14867" max="14875" width="15.7109375" style="3" customWidth="1"/>
    <col min="14876" max="14876" width="13.140625" style="3" bestFit="1" customWidth="1"/>
    <col min="14877" max="14877" width="47" style="3" bestFit="1" customWidth="1"/>
    <col min="14878" max="15104" width="9.140625" style="3"/>
    <col min="15105" max="15105" width="0.85546875" style="3" customWidth="1"/>
    <col min="15106" max="15106" width="22.140625" style="3" customWidth="1"/>
    <col min="15107" max="15107" width="0.85546875" style="3" customWidth="1"/>
    <col min="15108" max="15108" width="30.7109375" style="3" customWidth="1"/>
    <col min="15109" max="15109" width="22" style="3" bestFit="1" customWidth="1"/>
    <col min="15110" max="15110" width="0.85546875" style="3" customWidth="1"/>
    <col min="15111" max="15111" width="14.7109375" style="3" customWidth="1"/>
    <col min="15112" max="15112" width="16" style="3" customWidth="1"/>
    <col min="15113" max="15113" width="14.7109375" style="3" customWidth="1"/>
    <col min="15114" max="15114" width="17.85546875" style="3" customWidth="1"/>
    <col min="15115" max="15115" width="16.85546875" style="3" customWidth="1"/>
    <col min="15116" max="15116" width="1.7109375" style="3" customWidth="1"/>
    <col min="15117" max="15118" width="14.7109375" style="3" customWidth="1"/>
    <col min="15119" max="15119" width="17.42578125" style="3" customWidth="1"/>
    <col min="15120" max="15120" width="14.7109375" style="3" customWidth="1"/>
    <col min="15121" max="15121" width="15.7109375" style="3" customWidth="1"/>
    <col min="15122" max="15122" width="2.28515625" style="3" customWidth="1"/>
    <col min="15123" max="15131" width="15.7109375" style="3" customWidth="1"/>
    <col min="15132" max="15132" width="13.140625" style="3" bestFit="1" customWidth="1"/>
    <col min="15133" max="15133" width="47" style="3" bestFit="1" customWidth="1"/>
    <col min="15134" max="15360" width="9.140625" style="3"/>
    <col min="15361" max="15361" width="0.85546875" style="3" customWidth="1"/>
    <col min="15362" max="15362" width="22.140625" style="3" customWidth="1"/>
    <col min="15363" max="15363" width="0.85546875" style="3" customWidth="1"/>
    <col min="15364" max="15364" width="30.7109375" style="3" customWidth="1"/>
    <col min="15365" max="15365" width="22" style="3" bestFit="1" customWidth="1"/>
    <col min="15366" max="15366" width="0.85546875" style="3" customWidth="1"/>
    <col min="15367" max="15367" width="14.7109375" style="3" customWidth="1"/>
    <col min="15368" max="15368" width="16" style="3" customWidth="1"/>
    <col min="15369" max="15369" width="14.7109375" style="3" customWidth="1"/>
    <col min="15370" max="15370" width="17.85546875" style="3" customWidth="1"/>
    <col min="15371" max="15371" width="16.85546875" style="3" customWidth="1"/>
    <col min="15372" max="15372" width="1.7109375" style="3" customWidth="1"/>
    <col min="15373" max="15374" width="14.7109375" style="3" customWidth="1"/>
    <col min="15375" max="15375" width="17.42578125" style="3" customWidth="1"/>
    <col min="15376" max="15376" width="14.7109375" style="3" customWidth="1"/>
    <col min="15377" max="15377" width="15.7109375" style="3" customWidth="1"/>
    <col min="15378" max="15378" width="2.28515625" style="3" customWidth="1"/>
    <col min="15379" max="15387" width="15.7109375" style="3" customWidth="1"/>
    <col min="15388" max="15388" width="13.140625" style="3" bestFit="1" customWidth="1"/>
    <col min="15389" max="15389" width="47" style="3" bestFit="1" customWidth="1"/>
    <col min="15390" max="15616" width="9.140625" style="3"/>
    <col min="15617" max="15617" width="0.85546875" style="3" customWidth="1"/>
    <col min="15618" max="15618" width="22.140625" style="3" customWidth="1"/>
    <col min="15619" max="15619" width="0.85546875" style="3" customWidth="1"/>
    <col min="15620" max="15620" width="30.7109375" style="3" customWidth="1"/>
    <col min="15621" max="15621" width="22" style="3" bestFit="1" customWidth="1"/>
    <col min="15622" max="15622" width="0.85546875" style="3" customWidth="1"/>
    <col min="15623" max="15623" width="14.7109375" style="3" customWidth="1"/>
    <col min="15624" max="15624" width="16" style="3" customWidth="1"/>
    <col min="15625" max="15625" width="14.7109375" style="3" customWidth="1"/>
    <col min="15626" max="15626" width="17.85546875" style="3" customWidth="1"/>
    <col min="15627" max="15627" width="16.85546875" style="3" customWidth="1"/>
    <col min="15628" max="15628" width="1.7109375" style="3" customWidth="1"/>
    <col min="15629" max="15630" width="14.7109375" style="3" customWidth="1"/>
    <col min="15631" max="15631" width="17.42578125" style="3" customWidth="1"/>
    <col min="15632" max="15632" width="14.7109375" style="3" customWidth="1"/>
    <col min="15633" max="15633" width="15.7109375" style="3" customWidth="1"/>
    <col min="15634" max="15634" width="2.28515625" style="3" customWidth="1"/>
    <col min="15635" max="15643" width="15.7109375" style="3" customWidth="1"/>
    <col min="15644" max="15644" width="13.140625" style="3" bestFit="1" customWidth="1"/>
    <col min="15645" max="15645" width="47" style="3" bestFit="1" customWidth="1"/>
    <col min="15646" max="15872" width="9.140625" style="3"/>
    <col min="15873" max="15873" width="0.85546875" style="3" customWidth="1"/>
    <col min="15874" max="15874" width="22.140625" style="3" customWidth="1"/>
    <col min="15875" max="15875" width="0.85546875" style="3" customWidth="1"/>
    <col min="15876" max="15876" width="30.7109375" style="3" customWidth="1"/>
    <col min="15877" max="15877" width="22" style="3" bestFit="1" customWidth="1"/>
    <col min="15878" max="15878" width="0.85546875" style="3" customWidth="1"/>
    <col min="15879" max="15879" width="14.7109375" style="3" customWidth="1"/>
    <col min="15880" max="15880" width="16" style="3" customWidth="1"/>
    <col min="15881" max="15881" width="14.7109375" style="3" customWidth="1"/>
    <col min="15882" max="15882" width="17.85546875" style="3" customWidth="1"/>
    <col min="15883" max="15883" width="16.85546875" style="3" customWidth="1"/>
    <col min="15884" max="15884" width="1.7109375" style="3" customWidth="1"/>
    <col min="15885" max="15886" width="14.7109375" style="3" customWidth="1"/>
    <col min="15887" max="15887" width="17.42578125" style="3" customWidth="1"/>
    <col min="15888" max="15888" width="14.7109375" style="3" customWidth="1"/>
    <col min="15889" max="15889" width="15.7109375" style="3" customWidth="1"/>
    <col min="15890" max="15890" width="2.28515625" style="3" customWidth="1"/>
    <col min="15891" max="15899" width="15.7109375" style="3" customWidth="1"/>
    <col min="15900" max="15900" width="13.140625" style="3" bestFit="1" customWidth="1"/>
    <col min="15901" max="15901" width="47" style="3" bestFit="1" customWidth="1"/>
    <col min="15902" max="16128" width="9.140625" style="3"/>
    <col min="16129" max="16129" width="0.85546875" style="3" customWidth="1"/>
    <col min="16130" max="16130" width="22.140625" style="3" customWidth="1"/>
    <col min="16131" max="16131" width="0.85546875" style="3" customWidth="1"/>
    <col min="16132" max="16132" width="30.7109375" style="3" customWidth="1"/>
    <col min="16133" max="16133" width="22" style="3" bestFit="1" customWidth="1"/>
    <col min="16134" max="16134" width="0.85546875" style="3" customWidth="1"/>
    <col min="16135" max="16135" width="14.7109375" style="3" customWidth="1"/>
    <col min="16136" max="16136" width="16" style="3" customWidth="1"/>
    <col min="16137" max="16137" width="14.7109375" style="3" customWidth="1"/>
    <col min="16138" max="16138" width="17.85546875" style="3" customWidth="1"/>
    <col min="16139" max="16139" width="16.85546875" style="3" customWidth="1"/>
    <col min="16140" max="16140" width="1.7109375" style="3" customWidth="1"/>
    <col min="16141" max="16142" width="14.7109375" style="3" customWidth="1"/>
    <col min="16143" max="16143" width="17.42578125" style="3" customWidth="1"/>
    <col min="16144" max="16144" width="14.7109375" style="3" customWidth="1"/>
    <col min="16145" max="16145" width="15.7109375" style="3" customWidth="1"/>
    <col min="16146" max="16146" width="2.28515625" style="3" customWidth="1"/>
    <col min="16147" max="16155" width="15.7109375" style="3" customWidth="1"/>
    <col min="16156" max="16156" width="13.140625" style="3" bestFit="1" customWidth="1"/>
    <col min="16157" max="16157" width="47" style="3" bestFit="1" customWidth="1"/>
    <col min="16158" max="16384" width="9.140625" style="3"/>
  </cols>
  <sheetData>
    <row r="1" spans="2:29" x14ac:dyDescent="0.2">
      <c r="E1" s="2"/>
      <c r="F1" s="2"/>
    </row>
    <row r="2" spans="2:29" x14ac:dyDescent="0.2">
      <c r="E2" s="2"/>
      <c r="F2" s="2"/>
    </row>
    <row r="3" spans="2:29" ht="20.25" thickBot="1" x14ac:dyDescent="0.3">
      <c r="B3" s="1" t="s">
        <v>0</v>
      </c>
      <c r="C3" s="2"/>
      <c r="D3" s="2"/>
      <c r="E3" s="2"/>
      <c r="F3" s="2"/>
      <c r="G3" s="130" t="s">
        <v>203</v>
      </c>
      <c r="H3" s="130"/>
      <c r="I3" s="130"/>
      <c r="J3" s="130"/>
      <c r="K3" s="130"/>
      <c r="L3" s="5"/>
      <c r="M3" s="130" t="s">
        <v>204</v>
      </c>
      <c r="N3" s="130"/>
      <c r="O3" s="130"/>
      <c r="P3" s="130"/>
      <c r="Q3" s="130"/>
      <c r="R3" s="83"/>
      <c r="S3" s="83"/>
      <c r="T3" s="83"/>
      <c r="U3" s="83"/>
      <c r="V3" s="83"/>
      <c r="W3" s="83"/>
      <c r="X3" s="83"/>
      <c r="Y3" s="83"/>
      <c r="Z3" s="83"/>
      <c r="AA3" s="83"/>
    </row>
    <row r="4" spans="2:29" ht="19.5" x14ac:dyDescent="0.25">
      <c r="B4" s="1" t="s">
        <v>1</v>
      </c>
      <c r="C4" s="2"/>
      <c r="D4" s="2"/>
      <c r="L4" s="5"/>
    </row>
    <row r="5" spans="2:29" x14ac:dyDescent="0.2">
      <c r="B5" s="2" t="s">
        <v>205</v>
      </c>
      <c r="C5" s="2"/>
      <c r="D5" s="2"/>
      <c r="G5" s="7" t="s">
        <v>4</v>
      </c>
      <c r="H5" s="7" t="s">
        <v>5</v>
      </c>
      <c r="I5" s="7" t="s">
        <v>6</v>
      </c>
      <c r="J5" s="7" t="s">
        <v>7</v>
      </c>
      <c r="K5" s="7" t="s">
        <v>8</v>
      </c>
      <c r="L5" s="5"/>
      <c r="M5" s="7" t="s">
        <v>4</v>
      </c>
      <c r="N5" s="7" t="s">
        <v>5</v>
      </c>
      <c r="O5" s="7" t="s">
        <v>6</v>
      </c>
      <c r="P5" s="7" t="s">
        <v>7</v>
      </c>
      <c r="Q5" s="7" t="s">
        <v>8</v>
      </c>
      <c r="R5" s="7"/>
      <c r="S5" s="7"/>
      <c r="T5" s="7"/>
      <c r="U5" s="7"/>
      <c r="V5" s="7"/>
      <c r="W5" s="7"/>
      <c r="X5" s="7"/>
      <c r="Y5" s="7"/>
      <c r="Z5" s="7"/>
      <c r="AA5" s="7"/>
    </row>
    <row r="6" spans="2:29"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c r="W6" s="7"/>
      <c r="X6" s="7"/>
      <c r="Y6" s="7"/>
      <c r="Z6" s="7"/>
      <c r="AA6" s="7"/>
    </row>
    <row r="7" spans="2:29" x14ac:dyDescent="0.2">
      <c r="D7" s="81"/>
      <c r="G7" s="7"/>
      <c r="H7" s="7" t="s">
        <v>14</v>
      </c>
      <c r="I7" s="7"/>
      <c r="J7" s="7"/>
      <c r="K7" s="7"/>
      <c r="L7" s="5"/>
      <c r="M7" s="7"/>
      <c r="N7" s="7" t="s">
        <v>14</v>
      </c>
      <c r="O7" s="7"/>
      <c r="P7" s="7"/>
      <c r="Q7" s="7"/>
      <c r="R7" s="7"/>
      <c r="S7" s="7"/>
      <c r="T7" s="7"/>
      <c r="U7" s="7"/>
      <c r="V7" s="7"/>
      <c r="W7" s="7"/>
      <c r="X7" s="7"/>
      <c r="Y7" s="7"/>
      <c r="Z7" s="7"/>
      <c r="AA7" s="7"/>
    </row>
    <row r="8" spans="2:29" ht="13.5" thickBot="1" x14ac:dyDescent="0.25">
      <c r="B8" s="2"/>
      <c r="G8" s="8" t="s">
        <v>15</v>
      </c>
      <c r="H8" s="8" t="s">
        <v>16</v>
      </c>
      <c r="I8" s="8" t="s">
        <v>17</v>
      </c>
      <c r="J8" s="8"/>
      <c r="K8" s="8" t="s">
        <v>18</v>
      </c>
      <c r="L8" s="5"/>
      <c r="M8" s="8" t="s">
        <v>15</v>
      </c>
      <c r="N8" s="8" t="s">
        <v>16</v>
      </c>
      <c r="O8" s="8" t="s">
        <v>17</v>
      </c>
      <c r="P8" s="8"/>
      <c r="Q8" s="8" t="s">
        <v>18</v>
      </c>
      <c r="R8" s="84"/>
      <c r="S8" s="84"/>
      <c r="T8" s="84"/>
      <c r="U8" s="84"/>
      <c r="V8" s="84"/>
      <c r="W8" s="84"/>
      <c r="X8" s="84"/>
      <c r="Y8" s="84"/>
      <c r="Z8" s="84"/>
      <c r="AA8" s="84"/>
    </row>
    <row r="9" spans="2:29" ht="5.0999999999999996" customHeight="1" x14ac:dyDescent="0.2">
      <c r="B9" s="2"/>
      <c r="G9" s="9"/>
      <c r="H9" s="9"/>
      <c r="I9" s="9"/>
      <c r="J9" s="9"/>
      <c r="K9" s="9"/>
      <c r="L9" s="5"/>
      <c r="M9" s="9"/>
      <c r="N9" s="9"/>
      <c r="O9" s="9"/>
      <c r="P9" s="9"/>
      <c r="Q9" s="9"/>
      <c r="R9" s="9"/>
      <c r="S9" s="9"/>
      <c r="T9" s="9"/>
      <c r="U9" s="9"/>
      <c r="V9" s="9"/>
      <c r="W9" s="9"/>
      <c r="X9" s="9"/>
      <c r="Y9" s="9"/>
      <c r="Z9" s="9"/>
      <c r="AA9" s="9"/>
    </row>
    <row r="10" spans="2:29" ht="15" thickBot="1" x14ac:dyDescent="0.25">
      <c r="B10" s="6" t="s">
        <v>3</v>
      </c>
      <c r="D10" s="3" t="s">
        <v>19</v>
      </c>
      <c r="E10" s="10" t="s">
        <v>20</v>
      </c>
      <c r="G10" s="11">
        <v>1782</v>
      </c>
      <c r="H10" s="11">
        <v>255</v>
      </c>
      <c r="I10" s="11">
        <v>23790</v>
      </c>
      <c r="J10" s="12">
        <v>0</v>
      </c>
      <c r="K10" s="11">
        <f>SUM(G10:J10)</f>
        <v>25827</v>
      </c>
      <c r="L10" s="5"/>
      <c r="M10" s="11">
        <v>0</v>
      </c>
      <c r="N10" s="11">
        <v>0</v>
      </c>
      <c r="O10" s="11">
        <v>0</v>
      </c>
      <c r="P10" s="12">
        <v>0</v>
      </c>
      <c r="Q10" s="12">
        <f>SUM(M10:P10)</f>
        <v>0</v>
      </c>
      <c r="R10" s="12"/>
      <c r="S10" s="12"/>
      <c r="T10" s="12"/>
      <c r="U10" s="12"/>
      <c r="V10" s="12"/>
      <c r="W10" s="12"/>
      <c r="X10" s="12"/>
      <c r="Y10" s="12"/>
      <c r="Z10" s="12"/>
      <c r="AA10" s="12"/>
    </row>
    <row r="11" spans="2:29" x14ac:dyDescent="0.2">
      <c r="B11" s="2" t="s">
        <v>9</v>
      </c>
      <c r="E11" s="10" t="s">
        <v>21</v>
      </c>
      <c r="G11" s="13">
        <v>48</v>
      </c>
      <c r="H11" s="13">
        <v>6.9</v>
      </c>
      <c r="I11" s="13">
        <v>629.5</v>
      </c>
      <c r="J11" s="14">
        <v>0</v>
      </c>
      <c r="K11" s="13">
        <f>SUM(G11:J11)</f>
        <v>684.4</v>
      </c>
      <c r="L11" s="5"/>
      <c r="M11" s="13">
        <f>G11</f>
        <v>48</v>
      </c>
      <c r="N11" s="13">
        <f>H11</f>
        <v>6.9</v>
      </c>
      <c r="O11" s="13">
        <f>I11</f>
        <v>629.5</v>
      </c>
      <c r="P11" s="14">
        <v>0</v>
      </c>
      <c r="Q11" s="14">
        <f>SUM(M11:P11)</f>
        <v>684.4</v>
      </c>
      <c r="R11" s="85"/>
      <c r="S11" s="85"/>
      <c r="T11" s="85"/>
      <c r="U11" s="85"/>
      <c r="V11" s="85"/>
      <c r="W11" s="85"/>
      <c r="X11" s="85"/>
      <c r="Y11" s="85"/>
      <c r="Z11" s="85"/>
      <c r="AA11" s="85"/>
    </row>
    <row r="12" spans="2:29" x14ac:dyDescent="0.2">
      <c r="E12" s="18"/>
      <c r="G12" s="15"/>
      <c r="H12" s="15"/>
      <c r="I12" s="15"/>
      <c r="K12" s="15"/>
      <c r="L12" s="5"/>
      <c r="M12" s="15"/>
      <c r="N12" s="15"/>
      <c r="O12" s="15"/>
    </row>
    <row r="13" spans="2:29" ht="13.5" thickBot="1" x14ac:dyDescent="0.25">
      <c r="D13" s="3" t="s">
        <v>22</v>
      </c>
      <c r="E13" s="18" t="s">
        <v>20</v>
      </c>
      <c r="G13" s="11">
        <v>5559</v>
      </c>
      <c r="H13" s="11">
        <v>794</v>
      </c>
      <c r="I13" s="11">
        <v>73906</v>
      </c>
      <c r="J13" s="12">
        <v>0</v>
      </c>
      <c r="K13" s="11">
        <f>SUM(G13:J13)</f>
        <v>80259</v>
      </c>
      <c r="L13" s="5"/>
      <c r="M13" s="11">
        <f t="shared" ref="M13:O14" si="0">G13</f>
        <v>5559</v>
      </c>
      <c r="N13" s="11">
        <f t="shared" si="0"/>
        <v>794</v>
      </c>
      <c r="O13" s="11">
        <f t="shared" si="0"/>
        <v>73906</v>
      </c>
      <c r="P13" s="12">
        <v>0</v>
      </c>
      <c r="Q13" s="12">
        <f>SUM(M13:P13)</f>
        <v>80259</v>
      </c>
      <c r="R13" s="12"/>
      <c r="S13" s="12"/>
      <c r="T13" s="12"/>
      <c r="U13" s="12"/>
      <c r="V13" s="12"/>
      <c r="W13" s="12"/>
      <c r="X13" s="12"/>
      <c r="Y13" s="12"/>
      <c r="Z13" s="12"/>
      <c r="AA13" s="12"/>
    </row>
    <row r="14" spans="2:29" ht="13.5" thickBot="1" x14ac:dyDescent="0.25">
      <c r="E14" s="18" t="s">
        <v>21</v>
      </c>
      <c r="G14" s="13">
        <v>126.9</v>
      </c>
      <c r="H14" s="13">
        <v>17.7</v>
      </c>
      <c r="I14" s="13">
        <v>1664.5</v>
      </c>
      <c r="J14" s="14">
        <v>0</v>
      </c>
      <c r="K14" s="13">
        <f>SUM(G14:J14)</f>
        <v>1809.1</v>
      </c>
      <c r="L14" s="5"/>
      <c r="M14" s="13">
        <f t="shared" si="0"/>
        <v>126.9</v>
      </c>
      <c r="N14" s="13">
        <f t="shared" si="0"/>
        <v>17.7</v>
      </c>
      <c r="O14" s="13">
        <f t="shared" si="0"/>
        <v>1664.5</v>
      </c>
      <c r="P14" s="14">
        <v>0</v>
      </c>
      <c r="Q14" s="14">
        <f>SUM(M14:P14)</f>
        <v>1809.1</v>
      </c>
      <c r="R14" s="85"/>
      <c r="S14" s="85"/>
      <c r="T14" s="85"/>
      <c r="U14" s="85"/>
      <c r="V14" s="85"/>
      <c r="W14" s="85"/>
      <c r="X14" s="85"/>
      <c r="Y14" s="85"/>
      <c r="Z14" s="85"/>
      <c r="AA14" s="85"/>
    </row>
    <row r="15" spans="2:29" x14ac:dyDescent="0.2">
      <c r="E15" s="15"/>
      <c r="G15" s="15"/>
      <c r="H15" s="15"/>
      <c r="I15" s="15"/>
      <c r="K15" s="15"/>
      <c r="L15" s="5"/>
      <c r="M15" s="15"/>
      <c r="N15" s="15"/>
      <c r="O15" s="15"/>
      <c r="AC15" s="16" t="s">
        <v>87</v>
      </c>
    </row>
    <row r="16" spans="2:29" x14ac:dyDescent="0.2">
      <c r="D16" s="3" t="s">
        <v>23</v>
      </c>
      <c r="E16" s="18" t="s">
        <v>24</v>
      </c>
      <c r="G16" s="11">
        <v>960</v>
      </c>
      <c r="H16" s="11">
        <v>137</v>
      </c>
      <c r="I16" s="11">
        <v>0</v>
      </c>
      <c r="J16" s="12">
        <v>0</v>
      </c>
      <c r="K16" s="11">
        <f t="shared" ref="K16:K22" si="1">SUM(G16:J16)</f>
        <v>1097</v>
      </c>
      <c r="L16" s="5"/>
      <c r="M16" s="11">
        <v>0</v>
      </c>
      <c r="N16" s="11">
        <v>0</v>
      </c>
      <c r="O16" s="11">
        <v>0</v>
      </c>
      <c r="P16" s="12">
        <v>0</v>
      </c>
      <c r="Q16" s="12">
        <f t="shared" ref="Q16:Q21" si="2">SUM(M16:P16)</f>
        <v>0</v>
      </c>
      <c r="R16" s="12"/>
      <c r="S16" s="12"/>
      <c r="T16" s="12"/>
      <c r="U16" s="12"/>
      <c r="V16" s="12"/>
      <c r="W16" s="12"/>
      <c r="X16" s="12"/>
      <c r="Y16" s="12"/>
      <c r="Z16" s="12"/>
      <c r="AA16" s="12"/>
      <c r="AC16" s="17"/>
    </row>
    <row r="17" spans="2:29" x14ac:dyDescent="0.2">
      <c r="D17" s="3" t="s">
        <v>25</v>
      </c>
      <c r="E17" s="18" t="s">
        <v>26</v>
      </c>
      <c r="G17" s="11">
        <v>664</v>
      </c>
      <c r="H17" s="11">
        <v>95</v>
      </c>
      <c r="I17" s="11">
        <v>0</v>
      </c>
      <c r="J17" s="12">
        <v>0</v>
      </c>
      <c r="K17" s="11">
        <f t="shared" si="1"/>
        <v>759</v>
      </c>
      <c r="L17" s="5"/>
      <c r="M17" s="11">
        <f>G17</f>
        <v>664</v>
      </c>
      <c r="N17" s="11">
        <f>H17</f>
        <v>95</v>
      </c>
      <c r="O17" s="11">
        <f>I17</f>
        <v>0</v>
      </c>
      <c r="P17" s="12">
        <v>0</v>
      </c>
      <c r="Q17" s="12">
        <f t="shared" si="2"/>
        <v>759</v>
      </c>
      <c r="R17" s="12"/>
      <c r="S17" s="12"/>
      <c r="T17" s="12"/>
      <c r="U17" s="12"/>
      <c r="V17" s="12"/>
      <c r="W17" s="12"/>
      <c r="X17" s="12"/>
      <c r="Y17" s="12"/>
      <c r="Z17" s="12"/>
      <c r="AA17" s="12"/>
      <c r="AC17" s="17" t="s">
        <v>88</v>
      </c>
    </row>
    <row r="18" spans="2:29" x14ac:dyDescent="0.2">
      <c r="E18" s="18" t="s">
        <v>27</v>
      </c>
      <c r="G18" s="11">
        <v>36</v>
      </c>
      <c r="H18" s="11">
        <f>5+0</f>
        <v>5</v>
      </c>
      <c r="I18" s="11">
        <v>0</v>
      </c>
      <c r="J18" s="12">
        <v>0</v>
      </c>
      <c r="K18" s="11">
        <f t="shared" si="1"/>
        <v>41</v>
      </c>
      <c r="L18" s="5"/>
      <c r="M18" s="11">
        <v>0</v>
      </c>
      <c r="N18" s="11">
        <v>0</v>
      </c>
      <c r="O18" s="11">
        <v>0</v>
      </c>
      <c r="P18" s="12">
        <v>0</v>
      </c>
      <c r="Q18" s="12">
        <f t="shared" si="2"/>
        <v>0</v>
      </c>
      <c r="R18" s="12"/>
      <c r="S18" s="12"/>
      <c r="T18" s="12"/>
      <c r="U18" s="12"/>
      <c r="V18" s="12"/>
      <c r="W18" s="12"/>
      <c r="X18" s="12"/>
      <c r="Y18" s="12"/>
      <c r="Z18" s="12"/>
      <c r="AA18" s="12"/>
      <c r="AC18" s="19">
        <f>395196+21379</f>
        <v>416575</v>
      </c>
    </row>
    <row r="19" spans="2:29" x14ac:dyDescent="0.2">
      <c r="E19" s="18" t="s">
        <v>28</v>
      </c>
      <c r="G19" s="95">
        <v>345</v>
      </c>
      <c r="H19" s="11">
        <v>46</v>
      </c>
      <c r="I19" s="11">
        <v>4729</v>
      </c>
      <c r="J19" s="12">
        <v>0</v>
      </c>
      <c r="K19" s="11">
        <f t="shared" si="1"/>
        <v>5120</v>
      </c>
      <c r="L19" s="5"/>
      <c r="M19" s="11">
        <v>0</v>
      </c>
      <c r="N19" s="11">
        <v>0</v>
      </c>
      <c r="O19" s="11">
        <v>0</v>
      </c>
      <c r="P19" s="12">
        <v>0</v>
      </c>
      <c r="Q19" s="12">
        <f t="shared" si="2"/>
        <v>0</v>
      </c>
      <c r="R19" s="12"/>
      <c r="S19" s="12"/>
      <c r="T19" s="12"/>
      <c r="U19" s="12"/>
      <c r="V19" s="12"/>
      <c r="W19" s="12"/>
      <c r="X19" s="12"/>
      <c r="Y19" s="12"/>
      <c r="Z19" s="12"/>
      <c r="AA19" s="12"/>
      <c r="AC19" s="17"/>
    </row>
    <row r="20" spans="2:29" x14ac:dyDescent="0.2">
      <c r="E20" s="18" t="s">
        <v>29</v>
      </c>
      <c r="G20" s="11">
        <v>12223</v>
      </c>
      <c r="H20" s="11">
        <v>1580</v>
      </c>
      <c r="I20" s="11">
        <v>0</v>
      </c>
      <c r="J20" s="12">
        <v>0</v>
      </c>
      <c r="K20" s="11">
        <f t="shared" si="1"/>
        <v>13803</v>
      </c>
      <c r="L20" s="5"/>
      <c r="M20" s="11">
        <f>G20</f>
        <v>12223</v>
      </c>
      <c r="N20" s="11">
        <f>H20</f>
        <v>1580</v>
      </c>
      <c r="O20" s="11">
        <f>I20</f>
        <v>0</v>
      </c>
      <c r="P20" s="12">
        <v>0</v>
      </c>
      <c r="Q20" s="12">
        <f t="shared" si="2"/>
        <v>13803</v>
      </c>
      <c r="R20" s="12"/>
      <c r="S20" s="12"/>
      <c r="T20" s="12"/>
      <c r="U20" s="12"/>
      <c r="V20" s="12"/>
      <c r="W20" s="12"/>
      <c r="X20" s="12"/>
      <c r="Y20" s="12"/>
      <c r="Z20" s="12"/>
      <c r="AA20" s="12"/>
      <c r="AC20" s="17" t="s">
        <v>89</v>
      </c>
    </row>
    <row r="21" spans="2:29" x14ac:dyDescent="0.2">
      <c r="E21" s="18" t="s">
        <v>30</v>
      </c>
      <c r="G21" s="21">
        <f>(-165)+51</f>
        <v>-114</v>
      </c>
      <c r="H21" s="21">
        <f>(-24)+0</f>
        <v>-24</v>
      </c>
      <c r="I21" s="21">
        <f>(-2121)+0</f>
        <v>-2121</v>
      </c>
      <c r="J21" s="22">
        <v>0</v>
      </c>
      <c r="K21" s="21">
        <f t="shared" si="1"/>
        <v>-2259</v>
      </c>
      <c r="L21" s="5"/>
      <c r="M21" s="11">
        <v>0</v>
      </c>
      <c r="N21" s="11">
        <v>0</v>
      </c>
      <c r="O21" s="11">
        <v>0</v>
      </c>
      <c r="P21" s="12">
        <v>0</v>
      </c>
      <c r="Q21" s="12">
        <f t="shared" si="2"/>
        <v>0</v>
      </c>
      <c r="R21" s="12"/>
      <c r="S21" s="12"/>
      <c r="T21" s="12"/>
      <c r="U21" s="12"/>
      <c r="V21" s="12"/>
      <c r="W21" s="12"/>
      <c r="X21" s="12"/>
      <c r="Y21" s="12"/>
      <c r="Z21" s="12"/>
      <c r="AA21" s="12"/>
      <c r="AC21" s="19">
        <f>31030+1679</f>
        <v>32709</v>
      </c>
    </row>
    <row r="22" spans="2:29" x14ac:dyDescent="0.2">
      <c r="D22" s="2" t="s">
        <v>31</v>
      </c>
      <c r="E22" s="18"/>
      <c r="G22" s="23">
        <f>G10+G13+SUM(G16:G21)</f>
        <v>21455</v>
      </c>
      <c r="H22" s="23">
        <f>H10+H13+SUM(H16:H21)</f>
        <v>2888</v>
      </c>
      <c r="I22" s="23">
        <f>I10+I13+SUM(I16:I21)</f>
        <v>100304</v>
      </c>
      <c r="J22" s="24">
        <f>J10+J13+SUM(J16:J21)</f>
        <v>0</v>
      </c>
      <c r="K22" s="23">
        <f t="shared" si="1"/>
        <v>124647</v>
      </c>
      <c r="L22" s="5"/>
      <c r="M22" s="25">
        <f>M10+M13+SUM(M16:M21)</f>
        <v>18446</v>
      </c>
      <c r="N22" s="25">
        <f>N10+N13+SUM(N16:N21)</f>
        <v>2469</v>
      </c>
      <c r="O22" s="25">
        <f>O10+O13+SUM(O16:O21)</f>
        <v>73906</v>
      </c>
      <c r="P22" s="26">
        <f>P10+P13+SUM(P16:P21)</f>
        <v>0</v>
      </c>
      <c r="Q22" s="26">
        <f>Q10+Q13+SUM(Q16:Q21)</f>
        <v>94821</v>
      </c>
      <c r="R22" s="86"/>
      <c r="S22" s="86"/>
      <c r="T22" s="86"/>
      <c r="U22" s="86"/>
      <c r="V22" s="86"/>
      <c r="W22" s="86"/>
      <c r="X22" s="86"/>
      <c r="Y22" s="86"/>
      <c r="Z22" s="86"/>
      <c r="AA22" s="86"/>
      <c r="AC22" s="17"/>
    </row>
    <row r="23" spans="2:29" x14ac:dyDescent="0.2">
      <c r="E23" s="18"/>
      <c r="G23" s="11"/>
      <c r="H23" s="11"/>
      <c r="I23" s="11"/>
      <c r="J23" s="12"/>
      <c r="K23" s="11"/>
      <c r="L23" s="5"/>
      <c r="M23" s="27"/>
      <c r="N23" s="11"/>
      <c r="O23" s="11"/>
      <c r="P23" s="12"/>
      <c r="Q23" s="12"/>
      <c r="R23" s="12"/>
      <c r="S23" s="12"/>
      <c r="T23" s="12"/>
      <c r="U23" s="12"/>
      <c r="V23" s="12"/>
      <c r="W23" s="12"/>
      <c r="X23" s="12"/>
      <c r="Y23" s="12"/>
      <c r="Z23" s="12"/>
      <c r="AA23" s="12"/>
      <c r="AC23" s="17" t="s">
        <v>90</v>
      </c>
    </row>
    <row r="24" spans="2:29" ht="13.5" thickBot="1" x14ac:dyDescent="0.25">
      <c r="B24" s="2" t="s">
        <v>32</v>
      </c>
      <c r="E24" s="18" t="s">
        <v>33</v>
      </c>
      <c r="G24" s="21">
        <v>2078</v>
      </c>
      <c r="H24" s="21">
        <v>64</v>
      </c>
      <c r="I24" s="21">
        <v>31368</v>
      </c>
      <c r="J24" s="22">
        <v>0</v>
      </c>
      <c r="K24" s="21">
        <f>SUM(G24:J24)</f>
        <v>33510</v>
      </c>
      <c r="L24" s="5"/>
      <c r="M24" s="21">
        <f>$Q$24*G$133</f>
        <v>378.26383095046009</v>
      </c>
      <c r="N24" s="21">
        <f>$Q$24*H$133</f>
        <v>45.332285197868167</v>
      </c>
      <c r="O24" s="21">
        <f>$Q$24*I$133</f>
        <v>2207.5713566956974</v>
      </c>
      <c r="P24" s="21">
        <v>0</v>
      </c>
      <c r="Q24" s="21">
        <f>K24*AC24</f>
        <v>2631.1674728440257</v>
      </c>
      <c r="R24" s="29"/>
      <c r="S24" s="29"/>
      <c r="T24" s="29"/>
      <c r="U24" s="29"/>
      <c r="V24" s="29"/>
      <c r="W24" s="29"/>
      <c r="X24" s="29"/>
      <c r="Y24" s="29"/>
      <c r="Z24" s="29"/>
      <c r="AA24" s="29"/>
      <c r="AC24" s="28">
        <f>AC21/AC18</f>
        <v>7.8518874152313511E-2</v>
      </c>
    </row>
    <row r="25" spans="2:29" x14ac:dyDescent="0.2">
      <c r="B25" s="2"/>
      <c r="D25" s="2" t="s">
        <v>34</v>
      </c>
      <c r="E25" s="18"/>
      <c r="G25" s="23">
        <f>SUM(G24)</f>
        <v>2078</v>
      </c>
      <c r="H25" s="23">
        <f>SUM(H24)</f>
        <v>64</v>
      </c>
      <c r="I25" s="23">
        <f>SUM(I24)</f>
        <v>31368</v>
      </c>
      <c r="J25" s="24">
        <f>SUM(J24)</f>
        <v>0</v>
      </c>
      <c r="K25" s="23">
        <f>SUM(G25:J25)</f>
        <v>33510</v>
      </c>
      <c r="L25" s="5"/>
      <c r="M25" s="23">
        <f>SUM(M24)</f>
        <v>378.26383095046009</v>
      </c>
      <c r="N25" s="23">
        <f>SUM(N24)</f>
        <v>45.332285197868167</v>
      </c>
      <c r="O25" s="23">
        <f>SUM(O24)</f>
        <v>2207.5713566956974</v>
      </c>
      <c r="P25" s="24">
        <f>SUM(P24)</f>
        <v>0</v>
      </c>
      <c r="Q25" s="24">
        <f>SUM(M25:P25)</f>
        <v>2631.1674728440257</v>
      </c>
      <c r="R25" s="24"/>
      <c r="S25" s="24"/>
      <c r="T25" s="24"/>
      <c r="U25" s="24"/>
      <c r="V25" s="24"/>
      <c r="W25" s="24"/>
      <c r="X25" s="24"/>
      <c r="Y25" s="24"/>
      <c r="Z25" s="24"/>
      <c r="AA25" s="24"/>
    </row>
    <row r="26" spans="2:29" x14ac:dyDescent="0.2">
      <c r="B26" s="2"/>
      <c r="E26" s="15"/>
      <c r="G26" s="15"/>
      <c r="H26" s="15"/>
      <c r="I26" s="15"/>
      <c r="K26" s="15"/>
      <c r="L26" s="5"/>
      <c r="M26" s="15"/>
      <c r="N26" s="15"/>
      <c r="O26" s="15"/>
    </row>
    <row r="27" spans="2:29" x14ac:dyDescent="0.2">
      <c r="B27" s="2" t="s">
        <v>35</v>
      </c>
      <c r="E27" s="18" t="s">
        <v>36</v>
      </c>
      <c r="F27" s="15"/>
      <c r="G27" s="11">
        <v>34</v>
      </c>
      <c r="H27" s="11">
        <v>1</v>
      </c>
      <c r="I27" s="11">
        <v>574</v>
      </c>
      <c r="J27" s="12">
        <v>0</v>
      </c>
      <c r="K27" s="11">
        <f t="shared" ref="K27:K32" si="3">SUM(G27:J27)</f>
        <v>609</v>
      </c>
      <c r="L27" s="5"/>
      <c r="M27" s="29">
        <v>0</v>
      </c>
      <c r="N27" s="29">
        <v>0</v>
      </c>
      <c r="O27" s="29">
        <v>0</v>
      </c>
      <c r="P27" s="12">
        <v>0</v>
      </c>
      <c r="Q27" s="12">
        <f t="shared" ref="Q27:Q32" si="4">SUM(M27:P27)</f>
        <v>0</v>
      </c>
      <c r="R27" s="12"/>
      <c r="S27" s="12"/>
      <c r="T27" s="12"/>
      <c r="U27" s="12"/>
      <c r="V27" s="12"/>
      <c r="W27" s="12"/>
      <c r="X27" s="12"/>
      <c r="Y27" s="12"/>
      <c r="Z27" s="12"/>
      <c r="AA27" s="12"/>
    </row>
    <row r="28" spans="2:29" x14ac:dyDescent="0.2">
      <c r="B28" s="2"/>
      <c r="E28" s="18" t="s">
        <v>37</v>
      </c>
      <c r="G28" s="11">
        <v>154</v>
      </c>
      <c r="H28" s="11">
        <v>22</v>
      </c>
      <c r="I28" s="11">
        <v>2021</v>
      </c>
      <c r="J28" s="12">
        <v>0</v>
      </c>
      <c r="K28" s="11">
        <f t="shared" si="3"/>
        <v>2197</v>
      </c>
      <c r="L28" s="5"/>
      <c r="M28" s="11">
        <f>G28</f>
        <v>154</v>
      </c>
      <c r="N28" s="11">
        <f>H28</f>
        <v>22</v>
      </c>
      <c r="O28" s="11">
        <f>I28</f>
        <v>2021</v>
      </c>
      <c r="P28" s="12">
        <v>0</v>
      </c>
      <c r="Q28" s="12">
        <f t="shared" si="4"/>
        <v>2197</v>
      </c>
      <c r="R28" s="12"/>
      <c r="S28" s="12"/>
      <c r="T28" s="12"/>
      <c r="U28" s="12"/>
      <c r="V28" s="12"/>
      <c r="W28" s="12"/>
      <c r="X28" s="12"/>
      <c r="Y28" s="12"/>
      <c r="Z28" s="12"/>
      <c r="AA28" s="12"/>
    </row>
    <row r="29" spans="2:29" x14ac:dyDescent="0.2">
      <c r="B29" s="2"/>
      <c r="E29" s="15" t="s">
        <v>38</v>
      </c>
      <c r="G29" s="11">
        <v>0</v>
      </c>
      <c r="H29" s="11">
        <v>0</v>
      </c>
      <c r="I29" s="11">
        <v>0</v>
      </c>
      <c r="J29" s="12">
        <v>0</v>
      </c>
      <c r="K29" s="11">
        <f t="shared" si="3"/>
        <v>0</v>
      </c>
      <c r="L29" s="5"/>
      <c r="M29" s="11">
        <v>0</v>
      </c>
      <c r="N29" s="11">
        <v>0</v>
      </c>
      <c r="O29" s="11">
        <v>0</v>
      </c>
      <c r="P29" s="12">
        <v>0</v>
      </c>
      <c r="Q29" s="12">
        <f t="shared" si="4"/>
        <v>0</v>
      </c>
      <c r="R29" s="12"/>
      <c r="S29" s="12"/>
      <c r="T29" s="12"/>
      <c r="U29" s="12"/>
      <c r="V29" s="12"/>
      <c r="W29" s="12"/>
      <c r="X29" s="12"/>
      <c r="Y29" s="12"/>
      <c r="Z29" s="12"/>
      <c r="AA29" s="12"/>
    </row>
    <row r="30" spans="2:29" x14ac:dyDescent="0.2">
      <c r="B30" s="2"/>
      <c r="E30" s="10" t="s">
        <v>39</v>
      </c>
      <c r="G30" s="11">
        <v>914</v>
      </c>
      <c r="H30" s="11">
        <v>131</v>
      </c>
      <c r="I30" s="11">
        <v>12017</v>
      </c>
      <c r="J30" s="12">
        <v>0</v>
      </c>
      <c r="K30" s="11">
        <f t="shared" si="3"/>
        <v>13062</v>
      </c>
      <c r="L30" s="5"/>
      <c r="M30" s="11">
        <f t="shared" ref="M30:O31" si="5">G30</f>
        <v>914</v>
      </c>
      <c r="N30" s="11">
        <f t="shared" si="5"/>
        <v>131</v>
      </c>
      <c r="O30" s="11">
        <f t="shared" si="5"/>
        <v>12017</v>
      </c>
      <c r="P30" s="12">
        <v>0</v>
      </c>
      <c r="Q30" s="12">
        <f t="shared" si="4"/>
        <v>13062</v>
      </c>
      <c r="R30" s="12"/>
      <c r="S30" s="12"/>
      <c r="T30" s="12"/>
      <c r="U30" s="12"/>
      <c r="V30" s="12"/>
      <c r="W30" s="12"/>
      <c r="X30" s="12"/>
      <c r="Y30" s="12"/>
      <c r="Z30" s="12"/>
      <c r="AA30" s="12"/>
    </row>
    <row r="31" spans="2:29" x14ac:dyDescent="0.2">
      <c r="B31" s="2"/>
      <c r="E31" s="10" t="s">
        <v>40</v>
      </c>
      <c r="G31" s="21">
        <v>0</v>
      </c>
      <c r="H31" s="21">
        <v>0</v>
      </c>
      <c r="I31" s="21">
        <v>0</v>
      </c>
      <c r="J31" s="22">
        <v>0</v>
      </c>
      <c r="K31" s="21">
        <f t="shared" si="3"/>
        <v>0</v>
      </c>
      <c r="L31" s="5"/>
      <c r="M31" s="21">
        <f t="shared" si="5"/>
        <v>0</v>
      </c>
      <c r="N31" s="21">
        <f t="shared" si="5"/>
        <v>0</v>
      </c>
      <c r="O31" s="21">
        <f t="shared" si="5"/>
        <v>0</v>
      </c>
      <c r="P31" s="22">
        <v>0</v>
      </c>
      <c r="Q31" s="22">
        <f t="shared" si="4"/>
        <v>0</v>
      </c>
      <c r="R31" s="82"/>
      <c r="S31" s="82"/>
      <c r="T31" s="82"/>
      <c r="U31" s="82"/>
      <c r="V31" s="82"/>
      <c r="W31" s="82"/>
      <c r="X31" s="82"/>
      <c r="Y31" s="82"/>
      <c r="Z31" s="82"/>
      <c r="AA31" s="82"/>
    </row>
    <row r="32" spans="2:29" x14ac:dyDescent="0.2">
      <c r="B32" s="2"/>
      <c r="D32" s="2" t="s">
        <v>41</v>
      </c>
      <c r="G32" s="24">
        <f>SUM(G27:G31)</f>
        <v>1102</v>
      </c>
      <c r="H32" s="24">
        <f>SUM(H27:H31)</f>
        <v>154</v>
      </c>
      <c r="I32" s="24">
        <f>SUM(I27:I31)</f>
        <v>14612</v>
      </c>
      <c r="J32" s="24">
        <f>SUM(J27:J31)</f>
        <v>0</v>
      </c>
      <c r="K32" s="23">
        <f t="shared" si="3"/>
        <v>15868</v>
      </c>
      <c r="L32" s="5"/>
      <c r="M32" s="23">
        <f>SUM(M27:M31)</f>
        <v>1068</v>
      </c>
      <c r="N32" s="23">
        <f>SUM(N27:N31)</f>
        <v>153</v>
      </c>
      <c r="O32" s="23">
        <f>SUM(O27:O31)</f>
        <v>14038</v>
      </c>
      <c r="P32" s="24">
        <f>SUM(P27:P31)</f>
        <v>0</v>
      </c>
      <c r="Q32" s="24">
        <f t="shared" si="4"/>
        <v>15259</v>
      </c>
      <c r="R32" s="24"/>
      <c r="S32" s="24"/>
      <c r="T32" s="24"/>
      <c r="U32" s="24"/>
      <c r="V32" s="24"/>
      <c r="W32" s="24"/>
      <c r="X32" s="24"/>
      <c r="Y32" s="24"/>
      <c r="Z32" s="24"/>
      <c r="AA32" s="24"/>
    </row>
    <row r="33" spans="2:27" x14ac:dyDescent="0.2">
      <c r="B33" s="2"/>
      <c r="K33" s="15"/>
      <c r="L33" s="5"/>
    </row>
    <row r="34" spans="2:27" x14ac:dyDescent="0.2">
      <c r="B34" s="2" t="s">
        <v>42</v>
      </c>
      <c r="D34" s="2" t="s">
        <v>43</v>
      </c>
      <c r="E34" s="3" t="s">
        <v>44</v>
      </c>
      <c r="G34" s="11">
        <v>3548</v>
      </c>
      <c r="H34" s="11">
        <v>0</v>
      </c>
      <c r="I34" s="11">
        <v>0</v>
      </c>
      <c r="J34" s="11">
        <v>0</v>
      </c>
      <c r="K34" s="11">
        <f>SUM(G34:J34)</f>
        <v>3548</v>
      </c>
      <c r="L34" s="5"/>
      <c r="M34" s="12">
        <f t="shared" ref="M34:P35" si="6">G34</f>
        <v>3548</v>
      </c>
      <c r="N34" s="12">
        <f t="shared" si="6"/>
        <v>0</v>
      </c>
      <c r="O34" s="12">
        <f t="shared" si="6"/>
        <v>0</v>
      </c>
      <c r="P34" s="12">
        <f t="shared" si="6"/>
        <v>0</v>
      </c>
      <c r="Q34" s="12">
        <f>SUM(M34:P34)</f>
        <v>3548</v>
      </c>
      <c r="R34" s="12"/>
      <c r="S34" s="12"/>
      <c r="T34" s="12"/>
      <c r="U34" s="12"/>
      <c r="V34" s="12"/>
      <c r="W34" s="12"/>
      <c r="X34" s="12"/>
      <c r="Y34" s="12"/>
      <c r="Z34" s="12"/>
      <c r="AA34" s="12"/>
    </row>
    <row r="35" spans="2:27" x14ac:dyDescent="0.2">
      <c r="B35" s="2" t="s">
        <v>45</v>
      </c>
      <c r="D35" s="2" t="s">
        <v>46</v>
      </c>
      <c r="E35" s="3" t="s">
        <v>47</v>
      </c>
      <c r="G35" s="11">
        <v>822</v>
      </c>
      <c r="H35" s="11">
        <v>0</v>
      </c>
      <c r="I35" s="11">
        <v>0</v>
      </c>
      <c r="J35" s="11">
        <v>0</v>
      </c>
      <c r="K35" s="11">
        <f>SUM(G35:J35)</f>
        <v>822</v>
      </c>
      <c r="L35" s="5"/>
      <c r="M35" s="12">
        <f t="shared" si="6"/>
        <v>822</v>
      </c>
      <c r="N35" s="12">
        <f t="shared" si="6"/>
        <v>0</v>
      </c>
      <c r="O35" s="12">
        <f t="shared" si="6"/>
        <v>0</v>
      </c>
      <c r="P35" s="12">
        <f t="shared" si="6"/>
        <v>0</v>
      </c>
      <c r="Q35" s="12">
        <f>SUM(M35:P35)</f>
        <v>822</v>
      </c>
      <c r="R35" s="12"/>
      <c r="S35" s="12"/>
      <c r="T35" s="12"/>
      <c r="U35" s="12"/>
      <c r="V35" s="12"/>
      <c r="W35" s="12"/>
      <c r="X35" s="12"/>
      <c r="Y35" s="12"/>
      <c r="Z35" s="12"/>
      <c r="AA35" s="12"/>
    </row>
    <row r="36" spans="2:27" x14ac:dyDescent="0.2">
      <c r="D36" s="2"/>
      <c r="G36" s="15"/>
      <c r="H36" s="15"/>
      <c r="I36" s="15"/>
      <c r="J36" s="15"/>
      <c r="K36" s="15"/>
      <c r="L36" s="5"/>
      <c r="Q36" s="12"/>
      <c r="R36" s="12"/>
      <c r="S36" s="12"/>
      <c r="T36" s="12"/>
      <c r="U36" s="12"/>
      <c r="V36" s="12"/>
      <c r="W36" s="12"/>
      <c r="X36" s="12"/>
      <c r="Y36" s="12"/>
      <c r="Z36" s="12"/>
      <c r="AA36" s="12"/>
    </row>
    <row r="37" spans="2:27" x14ac:dyDescent="0.2">
      <c r="D37" s="2" t="s">
        <v>48</v>
      </c>
      <c r="E37" s="3" t="s">
        <v>49</v>
      </c>
      <c r="G37" s="11">
        <v>3219</v>
      </c>
      <c r="H37" s="11"/>
      <c r="I37" s="11">
        <v>0</v>
      </c>
      <c r="J37" s="11">
        <v>0</v>
      </c>
      <c r="K37" s="11">
        <f>SUM(G37:J37)</f>
        <v>3219</v>
      </c>
      <c r="L37" s="5"/>
      <c r="M37" s="12">
        <f t="shared" ref="M37:P40" si="7">G37</f>
        <v>3219</v>
      </c>
      <c r="N37" s="12">
        <f t="shared" si="7"/>
        <v>0</v>
      </c>
      <c r="O37" s="12">
        <f t="shared" si="7"/>
        <v>0</v>
      </c>
      <c r="P37" s="12">
        <f t="shared" si="7"/>
        <v>0</v>
      </c>
      <c r="Q37" s="12">
        <f>SUM(M37:P37)</f>
        <v>3219</v>
      </c>
      <c r="R37" s="12"/>
      <c r="S37" s="12"/>
      <c r="T37" s="12"/>
      <c r="U37" s="12"/>
      <c r="V37" s="12"/>
      <c r="W37" s="12"/>
      <c r="X37" s="12"/>
      <c r="Y37" s="12"/>
      <c r="Z37" s="12"/>
      <c r="AA37" s="12"/>
    </row>
    <row r="38" spans="2:27" x14ac:dyDescent="0.2">
      <c r="D38" s="2" t="s">
        <v>50</v>
      </c>
      <c r="E38" s="3" t="s">
        <v>51</v>
      </c>
      <c r="G38" s="11">
        <v>2312</v>
      </c>
      <c r="H38" s="11">
        <v>0</v>
      </c>
      <c r="I38" s="11">
        <v>0</v>
      </c>
      <c r="J38" s="11">
        <v>0</v>
      </c>
      <c r="K38" s="11">
        <f>SUM(G38:J38)</f>
        <v>2312</v>
      </c>
      <c r="L38" s="5"/>
      <c r="M38" s="12">
        <f t="shared" si="7"/>
        <v>2312</v>
      </c>
      <c r="N38" s="12">
        <f t="shared" si="7"/>
        <v>0</v>
      </c>
      <c r="O38" s="12">
        <f t="shared" si="7"/>
        <v>0</v>
      </c>
      <c r="P38" s="12">
        <f t="shared" si="7"/>
        <v>0</v>
      </c>
      <c r="Q38" s="12">
        <f>SUM(M38:P38)</f>
        <v>2312</v>
      </c>
      <c r="R38" s="12"/>
      <c r="S38" s="12"/>
      <c r="T38" s="12"/>
      <c r="U38" s="12"/>
      <c r="V38" s="12"/>
      <c r="W38" s="12"/>
      <c r="X38" s="12"/>
      <c r="Y38" s="12"/>
      <c r="Z38" s="12"/>
      <c r="AA38" s="12"/>
    </row>
    <row r="39" spans="2:27" x14ac:dyDescent="0.2">
      <c r="D39" s="2"/>
      <c r="E39" s="3" t="s">
        <v>52</v>
      </c>
      <c r="G39" s="11">
        <v>1886</v>
      </c>
      <c r="H39" s="11">
        <v>0</v>
      </c>
      <c r="I39" s="11">
        <v>0</v>
      </c>
      <c r="J39" s="11">
        <v>0</v>
      </c>
      <c r="K39" s="11">
        <f>SUM(G39:J39)</f>
        <v>1886</v>
      </c>
      <c r="L39" s="5"/>
      <c r="M39" s="12">
        <f t="shared" si="7"/>
        <v>1886</v>
      </c>
      <c r="N39" s="12">
        <f t="shared" si="7"/>
        <v>0</v>
      </c>
      <c r="O39" s="12">
        <f t="shared" si="7"/>
        <v>0</v>
      </c>
      <c r="P39" s="12">
        <f t="shared" si="7"/>
        <v>0</v>
      </c>
      <c r="Q39" s="12">
        <f>SUM(M39:P39)</f>
        <v>1886</v>
      </c>
      <c r="R39" s="12"/>
      <c r="S39" s="12"/>
      <c r="T39" s="12"/>
      <c r="U39" s="12"/>
      <c r="V39" s="12"/>
      <c r="W39" s="12"/>
      <c r="X39" s="12"/>
      <c r="Y39" s="12"/>
      <c r="Z39" s="12"/>
      <c r="AA39" s="12"/>
    </row>
    <row r="40" spans="2:27" x14ac:dyDescent="0.2">
      <c r="D40" s="2"/>
      <c r="E40" s="3" t="s">
        <v>53</v>
      </c>
      <c r="G40" s="11">
        <v>6297</v>
      </c>
      <c r="H40" s="11">
        <v>0</v>
      </c>
      <c r="I40" s="11"/>
      <c r="J40" s="11">
        <v>0</v>
      </c>
      <c r="K40" s="11">
        <f>SUM(G40:J40)</f>
        <v>6297</v>
      </c>
      <c r="L40" s="5"/>
      <c r="M40" s="12">
        <f t="shared" si="7"/>
        <v>6297</v>
      </c>
      <c r="N40" s="12">
        <f t="shared" si="7"/>
        <v>0</v>
      </c>
      <c r="O40" s="12">
        <f t="shared" si="7"/>
        <v>0</v>
      </c>
      <c r="P40" s="12">
        <f t="shared" si="7"/>
        <v>0</v>
      </c>
      <c r="Q40" s="12">
        <f>SUM(M40:P40)</f>
        <v>6297</v>
      </c>
      <c r="R40" s="12"/>
      <c r="S40" s="12"/>
      <c r="T40" s="12"/>
      <c r="U40" s="12"/>
      <c r="V40" s="12"/>
      <c r="W40" s="12"/>
      <c r="X40" s="12"/>
      <c r="Y40" s="12"/>
      <c r="Z40" s="12"/>
      <c r="AA40" s="12"/>
    </row>
    <row r="41" spans="2:27" x14ac:dyDescent="0.2">
      <c r="D41" s="2"/>
      <c r="G41" s="15"/>
      <c r="H41" s="15"/>
      <c r="I41" s="15"/>
      <c r="J41" s="15"/>
      <c r="K41" s="15"/>
      <c r="L41" s="5"/>
      <c r="Q41" s="12"/>
      <c r="R41" s="12"/>
      <c r="S41" s="12"/>
      <c r="T41" s="12"/>
      <c r="U41" s="12"/>
      <c r="V41" s="12"/>
      <c r="W41" s="12"/>
      <c r="X41" s="12"/>
      <c r="Y41" s="12"/>
      <c r="Z41" s="12"/>
      <c r="AA41" s="12"/>
    </row>
    <row r="42" spans="2:27" x14ac:dyDescent="0.2">
      <c r="D42" s="2" t="s">
        <v>54</v>
      </c>
      <c r="G42" s="11">
        <v>14644</v>
      </c>
      <c r="H42" s="11"/>
      <c r="I42" s="11">
        <v>0</v>
      </c>
      <c r="J42" s="11">
        <v>0</v>
      </c>
      <c r="K42" s="11">
        <f>SUM(G42:J42)</f>
        <v>14644</v>
      </c>
      <c r="L42" s="5"/>
      <c r="M42" s="12">
        <f>G42</f>
        <v>14644</v>
      </c>
      <c r="N42" s="12">
        <f>H42</f>
        <v>0</v>
      </c>
      <c r="O42" s="12">
        <f>I42</f>
        <v>0</v>
      </c>
      <c r="P42" s="12">
        <f>J42</f>
        <v>0</v>
      </c>
      <c r="Q42" s="12">
        <f>SUM(M42:P42)</f>
        <v>14644</v>
      </c>
      <c r="R42" s="12"/>
      <c r="S42" s="12"/>
      <c r="T42" s="12"/>
      <c r="U42" s="12"/>
      <c r="V42" s="12"/>
      <c r="W42" s="12"/>
      <c r="X42" s="12"/>
      <c r="Y42" s="12"/>
      <c r="Z42" s="12"/>
      <c r="AA42" s="12"/>
    </row>
    <row r="43" spans="2:27" x14ac:dyDescent="0.2">
      <c r="D43" s="2"/>
      <c r="G43" s="15"/>
      <c r="H43" s="15"/>
      <c r="I43" s="15"/>
      <c r="J43" s="15"/>
      <c r="L43" s="5"/>
    </row>
    <row r="44" spans="2:27"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c r="V44" s="12"/>
      <c r="W44" s="12"/>
      <c r="X44" s="12"/>
      <c r="Y44" s="12"/>
      <c r="Z44" s="12"/>
      <c r="AA44" s="12"/>
    </row>
    <row r="45" spans="2:27" x14ac:dyDescent="0.2">
      <c r="D45" s="2"/>
      <c r="G45" s="15"/>
      <c r="H45" s="15"/>
      <c r="I45" s="15"/>
      <c r="J45" s="15"/>
      <c r="L45" s="5"/>
    </row>
    <row r="46" spans="2:27"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c r="V46" s="12"/>
      <c r="W46" s="12"/>
      <c r="X46" s="12"/>
      <c r="Y46" s="12"/>
      <c r="Z46" s="12"/>
      <c r="AA46" s="12"/>
    </row>
    <row r="47" spans="2:27" x14ac:dyDescent="0.2">
      <c r="D47" s="2"/>
      <c r="G47" s="15"/>
      <c r="H47" s="15"/>
      <c r="I47" s="15"/>
      <c r="J47" s="15"/>
      <c r="L47" s="5"/>
    </row>
    <row r="48" spans="2:27"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c r="V48" s="12"/>
      <c r="W48" s="12"/>
      <c r="X48" s="12"/>
      <c r="Y48" s="12"/>
      <c r="Z48" s="12"/>
      <c r="AA48" s="12"/>
    </row>
    <row r="49" spans="2:29" x14ac:dyDescent="0.2">
      <c r="D49" s="2" t="s">
        <v>58</v>
      </c>
      <c r="G49" s="15"/>
      <c r="H49" s="15"/>
      <c r="I49" s="15"/>
      <c r="J49" s="15"/>
      <c r="L49" s="5"/>
    </row>
    <row r="50" spans="2:29" x14ac:dyDescent="0.2">
      <c r="D50" s="2"/>
      <c r="G50" s="15"/>
      <c r="H50" s="15"/>
      <c r="I50" s="15"/>
      <c r="J50" s="15"/>
      <c r="L50" s="5"/>
    </row>
    <row r="51" spans="2:29" x14ac:dyDescent="0.2">
      <c r="B51" s="2"/>
      <c r="D51" s="2" t="s">
        <v>53</v>
      </c>
      <c r="G51" s="21">
        <v>3051</v>
      </c>
      <c r="H51" s="21">
        <v>0</v>
      </c>
      <c r="I51" s="21">
        <v>7486</v>
      </c>
      <c r="J51" s="21">
        <v>0</v>
      </c>
      <c r="K51" s="21">
        <f>SUM(G51:J51)</f>
        <v>10537</v>
      </c>
      <c r="L51" s="5"/>
      <c r="M51" s="22">
        <f>G51</f>
        <v>3051</v>
      </c>
      <c r="N51" s="22">
        <f>H51</f>
        <v>0</v>
      </c>
      <c r="O51" s="22">
        <f>I51</f>
        <v>7486</v>
      </c>
      <c r="P51" s="22">
        <f>J51</f>
        <v>0</v>
      </c>
      <c r="Q51" s="22">
        <f>SUM(M51:P51)</f>
        <v>10537</v>
      </c>
      <c r="R51" s="82"/>
      <c r="S51" s="82"/>
      <c r="T51" s="82"/>
      <c r="U51" s="82"/>
      <c r="V51" s="82"/>
      <c r="W51" s="82"/>
      <c r="X51" s="82"/>
      <c r="Y51" s="82"/>
      <c r="Z51" s="82"/>
      <c r="AA51" s="82"/>
    </row>
    <row r="52" spans="2:29" x14ac:dyDescent="0.2">
      <c r="D52" s="2" t="s">
        <v>59</v>
      </c>
      <c r="G52" s="24">
        <f>SUM(G34:G51)</f>
        <v>35779</v>
      </c>
      <c r="H52" s="24">
        <f>SUM(H34:H51)</f>
        <v>0</v>
      </c>
      <c r="I52" s="24">
        <f>SUM(I34:I51)</f>
        <v>7486</v>
      </c>
      <c r="J52" s="24">
        <f>SUM(J34:J51)</f>
        <v>0</v>
      </c>
      <c r="K52" s="24">
        <f>SUM(G52:J52)</f>
        <v>43265</v>
      </c>
      <c r="L52" s="5"/>
      <c r="M52" s="24">
        <f>SUM(M34:M51)</f>
        <v>35779</v>
      </c>
      <c r="N52" s="24">
        <f>SUM(N34:N51)</f>
        <v>0</v>
      </c>
      <c r="O52" s="24">
        <f>SUM(O34:O51)</f>
        <v>7486</v>
      </c>
      <c r="P52" s="24">
        <f>SUM(P34:P51)</f>
        <v>0</v>
      </c>
      <c r="Q52" s="24">
        <f>SUM(M52:P52)</f>
        <v>43265</v>
      </c>
      <c r="R52" s="24"/>
      <c r="S52" s="24"/>
      <c r="T52" s="24"/>
      <c r="U52" s="24"/>
      <c r="V52" s="24"/>
      <c r="W52" s="24"/>
      <c r="X52" s="24"/>
      <c r="Y52" s="24"/>
      <c r="Z52" s="24"/>
      <c r="AA52" s="24"/>
    </row>
    <row r="53" spans="2:29" x14ac:dyDescent="0.2">
      <c r="B53" s="2"/>
      <c r="L53" s="5"/>
    </row>
    <row r="54" spans="2:29"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c r="W54" s="12"/>
      <c r="X54" s="12"/>
      <c r="Y54" s="12"/>
      <c r="Z54" s="12"/>
      <c r="AA54" s="12"/>
    </row>
    <row r="55" spans="2:29" x14ac:dyDescent="0.2">
      <c r="B55" s="2" t="s">
        <v>61</v>
      </c>
      <c r="L55" s="5"/>
    </row>
    <row r="56" spans="2:29" ht="13.5" thickBot="1" x14ac:dyDescent="0.25">
      <c r="K56" s="12"/>
      <c r="L56" s="5"/>
      <c r="Q56" s="30"/>
      <c r="R56" s="40"/>
      <c r="S56" s="40"/>
      <c r="T56" s="40"/>
      <c r="U56" s="40"/>
      <c r="V56" s="40"/>
      <c r="W56" s="40"/>
      <c r="X56" s="40"/>
      <c r="Y56" s="40"/>
      <c r="Z56" s="40"/>
      <c r="AA56" s="40"/>
    </row>
    <row r="57" spans="2:29" x14ac:dyDescent="0.2">
      <c r="B57" s="2" t="s">
        <v>62</v>
      </c>
      <c r="G57" s="31">
        <f>G22+G25+G32+G52+G54</f>
        <v>60414</v>
      </c>
      <c r="H57" s="31">
        <f>H22+H25+H32+H52+H54</f>
        <v>3106</v>
      </c>
      <c r="I57" s="31">
        <f>I22+I25+I32+I52+I54</f>
        <v>153770</v>
      </c>
      <c r="J57" s="31">
        <f>J22+J25+J32+J52+J54</f>
        <v>0</v>
      </c>
      <c r="K57" s="31">
        <f>SUM(G57:J57)</f>
        <v>217290</v>
      </c>
      <c r="L57" s="32"/>
      <c r="M57" s="31">
        <f>M22+M25+M32+M52+M54</f>
        <v>55671.263830950462</v>
      </c>
      <c r="N57" s="31">
        <f>N22+N25+N32+N52+N54</f>
        <v>2667.3322851978683</v>
      </c>
      <c r="O57" s="31">
        <f>O22+O25+O32+O52+O54</f>
        <v>97637.571356695698</v>
      </c>
      <c r="P57" s="31">
        <f>P22+P25+P32+P52+P54</f>
        <v>0</v>
      </c>
      <c r="Q57" s="31">
        <f>SUM(M57:P57)</f>
        <v>155976.16747284401</v>
      </c>
      <c r="R57" s="86"/>
      <c r="S57" s="86"/>
      <c r="T57" s="86"/>
      <c r="U57" s="86"/>
      <c r="V57" s="86"/>
      <c r="W57" s="86"/>
      <c r="X57" s="86"/>
      <c r="Y57" s="86"/>
      <c r="Z57" s="86"/>
      <c r="AA57" s="86"/>
    </row>
    <row r="58" spans="2:29" x14ac:dyDescent="0.2">
      <c r="L58" s="5"/>
    </row>
    <row r="59" spans="2:29" x14ac:dyDescent="0.2">
      <c r="L59" s="5"/>
    </row>
    <row r="60" spans="2:29" ht="14.25" x14ac:dyDescent="0.2">
      <c r="B60" s="6" t="s">
        <v>63</v>
      </c>
      <c r="K60" s="15"/>
      <c r="L60" s="5"/>
    </row>
    <row r="61" spans="2:29" x14ac:dyDescent="0.2">
      <c r="D61" s="15" t="s">
        <v>64</v>
      </c>
      <c r="E61" s="10" t="s">
        <v>20</v>
      </c>
      <c r="G61" s="12">
        <v>0</v>
      </c>
      <c r="H61" s="12">
        <v>0</v>
      </c>
      <c r="I61" s="12">
        <f>K61</f>
        <v>95126</v>
      </c>
      <c r="J61" s="11">
        <v>0</v>
      </c>
      <c r="K61" s="11">
        <v>95126</v>
      </c>
      <c r="L61" s="5"/>
      <c r="M61" s="12">
        <f>G61</f>
        <v>0</v>
      </c>
      <c r="N61" s="12">
        <f>H61</f>
        <v>0</v>
      </c>
      <c r="O61" s="12">
        <f>Q61</f>
        <v>95126</v>
      </c>
      <c r="P61" s="11">
        <f>J61</f>
        <v>0</v>
      </c>
      <c r="Q61" s="12">
        <f>$K$61</f>
        <v>95126</v>
      </c>
      <c r="R61" s="12"/>
      <c r="S61" s="12"/>
      <c r="T61" s="12"/>
      <c r="U61" s="12"/>
      <c r="V61" s="12"/>
      <c r="W61" s="12"/>
      <c r="X61" s="12"/>
      <c r="Y61" s="12"/>
      <c r="Z61" s="12"/>
      <c r="AA61" s="12"/>
    </row>
    <row r="62" spans="2:29"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W62" s="33"/>
      <c r="X62" s="33"/>
      <c r="Y62" s="33"/>
      <c r="Z62" s="33"/>
      <c r="AA62" s="33"/>
      <c r="AC62" s="35">
        <f>K61-(243*25.09*8)</f>
        <v>46351.040000000001</v>
      </c>
    </row>
    <row r="63" spans="2:29" x14ac:dyDescent="0.2">
      <c r="D63" s="15"/>
      <c r="E63" s="10"/>
      <c r="J63" s="15"/>
      <c r="K63" s="15"/>
      <c r="L63" s="5"/>
      <c r="P63" s="15"/>
    </row>
    <row r="64" spans="2:29" x14ac:dyDescent="0.2">
      <c r="D64" s="15" t="s">
        <v>129</v>
      </c>
      <c r="E64" s="10" t="s">
        <v>20</v>
      </c>
      <c r="G64" s="12">
        <f>$G$117*K64</f>
        <v>20110.681410485311</v>
      </c>
      <c r="H64" s="12">
        <f>$H$117*K64</f>
        <v>2410.1250783953042</v>
      </c>
      <c r="I64" s="12">
        <f>$I$117*K64</f>
        <v>117367.19351111939</v>
      </c>
      <c r="J64" s="11">
        <v>0</v>
      </c>
      <c r="K64" s="11">
        <f>131118+8770</f>
        <v>139888</v>
      </c>
      <c r="L64" s="5"/>
      <c r="M64" s="12">
        <f>$G$117*Q64</f>
        <v>16163.186740165698</v>
      </c>
      <c r="N64" s="12">
        <f>$H$117*Q64</f>
        <v>1937.0453399430453</v>
      </c>
      <c r="O64" s="12">
        <f>$I$117*Q64</f>
        <v>94329.367919891258</v>
      </c>
      <c r="P64" s="11">
        <f>J64</f>
        <v>0</v>
      </c>
      <c r="Q64" s="11">
        <f>K64-(51*67.3*8)</f>
        <v>112429.6</v>
      </c>
      <c r="R64" s="11"/>
      <c r="S64" s="11"/>
      <c r="T64" s="11"/>
      <c r="U64" s="11"/>
      <c r="V64" s="11"/>
      <c r="W64" s="11"/>
      <c r="X64" s="11"/>
      <c r="Y64" s="11"/>
      <c r="Z64" s="11"/>
      <c r="AA64" s="11"/>
    </row>
    <row r="65" spans="4:27" x14ac:dyDescent="0.2">
      <c r="D65" s="15"/>
      <c r="E65" s="10" t="s">
        <v>21</v>
      </c>
      <c r="G65" s="34">
        <f>$G$117*K65</f>
        <v>0</v>
      </c>
      <c r="H65" s="34">
        <f>$H$117*K65</f>
        <v>0</v>
      </c>
      <c r="I65" s="34">
        <f>$I$117*K65</f>
        <v>0</v>
      </c>
      <c r="J65" s="37">
        <v>0</v>
      </c>
      <c r="K65" s="34">
        <v>0</v>
      </c>
      <c r="L65" s="5"/>
      <c r="M65" s="33">
        <f>G65</f>
        <v>0</v>
      </c>
      <c r="N65" s="33">
        <f>H65</f>
        <v>0</v>
      </c>
      <c r="O65" s="33">
        <f>I65</f>
        <v>0</v>
      </c>
      <c r="P65" s="34">
        <f>J65</f>
        <v>0</v>
      </c>
      <c r="Q65" s="33">
        <f>K65</f>
        <v>0</v>
      </c>
      <c r="R65" s="33"/>
      <c r="S65" s="33"/>
      <c r="T65" s="33"/>
      <c r="U65" s="33"/>
      <c r="V65" s="33"/>
      <c r="W65" s="33"/>
      <c r="X65" s="33"/>
      <c r="Y65" s="33"/>
      <c r="Z65" s="33"/>
      <c r="AA65" s="33"/>
    </row>
    <row r="66" spans="4:27" x14ac:dyDescent="0.2">
      <c r="D66" s="15"/>
      <c r="E66" s="10"/>
      <c r="J66" s="15"/>
      <c r="K66" s="15"/>
      <c r="L66" s="5"/>
      <c r="P66" s="15"/>
    </row>
    <row r="67" spans="4:27" x14ac:dyDescent="0.2">
      <c r="D67" s="15" t="s">
        <v>80</v>
      </c>
      <c r="E67" s="10" t="s">
        <v>20</v>
      </c>
      <c r="G67" s="12">
        <f>$G$117*K67</f>
        <v>18.689155491272235</v>
      </c>
      <c r="H67" s="12">
        <f>$H$117*K67</f>
        <v>2.2397650991606826</v>
      </c>
      <c r="I67" s="12">
        <f>$I$117*K67</f>
        <v>109.07107940956708</v>
      </c>
      <c r="J67" s="11">
        <v>0</v>
      </c>
      <c r="K67" s="11">
        <v>130</v>
      </c>
      <c r="L67" s="5"/>
      <c r="M67" s="12">
        <f t="shared" ref="M67:Q68" si="8">G67</f>
        <v>18.689155491272235</v>
      </c>
      <c r="N67" s="12">
        <f t="shared" si="8"/>
        <v>2.2397650991606826</v>
      </c>
      <c r="O67" s="12">
        <f t="shared" si="8"/>
        <v>109.07107940956708</v>
      </c>
      <c r="P67" s="11">
        <f t="shared" si="8"/>
        <v>0</v>
      </c>
      <c r="Q67" s="12">
        <f t="shared" si="8"/>
        <v>130</v>
      </c>
      <c r="R67" s="12"/>
      <c r="S67" s="12"/>
      <c r="T67" s="12"/>
      <c r="U67" s="12"/>
      <c r="V67" s="12"/>
      <c r="W67" s="12"/>
      <c r="X67" s="12"/>
      <c r="Y67" s="12"/>
      <c r="Z67" s="12"/>
      <c r="AA67" s="12"/>
    </row>
    <row r="68" spans="4:27" x14ac:dyDescent="0.2">
      <c r="D68" s="15"/>
      <c r="E68" s="10" t="s">
        <v>21</v>
      </c>
      <c r="G68" s="34">
        <f>$G$117*K68</f>
        <v>0</v>
      </c>
      <c r="H68" s="34">
        <f>$H$117*K68</f>
        <v>0</v>
      </c>
      <c r="I68" s="34">
        <f>$I$117*K68</f>
        <v>0</v>
      </c>
      <c r="J68" s="34">
        <v>0</v>
      </c>
      <c r="K68" s="34">
        <v>0</v>
      </c>
      <c r="L68" s="5"/>
      <c r="M68" s="33">
        <f t="shared" si="8"/>
        <v>0</v>
      </c>
      <c r="N68" s="33">
        <f t="shared" si="8"/>
        <v>0</v>
      </c>
      <c r="O68" s="33">
        <f t="shared" si="8"/>
        <v>0</v>
      </c>
      <c r="P68" s="34">
        <f t="shared" si="8"/>
        <v>0</v>
      </c>
      <c r="Q68" s="33">
        <f t="shared" si="8"/>
        <v>0</v>
      </c>
      <c r="R68" s="33"/>
      <c r="S68" s="33"/>
      <c r="T68" s="33"/>
      <c r="U68" s="33"/>
      <c r="V68" s="33"/>
      <c r="W68" s="33"/>
      <c r="X68" s="33"/>
      <c r="Y68" s="33"/>
      <c r="Z68" s="33"/>
      <c r="AA68" s="33"/>
    </row>
    <row r="69" spans="4:27" x14ac:dyDescent="0.2">
      <c r="D69" s="15"/>
      <c r="E69" s="10"/>
      <c r="J69" s="15"/>
      <c r="K69" s="15"/>
      <c r="L69" s="5"/>
      <c r="P69" s="15"/>
    </row>
    <row r="70" spans="4:27" x14ac:dyDescent="0.2">
      <c r="D70" s="15" t="s">
        <v>65</v>
      </c>
      <c r="E70" s="10" t="s">
        <v>20</v>
      </c>
      <c r="G70" s="12">
        <f>$G$117*K70</f>
        <v>3701.1716009446436</v>
      </c>
      <c r="H70" s="12">
        <f>$H$117*K70</f>
        <v>443.55963444532131</v>
      </c>
      <c r="I70" s="12">
        <f>$I$117*K70</f>
        <v>21600.268764610035</v>
      </c>
      <c r="J70" s="11">
        <v>0</v>
      </c>
      <c r="K70" s="11">
        <v>25745</v>
      </c>
      <c r="L70" s="5"/>
      <c r="M70" s="12">
        <f t="shared" ref="M70:Q71" si="9">G70</f>
        <v>3701.1716009446436</v>
      </c>
      <c r="N70" s="12">
        <f t="shared" si="9"/>
        <v>443.55963444532131</v>
      </c>
      <c r="O70" s="12">
        <f t="shared" si="9"/>
        <v>21600.268764610035</v>
      </c>
      <c r="P70" s="11">
        <f t="shared" si="9"/>
        <v>0</v>
      </c>
      <c r="Q70" s="11">
        <f t="shared" si="9"/>
        <v>25745</v>
      </c>
      <c r="R70" s="11"/>
      <c r="S70" s="11"/>
      <c r="T70" s="11"/>
      <c r="U70" s="11"/>
      <c r="V70" s="11"/>
      <c r="W70" s="11"/>
      <c r="X70" s="11"/>
      <c r="Y70" s="11"/>
      <c r="Z70" s="11"/>
      <c r="AA70" s="11"/>
    </row>
    <row r="71" spans="4:27" x14ac:dyDescent="0.2">
      <c r="D71" s="15"/>
      <c r="E71" s="10" t="s">
        <v>21</v>
      </c>
      <c r="G71" s="34">
        <f>$G$117*K71</f>
        <v>0</v>
      </c>
      <c r="H71" s="34">
        <f>$H$117*K71</f>
        <v>0</v>
      </c>
      <c r="I71" s="34">
        <f>$I$117*K71</f>
        <v>0</v>
      </c>
      <c r="J71" s="34">
        <v>0</v>
      </c>
      <c r="K71" s="34">
        <v>0</v>
      </c>
      <c r="L71" s="5"/>
      <c r="M71" s="33">
        <f t="shared" si="9"/>
        <v>0</v>
      </c>
      <c r="N71" s="33">
        <f t="shared" si="9"/>
        <v>0</v>
      </c>
      <c r="O71" s="33">
        <f t="shared" si="9"/>
        <v>0</v>
      </c>
      <c r="P71" s="34">
        <f t="shared" si="9"/>
        <v>0</v>
      </c>
      <c r="Q71" s="33">
        <f t="shared" si="9"/>
        <v>0</v>
      </c>
      <c r="R71" s="33"/>
      <c r="S71" s="33"/>
      <c r="T71" s="33"/>
      <c r="U71" s="33"/>
      <c r="V71" s="33"/>
      <c r="W71" s="33"/>
      <c r="X71" s="33"/>
      <c r="Y71" s="33"/>
      <c r="Z71" s="33"/>
      <c r="AA71" s="33"/>
    </row>
    <row r="72" spans="4:27" x14ac:dyDescent="0.2">
      <c r="E72" s="10"/>
      <c r="G72" s="36"/>
      <c r="H72" s="36"/>
      <c r="I72" s="36"/>
      <c r="J72" s="34"/>
      <c r="K72" s="34"/>
      <c r="L72" s="5"/>
      <c r="M72" s="33"/>
      <c r="N72" s="33"/>
      <c r="O72" s="33"/>
      <c r="P72" s="34"/>
      <c r="Q72" s="33"/>
      <c r="R72" s="33"/>
      <c r="S72" s="33"/>
      <c r="T72" s="33"/>
      <c r="U72" s="33"/>
      <c r="V72" s="33"/>
      <c r="W72" s="33"/>
      <c r="X72" s="33"/>
      <c r="Y72" s="33"/>
      <c r="Z72" s="33"/>
      <c r="AA72" s="33"/>
    </row>
    <row r="73" spans="4:27" x14ac:dyDescent="0.2">
      <c r="D73" s="15" t="s">
        <v>161</v>
      </c>
      <c r="E73" s="10" t="s">
        <v>20</v>
      </c>
      <c r="G73" s="12">
        <f>$G$117*K73</f>
        <v>7850.4516454761761</v>
      </c>
      <c r="H73" s="12">
        <f>$H$117*K73</f>
        <v>940.82194438359534</v>
      </c>
      <c r="I73" s="12">
        <f>$I$117*K73</f>
        <v>45815.726410140225</v>
      </c>
      <c r="J73" s="11">
        <v>0</v>
      </c>
      <c r="K73" s="11">
        <v>54607</v>
      </c>
      <c r="L73" s="5"/>
      <c r="M73" s="12">
        <f t="shared" ref="M73:Q74" si="10">G73</f>
        <v>7850.4516454761761</v>
      </c>
      <c r="N73" s="12">
        <f t="shared" si="10"/>
        <v>940.82194438359534</v>
      </c>
      <c r="O73" s="12">
        <f t="shared" si="10"/>
        <v>45815.726410140225</v>
      </c>
      <c r="P73" s="11">
        <f t="shared" si="10"/>
        <v>0</v>
      </c>
      <c r="Q73" s="11">
        <f t="shared" si="10"/>
        <v>54607</v>
      </c>
      <c r="R73" s="11"/>
      <c r="S73" s="11"/>
      <c r="T73" s="11"/>
      <c r="U73" s="11"/>
      <c r="V73" s="11"/>
      <c r="W73" s="11"/>
      <c r="X73" s="11"/>
      <c r="Y73" s="11"/>
      <c r="Z73" s="11"/>
      <c r="AA73" s="11"/>
    </row>
    <row r="74" spans="4:27" x14ac:dyDescent="0.2">
      <c r="E74" s="10" t="s">
        <v>21</v>
      </c>
      <c r="G74" s="34">
        <f>$G$117*K74</f>
        <v>0</v>
      </c>
      <c r="H74" s="34">
        <f>$H$117*K74</f>
        <v>0</v>
      </c>
      <c r="I74" s="34">
        <f>$I$117*K74</f>
        <v>0</v>
      </c>
      <c r="J74" s="34">
        <v>0</v>
      </c>
      <c r="K74" s="34">
        <v>0</v>
      </c>
      <c r="L74" s="5"/>
      <c r="M74" s="33">
        <f t="shared" si="10"/>
        <v>0</v>
      </c>
      <c r="N74" s="33">
        <f t="shared" si="10"/>
        <v>0</v>
      </c>
      <c r="O74" s="33">
        <f t="shared" si="10"/>
        <v>0</v>
      </c>
      <c r="P74" s="34">
        <f t="shared" si="10"/>
        <v>0</v>
      </c>
      <c r="Q74" s="33">
        <f t="shared" si="10"/>
        <v>0</v>
      </c>
      <c r="R74" s="33"/>
      <c r="S74" s="33"/>
      <c r="T74" s="33"/>
      <c r="U74" s="33"/>
      <c r="V74" s="33"/>
      <c r="W74" s="33"/>
      <c r="X74" s="33"/>
      <c r="Y74" s="33"/>
      <c r="Z74" s="33"/>
      <c r="AA74" s="33"/>
    </row>
    <row r="75" spans="4:27" x14ac:dyDescent="0.2">
      <c r="E75" s="10"/>
      <c r="G75" s="36"/>
      <c r="H75" s="36"/>
      <c r="I75" s="36"/>
      <c r="J75" s="34"/>
      <c r="K75" s="34"/>
      <c r="L75" s="5"/>
      <c r="M75" s="33"/>
      <c r="N75" s="33"/>
      <c r="O75" s="33"/>
      <c r="P75" s="34"/>
      <c r="Q75" s="33"/>
      <c r="R75" s="33"/>
      <c r="S75" s="33"/>
      <c r="T75" s="33"/>
      <c r="U75" s="33"/>
      <c r="V75" s="33"/>
      <c r="W75" s="33"/>
      <c r="X75" s="33"/>
      <c r="Y75" s="33"/>
      <c r="Z75" s="33"/>
      <c r="AA75" s="33"/>
    </row>
    <row r="76" spans="4:27" x14ac:dyDescent="0.2">
      <c r="D76" s="15" t="s">
        <v>162</v>
      </c>
      <c r="E76" s="10" t="s">
        <v>20</v>
      </c>
      <c r="G76" s="12">
        <f>$G$117*K76</f>
        <v>6291.9198402386201</v>
      </c>
      <c r="H76" s="12">
        <f>$H$117*K76</f>
        <v>754.04276407589566</v>
      </c>
      <c r="I76" s="12">
        <f>$I$117*K76</f>
        <v>36720.037395685482</v>
      </c>
      <c r="J76" s="11">
        <v>0</v>
      </c>
      <c r="K76" s="11">
        <v>43766</v>
      </c>
      <c r="L76" s="5"/>
      <c r="M76" s="12">
        <f t="shared" ref="M76:Q77" si="11">G76</f>
        <v>6291.9198402386201</v>
      </c>
      <c r="N76" s="12">
        <f t="shared" si="11"/>
        <v>754.04276407589566</v>
      </c>
      <c r="O76" s="12">
        <f t="shared" si="11"/>
        <v>36720.037395685482</v>
      </c>
      <c r="P76" s="11">
        <f t="shared" si="11"/>
        <v>0</v>
      </c>
      <c r="Q76" s="12">
        <f t="shared" si="11"/>
        <v>43766</v>
      </c>
      <c r="R76" s="12"/>
      <c r="S76" s="12"/>
      <c r="T76" s="12"/>
      <c r="U76" s="12"/>
      <c r="V76" s="12"/>
      <c r="W76" s="12"/>
      <c r="X76" s="12"/>
      <c r="Y76" s="12"/>
      <c r="Z76" s="12"/>
      <c r="AA76" s="12"/>
    </row>
    <row r="77" spans="4:27" x14ac:dyDescent="0.2">
      <c r="E77" s="10" t="s">
        <v>21</v>
      </c>
      <c r="G77" s="34">
        <f>$G$117*K77</f>
        <v>0</v>
      </c>
      <c r="H77" s="34">
        <f>$H$117*K77</f>
        <v>0</v>
      </c>
      <c r="I77" s="34">
        <f>$I$117*K77</f>
        <v>0</v>
      </c>
      <c r="J77" s="34">
        <v>0</v>
      </c>
      <c r="K77" s="34">
        <v>0</v>
      </c>
      <c r="L77" s="5"/>
      <c r="M77" s="33">
        <f t="shared" si="11"/>
        <v>0</v>
      </c>
      <c r="N77" s="33">
        <f t="shared" si="11"/>
        <v>0</v>
      </c>
      <c r="O77" s="33">
        <f t="shared" si="11"/>
        <v>0</v>
      </c>
      <c r="P77" s="34">
        <f t="shared" si="11"/>
        <v>0</v>
      </c>
      <c r="Q77" s="33">
        <f t="shared" si="11"/>
        <v>0</v>
      </c>
      <c r="R77" s="33"/>
      <c r="S77" s="33"/>
      <c r="T77" s="33"/>
      <c r="U77" s="33"/>
      <c r="V77" s="33"/>
      <c r="W77" s="33"/>
      <c r="X77" s="33"/>
      <c r="Y77" s="33"/>
      <c r="Z77" s="33"/>
      <c r="AA77" s="33"/>
    </row>
    <row r="78" spans="4:27" x14ac:dyDescent="0.2">
      <c r="E78" s="10"/>
      <c r="J78" s="15"/>
      <c r="K78" s="15"/>
      <c r="L78" s="5"/>
      <c r="P78" s="15"/>
    </row>
    <row r="79" spans="4:27" x14ac:dyDescent="0.2">
      <c r="D79" s="15" t="s">
        <v>165</v>
      </c>
      <c r="E79" s="10" t="s">
        <v>20</v>
      </c>
      <c r="G79" s="12">
        <f>$G$117*K79</f>
        <v>10299.306065771032</v>
      </c>
      <c r="H79" s="12">
        <f>$H$117*K79</f>
        <v>1234.3000882228496</v>
      </c>
      <c r="I79" s="12">
        <f>$I$117*K79</f>
        <v>60107.393846006118</v>
      </c>
      <c r="J79" s="11">
        <v>0</v>
      </c>
      <c r="K79" s="11">
        <v>71641</v>
      </c>
      <c r="L79" s="5"/>
      <c r="M79" s="12">
        <f t="shared" ref="M79:Q80" si="12">G79</f>
        <v>10299.306065771032</v>
      </c>
      <c r="N79" s="12">
        <f t="shared" si="12"/>
        <v>1234.3000882228496</v>
      </c>
      <c r="O79" s="12">
        <f t="shared" si="12"/>
        <v>60107.393846006118</v>
      </c>
      <c r="P79" s="11">
        <f t="shared" si="12"/>
        <v>0</v>
      </c>
      <c r="Q79" s="12">
        <f t="shared" si="12"/>
        <v>71641</v>
      </c>
      <c r="R79" s="12"/>
      <c r="S79" s="12"/>
      <c r="T79" s="12"/>
      <c r="U79" s="12"/>
      <c r="V79" s="12"/>
      <c r="W79" s="12"/>
      <c r="X79" s="12"/>
      <c r="Y79" s="12"/>
      <c r="Z79" s="12"/>
      <c r="AA79" s="12"/>
    </row>
    <row r="80" spans="4:27" x14ac:dyDescent="0.2">
      <c r="E80" s="10" t="s">
        <v>21</v>
      </c>
      <c r="G80" s="34">
        <f>$G$117*K80</f>
        <v>0</v>
      </c>
      <c r="H80" s="34">
        <f>$H$117*K80</f>
        <v>0</v>
      </c>
      <c r="I80" s="34">
        <f>$I$117*K80</f>
        <v>0</v>
      </c>
      <c r="J80" s="34">
        <v>0</v>
      </c>
      <c r="K80" s="34">
        <v>0</v>
      </c>
      <c r="L80" s="5"/>
      <c r="M80" s="33">
        <f t="shared" si="12"/>
        <v>0</v>
      </c>
      <c r="N80" s="33">
        <f t="shared" si="12"/>
        <v>0</v>
      </c>
      <c r="O80" s="33">
        <f t="shared" si="12"/>
        <v>0</v>
      </c>
      <c r="P80" s="34">
        <f t="shared" si="12"/>
        <v>0</v>
      </c>
      <c r="Q80" s="33">
        <f t="shared" si="12"/>
        <v>0</v>
      </c>
      <c r="R80" s="33"/>
      <c r="S80" s="33"/>
      <c r="T80" s="33"/>
      <c r="U80" s="33"/>
      <c r="V80" s="33"/>
      <c r="W80" s="33"/>
      <c r="X80" s="33"/>
      <c r="Y80" s="33"/>
      <c r="Z80" s="33"/>
      <c r="AA80" s="33"/>
    </row>
    <row r="81" spans="2:28" x14ac:dyDescent="0.2">
      <c r="D81" s="15"/>
      <c r="E81" s="10"/>
      <c r="J81" s="15"/>
      <c r="K81" s="15"/>
      <c r="L81" s="5"/>
      <c r="P81" s="15"/>
    </row>
    <row r="82" spans="2:28" x14ac:dyDescent="0.2">
      <c r="D82" s="15" t="s">
        <v>206</v>
      </c>
      <c r="E82" s="10" t="s">
        <v>20</v>
      </c>
      <c r="G82" s="12">
        <f>$G$117*K82</f>
        <v>19522.979351652073</v>
      </c>
      <c r="H82" s="12">
        <f>$H$117*K82</f>
        <v>2339.6930805078514</v>
      </c>
      <c r="I82" s="12">
        <f>$I$117*K82</f>
        <v>113937.32756784007</v>
      </c>
      <c r="J82" s="11">
        <v>0</v>
      </c>
      <c r="K82" s="11">
        <v>135800</v>
      </c>
      <c r="L82" s="5"/>
      <c r="M82" s="12">
        <f t="shared" ref="M82:Q83" si="13">G82</f>
        <v>19522.979351652073</v>
      </c>
      <c r="N82" s="12">
        <f t="shared" si="13"/>
        <v>2339.6930805078514</v>
      </c>
      <c r="O82" s="12">
        <f t="shared" si="13"/>
        <v>113937.32756784007</v>
      </c>
      <c r="P82" s="11">
        <f t="shared" si="13"/>
        <v>0</v>
      </c>
      <c r="Q82" s="12">
        <f t="shared" si="13"/>
        <v>135800</v>
      </c>
      <c r="R82" s="12"/>
      <c r="S82" s="12"/>
      <c r="T82" s="12"/>
      <c r="U82" s="12"/>
      <c r="V82" s="12"/>
      <c r="W82" s="12"/>
      <c r="X82" s="12"/>
      <c r="Y82" s="12"/>
      <c r="Z82" s="12"/>
      <c r="AA82" s="12"/>
    </row>
    <row r="83" spans="2:28" x14ac:dyDescent="0.2">
      <c r="D83" s="15"/>
      <c r="E83" s="10" t="s">
        <v>21</v>
      </c>
      <c r="G83" s="34">
        <f>$G$117*K83</f>
        <v>0</v>
      </c>
      <c r="H83" s="34">
        <f>$H$117*K83</f>
        <v>0</v>
      </c>
      <c r="I83" s="34">
        <f>$I$117*K83</f>
        <v>0</v>
      </c>
      <c r="J83" s="34">
        <v>0</v>
      </c>
      <c r="K83" s="34">
        <v>0</v>
      </c>
      <c r="L83" s="5"/>
      <c r="M83" s="33">
        <f t="shared" si="13"/>
        <v>0</v>
      </c>
      <c r="N83" s="33">
        <f t="shared" si="13"/>
        <v>0</v>
      </c>
      <c r="O83" s="33">
        <f t="shared" si="13"/>
        <v>0</v>
      </c>
      <c r="P83" s="34">
        <f t="shared" si="13"/>
        <v>0</v>
      </c>
      <c r="Q83" s="33">
        <f t="shared" si="13"/>
        <v>0</v>
      </c>
      <c r="R83" s="33"/>
      <c r="S83" s="33"/>
      <c r="T83" s="33"/>
      <c r="U83" s="33"/>
      <c r="V83" s="33"/>
      <c r="W83" s="33"/>
      <c r="X83" s="33"/>
      <c r="Y83" s="33"/>
      <c r="Z83" s="33"/>
      <c r="AA83" s="33"/>
    </row>
    <row r="84" spans="2:28" x14ac:dyDescent="0.2">
      <c r="D84" s="15"/>
      <c r="E84" s="10"/>
      <c r="G84" s="36"/>
      <c r="H84" s="36"/>
      <c r="I84" s="36"/>
      <c r="J84" s="34"/>
      <c r="K84" s="34"/>
      <c r="L84" s="5"/>
      <c r="M84" s="33"/>
      <c r="N84" s="33"/>
      <c r="O84" s="33"/>
      <c r="P84" s="34"/>
      <c r="Q84" s="33"/>
      <c r="R84" s="33"/>
      <c r="S84" s="33"/>
      <c r="T84" s="33"/>
      <c r="U84" s="33"/>
      <c r="V84" s="33"/>
      <c r="W84" s="33"/>
      <c r="X84" s="33"/>
      <c r="Y84" s="33"/>
      <c r="Z84" s="33"/>
      <c r="AA84" s="33"/>
    </row>
    <row r="85" spans="2:28" x14ac:dyDescent="0.2">
      <c r="D85" s="124" t="s">
        <v>147</v>
      </c>
      <c r="E85" s="10" t="s">
        <v>20</v>
      </c>
      <c r="G85" s="12">
        <f>$G$117*K85</f>
        <v>1728.0280692699403</v>
      </c>
      <c r="H85" s="12">
        <f>$H$117*K85</f>
        <v>207.09212686085695</v>
      </c>
      <c r="I85" s="12">
        <f>$I$117*K85</f>
        <v>10084.879803869202</v>
      </c>
      <c r="J85" s="11">
        <v>0</v>
      </c>
      <c r="K85" s="11">
        <v>12020</v>
      </c>
      <c r="L85" s="5"/>
      <c r="M85" s="12">
        <f t="shared" ref="M85:Q86" si="14">G85</f>
        <v>1728.0280692699403</v>
      </c>
      <c r="N85" s="12">
        <f t="shared" si="14"/>
        <v>207.09212686085695</v>
      </c>
      <c r="O85" s="12">
        <f t="shared" si="14"/>
        <v>10084.879803869202</v>
      </c>
      <c r="P85" s="11">
        <f t="shared" si="14"/>
        <v>0</v>
      </c>
      <c r="Q85" s="12">
        <f t="shared" si="14"/>
        <v>12020</v>
      </c>
      <c r="R85" s="12"/>
      <c r="S85" s="12"/>
      <c r="T85" s="12"/>
      <c r="U85" s="12"/>
      <c r="V85" s="12"/>
      <c r="W85" s="12"/>
      <c r="X85" s="12"/>
      <c r="Y85" s="12"/>
      <c r="Z85" s="12"/>
      <c r="AA85" s="12"/>
    </row>
    <row r="86" spans="2:28" x14ac:dyDescent="0.2">
      <c r="D86" s="15"/>
      <c r="E86" s="10" t="s">
        <v>21</v>
      </c>
      <c r="G86" s="34">
        <f>$G$117*K86</f>
        <v>0</v>
      </c>
      <c r="H86" s="34">
        <f>$H$117*K86</f>
        <v>0</v>
      </c>
      <c r="I86" s="34">
        <f>$I$117*K86</f>
        <v>0</v>
      </c>
      <c r="J86" s="34">
        <v>0</v>
      </c>
      <c r="K86" s="34">
        <v>0</v>
      </c>
      <c r="L86" s="5"/>
      <c r="M86" s="33">
        <f t="shared" si="14"/>
        <v>0</v>
      </c>
      <c r="N86" s="33">
        <f t="shared" si="14"/>
        <v>0</v>
      </c>
      <c r="O86" s="33">
        <f t="shared" si="14"/>
        <v>0</v>
      </c>
      <c r="P86" s="34">
        <f t="shared" si="14"/>
        <v>0</v>
      </c>
      <c r="Q86" s="33">
        <f t="shared" si="14"/>
        <v>0</v>
      </c>
      <c r="R86" s="33"/>
      <c r="S86" s="33"/>
      <c r="T86" s="33"/>
      <c r="U86" s="33"/>
      <c r="V86" s="33"/>
      <c r="W86" s="33"/>
      <c r="X86" s="33"/>
      <c r="Y86" s="33"/>
      <c r="Z86" s="33"/>
      <c r="AA86" s="33"/>
    </row>
    <row r="87" spans="2:28" x14ac:dyDescent="0.2">
      <c r="D87" s="15"/>
      <c r="E87" s="10"/>
      <c r="G87" s="36"/>
      <c r="H87" s="36"/>
      <c r="I87" s="36"/>
      <c r="J87" s="34"/>
      <c r="K87" s="34"/>
      <c r="L87" s="5"/>
      <c r="M87" s="33"/>
      <c r="N87" s="33"/>
      <c r="O87" s="33"/>
      <c r="P87" s="34"/>
      <c r="Q87" s="33"/>
      <c r="R87" s="33"/>
      <c r="S87" s="33"/>
      <c r="T87" s="33"/>
      <c r="U87" s="33"/>
      <c r="V87" s="33"/>
      <c r="W87" s="33"/>
      <c r="X87" s="33"/>
      <c r="Y87" s="33"/>
      <c r="Z87" s="33"/>
      <c r="AA87" s="33"/>
    </row>
    <row r="88" spans="2:28" x14ac:dyDescent="0.2">
      <c r="D88" s="124" t="s">
        <v>168</v>
      </c>
      <c r="E88" s="10" t="s">
        <v>20</v>
      </c>
      <c r="G88" s="12">
        <f>$G$117*K88</f>
        <v>1758.3620062596208</v>
      </c>
      <c r="H88" s="12">
        <f>$H$117*K88</f>
        <v>210.72743790641775</v>
      </c>
      <c r="I88" s="12">
        <f>$I$117*K88</f>
        <v>10261.910555833962</v>
      </c>
      <c r="J88" s="11">
        <v>0</v>
      </c>
      <c r="K88" s="11">
        <v>12231</v>
      </c>
      <c r="L88" s="5"/>
      <c r="M88" s="12">
        <f t="shared" ref="M88:Q89" si="15">G88</f>
        <v>1758.3620062596208</v>
      </c>
      <c r="N88" s="12">
        <f t="shared" si="15"/>
        <v>210.72743790641775</v>
      </c>
      <c r="O88" s="12">
        <f t="shared" si="15"/>
        <v>10261.910555833962</v>
      </c>
      <c r="P88" s="11">
        <f t="shared" si="15"/>
        <v>0</v>
      </c>
      <c r="Q88" s="12">
        <f t="shared" si="15"/>
        <v>12231</v>
      </c>
      <c r="R88" s="12"/>
      <c r="S88" s="12"/>
      <c r="T88" s="12"/>
      <c r="U88" s="12"/>
      <c r="V88" s="12"/>
      <c r="W88" s="12"/>
      <c r="X88" s="12"/>
      <c r="Y88" s="12"/>
      <c r="Z88" s="12"/>
      <c r="AA88" s="12"/>
    </row>
    <row r="89" spans="2:28" x14ac:dyDescent="0.2">
      <c r="D89" s="15"/>
      <c r="E89" s="10" t="s">
        <v>21</v>
      </c>
      <c r="G89" s="34">
        <f>$G$117*K89</f>
        <v>0</v>
      </c>
      <c r="H89" s="34">
        <f>$H$117*K89</f>
        <v>0</v>
      </c>
      <c r="I89" s="34">
        <f>$I$117*K89</f>
        <v>0</v>
      </c>
      <c r="J89" s="34">
        <v>0</v>
      </c>
      <c r="K89" s="34">
        <v>0</v>
      </c>
      <c r="L89" s="5"/>
      <c r="M89" s="33">
        <f t="shared" si="15"/>
        <v>0</v>
      </c>
      <c r="N89" s="33">
        <f t="shared" si="15"/>
        <v>0</v>
      </c>
      <c r="O89" s="33">
        <f t="shared" si="15"/>
        <v>0</v>
      </c>
      <c r="P89" s="34">
        <f t="shared" si="15"/>
        <v>0</v>
      </c>
      <c r="Q89" s="33">
        <f t="shared" si="15"/>
        <v>0</v>
      </c>
      <c r="R89" s="33"/>
      <c r="S89" s="33"/>
      <c r="T89" s="33"/>
      <c r="U89" s="33"/>
      <c r="V89" s="33"/>
      <c r="W89" s="33"/>
      <c r="X89" s="33"/>
      <c r="Y89" s="33"/>
      <c r="Z89" s="33"/>
      <c r="AA89" s="33"/>
    </row>
    <row r="90" spans="2:28" x14ac:dyDescent="0.2">
      <c r="D90" s="15"/>
      <c r="J90" s="15"/>
      <c r="K90" s="15"/>
      <c r="L90" s="5"/>
    </row>
    <row r="91" spans="2:28" x14ac:dyDescent="0.2">
      <c r="D91" s="15" t="s">
        <v>66</v>
      </c>
      <c r="E91" s="10" t="s">
        <v>20</v>
      </c>
      <c r="G91" s="12">
        <f>$G$117*K91</f>
        <v>24535.410854411286</v>
      </c>
      <c r="H91" s="12">
        <f>$H$117*K91</f>
        <v>2940.3980801027465</v>
      </c>
      <c r="I91" s="12">
        <f>$I$117*K91</f>
        <v>143190.19106548597</v>
      </c>
      <c r="J91" s="11">
        <v>0</v>
      </c>
      <c r="K91" s="11">
        <v>170666</v>
      </c>
      <c r="L91" s="5"/>
      <c r="M91" s="12">
        <f>G91</f>
        <v>24535.410854411286</v>
      </c>
      <c r="N91" s="12">
        <f>H91</f>
        <v>2940.3980801027465</v>
      </c>
      <c r="O91" s="12">
        <f>I91</f>
        <v>143190.19106548597</v>
      </c>
      <c r="P91" s="11">
        <f>J91</f>
        <v>0</v>
      </c>
      <c r="Q91" s="12">
        <f>K91</f>
        <v>170666</v>
      </c>
      <c r="R91" s="12"/>
      <c r="S91" s="12"/>
      <c r="T91" s="12"/>
      <c r="U91" s="12"/>
      <c r="V91" s="12"/>
      <c r="W91" s="12"/>
      <c r="X91" s="12"/>
      <c r="Y91" s="12"/>
      <c r="Z91" s="12"/>
      <c r="AA91" s="12"/>
    </row>
    <row r="92" spans="2:28" x14ac:dyDescent="0.2">
      <c r="D92" s="15"/>
      <c r="E92" s="10"/>
      <c r="G92" s="12"/>
      <c r="H92" s="12"/>
      <c r="I92" s="12"/>
      <c r="J92" s="11"/>
      <c r="K92" s="11"/>
      <c r="L92" s="5"/>
      <c r="M92" s="12"/>
      <c r="N92" s="12"/>
      <c r="O92" s="12"/>
      <c r="P92" s="11"/>
      <c r="Q92" s="12"/>
      <c r="R92" s="12"/>
      <c r="S92" s="12"/>
      <c r="T92" s="12"/>
      <c r="U92" s="12"/>
      <c r="V92" s="12"/>
      <c r="W92" s="12"/>
      <c r="X92" s="12"/>
      <c r="Y92" s="12"/>
      <c r="Z92" s="12"/>
      <c r="AA92" s="12"/>
    </row>
    <row r="93" spans="2:28" x14ac:dyDescent="0.2">
      <c r="D93" s="15" t="s">
        <v>207</v>
      </c>
      <c r="E93" s="10" t="s">
        <v>20</v>
      </c>
      <c r="G93" s="12">
        <v>0</v>
      </c>
      <c r="H93" s="12">
        <v>0</v>
      </c>
      <c r="I93" s="12">
        <v>0</v>
      </c>
      <c r="J93" s="12">
        <v>0</v>
      </c>
      <c r="K93" s="12">
        <v>0</v>
      </c>
      <c r="L93" s="5"/>
      <c r="M93" s="12">
        <f>G93</f>
        <v>0</v>
      </c>
      <c r="N93" s="12">
        <f>H93</f>
        <v>0</v>
      </c>
      <c r="O93" s="12">
        <f>I93</f>
        <v>0</v>
      </c>
      <c r="P93" s="11">
        <f>J93</f>
        <v>0</v>
      </c>
      <c r="Q93" s="12">
        <f>K93</f>
        <v>0</v>
      </c>
      <c r="R93" s="12"/>
      <c r="S93" s="12"/>
      <c r="T93" s="12"/>
      <c r="U93" s="12"/>
      <c r="V93" s="12"/>
      <c r="W93" s="12"/>
      <c r="X93" s="12"/>
      <c r="Y93" s="12"/>
      <c r="Z93" s="12"/>
      <c r="AA93" s="12"/>
      <c r="AB93" s="38"/>
    </row>
    <row r="94" spans="2:28" ht="13.5" thickBot="1" x14ac:dyDescent="0.25">
      <c r="D94" s="15"/>
      <c r="E94" s="10"/>
      <c r="J94" s="15"/>
      <c r="L94" s="5"/>
      <c r="P94" s="11"/>
      <c r="Q94" s="12"/>
      <c r="R94" s="12"/>
      <c r="S94" s="12"/>
      <c r="T94" s="12"/>
      <c r="U94" s="12"/>
      <c r="V94" s="12"/>
      <c r="W94" s="12"/>
      <c r="X94" s="12"/>
      <c r="Y94" s="12"/>
      <c r="Z94" s="12"/>
      <c r="AA94" s="12"/>
      <c r="AB94" s="38"/>
    </row>
    <row r="95" spans="2:28" ht="13.5" thickBot="1" x14ac:dyDescent="0.25">
      <c r="B95" s="2" t="s">
        <v>67</v>
      </c>
      <c r="E95" s="10" t="s">
        <v>20</v>
      </c>
      <c r="G95" s="31">
        <f>G61+G64+G67+G70+G73+G76+G79+G82+G85+G88+G91+G93</f>
        <v>95816.999999999971</v>
      </c>
      <c r="H95" s="31">
        <f>H61+H64+H67+H73+H70+H76+H79+H82+H85+H88+H91+H93</f>
        <v>11483</v>
      </c>
      <c r="I95" s="31">
        <f>I61+I64+I67+I70+I73+I76+I79+I82+I85+I88+I91+I93</f>
        <v>654320</v>
      </c>
      <c r="J95" s="31">
        <f>J61+J64+J67+J70+J73+J76+J79+J82+J85+J88+J91+J93</f>
        <v>0</v>
      </c>
      <c r="K95" s="39">
        <f>SUM(G95:J95)</f>
        <v>761620</v>
      </c>
      <c r="L95" s="32"/>
      <c r="M95" s="31">
        <f>M61+M64+M67+M70+M73+M76+M79+M82+M85+M88+M91+M93</f>
        <v>91869.505329680353</v>
      </c>
      <c r="N95" s="31">
        <f>N61+N64+N67+N70+N73+N76+N79+N82+N85+N88+N91+N93</f>
        <v>11009.920261547741</v>
      </c>
      <c r="O95" s="31">
        <f>O61+O64+O67+O70+O73+O76+O79+O82+O85+O88+O91+O93</f>
        <v>631282.1744087718</v>
      </c>
      <c r="P95" s="31">
        <f>P61+P64+P67+P70+P73+P76+P79+P82+P85+P88+P91+P93</f>
        <v>0</v>
      </c>
      <c r="Q95" s="31">
        <f>SUM(M95:P95)</f>
        <v>734161.59999999986</v>
      </c>
      <c r="R95" s="86"/>
      <c r="S95" s="86"/>
      <c r="T95" s="86"/>
      <c r="U95" s="86"/>
      <c r="V95" s="86"/>
      <c r="W95" s="86"/>
      <c r="X95" s="86"/>
      <c r="Y95" s="86"/>
      <c r="Z95" s="86"/>
      <c r="AA95" s="86"/>
      <c r="AB95" s="40"/>
    </row>
    <row r="96" spans="2:28" x14ac:dyDescent="0.2">
      <c r="B96" s="2"/>
      <c r="E96" s="10" t="s">
        <v>21</v>
      </c>
      <c r="G96" s="41">
        <f>G62+G65+G68+G71+G74+G77+G80+G83+G86+G89</f>
        <v>0</v>
      </c>
      <c r="H96" s="41">
        <f>H62+H65+H68+H71+H74+H77+H80+H83+H86+H89</f>
        <v>0</v>
      </c>
      <c r="I96" s="41">
        <f>I62+I65+I68+I71+I74+I77+I80+I83+I86+I89</f>
        <v>0</v>
      </c>
      <c r="J96" s="41">
        <f>J62+J65+J68+J71+J74+J77+J80+J83+J86+J89</f>
        <v>0</v>
      </c>
      <c r="K96" s="42">
        <f>SUM(G96:J96)</f>
        <v>0</v>
      </c>
      <c r="L96" s="43"/>
      <c r="M96" s="41">
        <f>M62+M65+M68+M71+M74+M77+M80+M83+M86+M89</f>
        <v>0</v>
      </c>
      <c r="N96" s="41">
        <f>N62+N65+N68+N71+N74+N77+N80+N83+N86+N89</f>
        <v>0</v>
      </c>
      <c r="O96" s="41">
        <f>O62+O65+O68+O71+O74+O77+O80+O83+O86+O89</f>
        <v>0</v>
      </c>
      <c r="P96" s="41">
        <f>P62+P65+P68+P71+P74+P77+P80+P83+P86+P89</f>
        <v>0</v>
      </c>
      <c r="Q96" s="44">
        <f>SUM(M96:P96)</f>
        <v>0</v>
      </c>
      <c r="R96" s="42"/>
      <c r="S96" s="42"/>
      <c r="T96" s="42"/>
      <c r="U96" s="42"/>
      <c r="V96" s="42"/>
      <c r="W96" s="42"/>
      <c r="X96" s="42"/>
      <c r="Y96" s="42"/>
      <c r="Z96" s="42"/>
      <c r="AA96" s="42"/>
    </row>
    <row r="97" spans="2:28" x14ac:dyDescent="0.2">
      <c r="K97" s="12"/>
      <c r="L97" s="5"/>
      <c r="AB97" s="12"/>
    </row>
    <row r="98" spans="2:28" ht="13.5" thickBot="1" x14ac:dyDescent="0.25">
      <c r="L98" s="5"/>
    </row>
    <row r="99" spans="2:28" ht="15" thickBot="1" x14ac:dyDescent="0.25">
      <c r="B99" s="6" t="s">
        <v>68</v>
      </c>
      <c r="G99" s="45">
        <f t="shared" ref="G99:Q99" si="16">G57+G95</f>
        <v>156230.99999999997</v>
      </c>
      <c r="H99" s="45">
        <f t="shared" si="16"/>
        <v>14589</v>
      </c>
      <c r="I99" s="45">
        <f t="shared" si="16"/>
        <v>808090</v>
      </c>
      <c r="J99" s="45">
        <f t="shared" si="16"/>
        <v>0</v>
      </c>
      <c r="K99" s="45">
        <f t="shared" si="16"/>
        <v>978910</v>
      </c>
      <c r="L99" s="46">
        <f t="shared" si="16"/>
        <v>0</v>
      </c>
      <c r="M99" s="45">
        <f t="shared" si="16"/>
        <v>147540.76916063082</v>
      </c>
      <c r="N99" s="45">
        <f t="shared" si="16"/>
        <v>13677.252546745609</v>
      </c>
      <c r="O99" s="79">
        <f t="shared" si="16"/>
        <v>728919.74576546752</v>
      </c>
      <c r="P99" s="45">
        <f t="shared" si="16"/>
        <v>0</v>
      </c>
      <c r="Q99" s="45">
        <f t="shared" si="16"/>
        <v>890137.76747284387</v>
      </c>
      <c r="R99" s="86"/>
      <c r="S99" s="86"/>
      <c r="T99" s="86"/>
      <c r="U99" s="86"/>
      <c r="V99" s="86"/>
      <c r="W99" s="86"/>
      <c r="X99" s="86"/>
      <c r="Y99" s="86"/>
      <c r="Z99" s="86"/>
      <c r="AA99" s="86"/>
    </row>
    <row r="100" spans="2:28" ht="13.5" thickTop="1" x14ac:dyDescent="0.2">
      <c r="I100" s="97"/>
      <c r="L100" s="5"/>
      <c r="O100" s="80"/>
    </row>
    <row r="101" spans="2:28" x14ac:dyDescent="0.2">
      <c r="I101" s="97"/>
      <c r="L101" s="5"/>
      <c r="O101" s="80"/>
    </row>
    <row r="102" spans="2:28" x14ac:dyDescent="0.2">
      <c r="I102" s="97"/>
      <c r="L102" s="5"/>
      <c r="O102" s="80"/>
    </row>
    <row r="103" spans="2:28" x14ac:dyDescent="0.2">
      <c r="I103" s="97"/>
      <c r="L103" s="5"/>
      <c r="O103" s="80"/>
    </row>
    <row r="104" spans="2:28" x14ac:dyDescent="0.2">
      <c r="I104" s="97"/>
      <c r="L104" s="5"/>
      <c r="O104" s="80"/>
    </row>
    <row r="105" spans="2:28" x14ac:dyDescent="0.2">
      <c r="I105" s="97"/>
      <c r="L105" s="5"/>
      <c r="O105" s="80"/>
    </row>
    <row r="106" spans="2:28" x14ac:dyDescent="0.2">
      <c r="I106" s="97"/>
      <c r="L106" s="5"/>
      <c r="O106" s="80"/>
    </row>
    <row r="107" spans="2:28" x14ac:dyDescent="0.2">
      <c r="I107" s="97"/>
      <c r="L107" s="5"/>
      <c r="O107" s="80"/>
    </row>
    <row r="108" spans="2:28" x14ac:dyDescent="0.2">
      <c r="I108" s="97"/>
      <c r="L108" s="5"/>
      <c r="O108" s="80"/>
    </row>
    <row r="109" spans="2:28" x14ac:dyDescent="0.2">
      <c r="I109" s="97"/>
      <c r="L109" s="5"/>
      <c r="O109" s="80"/>
    </row>
    <row r="110" spans="2:28" x14ac:dyDescent="0.2">
      <c r="I110" s="97"/>
      <c r="L110" s="5"/>
      <c r="O110" s="80"/>
    </row>
    <row r="111" spans="2:28" x14ac:dyDescent="0.2">
      <c r="I111" s="97"/>
      <c r="L111" s="5"/>
      <c r="O111" s="80"/>
    </row>
    <row r="112" spans="2:28" x14ac:dyDescent="0.2">
      <c r="I112" s="97"/>
      <c r="L112" s="5"/>
      <c r="O112" s="80"/>
    </row>
    <row r="113" spans="5:15" x14ac:dyDescent="0.2">
      <c r="L113" s="5"/>
    </row>
    <row r="114" spans="5:15" x14ac:dyDescent="0.2">
      <c r="L114" s="5"/>
      <c r="M114" s="47"/>
      <c r="N114" s="47"/>
      <c r="O114" s="47"/>
    </row>
    <row r="115" spans="5:15" x14ac:dyDescent="0.2">
      <c r="L115" s="5"/>
      <c r="M115" s="48"/>
    </row>
    <row r="116" spans="5:15" ht="13.5" thickBot="1" x14ac:dyDescent="0.25">
      <c r="L116" s="5"/>
      <c r="M116" s="49"/>
    </row>
    <row r="117" spans="5:15" x14ac:dyDescent="0.2">
      <c r="E117" s="50"/>
      <c r="F117" s="51"/>
      <c r="G117" s="52">
        <f>G133</f>
        <v>0.14376273454824795</v>
      </c>
      <c r="H117" s="52">
        <f>H133</f>
        <v>1.7228962301236019E-2</v>
      </c>
      <c r="I117" s="52">
        <f>I133</f>
        <v>0.839008303150516</v>
      </c>
      <c r="J117" s="51"/>
      <c r="K117" s="53"/>
      <c r="L117" s="5"/>
      <c r="M117" s="49"/>
    </row>
    <row r="118" spans="5:15" x14ac:dyDescent="0.2">
      <c r="E118" s="54"/>
      <c r="F118" s="38"/>
      <c r="G118" s="38"/>
      <c r="H118" s="38"/>
      <c r="I118" s="38"/>
      <c r="J118" s="38"/>
      <c r="K118" s="55"/>
      <c r="L118" s="5"/>
      <c r="M118" s="49"/>
    </row>
    <row r="119" spans="5:15" x14ac:dyDescent="0.2">
      <c r="E119" s="54" t="s">
        <v>69</v>
      </c>
      <c r="F119" s="38"/>
      <c r="G119" s="38"/>
      <c r="H119" s="38"/>
      <c r="I119" s="38"/>
      <c r="J119" s="38"/>
      <c r="K119" s="103">
        <v>761620</v>
      </c>
      <c r="L119" s="5"/>
      <c r="M119" s="49"/>
    </row>
    <row r="120" spans="5:15" x14ac:dyDescent="0.2">
      <c r="E120" s="54" t="s">
        <v>91</v>
      </c>
      <c r="F120" s="38"/>
      <c r="G120" s="38"/>
      <c r="H120" s="38"/>
      <c r="I120" s="38"/>
      <c r="J120" s="38"/>
      <c r="K120" s="56">
        <v>0</v>
      </c>
      <c r="L120" s="5"/>
      <c r="M120" s="49"/>
    </row>
    <row r="121" spans="5:15" x14ac:dyDescent="0.2">
      <c r="E121" s="54"/>
      <c r="K121" s="105"/>
      <c r="L121" s="5"/>
      <c r="M121" s="49"/>
    </row>
    <row r="122" spans="5:15" x14ac:dyDescent="0.2">
      <c r="E122" s="54" t="s">
        <v>208</v>
      </c>
      <c r="F122" s="38"/>
      <c r="G122" s="38"/>
      <c r="H122" s="38"/>
      <c r="I122" s="38"/>
      <c r="J122" s="38"/>
      <c r="K122" s="104">
        <f>SUM(K119:K121)</f>
        <v>761620</v>
      </c>
      <c r="L122" s="5"/>
      <c r="M122" s="49"/>
    </row>
    <row r="123" spans="5:15" x14ac:dyDescent="0.2">
      <c r="E123" s="106" t="s">
        <v>176</v>
      </c>
      <c r="K123" s="105">
        <v>0</v>
      </c>
      <c r="L123" s="5"/>
      <c r="M123" s="49"/>
    </row>
    <row r="124" spans="5:15" x14ac:dyDescent="0.2">
      <c r="E124" s="106"/>
      <c r="K124" s="105">
        <v>0</v>
      </c>
      <c r="L124" s="5"/>
    </row>
    <row r="125" spans="5:15" x14ac:dyDescent="0.2">
      <c r="E125" s="106"/>
      <c r="K125" s="105">
        <v>0</v>
      </c>
      <c r="L125" s="5"/>
    </row>
    <row r="126" spans="5:15" x14ac:dyDescent="0.2">
      <c r="E126" s="54" t="s">
        <v>70</v>
      </c>
      <c r="F126" s="38"/>
      <c r="G126" s="38"/>
      <c r="H126" s="38"/>
      <c r="I126" s="38"/>
      <c r="J126" s="38"/>
      <c r="K126" s="104">
        <f>SUM(K122:K125)</f>
        <v>761620</v>
      </c>
      <c r="L126" s="5"/>
    </row>
    <row r="127" spans="5:15" x14ac:dyDescent="0.2">
      <c r="E127" s="54" t="s">
        <v>71</v>
      </c>
      <c r="F127" s="38"/>
      <c r="G127" s="38"/>
      <c r="H127" s="38"/>
      <c r="I127" s="38"/>
      <c r="J127" s="38"/>
      <c r="K127" s="56">
        <f>-K61</f>
        <v>-95126</v>
      </c>
      <c r="L127" s="5"/>
    </row>
    <row r="128" spans="5:15" ht="13.5" thickBot="1" x14ac:dyDescent="0.25">
      <c r="E128" s="54" t="s">
        <v>72</v>
      </c>
      <c r="F128" s="38"/>
      <c r="G128" s="38"/>
      <c r="H128" s="38"/>
      <c r="I128" s="38"/>
      <c r="J128" s="38"/>
      <c r="K128" s="107">
        <f>SUM(K126:K127)</f>
        <v>666494</v>
      </c>
      <c r="L128" s="5"/>
    </row>
    <row r="129" spans="2:13" ht="13.5" thickTop="1" x14ac:dyDescent="0.2">
      <c r="E129" s="108" t="s">
        <v>178</v>
      </c>
      <c r="F129" s="38"/>
      <c r="G129" s="109">
        <v>0</v>
      </c>
      <c r="H129" s="109">
        <v>0</v>
      </c>
      <c r="I129" s="109">
        <v>304000</v>
      </c>
      <c r="J129" s="38"/>
      <c r="K129" s="56"/>
      <c r="L129" s="5"/>
    </row>
    <row r="130" spans="2:13" ht="13.5" thickBot="1" x14ac:dyDescent="0.25">
      <c r="B130" s="2" t="s">
        <v>84</v>
      </c>
      <c r="C130" s="2"/>
      <c r="D130" s="2" t="s">
        <v>209</v>
      </c>
      <c r="E130" s="57" t="s">
        <v>73</v>
      </c>
      <c r="F130" s="38"/>
      <c r="G130" s="58">
        <v>95817</v>
      </c>
      <c r="H130" s="59">
        <v>11483</v>
      </c>
      <c r="I130" s="59">
        <v>654320</v>
      </c>
      <c r="J130" s="38"/>
      <c r="K130" s="56"/>
      <c r="L130" s="5"/>
    </row>
    <row r="131" spans="2:13" ht="13.5" thickTop="1" x14ac:dyDescent="0.2">
      <c r="B131" s="2" t="s">
        <v>85</v>
      </c>
      <c r="C131" s="2"/>
      <c r="D131" s="2"/>
      <c r="E131" s="54" t="s">
        <v>74</v>
      </c>
      <c r="F131" s="38"/>
      <c r="G131" s="60"/>
      <c r="H131" s="61"/>
      <c r="I131" s="61">
        <f>-K61</f>
        <v>-95126</v>
      </c>
      <c r="K131" s="55"/>
      <c r="L131" s="5"/>
      <c r="M131" s="62"/>
    </row>
    <row r="132" spans="2:13" ht="13.5" thickBot="1" x14ac:dyDescent="0.25">
      <c r="B132" s="2" t="s">
        <v>81</v>
      </c>
      <c r="C132" s="2"/>
      <c r="D132" s="131" t="s">
        <v>210</v>
      </c>
      <c r="E132" s="54" t="s">
        <v>75</v>
      </c>
      <c r="F132" s="38"/>
      <c r="G132" s="63"/>
      <c r="H132" s="64">
        <f>SUM(H130:H131)</f>
        <v>11483</v>
      </c>
      <c r="I132" s="64">
        <f>SUM(I130:I131)</f>
        <v>559194</v>
      </c>
      <c r="J132" s="65"/>
      <c r="K132" s="56"/>
      <c r="L132" s="5"/>
    </row>
    <row r="133" spans="2:13" ht="14.25" thickTop="1" thickBot="1" x14ac:dyDescent="0.25">
      <c r="B133" s="2" t="s">
        <v>83</v>
      </c>
      <c r="C133" s="2"/>
      <c r="D133" s="131"/>
      <c r="E133" s="54" t="s">
        <v>76</v>
      </c>
      <c r="F133" s="38"/>
      <c r="G133" s="66">
        <f>1-(H133+I133)</f>
        <v>0.14376273454824795</v>
      </c>
      <c r="H133" s="66">
        <f>H$132/$K$128</f>
        <v>1.7228962301236019E-2</v>
      </c>
      <c r="I133" s="66">
        <f>I$132/$K$128</f>
        <v>0.839008303150516</v>
      </c>
      <c r="J133" s="49"/>
      <c r="K133" s="56"/>
      <c r="L133" s="5"/>
    </row>
    <row r="134" spans="2:13" ht="14.25" thickTop="1" thickBot="1" x14ac:dyDescent="0.25">
      <c r="B134" s="2" t="s">
        <v>82</v>
      </c>
      <c r="C134" s="2"/>
      <c r="D134" s="131"/>
      <c r="E134" s="67"/>
      <c r="F134" s="68"/>
      <c r="G134" s="69" t="s">
        <v>77</v>
      </c>
      <c r="H134" s="69" t="s">
        <v>78</v>
      </c>
      <c r="I134" s="69" t="s">
        <v>79</v>
      </c>
      <c r="J134" s="68"/>
      <c r="K134" s="70"/>
      <c r="L134" s="5"/>
    </row>
    <row r="135" spans="2:13" x14ac:dyDescent="0.2">
      <c r="L135" s="5"/>
    </row>
    <row r="136" spans="2:13" x14ac:dyDescent="0.2">
      <c r="B136" s="2" t="s">
        <v>92</v>
      </c>
      <c r="D136" s="2" t="s">
        <v>125</v>
      </c>
      <c r="L136" s="5"/>
    </row>
    <row r="137" spans="2:13" x14ac:dyDescent="0.2">
      <c r="G137" s="110">
        <f>SUM($K$124:$K$125)</f>
        <v>0</v>
      </c>
      <c r="H137" s="110">
        <f>SUM($K$124:$K$125)</f>
        <v>0</v>
      </c>
      <c r="I137" s="110">
        <f>SUM($K$124:$K$125)</f>
        <v>0</v>
      </c>
      <c r="J137" s="71" t="s">
        <v>179</v>
      </c>
      <c r="K137" s="15"/>
      <c r="L137" s="5"/>
    </row>
    <row r="138" spans="2:13" x14ac:dyDescent="0.2">
      <c r="G138" s="125">
        <v>7.0000000000000007E-2</v>
      </c>
      <c r="H138" s="125">
        <v>0.01</v>
      </c>
      <c r="I138" s="125">
        <v>0.92</v>
      </c>
      <c r="J138" s="71" t="s">
        <v>180</v>
      </c>
      <c r="K138" s="15"/>
      <c r="L138" s="5"/>
    </row>
    <row r="139" spans="2:13" ht="13.5" thickBot="1" x14ac:dyDescent="0.25">
      <c r="G139" s="112">
        <f>G137*G138</f>
        <v>0</v>
      </c>
      <c r="H139" s="112">
        <f>H137*H138</f>
        <v>0</v>
      </c>
      <c r="I139" s="112">
        <f>I137*I138</f>
        <v>0</v>
      </c>
      <c r="J139" s="71" t="s">
        <v>182</v>
      </c>
      <c r="K139" s="15"/>
      <c r="L139" s="5"/>
    </row>
    <row r="140" spans="2:13" ht="13.5" thickTop="1" x14ac:dyDescent="0.2">
      <c r="L140" s="5"/>
    </row>
    <row r="141" spans="2:13" x14ac:dyDescent="0.2">
      <c r="G141" s="110">
        <v>95817</v>
      </c>
      <c r="H141" s="110">
        <v>11483</v>
      </c>
      <c r="I141" s="110">
        <v>654320</v>
      </c>
      <c r="J141" s="3" t="s">
        <v>183</v>
      </c>
      <c r="L141" s="5"/>
    </row>
    <row r="142" spans="2:13" x14ac:dyDescent="0.2">
      <c r="G142" s="62">
        <v>0</v>
      </c>
      <c r="H142" s="62">
        <v>0</v>
      </c>
      <c r="I142" s="62">
        <v>0</v>
      </c>
      <c r="J142" s="3" t="s">
        <v>185</v>
      </c>
      <c r="L142" s="5"/>
    </row>
    <row r="143" spans="2:13" x14ac:dyDescent="0.2">
      <c r="E143" s="71"/>
      <c r="F143" s="71"/>
      <c r="G143" s="113">
        <f>SUM(G141:G142)</f>
        <v>95817</v>
      </c>
      <c r="H143" s="113">
        <f>SUM(H141:H142)</f>
        <v>11483</v>
      </c>
      <c r="I143" s="113">
        <f>SUM(I141:I142)</f>
        <v>654320</v>
      </c>
      <c r="J143" s="3" t="s">
        <v>211</v>
      </c>
      <c r="L143" s="5"/>
    </row>
    <row r="144" spans="2:13" x14ac:dyDescent="0.2">
      <c r="E144" s="71"/>
      <c r="F144" s="71"/>
      <c r="G144" s="62">
        <f>G139</f>
        <v>0</v>
      </c>
      <c r="H144" s="62">
        <f>H139</f>
        <v>0</v>
      </c>
      <c r="I144" s="62">
        <f>I139</f>
        <v>0</v>
      </c>
      <c r="J144" s="3" t="s">
        <v>212</v>
      </c>
      <c r="L144" s="5"/>
    </row>
    <row r="145" spans="5:12" x14ac:dyDescent="0.2">
      <c r="E145" s="71"/>
      <c r="F145" s="71"/>
      <c r="G145" s="113">
        <f>SUM(G143:G144)</f>
        <v>95817</v>
      </c>
      <c r="H145" s="113">
        <f>SUM(H143:H144)</f>
        <v>11483</v>
      </c>
      <c r="I145" s="113">
        <f>SUM(I143:I144)</f>
        <v>654320</v>
      </c>
      <c r="J145" s="3" t="s">
        <v>188</v>
      </c>
      <c r="L145" s="5"/>
    </row>
    <row r="146" spans="5:12" x14ac:dyDescent="0.2">
      <c r="E146" s="71"/>
      <c r="F146" s="71"/>
      <c r="G146" s="38"/>
      <c r="H146" s="38"/>
      <c r="I146" s="126">
        <f>K123</f>
        <v>0</v>
      </c>
      <c r="J146" s="3" t="s">
        <v>189</v>
      </c>
      <c r="L146" s="5"/>
    </row>
    <row r="147" spans="5:12" ht="13.5" thickBot="1" x14ac:dyDescent="0.25">
      <c r="G147" s="64">
        <f>SUM(G145:G146)</f>
        <v>95817</v>
      </c>
      <c r="H147" s="64">
        <f>SUM(H145:H146)</f>
        <v>11483</v>
      </c>
      <c r="I147" s="64">
        <f>SUM(I145:I146)</f>
        <v>654320</v>
      </c>
      <c r="J147" s="3" t="s">
        <v>213</v>
      </c>
      <c r="L147" s="5"/>
    </row>
    <row r="148" spans="5:12" ht="13.5" thickTop="1" x14ac:dyDescent="0.2">
      <c r="G148" s="132" t="s">
        <v>191</v>
      </c>
      <c r="H148" s="132"/>
      <c r="I148" s="132"/>
      <c r="L148" s="5"/>
    </row>
    <row r="149" spans="5:12" x14ac:dyDescent="0.2">
      <c r="L149" s="5"/>
    </row>
    <row r="150" spans="5:12" x14ac:dyDescent="0.2">
      <c r="L150" s="5"/>
    </row>
    <row r="151" spans="5:12" x14ac:dyDescent="0.2">
      <c r="G151" s="100" t="s">
        <v>192</v>
      </c>
      <c r="H151" s="100" t="s">
        <v>193</v>
      </c>
      <c r="I151" s="100" t="s">
        <v>79</v>
      </c>
      <c r="J151" s="117" t="s">
        <v>53</v>
      </c>
      <c r="L151" s="5"/>
    </row>
    <row r="152" spans="5:12" x14ac:dyDescent="0.2">
      <c r="E152" s="10" t="s">
        <v>194</v>
      </c>
      <c r="G152" s="118">
        <v>47873</v>
      </c>
      <c r="H152" s="118">
        <v>10417</v>
      </c>
      <c r="I152" s="118">
        <v>533316</v>
      </c>
      <c r="J152" s="118">
        <v>0</v>
      </c>
      <c r="K152" s="118">
        <v>591607</v>
      </c>
      <c r="L152" s="5"/>
    </row>
    <row r="153" spans="5:12" x14ac:dyDescent="0.2">
      <c r="L153" s="5"/>
    </row>
    <row r="154" spans="5:12" x14ac:dyDescent="0.2">
      <c r="E154" s="10" t="s">
        <v>195</v>
      </c>
      <c r="G154" s="110">
        <f>G139</f>
        <v>0</v>
      </c>
      <c r="H154" s="110">
        <f>H139</f>
        <v>0</v>
      </c>
      <c r="I154" s="110">
        <f>I139</f>
        <v>0</v>
      </c>
      <c r="J154" s="110">
        <v>0</v>
      </c>
      <c r="K154" s="110">
        <f>SUM(G154:J154)</f>
        <v>0</v>
      </c>
      <c r="L154" s="5"/>
    </row>
    <row r="155" spans="5:12" x14ac:dyDescent="0.2">
      <c r="E155" s="10" t="s">
        <v>196</v>
      </c>
      <c r="G155" s="114"/>
      <c r="H155" s="114"/>
      <c r="I155" s="119">
        <v>0</v>
      </c>
      <c r="J155" s="119">
        <v>0</v>
      </c>
      <c r="K155" s="119">
        <f>SUM(G155:J155)</f>
        <v>0</v>
      </c>
      <c r="L155" s="5"/>
    </row>
    <row r="156" spans="5:12" x14ac:dyDescent="0.2">
      <c r="E156" s="10" t="s">
        <v>197</v>
      </c>
      <c r="G156" s="120">
        <f>SUM(G154:G155)</f>
        <v>0</v>
      </c>
      <c r="H156" s="120">
        <f>SUM(H154:H155)</f>
        <v>0</v>
      </c>
      <c r="I156" s="120">
        <f>SUM(I154:I155)</f>
        <v>0</v>
      </c>
      <c r="J156" s="120">
        <f>SUM(J154:J155)</f>
        <v>0</v>
      </c>
      <c r="K156" s="120">
        <f>SUM(K154:K155)</f>
        <v>0</v>
      </c>
      <c r="L156" s="5"/>
    </row>
    <row r="157" spans="5:12" x14ac:dyDescent="0.2">
      <c r="L157" s="5"/>
    </row>
    <row r="158" spans="5:12" ht="13.5" thickBot="1" x14ac:dyDescent="0.25">
      <c r="E158" s="10" t="s">
        <v>198</v>
      </c>
      <c r="G158" s="101">
        <f>G152+G156</f>
        <v>47873</v>
      </c>
      <c r="H158" s="101">
        <f>H152+H156</f>
        <v>10417</v>
      </c>
      <c r="I158" s="101">
        <f>I152+I156</f>
        <v>533316</v>
      </c>
      <c r="J158" s="101">
        <f>J152+J156</f>
        <v>0</v>
      </c>
      <c r="K158" s="101">
        <f>K152+K156</f>
        <v>591607</v>
      </c>
      <c r="L158" s="5"/>
    </row>
    <row r="159" spans="5:12" ht="13.5" thickTop="1" x14ac:dyDescent="0.2">
      <c r="L159" s="5"/>
    </row>
    <row r="160" spans="5:12" x14ac:dyDescent="0.2">
      <c r="G160" s="100" t="s">
        <v>192</v>
      </c>
      <c r="H160" s="100" t="s">
        <v>193</v>
      </c>
      <c r="I160" s="100" t="s">
        <v>79</v>
      </c>
      <c r="J160" s="117" t="s">
        <v>53</v>
      </c>
      <c r="L160" s="5"/>
    </row>
    <row r="161" spans="5:12" x14ac:dyDescent="0.2">
      <c r="E161" s="10" t="s">
        <v>199</v>
      </c>
      <c r="G161" s="118">
        <v>86733</v>
      </c>
      <c r="H161" s="118">
        <v>13140</v>
      </c>
      <c r="I161" s="118">
        <v>688417</v>
      </c>
      <c r="J161" s="118">
        <v>0</v>
      </c>
      <c r="K161" s="118">
        <v>788291</v>
      </c>
      <c r="L161" s="5"/>
    </row>
    <row r="162" spans="5:12" x14ac:dyDescent="0.2">
      <c r="G162" s="38"/>
      <c r="H162" s="38"/>
      <c r="I162" s="38"/>
      <c r="J162" s="38"/>
      <c r="K162" s="38"/>
      <c r="L162" s="5"/>
    </row>
    <row r="163" spans="5:12" x14ac:dyDescent="0.2">
      <c r="E163" s="10" t="s">
        <v>214</v>
      </c>
      <c r="G163" s="63">
        <f>G156</f>
        <v>0</v>
      </c>
      <c r="H163" s="63">
        <f>H156</f>
        <v>0</v>
      </c>
      <c r="I163" s="63">
        <f>I156</f>
        <v>0</v>
      </c>
      <c r="J163" s="63">
        <f>J156</f>
        <v>0</v>
      </c>
      <c r="K163" s="63">
        <f>SUM(G163:J163)</f>
        <v>0</v>
      </c>
      <c r="L163" s="5"/>
    </row>
    <row r="164" spans="5:12" x14ac:dyDescent="0.2">
      <c r="L164" s="5"/>
    </row>
    <row r="165" spans="5:12" x14ac:dyDescent="0.2">
      <c r="E165" s="10" t="s">
        <v>201</v>
      </c>
      <c r="G165" s="61">
        <f>G42</f>
        <v>14644</v>
      </c>
      <c r="H165" s="114"/>
      <c r="I165" s="114"/>
      <c r="J165" s="114"/>
      <c r="K165" s="61">
        <f>SUM(G165:J165)</f>
        <v>14644</v>
      </c>
      <c r="L165" s="5"/>
    </row>
    <row r="166" spans="5:12" ht="13.5" thickBot="1" x14ac:dyDescent="0.25">
      <c r="K166" s="101">
        <f>SUM(K161:K165)</f>
        <v>802935</v>
      </c>
      <c r="L166" s="5"/>
    </row>
    <row r="167" spans="5:12" ht="13.5" thickTop="1" x14ac:dyDescent="0.2">
      <c r="K167" s="122"/>
      <c r="L167" s="5"/>
    </row>
    <row r="168" spans="5:12" ht="13.5" thickBot="1" x14ac:dyDescent="0.25">
      <c r="E168" s="10" t="s">
        <v>202</v>
      </c>
      <c r="G168" s="101">
        <f>SUM(G161:G165)</f>
        <v>101377</v>
      </c>
      <c r="H168" s="101">
        <f>SUM(H161:H165)</f>
        <v>13140</v>
      </c>
      <c r="I168" s="101">
        <f>SUM(I161:I165)</f>
        <v>688417</v>
      </c>
      <c r="J168" s="101">
        <f>SUM(J161:J165)</f>
        <v>0</v>
      </c>
      <c r="K168" s="101">
        <f>SUM(G168:J168)</f>
        <v>802934</v>
      </c>
      <c r="L168" s="5"/>
    </row>
    <row r="169" spans="5:12" ht="13.5" thickTop="1" x14ac:dyDescent="0.2"/>
    <row r="176" spans="5:12" x14ac:dyDescent="0.2">
      <c r="G176" s="110"/>
      <c r="H176" s="110"/>
      <c r="I176" s="110"/>
      <c r="J176" s="15"/>
      <c r="K176" s="15"/>
    </row>
    <row r="177" spans="7:11" x14ac:dyDescent="0.2">
      <c r="G177" s="15"/>
      <c r="H177" s="15"/>
      <c r="I177" s="15"/>
      <c r="J177" s="15"/>
      <c r="K177" s="15"/>
    </row>
    <row r="178" spans="7:11" x14ac:dyDescent="0.2">
      <c r="G178" s="15"/>
      <c r="H178" s="15"/>
      <c r="I178" s="15"/>
      <c r="J178" s="15"/>
      <c r="K178" s="15"/>
    </row>
  </sheetData>
  <mergeCells count="4">
    <mergeCell ref="G3:K3"/>
    <mergeCell ref="M3:Q3"/>
    <mergeCell ref="D132:D134"/>
    <mergeCell ref="G148:I148"/>
  </mergeCells>
  <printOptions horizontalCentered="1"/>
  <pageMargins left="0.25" right="0.25" top="0.5" bottom="0.25" header="0.25" footer="0"/>
  <pageSetup scale="58" fitToHeight="0" orientation="landscape" copies="2" r:id="rId1"/>
  <headerFooter alignWithMargins="0"/>
  <rowBreaks count="1" manualBreakCount="1">
    <brk id="58" max="1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B204"/>
  <sheetViews>
    <sheetView zoomScaleNormal="100" workbookViewId="0">
      <selection activeCell="B1" sqref="B1"/>
    </sheetView>
  </sheetViews>
  <sheetFormatPr defaultRowHeight="12.75" x14ac:dyDescent="0.2"/>
  <cols>
    <col min="1" max="1" width="0.85546875" style="3" customWidth="1"/>
    <col min="2" max="2" width="22.140625" style="3" customWidth="1"/>
    <col min="3" max="3" width="0.85546875" style="3" customWidth="1"/>
    <col min="4" max="4" width="32.7109375" style="3" customWidth="1"/>
    <col min="5" max="5" width="22" style="3" bestFit="1" customWidth="1"/>
    <col min="6" max="6" width="0.85546875" style="3" customWidth="1"/>
    <col min="7" max="7" width="15.85546875" style="3" customWidth="1"/>
    <col min="8" max="8" width="16" style="3" customWidth="1"/>
    <col min="9" max="9" width="16.42578125" style="3" customWidth="1"/>
    <col min="10" max="10" width="17.28515625" style="3" customWidth="1"/>
    <col min="11" max="11" width="16.85546875" style="3" customWidth="1"/>
    <col min="12" max="12" width="1.7109375" style="3" customWidth="1"/>
    <col min="13" max="13" width="17.140625" style="3" customWidth="1"/>
    <col min="14" max="14" width="14.7109375" style="3" customWidth="1"/>
    <col min="15" max="15" width="17.28515625" style="3" customWidth="1"/>
    <col min="16" max="16" width="14.7109375" style="3" customWidth="1"/>
    <col min="17" max="17" width="16.5703125" style="3" customWidth="1"/>
    <col min="18" max="18" width="2.42578125" style="3" customWidth="1"/>
    <col min="19" max="26" width="16.5703125" style="3" customWidth="1"/>
    <col min="27" max="27" width="13.140625" style="3" bestFit="1" customWidth="1"/>
    <col min="28" max="28" width="47" style="3" bestFit="1" customWidth="1"/>
    <col min="29" max="256" width="9.140625" style="3"/>
    <col min="257" max="257" width="0.85546875" style="3" customWidth="1"/>
    <col min="258" max="258" width="22.140625" style="3" customWidth="1"/>
    <col min="259" max="259" width="0.85546875" style="3" customWidth="1"/>
    <col min="260" max="260" width="32.7109375" style="3" customWidth="1"/>
    <col min="261" max="261" width="22" style="3" bestFit="1" customWidth="1"/>
    <col min="262" max="262" width="0.85546875" style="3" customWidth="1"/>
    <col min="263" max="263" width="15.85546875" style="3" customWidth="1"/>
    <col min="264" max="264" width="16" style="3" customWidth="1"/>
    <col min="265" max="265" width="16.42578125" style="3" customWidth="1"/>
    <col min="266" max="266" width="17.28515625" style="3" customWidth="1"/>
    <col min="267" max="267" width="16.85546875" style="3" customWidth="1"/>
    <col min="268" max="268" width="1.7109375" style="3" customWidth="1"/>
    <col min="269" max="269" width="17.140625" style="3" customWidth="1"/>
    <col min="270" max="270" width="14.7109375" style="3" customWidth="1"/>
    <col min="271" max="271" width="17.28515625" style="3" customWidth="1"/>
    <col min="272" max="272" width="14.7109375" style="3" customWidth="1"/>
    <col min="273" max="273" width="16.5703125" style="3" customWidth="1"/>
    <col min="274" max="274" width="2.42578125" style="3" customWidth="1"/>
    <col min="275" max="282" width="16.5703125" style="3" customWidth="1"/>
    <col min="283" max="283" width="13.140625" style="3" bestFit="1" customWidth="1"/>
    <col min="284" max="284" width="47" style="3" bestFit="1" customWidth="1"/>
    <col min="285" max="512" width="9.140625" style="3"/>
    <col min="513" max="513" width="0.85546875" style="3" customWidth="1"/>
    <col min="514" max="514" width="22.140625" style="3" customWidth="1"/>
    <col min="515" max="515" width="0.85546875" style="3" customWidth="1"/>
    <col min="516" max="516" width="32.7109375" style="3" customWidth="1"/>
    <col min="517" max="517" width="22" style="3" bestFit="1" customWidth="1"/>
    <col min="518" max="518" width="0.85546875" style="3" customWidth="1"/>
    <col min="519" max="519" width="15.85546875" style="3" customWidth="1"/>
    <col min="520" max="520" width="16" style="3" customWidth="1"/>
    <col min="521" max="521" width="16.42578125" style="3" customWidth="1"/>
    <col min="522" max="522" width="17.28515625" style="3" customWidth="1"/>
    <col min="523" max="523" width="16.85546875" style="3" customWidth="1"/>
    <col min="524" max="524" width="1.7109375" style="3" customWidth="1"/>
    <col min="525" max="525" width="17.140625" style="3" customWidth="1"/>
    <col min="526" max="526" width="14.7109375" style="3" customWidth="1"/>
    <col min="527" max="527" width="17.28515625" style="3" customWidth="1"/>
    <col min="528" max="528" width="14.7109375" style="3" customWidth="1"/>
    <col min="529" max="529" width="16.5703125" style="3" customWidth="1"/>
    <col min="530" max="530" width="2.42578125" style="3" customWidth="1"/>
    <col min="531" max="538" width="16.5703125" style="3" customWidth="1"/>
    <col min="539" max="539" width="13.140625" style="3" bestFit="1" customWidth="1"/>
    <col min="540" max="540" width="47" style="3" bestFit="1" customWidth="1"/>
    <col min="541" max="768" width="9.140625" style="3"/>
    <col min="769" max="769" width="0.85546875" style="3" customWidth="1"/>
    <col min="770" max="770" width="22.140625" style="3" customWidth="1"/>
    <col min="771" max="771" width="0.85546875" style="3" customWidth="1"/>
    <col min="772" max="772" width="32.7109375" style="3" customWidth="1"/>
    <col min="773" max="773" width="22" style="3" bestFit="1" customWidth="1"/>
    <col min="774" max="774" width="0.85546875" style="3" customWidth="1"/>
    <col min="775" max="775" width="15.85546875" style="3" customWidth="1"/>
    <col min="776" max="776" width="16" style="3" customWidth="1"/>
    <col min="777" max="777" width="16.42578125" style="3" customWidth="1"/>
    <col min="778" max="778" width="17.28515625" style="3" customWidth="1"/>
    <col min="779" max="779" width="16.85546875" style="3" customWidth="1"/>
    <col min="780" max="780" width="1.7109375" style="3" customWidth="1"/>
    <col min="781" max="781" width="17.140625" style="3" customWidth="1"/>
    <col min="782" max="782" width="14.7109375" style="3" customWidth="1"/>
    <col min="783" max="783" width="17.28515625" style="3" customWidth="1"/>
    <col min="784" max="784" width="14.7109375" style="3" customWidth="1"/>
    <col min="785" max="785" width="16.5703125" style="3" customWidth="1"/>
    <col min="786" max="786" width="2.42578125" style="3" customWidth="1"/>
    <col min="787" max="794" width="16.5703125" style="3" customWidth="1"/>
    <col min="795" max="795" width="13.140625" style="3" bestFit="1" customWidth="1"/>
    <col min="796" max="796" width="47" style="3" bestFit="1" customWidth="1"/>
    <col min="797" max="1024" width="9.140625" style="3"/>
    <col min="1025" max="1025" width="0.85546875" style="3" customWidth="1"/>
    <col min="1026" max="1026" width="22.140625" style="3" customWidth="1"/>
    <col min="1027" max="1027" width="0.85546875" style="3" customWidth="1"/>
    <col min="1028" max="1028" width="32.7109375" style="3" customWidth="1"/>
    <col min="1029" max="1029" width="22" style="3" bestFit="1" customWidth="1"/>
    <col min="1030" max="1030" width="0.85546875" style="3" customWidth="1"/>
    <col min="1031" max="1031" width="15.85546875" style="3" customWidth="1"/>
    <col min="1032" max="1032" width="16" style="3" customWidth="1"/>
    <col min="1033" max="1033" width="16.42578125" style="3" customWidth="1"/>
    <col min="1034" max="1034" width="17.28515625" style="3" customWidth="1"/>
    <col min="1035" max="1035" width="16.85546875" style="3" customWidth="1"/>
    <col min="1036" max="1036" width="1.7109375" style="3" customWidth="1"/>
    <col min="1037" max="1037" width="17.140625" style="3" customWidth="1"/>
    <col min="1038" max="1038" width="14.7109375" style="3" customWidth="1"/>
    <col min="1039" max="1039" width="17.28515625" style="3" customWidth="1"/>
    <col min="1040" max="1040" width="14.7109375" style="3" customWidth="1"/>
    <col min="1041" max="1041" width="16.5703125" style="3" customWidth="1"/>
    <col min="1042" max="1042" width="2.42578125" style="3" customWidth="1"/>
    <col min="1043" max="1050" width="16.5703125" style="3" customWidth="1"/>
    <col min="1051" max="1051" width="13.140625" style="3" bestFit="1" customWidth="1"/>
    <col min="1052" max="1052" width="47" style="3" bestFit="1" customWidth="1"/>
    <col min="1053" max="1280" width="9.140625" style="3"/>
    <col min="1281" max="1281" width="0.85546875" style="3" customWidth="1"/>
    <col min="1282" max="1282" width="22.140625" style="3" customWidth="1"/>
    <col min="1283" max="1283" width="0.85546875" style="3" customWidth="1"/>
    <col min="1284" max="1284" width="32.7109375" style="3" customWidth="1"/>
    <col min="1285" max="1285" width="22" style="3" bestFit="1" customWidth="1"/>
    <col min="1286" max="1286" width="0.85546875" style="3" customWidth="1"/>
    <col min="1287" max="1287" width="15.85546875" style="3" customWidth="1"/>
    <col min="1288" max="1288" width="16" style="3" customWidth="1"/>
    <col min="1289" max="1289" width="16.42578125" style="3" customWidth="1"/>
    <col min="1290" max="1290" width="17.28515625" style="3" customWidth="1"/>
    <col min="1291" max="1291" width="16.85546875" style="3" customWidth="1"/>
    <col min="1292" max="1292" width="1.7109375" style="3" customWidth="1"/>
    <col min="1293" max="1293" width="17.140625" style="3" customWidth="1"/>
    <col min="1294" max="1294" width="14.7109375" style="3" customWidth="1"/>
    <col min="1295" max="1295" width="17.28515625" style="3" customWidth="1"/>
    <col min="1296" max="1296" width="14.7109375" style="3" customWidth="1"/>
    <col min="1297" max="1297" width="16.5703125" style="3" customWidth="1"/>
    <col min="1298" max="1298" width="2.42578125" style="3" customWidth="1"/>
    <col min="1299" max="1306" width="16.5703125" style="3" customWidth="1"/>
    <col min="1307" max="1307" width="13.140625" style="3" bestFit="1" customWidth="1"/>
    <col min="1308" max="1308" width="47" style="3" bestFit="1" customWidth="1"/>
    <col min="1309" max="1536" width="9.140625" style="3"/>
    <col min="1537" max="1537" width="0.85546875" style="3" customWidth="1"/>
    <col min="1538" max="1538" width="22.140625" style="3" customWidth="1"/>
    <col min="1539" max="1539" width="0.85546875" style="3" customWidth="1"/>
    <col min="1540" max="1540" width="32.7109375" style="3" customWidth="1"/>
    <col min="1541" max="1541" width="22" style="3" bestFit="1" customWidth="1"/>
    <col min="1542" max="1542" width="0.85546875" style="3" customWidth="1"/>
    <col min="1543" max="1543" width="15.85546875" style="3" customWidth="1"/>
    <col min="1544" max="1544" width="16" style="3" customWidth="1"/>
    <col min="1545" max="1545" width="16.42578125" style="3" customWidth="1"/>
    <col min="1546" max="1546" width="17.28515625" style="3" customWidth="1"/>
    <col min="1547" max="1547" width="16.85546875" style="3" customWidth="1"/>
    <col min="1548" max="1548" width="1.7109375" style="3" customWidth="1"/>
    <col min="1549" max="1549" width="17.140625" style="3" customWidth="1"/>
    <col min="1550" max="1550" width="14.7109375" style="3" customWidth="1"/>
    <col min="1551" max="1551" width="17.28515625" style="3" customWidth="1"/>
    <col min="1552" max="1552" width="14.7109375" style="3" customWidth="1"/>
    <col min="1553" max="1553" width="16.5703125" style="3" customWidth="1"/>
    <col min="1554" max="1554" width="2.42578125" style="3" customWidth="1"/>
    <col min="1555" max="1562" width="16.5703125" style="3" customWidth="1"/>
    <col min="1563" max="1563" width="13.140625" style="3" bestFit="1" customWidth="1"/>
    <col min="1564" max="1564" width="47" style="3" bestFit="1" customWidth="1"/>
    <col min="1565" max="1792" width="9.140625" style="3"/>
    <col min="1793" max="1793" width="0.85546875" style="3" customWidth="1"/>
    <col min="1794" max="1794" width="22.140625" style="3" customWidth="1"/>
    <col min="1795" max="1795" width="0.85546875" style="3" customWidth="1"/>
    <col min="1796" max="1796" width="32.7109375" style="3" customWidth="1"/>
    <col min="1797" max="1797" width="22" style="3" bestFit="1" customWidth="1"/>
    <col min="1798" max="1798" width="0.85546875" style="3" customWidth="1"/>
    <col min="1799" max="1799" width="15.85546875" style="3" customWidth="1"/>
    <col min="1800" max="1800" width="16" style="3" customWidth="1"/>
    <col min="1801" max="1801" width="16.42578125" style="3" customWidth="1"/>
    <col min="1802" max="1802" width="17.28515625" style="3" customWidth="1"/>
    <col min="1803" max="1803" width="16.85546875" style="3" customWidth="1"/>
    <col min="1804" max="1804" width="1.7109375" style="3" customWidth="1"/>
    <col min="1805" max="1805" width="17.140625" style="3" customWidth="1"/>
    <col min="1806" max="1806" width="14.7109375" style="3" customWidth="1"/>
    <col min="1807" max="1807" width="17.28515625" style="3" customWidth="1"/>
    <col min="1808" max="1808" width="14.7109375" style="3" customWidth="1"/>
    <col min="1809" max="1809" width="16.5703125" style="3" customWidth="1"/>
    <col min="1810" max="1810" width="2.42578125" style="3" customWidth="1"/>
    <col min="1811" max="1818" width="16.5703125" style="3" customWidth="1"/>
    <col min="1819" max="1819" width="13.140625" style="3" bestFit="1" customWidth="1"/>
    <col min="1820" max="1820" width="47" style="3" bestFit="1" customWidth="1"/>
    <col min="1821" max="2048" width="9.140625" style="3"/>
    <col min="2049" max="2049" width="0.85546875" style="3" customWidth="1"/>
    <col min="2050" max="2050" width="22.140625" style="3" customWidth="1"/>
    <col min="2051" max="2051" width="0.85546875" style="3" customWidth="1"/>
    <col min="2052" max="2052" width="32.7109375" style="3" customWidth="1"/>
    <col min="2053" max="2053" width="22" style="3" bestFit="1" customWidth="1"/>
    <col min="2054" max="2054" width="0.85546875" style="3" customWidth="1"/>
    <col min="2055" max="2055" width="15.85546875" style="3" customWidth="1"/>
    <col min="2056" max="2056" width="16" style="3" customWidth="1"/>
    <col min="2057" max="2057" width="16.42578125" style="3" customWidth="1"/>
    <col min="2058" max="2058" width="17.28515625" style="3" customWidth="1"/>
    <col min="2059" max="2059" width="16.85546875" style="3" customWidth="1"/>
    <col min="2060" max="2060" width="1.7109375" style="3" customWidth="1"/>
    <col min="2061" max="2061" width="17.140625" style="3" customWidth="1"/>
    <col min="2062" max="2062" width="14.7109375" style="3" customWidth="1"/>
    <col min="2063" max="2063" width="17.28515625" style="3" customWidth="1"/>
    <col min="2064" max="2064" width="14.7109375" style="3" customWidth="1"/>
    <col min="2065" max="2065" width="16.5703125" style="3" customWidth="1"/>
    <col min="2066" max="2066" width="2.42578125" style="3" customWidth="1"/>
    <col min="2067" max="2074" width="16.5703125" style="3" customWidth="1"/>
    <col min="2075" max="2075" width="13.140625" style="3" bestFit="1" customWidth="1"/>
    <col min="2076" max="2076" width="47" style="3" bestFit="1" customWidth="1"/>
    <col min="2077" max="2304" width="9.140625" style="3"/>
    <col min="2305" max="2305" width="0.85546875" style="3" customWidth="1"/>
    <col min="2306" max="2306" width="22.140625" style="3" customWidth="1"/>
    <col min="2307" max="2307" width="0.85546875" style="3" customWidth="1"/>
    <col min="2308" max="2308" width="32.7109375" style="3" customWidth="1"/>
    <col min="2309" max="2309" width="22" style="3" bestFit="1" customWidth="1"/>
    <col min="2310" max="2310" width="0.85546875" style="3" customWidth="1"/>
    <col min="2311" max="2311" width="15.85546875" style="3" customWidth="1"/>
    <col min="2312" max="2312" width="16" style="3" customWidth="1"/>
    <col min="2313" max="2313" width="16.42578125" style="3" customWidth="1"/>
    <col min="2314" max="2314" width="17.28515625" style="3" customWidth="1"/>
    <col min="2315" max="2315" width="16.85546875" style="3" customWidth="1"/>
    <col min="2316" max="2316" width="1.7109375" style="3" customWidth="1"/>
    <col min="2317" max="2317" width="17.140625" style="3" customWidth="1"/>
    <col min="2318" max="2318" width="14.7109375" style="3" customWidth="1"/>
    <col min="2319" max="2319" width="17.28515625" style="3" customWidth="1"/>
    <col min="2320" max="2320" width="14.7109375" style="3" customWidth="1"/>
    <col min="2321" max="2321" width="16.5703125" style="3" customWidth="1"/>
    <col min="2322" max="2322" width="2.42578125" style="3" customWidth="1"/>
    <col min="2323" max="2330" width="16.5703125" style="3" customWidth="1"/>
    <col min="2331" max="2331" width="13.140625" style="3" bestFit="1" customWidth="1"/>
    <col min="2332" max="2332" width="47" style="3" bestFit="1" customWidth="1"/>
    <col min="2333" max="2560" width="9.140625" style="3"/>
    <col min="2561" max="2561" width="0.85546875" style="3" customWidth="1"/>
    <col min="2562" max="2562" width="22.140625" style="3" customWidth="1"/>
    <col min="2563" max="2563" width="0.85546875" style="3" customWidth="1"/>
    <col min="2564" max="2564" width="32.7109375" style="3" customWidth="1"/>
    <col min="2565" max="2565" width="22" style="3" bestFit="1" customWidth="1"/>
    <col min="2566" max="2566" width="0.85546875" style="3" customWidth="1"/>
    <col min="2567" max="2567" width="15.85546875" style="3" customWidth="1"/>
    <col min="2568" max="2568" width="16" style="3" customWidth="1"/>
    <col min="2569" max="2569" width="16.42578125" style="3" customWidth="1"/>
    <col min="2570" max="2570" width="17.28515625" style="3" customWidth="1"/>
    <col min="2571" max="2571" width="16.85546875" style="3" customWidth="1"/>
    <col min="2572" max="2572" width="1.7109375" style="3" customWidth="1"/>
    <col min="2573" max="2573" width="17.140625" style="3" customWidth="1"/>
    <col min="2574" max="2574" width="14.7109375" style="3" customWidth="1"/>
    <col min="2575" max="2575" width="17.28515625" style="3" customWidth="1"/>
    <col min="2576" max="2576" width="14.7109375" style="3" customWidth="1"/>
    <col min="2577" max="2577" width="16.5703125" style="3" customWidth="1"/>
    <col min="2578" max="2578" width="2.42578125" style="3" customWidth="1"/>
    <col min="2579" max="2586" width="16.5703125" style="3" customWidth="1"/>
    <col min="2587" max="2587" width="13.140625" style="3" bestFit="1" customWidth="1"/>
    <col min="2588" max="2588" width="47" style="3" bestFit="1" customWidth="1"/>
    <col min="2589" max="2816" width="9.140625" style="3"/>
    <col min="2817" max="2817" width="0.85546875" style="3" customWidth="1"/>
    <col min="2818" max="2818" width="22.140625" style="3" customWidth="1"/>
    <col min="2819" max="2819" width="0.85546875" style="3" customWidth="1"/>
    <col min="2820" max="2820" width="32.7109375" style="3" customWidth="1"/>
    <col min="2821" max="2821" width="22" style="3" bestFit="1" customWidth="1"/>
    <col min="2822" max="2822" width="0.85546875" style="3" customWidth="1"/>
    <col min="2823" max="2823" width="15.85546875" style="3" customWidth="1"/>
    <col min="2824" max="2824" width="16" style="3" customWidth="1"/>
    <col min="2825" max="2825" width="16.42578125" style="3" customWidth="1"/>
    <col min="2826" max="2826" width="17.28515625" style="3" customWidth="1"/>
    <col min="2827" max="2827" width="16.85546875" style="3" customWidth="1"/>
    <col min="2828" max="2828" width="1.7109375" style="3" customWidth="1"/>
    <col min="2829" max="2829" width="17.140625" style="3" customWidth="1"/>
    <col min="2830" max="2830" width="14.7109375" style="3" customWidth="1"/>
    <col min="2831" max="2831" width="17.28515625" style="3" customWidth="1"/>
    <col min="2832" max="2832" width="14.7109375" style="3" customWidth="1"/>
    <col min="2833" max="2833" width="16.5703125" style="3" customWidth="1"/>
    <col min="2834" max="2834" width="2.42578125" style="3" customWidth="1"/>
    <col min="2835" max="2842" width="16.5703125" style="3" customWidth="1"/>
    <col min="2843" max="2843" width="13.140625" style="3" bestFit="1" customWidth="1"/>
    <col min="2844" max="2844" width="47" style="3" bestFit="1" customWidth="1"/>
    <col min="2845" max="3072" width="9.140625" style="3"/>
    <col min="3073" max="3073" width="0.85546875" style="3" customWidth="1"/>
    <col min="3074" max="3074" width="22.140625" style="3" customWidth="1"/>
    <col min="3075" max="3075" width="0.85546875" style="3" customWidth="1"/>
    <col min="3076" max="3076" width="32.7109375" style="3" customWidth="1"/>
    <col min="3077" max="3077" width="22" style="3" bestFit="1" customWidth="1"/>
    <col min="3078" max="3078" width="0.85546875" style="3" customWidth="1"/>
    <col min="3079" max="3079" width="15.85546875" style="3" customWidth="1"/>
    <col min="3080" max="3080" width="16" style="3" customWidth="1"/>
    <col min="3081" max="3081" width="16.42578125" style="3" customWidth="1"/>
    <col min="3082" max="3082" width="17.28515625" style="3" customWidth="1"/>
    <col min="3083" max="3083" width="16.85546875" style="3" customWidth="1"/>
    <col min="3084" max="3084" width="1.7109375" style="3" customWidth="1"/>
    <col min="3085" max="3085" width="17.140625" style="3" customWidth="1"/>
    <col min="3086" max="3086" width="14.7109375" style="3" customWidth="1"/>
    <col min="3087" max="3087" width="17.28515625" style="3" customWidth="1"/>
    <col min="3088" max="3088" width="14.7109375" style="3" customWidth="1"/>
    <col min="3089" max="3089" width="16.5703125" style="3" customWidth="1"/>
    <col min="3090" max="3090" width="2.42578125" style="3" customWidth="1"/>
    <col min="3091" max="3098" width="16.5703125" style="3" customWidth="1"/>
    <col min="3099" max="3099" width="13.140625" style="3" bestFit="1" customWidth="1"/>
    <col min="3100" max="3100" width="47" style="3" bestFit="1" customWidth="1"/>
    <col min="3101" max="3328" width="9.140625" style="3"/>
    <col min="3329" max="3329" width="0.85546875" style="3" customWidth="1"/>
    <col min="3330" max="3330" width="22.140625" style="3" customWidth="1"/>
    <col min="3331" max="3331" width="0.85546875" style="3" customWidth="1"/>
    <col min="3332" max="3332" width="32.7109375" style="3" customWidth="1"/>
    <col min="3333" max="3333" width="22" style="3" bestFit="1" customWidth="1"/>
    <col min="3334" max="3334" width="0.85546875" style="3" customWidth="1"/>
    <col min="3335" max="3335" width="15.85546875" style="3" customWidth="1"/>
    <col min="3336" max="3336" width="16" style="3" customWidth="1"/>
    <col min="3337" max="3337" width="16.42578125" style="3" customWidth="1"/>
    <col min="3338" max="3338" width="17.28515625" style="3" customWidth="1"/>
    <col min="3339" max="3339" width="16.85546875" style="3" customWidth="1"/>
    <col min="3340" max="3340" width="1.7109375" style="3" customWidth="1"/>
    <col min="3341" max="3341" width="17.140625" style="3" customWidth="1"/>
    <col min="3342" max="3342" width="14.7109375" style="3" customWidth="1"/>
    <col min="3343" max="3343" width="17.28515625" style="3" customWidth="1"/>
    <col min="3344" max="3344" width="14.7109375" style="3" customWidth="1"/>
    <col min="3345" max="3345" width="16.5703125" style="3" customWidth="1"/>
    <col min="3346" max="3346" width="2.42578125" style="3" customWidth="1"/>
    <col min="3347" max="3354" width="16.5703125" style="3" customWidth="1"/>
    <col min="3355" max="3355" width="13.140625" style="3" bestFit="1" customWidth="1"/>
    <col min="3356" max="3356" width="47" style="3" bestFit="1" customWidth="1"/>
    <col min="3357" max="3584" width="9.140625" style="3"/>
    <col min="3585" max="3585" width="0.85546875" style="3" customWidth="1"/>
    <col min="3586" max="3586" width="22.140625" style="3" customWidth="1"/>
    <col min="3587" max="3587" width="0.85546875" style="3" customWidth="1"/>
    <col min="3588" max="3588" width="32.7109375" style="3" customWidth="1"/>
    <col min="3589" max="3589" width="22" style="3" bestFit="1" customWidth="1"/>
    <col min="3590" max="3590" width="0.85546875" style="3" customWidth="1"/>
    <col min="3591" max="3591" width="15.85546875" style="3" customWidth="1"/>
    <col min="3592" max="3592" width="16" style="3" customWidth="1"/>
    <col min="3593" max="3593" width="16.42578125" style="3" customWidth="1"/>
    <col min="3594" max="3594" width="17.28515625" style="3" customWidth="1"/>
    <col min="3595" max="3595" width="16.85546875" style="3" customWidth="1"/>
    <col min="3596" max="3596" width="1.7109375" style="3" customWidth="1"/>
    <col min="3597" max="3597" width="17.140625" style="3" customWidth="1"/>
    <col min="3598" max="3598" width="14.7109375" style="3" customWidth="1"/>
    <col min="3599" max="3599" width="17.28515625" style="3" customWidth="1"/>
    <col min="3600" max="3600" width="14.7109375" style="3" customWidth="1"/>
    <col min="3601" max="3601" width="16.5703125" style="3" customWidth="1"/>
    <col min="3602" max="3602" width="2.42578125" style="3" customWidth="1"/>
    <col min="3603" max="3610" width="16.5703125" style="3" customWidth="1"/>
    <col min="3611" max="3611" width="13.140625" style="3" bestFit="1" customWidth="1"/>
    <col min="3612" max="3612" width="47" style="3" bestFit="1" customWidth="1"/>
    <col min="3613" max="3840" width="9.140625" style="3"/>
    <col min="3841" max="3841" width="0.85546875" style="3" customWidth="1"/>
    <col min="3842" max="3842" width="22.140625" style="3" customWidth="1"/>
    <col min="3843" max="3843" width="0.85546875" style="3" customWidth="1"/>
    <col min="3844" max="3844" width="32.7109375" style="3" customWidth="1"/>
    <col min="3845" max="3845" width="22" style="3" bestFit="1" customWidth="1"/>
    <col min="3846" max="3846" width="0.85546875" style="3" customWidth="1"/>
    <col min="3847" max="3847" width="15.85546875" style="3" customWidth="1"/>
    <col min="3848" max="3848" width="16" style="3" customWidth="1"/>
    <col min="3849" max="3849" width="16.42578125" style="3" customWidth="1"/>
    <col min="3850" max="3850" width="17.28515625" style="3" customWidth="1"/>
    <col min="3851" max="3851" width="16.85546875" style="3" customWidth="1"/>
    <col min="3852" max="3852" width="1.7109375" style="3" customWidth="1"/>
    <col min="3853" max="3853" width="17.140625" style="3" customWidth="1"/>
    <col min="3854" max="3854" width="14.7109375" style="3" customWidth="1"/>
    <col min="3855" max="3855" width="17.28515625" style="3" customWidth="1"/>
    <col min="3856" max="3856" width="14.7109375" style="3" customWidth="1"/>
    <col min="3857" max="3857" width="16.5703125" style="3" customWidth="1"/>
    <col min="3858" max="3858" width="2.42578125" style="3" customWidth="1"/>
    <col min="3859" max="3866" width="16.5703125" style="3" customWidth="1"/>
    <col min="3867" max="3867" width="13.140625" style="3" bestFit="1" customWidth="1"/>
    <col min="3868" max="3868" width="47" style="3" bestFit="1" customWidth="1"/>
    <col min="3869" max="4096" width="9.140625" style="3"/>
    <col min="4097" max="4097" width="0.85546875" style="3" customWidth="1"/>
    <col min="4098" max="4098" width="22.140625" style="3" customWidth="1"/>
    <col min="4099" max="4099" width="0.85546875" style="3" customWidth="1"/>
    <col min="4100" max="4100" width="32.7109375" style="3" customWidth="1"/>
    <col min="4101" max="4101" width="22" style="3" bestFit="1" customWidth="1"/>
    <col min="4102" max="4102" width="0.85546875" style="3" customWidth="1"/>
    <col min="4103" max="4103" width="15.85546875" style="3" customWidth="1"/>
    <col min="4104" max="4104" width="16" style="3" customWidth="1"/>
    <col min="4105" max="4105" width="16.42578125" style="3" customWidth="1"/>
    <col min="4106" max="4106" width="17.28515625" style="3" customWidth="1"/>
    <col min="4107" max="4107" width="16.85546875" style="3" customWidth="1"/>
    <col min="4108" max="4108" width="1.7109375" style="3" customWidth="1"/>
    <col min="4109" max="4109" width="17.140625" style="3" customWidth="1"/>
    <col min="4110" max="4110" width="14.7109375" style="3" customWidth="1"/>
    <col min="4111" max="4111" width="17.28515625" style="3" customWidth="1"/>
    <col min="4112" max="4112" width="14.7109375" style="3" customWidth="1"/>
    <col min="4113" max="4113" width="16.5703125" style="3" customWidth="1"/>
    <col min="4114" max="4114" width="2.42578125" style="3" customWidth="1"/>
    <col min="4115" max="4122" width="16.5703125" style="3" customWidth="1"/>
    <col min="4123" max="4123" width="13.140625" style="3" bestFit="1" customWidth="1"/>
    <col min="4124" max="4124" width="47" style="3" bestFit="1" customWidth="1"/>
    <col min="4125" max="4352" width="9.140625" style="3"/>
    <col min="4353" max="4353" width="0.85546875" style="3" customWidth="1"/>
    <col min="4354" max="4354" width="22.140625" style="3" customWidth="1"/>
    <col min="4355" max="4355" width="0.85546875" style="3" customWidth="1"/>
    <col min="4356" max="4356" width="32.7109375" style="3" customWidth="1"/>
    <col min="4357" max="4357" width="22" style="3" bestFit="1" customWidth="1"/>
    <col min="4358" max="4358" width="0.85546875" style="3" customWidth="1"/>
    <col min="4359" max="4359" width="15.85546875" style="3" customWidth="1"/>
    <col min="4360" max="4360" width="16" style="3" customWidth="1"/>
    <col min="4361" max="4361" width="16.42578125" style="3" customWidth="1"/>
    <col min="4362" max="4362" width="17.28515625" style="3" customWidth="1"/>
    <col min="4363" max="4363" width="16.85546875" style="3" customWidth="1"/>
    <col min="4364" max="4364" width="1.7109375" style="3" customWidth="1"/>
    <col min="4365" max="4365" width="17.140625" style="3" customWidth="1"/>
    <col min="4366" max="4366" width="14.7109375" style="3" customWidth="1"/>
    <col min="4367" max="4367" width="17.28515625" style="3" customWidth="1"/>
    <col min="4368" max="4368" width="14.7109375" style="3" customWidth="1"/>
    <col min="4369" max="4369" width="16.5703125" style="3" customWidth="1"/>
    <col min="4370" max="4370" width="2.42578125" style="3" customWidth="1"/>
    <col min="4371" max="4378" width="16.5703125" style="3" customWidth="1"/>
    <col min="4379" max="4379" width="13.140625" style="3" bestFit="1" customWidth="1"/>
    <col min="4380" max="4380" width="47" style="3" bestFit="1" customWidth="1"/>
    <col min="4381" max="4608" width="9.140625" style="3"/>
    <col min="4609" max="4609" width="0.85546875" style="3" customWidth="1"/>
    <col min="4610" max="4610" width="22.140625" style="3" customWidth="1"/>
    <col min="4611" max="4611" width="0.85546875" style="3" customWidth="1"/>
    <col min="4612" max="4612" width="32.7109375" style="3" customWidth="1"/>
    <col min="4613" max="4613" width="22" style="3" bestFit="1" customWidth="1"/>
    <col min="4614" max="4614" width="0.85546875" style="3" customWidth="1"/>
    <col min="4615" max="4615" width="15.85546875" style="3" customWidth="1"/>
    <col min="4616" max="4616" width="16" style="3" customWidth="1"/>
    <col min="4617" max="4617" width="16.42578125" style="3" customWidth="1"/>
    <col min="4618" max="4618" width="17.28515625" style="3" customWidth="1"/>
    <col min="4619" max="4619" width="16.85546875" style="3" customWidth="1"/>
    <col min="4620" max="4620" width="1.7109375" style="3" customWidth="1"/>
    <col min="4621" max="4621" width="17.140625" style="3" customWidth="1"/>
    <col min="4622" max="4622" width="14.7109375" style="3" customWidth="1"/>
    <col min="4623" max="4623" width="17.28515625" style="3" customWidth="1"/>
    <col min="4624" max="4624" width="14.7109375" style="3" customWidth="1"/>
    <col min="4625" max="4625" width="16.5703125" style="3" customWidth="1"/>
    <col min="4626" max="4626" width="2.42578125" style="3" customWidth="1"/>
    <col min="4627" max="4634" width="16.5703125" style="3" customWidth="1"/>
    <col min="4635" max="4635" width="13.140625" style="3" bestFit="1" customWidth="1"/>
    <col min="4636" max="4636" width="47" style="3" bestFit="1" customWidth="1"/>
    <col min="4637" max="4864" width="9.140625" style="3"/>
    <col min="4865" max="4865" width="0.85546875" style="3" customWidth="1"/>
    <col min="4866" max="4866" width="22.140625" style="3" customWidth="1"/>
    <col min="4867" max="4867" width="0.85546875" style="3" customWidth="1"/>
    <col min="4868" max="4868" width="32.7109375" style="3" customWidth="1"/>
    <col min="4869" max="4869" width="22" style="3" bestFit="1" customWidth="1"/>
    <col min="4870" max="4870" width="0.85546875" style="3" customWidth="1"/>
    <col min="4871" max="4871" width="15.85546875" style="3" customWidth="1"/>
    <col min="4872" max="4872" width="16" style="3" customWidth="1"/>
    <col min="4873" max="4873" width="16.42578125" style="3" customWidth="1"/>
    <col min="4874" max="4874" width="17.28515625" style="3" customWidth="1"/>
    <col min="4875" max="4875" width="16.85546875" style="3" customWidth="1"/>
    <col min="4876" max="4876" width="1.7109375" style="3" customWidth="1"/>
    <col min="4877" max="4877" width="17.140625" style="3" customWidth="1"/>
    <col min="4878" max="4878" width="14.7109375" style="3" customWidth="1"/>
    <col min="4879" max="4879" width="17.28515625" style="3" customWidth="1"/>
    <col min="4880" max="4880" width="14.7109375" style="3" customWidth="1"/>
    <col min="4881" max="4881" width="16.5703125" style="3" customWidth="1"/>
    <col min="4882" max="4882" width="2.42578125" style="3" customWidth="1"/>
    <col min="4883" max="4890" width="16.5703125" style="3" customWidth="1"/>
    <col min="4891" max="4891" width="13.140625" style="3" bestFit="1" customWidth="1"/>
    <col min="4892" max="4892" width="47" style="3" bestFit="1" customWidth="1"/>
    <col min="4893" max="5120" width="9.140625" style="3"/>
    <col min="5121" max="5121" width="0.85546875" style="3" customWidth="1"/>
    <col min="5122" max="5122" width="22.140625" style="3" customWidth="1"/>
    <col min="5123" max="5123" width="0.85546875" style="3" customWidth="1"/>
    <col min="5124" max="5124" width="32.7109375" style="3" customWidth="1"/>
    <col min="5125" max="5125" width="22" style="3" bestFit="1" customWidth="1"/>
    <col min="5126" max="5126" width="0.85546875" style="3" customWidth="1"/>
    <col min="5127" max="5127" width="15.85546875" style="3" customWidth="1"/>
    <col min="5128" max="5128" width="16" style="3" customWidth="1"/>
    <col min="5129" max="5129" width="16.42578125" style="3" customWidth="1"/>
    <col min="5130" max="5130" width="17.28515625" style="3" customWidth="1"/>
    <col min="5131" max="5131" width="16.85546875" style="3" customWidth="1"/>
    <col min="5132" max="5132" width="1.7109375" style="3" customWidth="1"/>
    <col min="5133" max="5133" width="17.140625" style="3" customWidth="1"/>
    <col min="5134" max="5134" width="14.7109375" style="3" customWidth="1"/>
    <col min="5135" max="5135" width="17.28515625" style="3" customWidth="1"/>
    <col min="5136" max="5136" width="14.7109375" style="3" customWidth="1"/>
    <col min="5137" max="5137" width="16.5703125" style="3" customWidth="1"/>
    <col min="5138" max="5138" width="2.42578125" style="3" customWidth="1"/>
    <col min="5139" max="5146" width="16.5703125" style="3" customWidth="1"/>
    <col min="5147" max="5147" width="13.140625" style="3" bestFit="1" customWidth="1"/>
    <col min="5148" max="5148" width="47" style="3" bestFit="1" customWidth="1"/>
    <col min="5149" max="5376" width="9.140625" style="3"/>
    <col min="5377" max="5377" width="0.85546875" style="3" customWidth="1"/>
    <col min="5378" max="5378" width="22.140625" style="3" customWidth="1"/>
    <col min="5379" max="5379" width="0.85546875" style="3" customWidth="1"/>
    <col min="5380" max="5380" width="32.7109375" style="3" customWidth="1"/>
    <col min="5381" max="5381" width="22" style="3" bestFit="1" customWidth="1"/>
    <col min="5382" max="5382" width="0.85546875" style="3" customWidth="1"/>
    <col min="5383" max="5383" width="15.85546875" style="3" customWidth="1"/>
    <col min="5384" max="5384" width="16" style="3" customWidth="1"/>
    <col min="5385" max="5385" width="16.42578125" style="3" customWidth="1"/>
    <col min="5386" max="5386" width="17.28515625" style="3" customWidth="1"/>
    <col min="5387" max="5387" width="16.85546875" style="3" customWidth="1"/>
    <col min="5388" max="5388" width="1.7109375" style="3" customWidth="1"/>
    <col min="5389" max="5389" width="17.140625" style="3" customWidth="1"/>
    <col min="5390" max="5390" width="14.7109375" style="3" customWidth="1"/>
    <col min="5391" max="5391" width="17.28515625" style="3" customWidth="1"/>
    <col min="5392" max="5392" width="14.7109375" style="3" customWidth="1"/>
    <col min="5393" max="5393" width="16.5703125" style="3" customWidth="1"/>
    <col min="5394" max="5394" width="2.42578125" style="3" customWidth="1"/>
    <col min="5395" max="5402" width="16.5703125" style="3" customWidth="1"/>
    <col min="5403" max="5403" width="13.140625" style="3" bestFit="1" customWidth="1"/>
    <col min="5404" max="5404" width="47" style="3" bestFit="1" customWidth="1"/>
    <col min="5405" max="5632" width="9.140625" style="3"/>
    <col min="5633" max="5633" width="0.85546875" style="3" customWidth="1"/>
    <col min="5634" max="5634" width="22.140625" style="3" customWidth="1"/>
    <col min="5635" max="5635" width="0.85546875" style="3" customWidth="1"/>
    <col min="5636" max="5636" width="32.7109375" style="3" customWidth="1"/>
    <col min="5637" max="5637" width="22" style="3" bestFit="1" customWidth="1"/>
    <col min="5638" max="5638" width="0.85546875" style="3" customWidth="1"/>
    <col min="5639" max="5639" width="15.85546875" style="3" customWidth="1"/>
    <col min="5640" max="5640" width="16" style="3" customWidth="1"/>
    <col min="5641" max="5641" width="16.42578125" style="3" customWidth="1"/>
    <col min="5642" max="5642" width="17.28515625" style="3" customWidth="1"/>
    <col min="5643" max="5643" width="16.85546875" style="3" customWidth="1"/>
    <col min="5644" max="5644" width="1.7109375" style="3" customWidth="1"/>
    <col min="5645" max="5645" width="17.140625" style="3" customWidth="1"/>
    <col min="5646" max="5646" width="14.7109375" style="3" customWidth="1"/>
    <col min="5647" max="5647" width="17.28515625" style="3" customWidth="1"/>
    <col min="5648" max="5648" width="14.7109375" style="3" customWidth="1"/>
    <col min="5649" max="5649" width="16.5703125" style="3" customWidth="1"/>
    <col min="5650" max="5650" width="2.42578125" style="3" customWidth="1"/>
    <col min="5651" max="5658" width="16.5703125" style="3" customWidth="1"/>
    <col min="5659" max="5659" width="13.140625" style="3" bestFit="1" customWidth="1"/>
    <col min="5660" max="5660" width="47" style="3" bestFit="1" customWidth="1"/>
    <col min="5661" max="5888" width="9.140625" style="3"/>
    <col min="5889" max="5889" width="0.85546875" style="3" customWidth="1"/>
    <col min="5890" max="5890" width="22.140625" style="3" customWidth="1"/>
    <col min="5891" max="5891" width="0.85546875" style="3" customWidth="1"/>
    <col min="5892" max="5892" width="32.7109375" style="3" customWidth="1"/>
    <col min="5893" max="5893" width="22" style="3" bestFit="1" customWidth="1"/>
    <col min="5894" max="5894" width="0.85546875" style="3" customWidth="1"/>
    <col min="5895" max="5895" width="15.85546875" style="3" customWidth="1"/>
    <col min="5896" max="5896" width="16" style="3" customWidth="1"/>
    <col min="5897" max="5897" width="16.42578125" style="3" customWidth="1"/>
    <col min="5898" max="5898" width="17.28515625" style="3" customWidth="1"/>
    <col min="5899" max="5899" width="16.85546875" style="3" customWidth="1"/>
    <col min="5900" max="5900" width="1.7109375" style="3" customWidth="1"/>
    <col min="5901" max="5901" width="17.140625" style="3" customWidth="1"/>
    <col min="5902" max="5902" width="14.7109375" style="3" customWidth="1"/>
    <col min="5903" max="5903" width="17.28515625" style="3" customWidth="1"/>
    <col min="5904" max="5904" width="14.7109375" style="3" customWidth="1"/>
    <col min="5905" max="5905" width="16.5703125" style="3" customWidth="1"/>
    <col min="5906" max="5906" width="2.42578125" style="3" customWidth="1"/>
    <col min="5907" max="5914" width="16.5703125" style="3" customWidth="1"/>
    <col min="5915" max="5915" width="13.140625" style="3" bestFit="1" customWidth="1"/>
    <col min="5916" max="5916" width="47" style="3" bestFit="1" customWidth="1"/>
    <col min="5917" max="6144" width="9.140625" style="3"/>
    <col min="6145" max="6145" width="0.85546875" style="3" customWidth="1"/>
    <col min="6146" max="6146" width="22.140625" style="3" customWidth="1"/>
    <col min="6147" max="6147" width="0.85546875" style="3" customWidth="1"/>
    <col min="6148" max="6148" width="32.7109375" style="3" customWidth="1"/>
    <col min="6149" max="6149" width="22" style="3" bestFit="1" customWidth="1"/>
    <col min="6150" max="6150" width="0.85546875" style="3" customWidth="1"/>
    <col min="6151" max="6151" width="15.85546875" style="3" customWidth="1"/>
    <col min="6152" max="6152" width="16" style="3" customWidth="1"/>
    <col min="6153" max="6153" width="16.42578125" style="3" customWidth="1"/>
    <col min="6154" max="6154" width="17.28515625" style="3" customWidth="1"/>
    <col min="6155" max="6155" width="16.85546875" style="3" customWidth="1"/>
    <col min="6156" max="6156" width="1.7109375" style="3" customWidth="1"/>
    <col min="6157" max="6157" width="17.140625" style="3" customWidth="1"/>
    <col min="6158" max="6158" width="14.7109375" style="3" customWidth="1"/>
    <col min="6159" max="6159" width="17.28515625" style="3" customWidth="1"/>
    <col min="6160" max="6160" width="14.7109375" style="3" customWidth="1"/>
    <col min="6161" max="6161" width="16.5703125" style="3" customWidth="1"/>
    <col min="6162" max="6162" width="2.42578125" style="3" customWidth="1"/>
    <col min="6163" max="6170" width="16.5703125" style="3" customWidth="1"/>
    <col min="6171" max="6171" width="13.140625" style="3" bestFit="1" customWidth="1"/>
    <col min="6172" max="6172" width="47" style="3" bestFit="1" customWidth="1"/>
    <col min="6173" max="6400" width="9.140625" style="3"/>
    <col min="6401" max="6401" width="0.85546875" style="3" customWidth="1"/>
    <col min="6402" max="6402" width="22.140625" style="3" customWidth="1"/>
    <col min="6403" max="6403" width="0.85546875" style="3" customWidth="1"/>
    <col min="6404" max="6404" width="32.7109375" style="3" customWidth="1"/>
    <col min="6405" max="6405" width="22" style="3" bestFit="1" customWidth="1"/>
    <col min="6406" max="6406" width="0.85546875" style="3" customWidth="1"/>
    <col min="6407" max="6407" width="15.85546875" style="3" customWidth="1"/>
    <col min="6408" max="6408" width="16" style="3" customWidth="1"/>
    <col min="6409" max="6409" width="16.42578125" style="3" customWidth="1"/>
    <col min="6410" max="6410" width="17.28515625" style="3" customWidth="1"/>
    <col min="6411" max="6411" width="16.85546875" style="3" customWidth="1"/>
    <col min="6412" max="6412" width="1.7109375" style="3" customWidth="1"/>
    <col min="6413" max="6413" width="17.140625" style="3" customWidth="1"/>
    <col min="6414" max="6414" width="14.7109375" style="3" customWidth="1"/>
    <col min="6415" max="6415" width="17.28515625" style="3" customWidth="1"/>
    <col min="6416" max="6416" width="14.7109375" style="3" customWidth="1"/>
    <col min="6417" max="6417" width="16.5703125" style="3" customWidth="1"/>
    <col min="6418" max="6418" width="2.42578125" style="3" customWidth="1"/>
    <col min="6419" max="6426" width="16.5703125" style="3" customWidth="1"/>
    <col min="6427" max="6427" width="13.140625" style="3" bestFit="1" customWidth="1"/>
    <col min="6428" max="6428" width="47" style="3" bestFit="1" customWidth="1"/>
    <col min="6429" max="6656" width="9.140625" style="3"/>
    <col min="6657" max="6657" width="0.85546875" style="3" customWidth="1"/>
    <col min="6658" max="6658" width="22.140625" style="3" customWidth="1"/>
    <col min="6659" max="6659" width="0.85546875" style="3" customWidth="1"/>
    <col min="6660" max="6660" width="32.7109375" style="3" customWidth="1"/>
    <col min="6661" max="6661" width="22" style="3" bestFit="1" customWidth="1"/>
    <col min="6662" max="6662" width="0.85546875" style="3" customWidth="1"/>
    <col min="6663" max="6663" width="15.85546875" style="3" customWidth="1"/>
    <col min="6664" max="6664" width="16" style="3" customWidth="1"/>
    <col min="6665" max="6665" width="16.42578125" style="3" customWidth="1"/>
    <col min="6666" max="6666" width="17.28515625" style="3" customWidth="1"/>
    <col min="6667" max="6667" width="16.85546875" style="3" customWidth="1"/>
    <col min="6668" max="6668" width="1.7109375" style="3" customWidth="1"/>
    <col min="6669" max="6669" width="17.140625" style="3" customWidth="1"/>
    <col min="6670" max="6670" width="14.7109375" style="3" customWidth="1"/>
    <col min="6671" max="6671" width="17.28515625" style="3" customWidth="1"/>
    <col min="6672" max="6672" width="14.7109375" style="3" customWidth="1"/>
    <col min="6673" max="6673" width="16.5703125" style="3" customWidth="1"/>
    <col min="6674" max="6674" width="2.42578125" style="3" customWidth="1"/>
    <col min="6675" max="6682" width="16.5703125" style="3" customWidth="1"/>
    <col min="6683" max="6683" width="13.140625" style="3" bestFit="1" customWidth="1"/>
    <col min="6684" max="6684" width="47" style="3" bestFit="1" customWidth="1"/>
    <col min="6685" max="6912" width="9.140625" style="3"/>
    <col min="6913" max="6913" width="0.85546875" style="3" customWidth="1"/>
    <col min="6914" max="6914" width="22.140625" style="3" customWidth="1"/>
    <col min="6915" max="6915" width="0.85546875" style="3" customWidth="1"/>
    <col min="6916" max="6916" width="32.7109375" style="3" customWidth="1"/>
    <col min="6917" max="6917" width="22" style="3" bestFit="1" customWidth="1"/>
    <col min="6918" max="6918" width="0.85546875" style="3" customWidth="1"/>
    <col min="6919" max="6919" width="15.85546875" style="3" customWidth="1"/>
    <col min="6920" max="6920" width="16" style="3" customWidth="1"/>
    <col min="6921" max="6921" width="16.42578125" style="3" customWidth="1"/>
    <col min="6922" max="6922" width="17.28515625" style="3" customWidth="1"/>
    <col min="6923" max="6923" width="16.85546875" style="3" customWidth="1"/>
    <col min="6924" max="6924" width="1.7109375" style="3" customWidth="1"/>
    <col min="6925" max="6925" width="17.140625" style="3" customWidth="1"/>
    <col min="6926" max="6926" width="14.7109375" style="3" customWidth="1"/>
    <col min="6927" max="6927" width="17.28515625" style="3" customWidth="1"/>
    <col min="6928" max="6928" width="14.7109375" style="3" customWidth="1"/>
    <col min="6929" max="6929" width="16.5703125" style="3" customWidth="1"/>
    <col min="6930" max="6930" width="2.42578125" style="3" customWidth="1"/>
    <col min="6931" max="6938" width="16.5703125" style="3" customWidth="1"/>
    <col min="6939" max="6939" width="13.140625" style="3" bestFit="1" customWidth="1"/>
    <col min="6940" max="6940" width="47" style="3" bestFit="1" customWidth="1"/>
    <col min="6941" max="7168" width="9.140625" style="3"/>
    <col min="7169" max="7169" width="0.85546875" style="3" customWidth="1"/>
    <col min="7170" max="7170" width="22.140625" style="3" customWidth="1"/>
    <col min="7171" max="7171" width="0.85546875" style="3" customWidth="1"/>
    <col min="7172" max="7172" width="32.7109375" style="3" customWidth="1"/>
    <col min="7173" max="7173" width="22" style="3" bestFit="1" customWidth="1"/>
    <col min="7174" max="7174" width="0.85546875" style="3" customWidth="1"/>
    <col min="7175" max="7175" width="15.85546875" style="3" customWidth="1"/>
    <col min="7176" max="7176" width="16" style="3" customWidth="1"/>
    <col min="7177" max="7177" width="16.42578125" style="3" customWidth="1"/>
    <col min="7178" max="7178" width="17.28515625" style="3" customWidth="1"/>
    <col min="7179" max="7179" width="16.85546875" style="3" customWidth="1"/>
    <col min="7180" max="7180" width="1.7109375" style="3" customWidth="1"/>
    <col min="7181" max="7181" width="17.140625" style="3" customWidth="1"/>
    <col min="7182" max="7182" width="14.7109375" style="3" customWidth="1"/>
    <col min="7183" max="7183" width="17.28515625" style="3" customWidth="1"/>
    <col min="7184" max="7184" width="14.7109375" style="3" customWidth="1"/>
    <col min="7185" max="7185" width="16.5703125" style="3" customWidth="1"/>
    <col min="7186" max="7186" width="2.42578125" style="3" customWidth="1"/>
    <col min="7187" max="7194" width="16.5703125" style="3" customWidth="1"/>
    <col min="7195" max="7195" width="13.140625" style="3" bestFit="1" customWidth="1"/>
    <col min="7196" max="7196" width="47" style="3" bestFit="1" customWidth="1"/>
    <col min="7197" max="7424" width="9.140625" style="3"/>
    <col min="7425" max="7425" width="0.85546875" style="3" customWidth="1"/>
    <col min="7426" max="7426" width="22.140625" style="3" customWidth="1"/>
    <col min="7427" max="7427" width="0.85546875" style="3" customWidth="1"/>
    <col min="7428" max="7428" width="32.7109375" style="3" customWidth="1"/>
    <col min="7429" max="7429" width="22" style="3" bestFit="1" customWidth="1"/>
    <col min="7430" max="7430" width="0.85546875" style="3" customWidth="1"/>
    <col min="7431" max="7431" width="15.85546875" style="3" customWidth="1"/>
    <col min="7432" max="7432" width="16" style="3" customWidth="1"/>
    <col min="7433" max="7433" width="16.42578125" style="3" customWidth="1"/>
    <col min="7434" max="7434" width="17.28515625" style="3" customWidth="1"/>
    <col min="7435" max="7435" width="16.85546875" style="3" customWidth="1"/>
    <col min="7436" max="7436" width="1.7109375" style="3" customWidth="1"/>
    <col min="7437" max="7437" width="17.140625" style="3" customWidth="1"/>
    <col min="7438" max="7438" width="14.7109375" style="3" customWidth="1"/>
    <col min="7439" max="7439" width="17.28515625" style="3" customWidth="1"/>
    <col min="7440" max="7440" width="14.7109375" style="3" customWidth="1"/>
    <col min="7441" max="7441" width="16.5703125" style="3" customWidth="1"/>
    <col min="7442" max="7442" width="2.42578125" style="3" customWidth="1"/>
    <col min="7443" max="7450" width="16.5703125" style="3" customWidth="1"/>
    <col min="7451" max="7451" width="13.140625" style="3" bestFit="1" customWidth="1"/>
    <col min="7452" max="7452" width="47" style="3" bestFit="1" customWidth="1"/>
    <col min="7453" max="7680" width="9.140625" style="3"/>
    <col min="7681" max="7681" width="0.85546875" style="3" customWidth="1"/>
    <col min="7682" max="7682" width="22.140625" style="3" customWidth="1"/>
    <col min="7683" max="7683" width="0.85546875" style="3" customWidth="1"/>
    <col min="7684" max="7684" width="32.7109375" style="3" customWidth="1"/>
    <col min="7685" max="7685" width="22" style="3" bestFit="1" customWidth="1"/>
    <col min="7686" max="7686" width="0.85546875" style="3" customWidth="1"/>
    <col min="7687" max="7687" width="15.85546875" style="3" customWidth="1"/>
    <col min="7688" max="7688" width="16" style="3" customWidth="1"/>
    <col min="7689" max="7689" width="16.42578125" style="3" customWidth="1"/>
    <col min="7690" max="7690" width="17.28515625" style="3" customWidth="1"/>
    <col min="7691" max="7691" width="16.85546875" style="3" customWidth="1"/>
    <col min="7692" max="7692" width="1.7109375" style="3" customWidth="1"/>
    <col min="7693" max="7693" width="17.140625" style="3" customWidth="1"/>
    <col min="7694" max="7694" width="14.7109375" style="3" customWidth="1"/>
    <col min="7695" max="7695" width="17.28515625" style="3" customWidth="1"/>
    <col min="7696" max="7696" width="14.7109375" style="3" customWidth="1"/>
    <col min="7697" max="7697" width="16.5703125" style="3" customWidth="1"/>
    <col min="7698" max="7698" width="2.42578125" style="3" customWidth="1"/>
    <col min="7699" max="7706" width="16.5703125" style="3" customWidth="1"/>
    <col min="7707" max="7707" width="13.140625" style="3" bestFit="1" customWidth="1"/>
    <col min="7708" max="7708" width="47" style="3" bestFit="1" customWidth="1"/>
    <col min="7709" max="7936" width="9.140625" style="3"/>
    <col min="7937" max="7937" width="0.85546875" style="3" customWidth="1"/>
    <col min="7938" max="7938" width="22.140625" style="3" customWidth="1"/>
    <col min="7939" max="7939" width="0.85546875" style="3" customWidth="1"/>
    <col min="7940" max="7940" width="32.7109375" style="3" customWidth="1"/>
    <col min="7941" max="7941" width="22" style="3" bestFit="1" customWidth="1"/>
    <col min="7942" max="7942" width="0.85546875" style="3" customWidth="1"/>
    <col min="7943" max="7943" width="15.85546875" style="3" customWidth="1"/>
    <col min="7944" max="7944" width="16" style="3" customWidth="1"/>
    <col min="7945" max="7945" width="16.42578125" style="3" customWidth="1"/>
    <col min="7946" max="7946" width="17.28515625" style="3" customWidth="1"/>
    <col min="7947" max="7947" width="16.85546875" style="3" customWidth="1"/>
    <col min="7948" max="7948" width="1.7109375" style="3" customWidth="1"/>
    <col min="7949" max="7949" width="17.140625" style="3" customWidth="1"/>
    <col min="7950" max="7950" width="14.7109375" style="3" customWidth="1"/>
    <col min="7951" max="7951" width="17.28515625" style="3" customWidth="1"/>
    <col min="7952" max="7952" width="14.7109375" style="3" customWidth="1"/>
    <col min="7953" max="7953" width="16.5703125" style="3" customWidth="1"/>
    <col min="7954" max="7954" width="2.42578125" style="3" customWidth="1"/>
    <col min="7955" max="7962" width="16.5703125" style="3" customWidth="1"/>
    <col min="7963" max="7963" width="13.140625" style="3" bestFit="1" customWidth="1"/>
    <col min="7964" max="7964" width="47" style="3" bestFit="1" customWidth="1"/>
    <col min="7965" max="8192" width="9.140625" style="3"/>
    <col min="8193" max="8193" width="0.85546875" style="3" customWidth="1"/>
    <col min="8194" max="8194" width="22.140625" style="3" customWidth="1"/>
    <col min="8195" max="8195" width="0.85546875" style="3" customWidth="1"/>
    <col min="8196" max="8196" width="32.7109375" style="3" customWidth="1"/>
    <col min="8197" max="8197" width="22" style="3" bestFit="1" customWidth="1"/>
    <col min="8198" max="8198" width="0.85546875" style="3" customWidth="1"/>
    <col min="8199" max="8199" width="15.85546875" style="3" customWidth="1"/>
    <col min="8200" max="8200" width="16" style="3" customWidth="1"/>
    <col min="8201" max="8201" width="16.42578125" style="3" customWidth="1"/>
    <col min="8202" max="8202" width="17.28515625" style="3" customWidth="1"/>
    <col min="8203" max="8203" width="16.85546875" style="3" customWidth="1"/>
    <col min="8204" max="8204" width="1.7109375" style="3" customWidth="1"/>
    <col min="8205" max="8205" width="17.140625" style="3" customWidth="1"/>
    <col min="8206" max="8206" width="14.7109375" style="3" customWidth="1"/>
    <col min="8207" max="8207" width="17.28515625" style="3" customWidth="1"/>
    <col min="8208" max="8208" width="14.7109375" style="3" customWidth="1"/>
    <col min="8209" max="8209" width="16.5703125" style="3" customWidth="1"/>
    <col min="8210" max="8210" width="2.42578125" style="3" customWidth="1"/>
    <col min="8211" max="8218" width="16.5703125" style="3" customWidth="1"/>
    <col min="8219" max="8219" width="13.140625" style="3" bestFit="1" customWidth="1"/>
    <col min="8220" max="8220" width="47" style="3" bestFit="1" customWidth="1"/>
    <col min="8221" max="8448" width="9.140625" style="3"/>
    <col min="8449" max="8449" width="0.85546875" style="3" customWidth="1"/>
    <col min="8450" max="8450" width="22.140625" style="3" customWidth="1"/>
    <col min="8451" max="8451" width="0.85546875" style="3" customWidth="1"/>
    <col min="8452" max="8452" width="32.7109375" style="3" customWidth="1"/>
    <col min="8453" max="8453" width="22" style="3" bestFit="1" customWidth="1"/>
    <col min="8454" max="8454" width="0.85546875" style="3" customWidth="1"/>
    <col min="8455" max="8455" width="15.85546875" style="3" customWidth="1"/>
    <col min="8456" max="8456" width="16" style="3" customWidth="1"/>
    <col min="8457" max="8457" width="16.42578125" style="3" customWidth="1"/>
    <col min="8458" max="8458" width="17.28515625" style="3" customWidth="1"/>
    <col min="8459" max="8459" width="16.85546875" style="3" customWidth="1"/>
    <col min="8460" max="8460" width="1.7109375" style="3" customWidth="1"/>
    <col min="8461" max="8461" width="17.140625" style="3" customWidth="1"/>
    <col min="8462" max="8462" width="14.7109375" style="3" customWidth="1"/>
    <col min="8463" max="8463" width="17.28515625" style="3" customWidth="1"/>
    <col min="8464" max="8464" width="14.7109375" style="3" customWidth="1"/>
    <col min="8465" max="8465" width="16.5703125" style="3" customWidth="1"/>
    <col min="8466" max="8466" width="2.42578125" style="3" customWidth="1"/>
    <col min="8467" max="8474" width="16.5703125" style="3" customWidth="1"/>
    <col min="8475" max="8475" width="13.140625" style="3" bestFit="1" customWidth="1"/>
    <col min="8476" max="8476" width="47" style="3" bestFit="1" customWidth="1"/>
    <col min="8477" max="8704" width="9.140625" style="3"/>
    <col min="8705" max="8705" width="0.85546875" style="3" customWidth="1"/>
    <col min="8706" max="8706" width="22.140625" style="3" customWidth="1"/>
    <col min="8707" max="8707" width="0.85546875" style="3" customWidth="1"/>
    <col min="8708" max="8708" width="32.7109375" style="3" customWidth="1"/>
    <col min="8709" max="8709" width="22" style="3" bestFit="1" customWidth="1"/>
    <col min="8710" max="8710" width="0.85546875" style="3" customWidth="1"/>
    <col min="8711" max="8711" width="15.85546875" style="3" customWidth="1"/>
    <col min="8712" max="8712" width="16" style="3" customWidth="1"/>
    <col min="8713" max="8713" width="16.42578125" style="3" customWidth="1"/>
    <col min="8714" max="8714" width="17.28515625" style="3" customWidth="1"/>
    <col min="8715" max="8715" width="16.85546875" style="3" customWidth="1"/>
    <col min="8716" max="8716" width="1.7109375" style="3" customWidth="1"/>
    <col min="8717" max="8717" width="17.140625" style="3" customWidth="1"/>
    <col min="8718" max="8718" width="14.7109375" style="3" customWidth="1"/>
    <col min="8719" max="8719" width="17.28515625" style="3" customWidth="1"/>
    <col min="8720" max="8720" width="14.7109375" style="3" customWidth="1"/>
    <col min="8721" max="8721" width="16.5703125" style="3" customWidth="1"/>
    <col min="8722" max="8722" width="2.42578125" style="3" customWidth="1"/>
    <col min="8723" max="8730" width="16.5703125" style="3" customWidth="1"/>
    <col min="8731" max="8731" width="13.140625" style="3" bestFit="1" customWidth="1"/>
    <col min="8732" max="8732" width="47" style="3" bestFit="1" customWidth="1"/>
    <col min="8733" max="8960" width="9.140625" style="3"/>
    <col min="8961" max="8961" width="0.85546875" style="3" customWidth="1"/>
    <col min="8962" max="8962" width="22.140625" style="3" customWidth="1"/>
    <col min="8963" max="8963" width="0.85546875" style="3" customWidth="1"/>
    <col min="8964" max="8964" width="32.7109375" style="3" customWidth="1"/>
    <col min="8965" max="8965" width="22" style="3" bestFit="1" customWidth="1"/>
    <col min="8966" max="8966" width="0.85546875" style="3" customWidth="1"/>
    <col min="8967" max="8967" width="15.85546875" style="3" customWidth="1"/>
    <col min="8968" max="8968" width="16" style="3" customWidth="1"/>
    <col min="8969" max="8969" width="16.42578125" style="3" customWidth="1"/>
    <col min="8970" max="8970" width="17.28515625" style="3" customWidth="1"/>
    <col min="8971" max="8971" width="16.85546875" style="3" customWidth="1"/>
    <col min="8972" max="8972" width="1.7109375" style="3" customWidth="1"/>
    <col min="8973" max="8973" width="17.140625" style="3" customWidth="1"/>
    <col min="8974" max="8974" width="14.7109375" style="3" customWidth="1"/>
    <col min="8975" max="8975" width="17.28515625" style="3" customWidth="1"/>
    <col min="8976" max="8976" width="14.7109375" style="3" customWidth="1"/>
    <col min="8977" max="8977" width="16.5703125" style="3" customWidth="1"/>
    <col min="8978" max="8978" width="2.42578125" style="3" customWidth="1"/>
    <col min="8979" max="8986" width="16.5703125" style="3" customWidth="1"/>
    <col min="8987" max="8987" width="13.140625" style="3" bestFit="1" customWidth="1"/>
    <col min="8988" max="8988" width="47" style="3" bestFit="1" customWidth="1"/>
    <col min="8989" max="9216" width="9.140625" style="3"/>
    <col min="9217" max="9217" width="0.85546875" style="3" customWidth="1"/>
    <col min="9218" max="9218" width="22.140625" style="3" customWidth="1"/>
    <col min="9219" max="9219" width="0.85546875" style="3" customWidth="1"/>
    <col min="9220" max="9220" width="32.7109375" style="3" customWidth="1"/>
    <col min="9221" max="9221" width="22" style="3" bestFit="1" customWidth="1"/>
    <col min="9222" max="9222" width="0.85546875" style="3" customWidth="1"/>
    <col min="9223" max="9223" width="15.85546875" style="3" customWidth="1"/>
    <col min="9224" max="9224" width="16" style="3" customWidth="1"/>
    <col min="9225" max="9225" width="16.42578125" style="3" customWidth="1"/>
    <col min="9226" max="9226" width="17.28515625" style="3" customWidth="1"/>
    <col min="9227" max="9227" width="16.85546875" style="3" customWidth="1"/>
    <col min="9228" max="9228" width="1.7109375" style="3" customWidth="1"/>
    <col min="9229" max="9229" width="17.140625" style="3" customWidth="1"/>
    <col min="9230" max="9230" width="14.7109375" style="3" customWidth="1"/>
    <col min="9231" max="9231" width="17.28515625" style="3" customWidth="1"/>
    <col min="9232" max="9232" width="14.7109375" style="3" customWidth="1"/>
    <col min="9233" max="9233" width="16.5703125" style="3" customWidth="1"/>
    <col min="9234" max="9234" width="2.42578125" style="3" customWidth="1"/>
    <col min="9235" max="9242" width="16.5703125" style="3" customWidth="1"/>
    <col min="9243" max="9243" width="13.140625" style="3" bestFit="1" customWidth="1"/>
    <col min="9244" max="9244" width="47" style="3" bestFit="1" customWidth="1"/>
    <col min="9245" max="9472" width="9.140625" style="3"/>
    <col min="9473" max="9473" width="0.85546875" style="3" customWidth="1"/>
    <col min="9474" max="9474" width="22.140625" style="3" customWidth="1"/>
    <col min="9475" max="9475" width="0.85546875" style="3" customWidth="1"/>
    <col min="9476" max="9476" width="32.7109375" style="3" customWidth="1"/>
    <col min="9477" max="9477" width="22" style="3" bestFit="1" customWidth="1"/>
    <col min="9478" max="9478" width="0.85546875" style="3" customWidth="1"/>
    <col min="9479" max="9479" width="15.85546875" style="3" customWidth="1"/>
    <col min="9480" max="9480" width="16" style="3" customWidth="1"/>
    <col min="9481" max="9481" width="16.42578125" style="3" customWidth="1"/>
    <col min="9482" max="9482" width="17.28515625" style="3" customWidth="1"/>
    <col min="9483" max="9483" width="16.85546875" style="3" customWidth="1"/>
    <col min="9484" max="9484" width="1.7109375" style="3" customWidth="1"/>
    <col min="9485" max="9485" width="17.140625" style="3" customWidth="1"/>
    <col min="9486" max="9486" width="14.7109375" style="3" customWidth="1"/>
    <col min="9487" max="9487" width="17.28515625" style="3" customWidth="1"/>
    <col min="9488" max="9488" width="14.7109375" style="3" customWidth="1"/>
    <col min="9489" max="9489" width="16.5703125" style="3" customWidth="1"/>
    <col min="9490" max="9490" width="2.42578125" style="3" customWidth="1"/>
    <col min="9491" max="9498" width="16.5703125" style="3" customWidth="1"/>
    <col min="9499" max="9499" width="13.140625" style="3" bestFit="1" customWidth="1"/>
    <col min="9500" max="9500" width="47" style="3" bestFit="1" customWidth="1"/>
    <col min="9501" max="9728" width="9.140625" style="3"/>
    <col min="9729" max="9729" width="0.85546875" style="3" customWidth="1"/>
    <col min="9730" max="9730" width="22.140625" style="3" customWidth="1"/>
    <col min="9731" max="9731" width="0.85546875" style="3" customWidth="1"/>
    <col min="9732" max="9732" width="32.7109375" style="3" customWidth="1"/>
    <col min="9733" max="9733" width="22" style="3" bestFit="1" customWidth="1"/>
    <col min="9734" max="9734" width="0.85546875" style="3" customWidth="1"/>
    <col min="9735" max="9735" width="15.85546875" style="3" customWidth="1"/>
    <col min="9736" max="9736" width="16" style="3" customWidth="1"/>
    <col min="9737" max="9737" width="16.42578125" style="3" customWidth="1"/>
    <col min="9738" max="9738" width="17.28515625" style="3" customWidth="1"/>
    <col min="9739" max="9739" width="16.85546875" style="3" customWidth="1"/>
    <col min="9740" max="9740" width="1.7109375" style="3" customWidth="1"/>
    <col min="9741" max="9741" width="17.140625" style="3" customWidth="1"/>
    <col min="9742" max="9742" width="14.7109375" style="3" customWidth="1"/>
    <col min="9743" max="9743" width="17.28515625" style="3" customWidth="1"/>
    <col min="9744" max="9744" width="14.7109375" style="3" customWidth="1"/>
    <col min="9745" max="9745" width="16.5703125" style="3" customWidth="1"/>
    <col min="9746" max="9746" width="2.42578125" style="3" customWidth="1"/>
    <col min="9747" max="9754" width="16.5703125" style="3" customWidth="1"/>
    <col min="9755" max="9755" width="13.140625" style="3" bestFit="1" customWidth="1"/>
    <col min="9756" max="9756" width="47" style="3" bestFit="1" customWidth="1"/>
    <col min="9757" max="9984" width="9.140625" style="3"/>
    <col min="9985" max="9985" width="0.85546875" style="3" customWidth="1"/>
    <col min="9986" max="9986" width="22.140625" style="3" customWidth="1"/>
    <col min="9987" max="9987" width="0.85546875" style="3" customWidth="1"/>
    <col min="9988" max="9988" width="32.7109375" style="3" customWidth="1"/>
    <col min="9989" max="9989" width="22" style="3" bestFit="1" customWidth="1"/>
    <col min="9990" max="9990" width="0.85546875" style="3" customWidth="1"/>
    <col min="9991" max="9991" width="15.85546875" style="3" customWidth="1"/>
    <col min="9992" max="9992" width="16" style="3" customWidth="1"/>
    <col min="9993" max="9993" width="16.42578125" style="3" customWidth="1"/>
    <col min="9994" max="9994" width="17.28515625" style="3" customWidth="1"/>
    <col min="9995" max="9995" width="16.85546875" style="3" customWidth="1"/>
    <col min="9996" max="9996" width="1.7109375" style="3" customWidth="1"/>
    <col min="9997" max="9997" width="17.140625" style="3" customWidth="1"/>
    <col min="9998" max="9998" width="14.7109375" style="3" customWidth="1"/>
    <col min="9999" max="9999" width="17.28515625" style="3" customWidth="1"/>
    <col min="10000" max="10000" width="14.7109375" style="3" customWidth="1"/>
    <col min="10001" max="10001" width="16.5703125" style="3" customWidth="1"/>
    <col min="10002" max="10002" width="2.42578125" style="3" customWidth="1"/>
    <col min="10003" max="10010" width="16.5703125" style="3" customWidth="1"/>
    <col min="10011" max="10011" width="13.140625" style="3" bestFit="1" customWidth="1"/>
    <col min="10012" max="10012" width="47" style="3" bestFit="1" customWidth="1"/>
    <col min="10013" max="10240" width="9.140625" style="3"/>
    <col min="10241" max="10241" width="0.85546875" style="3" customWidth="1"/>
    <col min="10242" max="10242" width="22.140625" style="3" customWidth="1"/>
    <col min="10243" max="10243" width="0.85546875" style="3" customWidth="1"/>
    <col min="10244" max="10244" width="32.7109375" style="3" customWidth="1"/>
    <col min="10245" max="10245" width="22" style="3" bestFit="1" customWidth="1"/>
    <col min="10246" max="10246" width="0.85546875" style="3" customWidth="1"/>
    <col min="10247" max="10247" width="15.85546875" style="3" customWidth="1"/>
    <col min="10248" max="10248" width="16" style="3" customWidth="1"/>
    <col min="10249" max="10249" width="16.42578125" style="3" customWidth="1"/>
    <col min="10250" max="10250" width="17.28515625" style="3" customWidth="1"/>
    <col min="10251" max="10251" width="16.85546875" style="3" customWidth="1"/>
    <col min="10252" max="10252" width="1.7109375" style="3" customWidth="1"/>
    <col min="10253" max="10253" width="17.140625" style="3" customWidth="1"/>
    <col min="10254" max="10254" width="14.7109375" style="3" customWidth="1"/>
    <col min="10255" max="10255" width="17.28515625" style="3" customWidth="1"/>
    <col min="10256" max="10256" width="14.7109375" style="3" customWidth="1"/>
    <col min="10257" max="10257" width="16.5703125" style="3" customWidth="1"/>
    <col min="10258" max="10258" width="2.42578125" style="3" customWidth="1"/>
    <col min="10259" max="10266" width="16.5703125" style="3" customWidth="1"/>
    <col min="10267" max="10267" width="13.140625" style="3" bestFit="1" customWidth="1"/>
    <col min="10268" max="10268" width="47" style="3" bestFit="1" customWidth="1"/>
    <col min="10269" max="10496" width="9.140625" style="3"/>
    <col min="10497" max="10497" width="0.85546875" style="3" customWidth="1"/>
    <col min="10498" max="10498" width="22.140625" style="3" customWidth="1"/>
    <col min="10499" max="10499" width="0.85546875" style="3" customWidth="1"/>
    <col min="10500" max="10500" width="32.7109375" style="3" customWidth="1"/>
    <col min="10501" max="10501" width="22" style="3" bestFit="1" customWidth="1"/>
    <col min="10502" max="10502" width="0.85546875" style="3" customWidth="1"/>
    <col min="10503" max="10503" width="15.85546875" style="3" customWidth="1"/>
    <col min="10504" max="10504" width="16" style="3" customWidth="1"/>
    <col min="10505" max="10505" width="16.42578125" style="3" customWidth="1"/>
    <col min="10506" max="10506" width="17.28515625" style="3" customWidth="1"/>
    <col min="10507" max="10507" width="16.85546875" style="3" customWidth="1"/>
    <col min="10508" max="10508" width="1.7109375" style="3" customWidth="1"/>
    <col min="10509" max="10509" width="17.140625" style="3" customWidth="1"/>
    <col min="10510" max="10510" width="14.7109375" style="3" customWidth="1"/>
    <col min="10511" max="10511" width="17.28515625" style="3" customWidth="1"/>
    <col min="10512" max="10512" width="14.7109375" style="3" customWidth="1"/>
    <col min="10513" max="10513" width="16.5703125" style="3" customWidth="1"/>
    <col min="10514" max="10514" width="2.42578125" style="3" customWidth="1"/>
    <col min="10515" max="10522" width="16.5703125" style="3" customWidth="1"/>
    <col min="10523" max="10523" width="13.140625" style="3" bestFit="1" customWidth="1"/>
    <col min="10524" max="10524" width="47" style="3" bestFit="1" customWidth="1"/>
    <col min="10525" max="10752" width="9.140625" style="3"/>
    <col min="10753" max="10753" width="0.85546875" style="3" customWidth="1"/>
    <col min="10754" max="10754" width="22.140625" style="3" customWidth="1"/>
    <col min="10755" max="10755" width="0.85546875" style="3" customWidth="1"/>
    <col min="10756" max="10756" width="32.7109375" style="3" customWidth="1"/>
    <col min="10757" max="10757" width="22" style="3" bestFit="1" customWidth="1"/>
    <col min="10758" max="10758" width="0.85546875" style="3" customWidth="1"/>
    <col min="10759" max="10759" width="15.85546875" style="3" customWidth="1"/>
    <col min="10760" max="10760" width="16" style="3" customWidth="1"/>
    <col min="10761" max="10761" width="16.42578125" style="3" customWidth="1"/>
    <col min="10762" max="10762" width="17.28515625" style="3" customWidth="1"/>
    <col min="10763" max="10763" width="16.85546875" style="3" customWidth="1"/>
    <col min="10764" max="10764" width="1.7109375" style="3" customWidth="1"/>
    <col min="10765" max="10765" width="17.140625" style="3" customWidth="1"/>
    <col min="10766" max="10766" width="14.7109375" style="3" customWidth="1"/>
    <col min="10767" max="10767" width="17.28515625" style="3" customWidth="1"/>
    <col min="10768" max="10768" width="14.7109375" style="3" customWidth="1"/>
    <col min="10769" max="10769" width="16.5703125" style="3" customWidth="1"/>
    <col min="10770" max="10770" width="2.42578125" style="3" customWidth="1"/>
    <col min="10771" max="10778" width="16.5703125" style="3" customWidth="1"/>
    <col min="10779" max="10779" width="13.140625" style="3" bestFit="1" customWidth="1"/>
    <col min="10780" max="10780" width="47" style="3" bestFit="1" customWidth="1"/>
    <col min="10781" max="11008" width="9.140625" style="3"/>
    <col min="11009" max="11009" width="0.85546875" style="3" customWidth="1"/>
    <col min="11010" max="11010" width="22.140625" style="3" customWidth="1"/>
    <col min="11011" max="11011" width="0.85546875" style="3" customWidth="1"/>
    <col min="11012" max="11012" width="32.7109375" style="3" customWidth="1"/>
    <col min="11013" max="11013" width="22" style="3" bestFit="1" customWidth="1"/>
    <col min="11014" max="11014" width="0.85546875" style="3" customWidth="1"/>
    <col min="11015" max="11015" width="15.85546875" style="3" customWidth="1"/>
    <col min="11016" max="11016" width="16" style="3" customWidth="1"/>
    <col min="11017" max="11017" width="16.42578125" style="3" customWidth="1"/>
    <col min="11018" max="11018" width="17.28515625" style="3" customWidth="1"/>
    <col min="11019" max="11019" width="16.85546875" style="3" customWidth="1"/>
    <col min="11020" max="11020" width="1.7109375" style="3" customWidth="1"/>
    <col min="11021" max="11021" width="17.140625" style="3" customWidth="1"/>
    <col min="11022" max="11022" width="14.7109375" style="3" customWidth="1"/>
    <col min="11023" max="11023" width="17.28515625" style="3" customWidth="1"/>
    <col min="11024" max="11024" width="14.7109375" style="3" customWidth="1"/>
    <col min="11025" max="11025" width="16.5703125" style="3" customWidth="1"/>
    <col min="11026" max="11026" width="2.42578125" style="3" customWidth="1"/>
    <col min="11027" max="11034" width="16.5703125" style="3" customWidth="1"/>
    <col min="11035" max="11035" width="13.140625" style="3" bestFit="1" customWidth="1"/>
    <col min="11036" max="11036" width="47" style="3" bestFit="1" customWidth="1"/>
    <col min="11037" max="11264" width="9.140625" style="3"/>
    <col min="11265" max="11265" width="0.85546875" style="3" customWidth="1"/>
    <col min="11266" max="11266" width="22.140625" style="3" customWidth="1"/>
    <col min="11267" max="11267" width="0.85546875" style="3" customWidth="1"/>
    <col min="11268" max="11268" width="32.7109375" style="3" customWidth="1"/>
    <col min="11269" max="11269" width="22" style="3" bestFit="1" customWidth="1"/>
    <col min="11270" max="11270" width="0.85546875" style="3" customWidth="1"/>
    <col min="11271" max="11271" width="15.85546875" style="3" customWidth="1"/>
    <col min="11272" max="11272" width="16" style="3" customWidth="1"/>
    <col min="11273" max="11273" width="16.42578125" style="3" customWidth="1"/>
    <col min="11274" max="11274" width="17.28515625" style="3" customWidth="1"/>
    <col min="11275" max="11275" width="16.85546875" style="3" customWidth="1"/>
    <col min="11276" max="11276" width="1.7109375" style="3" customWidth="1"/>
    <col min="11277" max="11277" width="17.140625" style="3" customWidth="1"/>
    <col min="11278" max="11278" width="14.7109375" style="3" customWidth="1"/>
    <col min="11279" max="11279" width="17.28515625" style="3" customWidth="1"/>
    <col min="11280" max="11280" width="14.7109375" style="3" customWidth="1"/>
    <col min="11281" max="11281" width="16.5703125" style="3" customWidth="1"/>
    <col min="11282" max="11282" width="2.42578125" style="3" customWidth="1"/>
    <col min="11283" max="11290" width="16.5703125" style="3" customWidth="1"/>
    <col min="11291" max="11291" width="13.140625" style="3" bestFit="1" customWidth="1"/>
    <col min="11292" max="11292" width="47" style="3" bestFit="1" customWidth="1"/>
    <col min="11293" max="11520" width="9.140625" style="3"/>
    <col min="11521" max="11521" width="0.85546875" style="3" customWidth="1"/>
    <col min="11522" max="11522" width="22.140625" style="3" customWidth="1"/>
    <col min="11523" max="11523" width="0.85546875" style="3" customWidth="1"/>
    <col min="11524" max="11524" width="32.7109375" style="3" customWidth="1"/>
    <col min="11525" max="11525" width="22" style="3" bestFit="1" customWidth="1"/>
    <col min="11526" max="11526" width="0.85546875" style="3" customWidth="1"/>
    <col min="11527" max="11527" width="15.85546875" style="3" customWidth="1"/>
    <col min="11528" max="11528" width="16" style="3" customWidth="1"/>
    <col min="11529" max="11529" width="16.42578125" style="3" customWidth="1"/>
    <col min="11530" max="11530" width="17.28515625" style="3" customWidth="1"/>
    <col min="11531" max="11531" width="16.85546875" style="3" customWidth="1"/>
    <col min="11532" max="11532" width="1.7109375" style="3" customWidth="1"/>
    <col min="11533" max="11533" width="17.140625" style="3" customWidth="1"/>
    <col min="11534" max="11534" width="14.7109375" style="3" customWidth="1"/>
    <col min="11535" max="11535" width="17.28515625" style="3" customWidth="1"/>
    <col min="11536" max="11536" width="14.7109375" style="3" customWidth="1"/>
    <col min="11537" max="11537" width="16.5703125" style="3" customWidth="1"/>
    <col min="11538" max="11538" width="2.42578125" style="3" customWidth="1"/>
    <col min="11539" max="11546" width="16.5703125" style="3" customWidth="1"/>
    <col min="11547" max="11547" width="13.140625" style="3" bestFit="1" customWidth="1"/>
    <col min="11548" max="11548" width="47" style="3" bestFit="1" customWidth="1"/>
    <col min="11549" max="11776" width="9.140625" style="3"/>
    <col min="11777" max="11777" width="0.85546875" style="3" customWidth="1"/>
    <col min="11778" max="11778" width="22.140625" style="3" customWidth="1"/>
    <col min="11779" max="11779" width="0.85546875" style="3" customWidth="1"/>
    <col min="11780" max="11780" width="32.7109375" style="3" customWidth="1"/>
    <col min="11781" max="11781" width="22" style="3" bestFit="1" customWidth="1"/>
    <col min="11782" max="11782" width="0.85546875" style="3" customWidth="1"/>
    <col min="11783" max="11783" width="15.85546875" style="3" customWidth="1"/>
    <col min="11784" max="11784" width="16" style="3" customWidth="1"/>
    <col min="11785" max="11785" width="16.42578125" style="3" customWidth="1"/>
    <col min="11786" max="11786" width="17.28515625" style="3" customWidth="1"/>
    <col min="11787" max="11787" width="16.85546875" style="3" customWidth="1"/>
    <col min="11788" max="11788" width="1.7109375" style="3" customWidth="1"/>
    <col min="11789" max="11789" width="17.140625" style="3" customWidth="1"/>
    <col min="11790" max="11790" width="14.7109375" style="3" customWidth="1"/>
    <col min="11791" max="11791" width="17.28515625" style="3" customWidth="1"/>
    <col min="11792" max="11792" width="14.7109375" style="3" customWidth="1"/>
    <col min="11793" max="11793" width="16.5703125" style="3" customWidth="1"/>
    <col min="11794" max="11794" width="2.42578125" style="3" customWidth="1"/>
    <col min="11795" max="11802" width="16.5703125" style="3" customWidth="1"/>
    <col min="11803" max="11803" width="13.140625" style="3" bestFit="1" customWidth="1"/>
    <col min="11804" max="11804" width="47" style="3" bestFit="1" customWidth="1"/>
    <col min="11805" max="12032" width="9.140625" style="3"/>
    <col min="12033" max="12033" width="0.85546875" style="3" customWidth="1"/>
    <col min="12034" max="12034" width="22.140625" style="3" customWidth="1"/>
    <col min="12035" max="12035" width="0.85546875" style="3" customWidth="1"/>
    <col min="12036" max="12036" width="32.7109375" style="3" customWidth="1"/>
    <col min="12037" max="12037" width="22" style="3" bestFit="1" customWidth="1"/>
    <col min="12038" max="12038" width="0.85546875" style="3" customWidth="1"/>
    <col min="12039" max="12039" width="15.85546875" style="3" customWidth="1"/>
    <col min="12040" max="12040" width="16" style="3" customWidth="1"/>
    <col min="12041" max="12041" width="16.42578125" style="3" customWidth="1"/>
    <col min="12042" max="12042" width="17.28515625" style="3" customWidth="1"/>
    <col min="12043" max="12043" width="16.85546875" style="3" customWidth="1"/>
    <col min="12044" max="12044" width="1.7109375" style="3" customWidth="1"/>
    <col min="12045" max="12045" width="17.140625" style="3" customWidth="1"/>
    <col min="12046" max="12046" width="14.7109375" style="3" customWidth="1"/>
    <col min="12047" max="12047" width="17.28515625" style="3" customWidth="1"/>
    <col min="12048" max="12048" width="14.7109375" style="3" customWidth="1"/>
    <col min="12049" max="12049" width="16.5703125" style="3" customWidth="1"/>
    <col min="12050" max="12050" width="2.42578125" style="3" customWidth="1"/>
    <col min="12051" max="12058" width="16.5703125" style="3" customWidth="1"/>
    <col min="12059" max="12059" width="13.140625" style="3" bestFit="1" customWidth="1"/>
    <col min="12060" max="12060" width="47" style="3" bestFit="1" customWidth="1"/>
    <col min="12061" max="12288" width="9.140625" style="3"/>
    <col min="12289" max="12289" width="0.85546875" style="3" customWidth="1"/>
    <col min="12290" max="12290" width="22.140625" style="3" customWidth="1"/>
    <col min="12291" max="12291" width="0.85546875" style="3" customWidth="1"/>
    <col min="12292" max="12292" width="32.7109375" style="3" customWidth="1"/>
    <col min="12293" max="12293" width="22" style="3" bestFit="1" customWidth="1"/>
    <col min="12294" max="12294" width="0.85546875" style="3" customWidth="1"/>
    <col min="12295" max="12295" width="15.85546875" style="3" customWidth="1"/>
    <col min="12296" max="12296" width="16" style="3" customWidth="1"/>
    <col min="12297" max="12297" width="16.42578125" style="3" customWidth="1"/>
    <col min="12298" max="12298" width="17.28515625" style="3" customWidth="1"/>
    <col min="12299" max="12299" width="16.85546875" style="3" customWidth="1"/>
    <col min="12300" max="12300" width="1.7109375" style="3" customWidth="1"/>
    <col min="12301" max="12301" width="17.140625" style="3" customWidth="1"/>
    <col min="12302" max="12302" width="14.7109375" style="3" customWidth="1"/>
    <col min="12303" max="12303" width="17.28515625" style="3" customWidth="1"/>
    <col min="12304" max="12304" width="14.7109375" style="3" customWidth="1"/>
    <col min="12305" max="12305" width="16.5703125" style="3" customWidth="1"/>
    <col min="12306" max="12306" width="2.42578125" style="3" customWidth="1"/>
    <col min="12307" max="12314" width="16.5703125" style="3" customWidth="1"/>
    <col min="12315" max="12315" width="13.140625" style="3" bestFit="1" customWidth="1"/>
    <col min="12316" max="12316" width="47" style="3" bestFit="1" customWidth="1"/>
    <col min="12317" max="12544" width="9.140625" style="3"/>
    <col min="12545" max="12545" width="0.85546875" style="3" customWidth="1"/>
    <col min="12546" max="12546" width="22.140625" style="3" customWidth="1"/>
    <col min="12547" max="12547" width="0.85546875" style="3" customWidth="1"/>
    <col min="12548" max="12548" width="32.7109375" style="3" customWidth="1"/>
    <col min="12549" max="12549" width="22" style="3" bestFit="1" customWidth="1"/>
    <col min="12550" max="12550" width="0.85546875" style="3" customWidth="1"/>
    <col min="12551" max="12551" width="15.85546875" style="3" customWidth="1"/>
    <col min="12552" max="12552" width="16" style="3" customWidth="1"/>
    <col min="12553" max="12553" width="16.42578125" style="3" customWidth="1"/>
    <col min="12554" max="12554" width="17.28515625" style="3" customWidth="1"/>
    <col min="12555" max="12555" width="16.85546875" style="3" customWidth="1"/>
    <col min="12556" max="12556" width="1.7109375" style="3" customWidth="1"/>
    <col min="12557" max="12557" width="17.140625" style="3" customWidth="1"/>
    <col min="12558" max="12558" width="14.7109375" style="3" customWidth="1"/>
    <col min="12559" max="12559" width="17.28515625" style="3" customWidth="1"/>
    <col min="12560" max="12560" width="14.7109375" style="3" customWidth="1"/>
    <col min="12561" max="12561" width="16.5703125" style="3" customWidth="1"/>
    <col min="12562" max="12562" width="2.42578125" style="3" customWidth="1"/>
    <col min="12563" max="12570" width="16.5703125" style="3" customWidth="1"/>
    <col min="12571" max="12571" width="13.140625" style="3" bestFit="1" customWidth="1"/>
    <col min="12572" max="12572" width="47" style="3" bestFit="1" customWidth="1"/>
    <col min="12573" max="12800" width="9.140625" style="3"/>
    <col min="12801" max="12801" width="0.85546875" style="3" customWidth="1"/>
    <col min="12802" max="12802" width="22.140625" style="3" customWidth="1"/>
    <col min="12803" max="12803" width="0.85546875" style="3" customWidth="1"/>
    <col min="12804" max="12804" width="32.7109375" style="3" customWidth="1"/>
    <col min="12805" max="12805" width="22" style="3" bestFit="1" customWidth="1"/>
    <col min="12806" max="12806" width="0.85546875" style="3" customWidth="1"/>
    <col min="12807" max="12807" width="15.85546875" style="3" customWidth="1"/>
    <col min="12808" max="12808" width="16" style="3" customWidth="1"/>
    <col min="12809" max="12809" width="16.42578125" style="3" customWidth="1"/>
    <col min="12810" max="12810" width="17.28515625" style="3" customWidth="1"/>
    <col min="12811" max="12811" width="16.85546875" style="3" customWidth="1"/>
    <col min="12812" max="12812" width="1.7109375" style="3" customWidth="1"/>
    <col min="12813" max="12813" width="17.140625" style="3" customWidth="1"/>
    <col min="12814" max="12814" width="14.7109375" style="3" customWidth="1"/>
    <col min="12815" max="12815" width="17.28515625" style="3" customWidth="1"/>
    <col min="12816" max="12816" width="14.7109375" style="3" customWidth="1"/>
    <col min="12817" max="12817" width="16.5703125" style="3" customWidth="1"/>
    <col min="12818" max="12818" width="2.42578125" style="3" customWidth="1"/>
    <col min="12819" max="12826" width="16.5703125" style="3" customWidth="1"/>
    <col min="12827" max="12827" width="13.140625" style="3" bestFit="1" customWidth="1"/>
    <col min="12828" max="12828" width="47" style="3" bestFit="1" customWidth="1"/>
    <col min="12829" max="13056" width="9.140625" style="3"/>
    <col min="13057" max="13057" width="0.85546875" style="3" customWidth="1"/>
    <col min="13058" max="13058" width="22.140625" style="3" customWidth="1"/>
    <col min="13059" max="13059" width="0.85546875" style="3" customWidth="1"/>
    <col min="13060" max="13060" width="32.7109375" style="3" customWidth="1"/>
    <col min="13061" max="13061" width="22" style="3" bestFit="1" customWidth="1"/>
    <col min="13062" max="13062" width="0.85546875" style="3" customWidth="1"/>
    <col min="13063" max="13063" width="15.85546875" style="3" customWidth="1"/>
    <col min="13064" max="13064" width="16" style="3" customWidth="1"/>
    <col min="13065" max="13065" width="16.42578125" style="3" customWidth="1"/>
    <col min="13066" max="13066" width="17.28515625" style="3" customWidth="1"/>
    <col min="13067" max="13067" width="16.85546875" style="3" customWidth="1"/>
    <col min="13068" max="13068" width="1.7109375" style="3" customWidth="1"/>
    <col min="13069" max="13069" width="17.140625" style="3" customWidth="1"/>
    <col min="13070" max="13070" width="14.7109375" style="3" customWidth="1"/>
    <col min="13071" max="13071" width="17.28515625" style="3" customWidth="1"/>
    <col min="13072" max="13072" width="14.7109375" style="3" customWidth="1"/>
    <col min="13073" max="13073" width="16.5703125" style="3" customWidth="1"/>
    <col min="13074" max="13074" width="2.42578125" style="3" customWidth="1"/>
    <col min="13075" max="13082" width="16.5703125" style="3" customWidth="1"/>
    <col min="13083" max="13083" width="13.140625" style="3" bestFit="1" customWidth="1"/>
    <col min="13084" max="13084" width="47" style="3" bestFit="1" customWidth="1"/>
    <col min="13085" max="13312" width="9.140625" style="3"/>
    <col min="13313" max="13313" width="0.85546875" style="3" customWidth="1"/>
    <col min="13314" max="13314" width="22.140625" style="3" customWidth="1"/>
    <col min="13315" max="13315" width="0.85546875" style="3" customWidth="1"/>
    <col min="13316" max="13316" width="32.7109375" style="3" customWidth="1"/>
    <col min="13317" max="13317" width="22" style="3" bestFit="1" customWidth="1"/>
    <col min="13318" max="13318" width="0.85546875" style="3" customWidth="1"/>
    <col min="13319" max="13319" width="15.85546875" style="3" customWidth="1"/>
    <col min="13320" max="13320" width="16" style="3" customWidth="1"/>
    <col min="13321" max="13321" width="16.42578125" style="3" customWidth="1"/>
    <col min="13322" max="13322" width="17.28515625" style="3" customWidth="1"/>
    <col min="13323" max="13323" width="16.85546875" style="3" customWidth="1"/>
    <col min="13324" max="13324" width="1.7109375" style="3" customWidth="1"/>
    <col min="13325" max="13325" width="17.140625" style="3" customWidth="1"/>
    <col min="13326" max="13326" width="14.7109375" style="3" customWidth="1"/>
    <col min="13327" max="13327" width="17.28515625" style="3" customWidth="1"/>
    <col min="13328" max="13328" width="14.7109375" style="3" customWidth="1"/>
    <col min="13329" max="13329" width="16.5703125" style="3" customWidth="1"/>
    <col min="13330" max="13330" width="2.42578125" style="3" customWidth="1"/>
    <col min="13331" max="13338" width="16.5703125" style="3" customWidth="1"/>
    <col min="13339" max="13339" width="13.140625" style="3" bestFit="1" customWidth="1"/>
    <col min="13340" max="13340" width="47" style="3" bestFit="1" customWidth="1"/>
    <col min="13341" max="13568" width="9.140625" style="3"/>
    <col min="13569" max="13569" width="0.85546875" style="3" customWidth="1"/>
    <col min="13570" max="13570" width="22.140625" style="3" customWidth="1"/>
    <col min="13571" max="13571" width="0.85546875" style="3" customWidth="1"/>
    <col min="13572" max="13572" width="32.7109375" style="3" customWidth="1"/>
    <col min="13573" max="13573" width="22" style="3" bestFit="1" customWidth="1"/>
    <col min="13574" max="13574" width="0.85546875" style="3" customWidth="1"/>
    <col min="13575" max="13575" width="15.85546875" style="3" customWidth="1"/>
    <col min="13576" max="13576" width="16" style="3" customWidth="1"/>
    <col min="13577" max="13577" width="16.42578125" style="3" customWidth="1"/>
    <col min="13578" max="13578" width="17.28515625" style="3" customWidth="1"/>
    <col min="13579" max="13579" width="16.85546875" style="3" customWidth="1"/>
    <col min="13580" max="13580" width="1.7109375" style="3" customWidth="1"/>
    <col min="13581" max="13581" width="17.140625" style="3" customWidth="1"/>
    <col min="13582" max="13582" width="14.7109375" style="3" customWidth="1"/>
    <col min="13583" max="13583" width="17.28515625" style="3" customWidth="1"/>
    <col min="13584" max="13584" width="14.7109375" style="3" customWidth="1"/>
    <col min="13585" max="13585" width="16.5703125" style="3" customWidth="1"/>
    <col min="13586" max="13586" width="2.42578125" style="3" customWidth="1"/>
    <col min="13587" max="13594" width="16.5703125" style="3" customWidth="1"/>
    <col min="13595" max="13595" width="13.140625" style="3" bestFit="1" customWidth="1"/>
    <col min="13596" max="13596" width="47" style="3" bestFit="1" customWidth="1"/>
    <col min="13597" max="13824" width="9.140625" style="3"/>
    <col min="13825" max="13825" width="0.85546875" style="3" customWidth="1"/>
    <col min="13826" max="13826" width="22.140625" style="3" customWidth="1"/>
    <col min="13827" max="13827" width="0.85546875" style="3" customWidth="1"/>
    <col min="13828" max="13828" width="32.7109375" style="3" customWidth="1"/>
    <col min="13829" max="13829" width="22" style="3" bestFit="1" customWidth="1"/>
    <col min="13830" max="13830" width="0.85546875" style="3" customWidth="1"/>
    <col min="13831" max="13831" width="15.85546875" style="3" customWidth="1"/>
    <col min="13832" max="13832" width="16" style="3" customWidth="1"/>
    <col min="13833" max="13833" width="16.42578125" style="3" customWidth="1"/>
    <col min="13834" max="13834" width="17.28515625" style="3" customWidth="1"/>
    <col min="13835" max="13835" width="16.85546875" style="3" customWidth="1"/>
    <col min="13836" max="13836" width="1.7109375" style="3" customWidth="1"/>
    <col min="13837" max="13837" width="17.140625" style="3" customWidth="1"/>
    <col min="13838" max="13838" width="14.7109375" style="3" customWidth="1"/>
    <col min="13839" max="13839" width="17.28515625" style="3" customWidth="1"/>
    <col min="13840" max="13840" width="14.7109375" style="3" customWidth="1"/>
    <col min="13841" max="13841" width="16.5703125" style="3" customWidth="1"/>
    <col min="13842" max="13842" width="2.42578125" style="3" customWidth="1"/>
    <col min="13843" max="13850" width="16.5703125" style="3" customWidth="1"/>
    <col min="13851" max="13851" width="13.140625" style="3" bestFit="1" customWidth="1"/>
    <col min="13852" max="13852" width="47" style="3" bestFit="1" customWidth="1"/>
    <col min="13853" max="14080" width="9.140625" style="3"/>
    <col min="14081" max="14081" width="0.85546875" style="3" customWidth="1"/>
    <col min="14082" max="14082" width="22.140625" style="3" customWidth="1"/>
    <col min="14083" max="14083" width="0.85546875" style="3" customWidth="1"/>
    <col min="14084" max="14084" width="32.7109375" style="3" customWidth="1"/>
    <col min="14085" max="14085" width="22" style="3" bestFit="1" customWidth="1"/>
    <col min="14086" max="14086" width="0.85546875" style="3" customWidth="1"/>
    <col min="14087" max="14087" width="15.85546875" style="3" customWidth="1"/>
    <col min="14088" max="14088" width="16" style="3" customWidth="1"/>
    <col min="14089" max="14089" width="16.42578125" style="3" customWidth="1"/>
    <col min="14090" max="14090" width="17.28515625" style="3" customWidth="1"/>
    <col min="14091" max="14091" width="16.85546875" style="3" customWidth="1"/>
    <col min="14092" max="14092" width="1.7109375" style="3" customWidth="1"/>
    <col min="14093" max="14093" width="17.140625" style="3" customWidth="1"/>
    <col min="14094" max="14094" width="14.7109375" style="3" customWidth="1"/>
    <col min="14095" max="14095" width="17.28515625" style="3" customWidth="1"/>
    <col min="14096" max="14096" width="14.7109375" style="3" customWidth="1"/>
    <col min="14097" max="14097" width="16.5703125" style="3" customWidth="1"/>
    <col min="14098" max="14098" width="2.42578125" style="3" customWidth="1"/>
    <col min="14099" max="14106" width="16.5703125" style="3" customWidth="1"/>
    <col min="14107" max="14107" width="13.140625" style="3" bestFit="1" customWidth="1"/>
    <col min="14108" max="14108" width="47" style="3" bestFit="1" customWidth="1"/>
    <col min="14109" max="14336" width="9.140625" style="3"/>
    <col min="14337" max="14337" width="0.85546875" style="3" customWidth="1"/>
    <col min="14338" max="14338" width="22.140625" style="3" customWidth="1"/>
    <col min="14339" max="14339" width="0.85546875" style="3" customWidth="1"/>
    <col min="14340" max="14340" width="32.7109375" style="3" customWidth="1"/>
    <col min="14341" max="14341" width="22" style="3" bestFit="1" customWidth="1"/>
    <col min="14342" max="14342" width="0.85546875" style="3" customWidth="1"/>
    <col min="14343" max="14343" width="15.85546875" style="3" customWidth="1"/>
    <col min="14344" max="14344" width="16" style="3" customWidth="1"/>
    <col min="14345" max="14345" width="16.42578125" style="3" customWidth="1"/>
    <col min="14346" max="14346" width="17.28515625" style="3" customWidth="1"/>
    <col min="14347" max="14347" width="16.85546875" style="3" customWidth="1"/>
    <col min="14348" max="14348" width="1.7109375" style="3" customWidth="1"/>
    <col min="14349" max="14349" width="17.140625" style="3" customWidth="1"/>
    <col min="14350" max="14350" width="14.7109375" style="3" customWidth="1"/>
    <col min="14351" max="14351" width="17.28515625" style="3" customWidth="1"/>
    <col min="14352" max="14352" width="14.7109375" style="3" customWidth="1"/>
    <col min="14353" max="14353" width="16.5703125" style="3" customWidth="1"/>
    <col min="14354" max="14354" width="2.42578125" style="3" customWidth="1"/>
    <col min="14355" max="14362" width="16.5703125" style="3" customWidth="1"/>
    <col min="14363" max="14363" width="13.140625" style="3" bestFit="1" customWidth="1"/>
    <col min="14364" max="14364" width="47" style="3" bestFit="1" customWidth="1"/>
    <col min="14365" max="14592" width="9.140625" style="3"/>
    <col min="14593" max="14593" width="0.85546875" style="3" customWidth="1"/>
    <col min="14594" max="14594" width="22.140625" style="3" customWidth="1"/>
    <col min="14595" max="14595" width="0.85546875" style="3" customWidth="1"/>
    <col min="14596" max="14596" width="32.7109375" style="3" customWidth="1"/>
    <col min="14597" max="14597" width="22" style="3" bestFit="1" customWidth="1"/>
    <col min="14598" max="14598" width="0.85546875" style="3" customWidth="1"/>
    <col min="14599" max="14599" width="15.85546875" style="3" customWidth="1"/>
    <col min="14600" max="14600" width="16" style="3" customWidth="1"/>
    <col min="14601" max="14601" width="16.42578125" style="3" customWidth="1"/>
    <col min="14602" max="14602" width="17.28515625" style="3" customWidth="1"/>
    <col min="14603" max="14603" width="16.85546875" style="3" customWidth="1"/>
    <col min="14604" max="14604" width="1.7109375" style="3" customWidth="1"/>
    <col min="14605" max="14605" width="17.140625" style="3" customWidth="1"/>
    <col min="14606" max="14606" width="14.7109375" style="3" customWidth="1"/>
    <col min="14607" max="14607" width="17.28515625" style="3" customWidth="1"/>
    <col min="14608" max="14608" width="14.7109375" style="3" customWidth="1"/>
    <col min="14609" max="14609" width="16.5703125" style="3" customWidth="1"/>
    <col min="14610" max="14610" width="2.42578125" style="3" customWidth="1"/>
    <col min="14611" max="14618" width="16.5703125" style="3" customWidth="1"/>
    <col min="14619" max="14619" width="13.140625" style="3" bestFit="1" customWidth="1"/>
    <col min="14620" max="14620" width="47" style="3" bestFit="1" customWidth="1"/>
    <col min="14621" max="14848" width="9.140625" style="3"/>
    <col min="14849" max="14849" width="0.85546875" style="3" customWidth="1"/>
    <col min="14850" max="14850" width="22.140625" style="3" customWidth="1"/>
    <col min="14851" max="14851" width="0.85546875" style="3" customWidth="1"/>
    <col min="14852" max="14852" width="32.7109375" style="3" customWidth="1"/>
    <col min="14853" max="14853" width="22" style="3" bestFit="1" customWidth="1"/>
    <col min="14854" max="14854" width="0.85546875" style="3" customWidth="1"/>
    <col min="14855" max="14855" width="15.85546875" style="3" customWidth="1"/>
    <col min="14856" max="14856" width="16" style="3" customWidth="1"/>
    <col min="14857" max="14857" width="16.42578125" style="3" customWidth="1"/>
    <col min="14858" max="14858" width="17.28515625" style="3" customWidth="1"/>
    <col min="14859" max="14859" width="16.85546875" style="3" customWidth="1"/>
    <col min="14860" max="14860" width="1.7109375" style="3" customWidth="1"/>
    <col min="14861" max="14861" width="17.140625" style="3" customWidth="1"/>
    <col min="14862" max="14862" width="14.7109375" style="3" customWidth="1"/>
    <col min="14863" max="14863" width="17.28515625" style="3" customWidth="1"/>
    <col min="14864" max="14864" width="14.7109375" style="3" customWidth="1"/>
    <col min="14865" max="14865" width="16.5703125" style="3" customWidth="1"/>
    <col min="14866" max="14866" width="2.42578125" style="3" customWidth="1"/>
    <col min="14867" max="14874" width="16.5703125" style="3" customWidth="1"/>
    <col min="14875" max="14875" width="13.140625" style="3" bestFit="1" customWidth="1"/>
    <col min="14876" max="14876" width="47" style="3" bestFit="1" customWidth="1"/>
    <col min="14877" max="15104" width="9.140625" style="3"/>
    <col min="15105" max="15105" width="0.85546875" style="3" customWidth="1"/>
    <col min="15106" max="15106" width="22.140625" style="3" customWidth="1"/>
    <col min="15107" max="15107" width="0.85546875" style="3" customWidth="1"/>
    <col min="15108" max="15108" width="32.7109375" style="3" customWidth="1"/>
    <col min="15109" max="15109" width="22" style="3" bestFit="1" customWidth="1"/>
    <col min="15110" max="15110" width="0.85546875" style="3" customWidth="1"/>
    <col min="15111" max="15111" width="15.85546875" style="3" customWidth="1"/>
    <col min="15112" max="15112" width="16" style="3" customWidth="1"/>
    <col min="15113" max="15113" width="16.42578125" style="3" customWidth="1"/>
    <col min="15114" max="15114" width="17.28515625" style="3" customWidth="1"/>
    <col min="15115" max="15115" width="16.85546875" style="3" customWidth="1"/>
    <col min="15116" max="15116" width="1.7109375" style="3" customWidth="1"/>
    <col min="15117" max="15117" width="17.140625" style="3" customWidth="1"/>
    <col min="15118" max="15118" width="14.7109375" style="3" customWidth="1"/>
    <col min="15119" max="15119" width="17.28515625" style="3" customWidth="1"/>
    <col min="15120" max="15120" width="14.7109375" style="3" customWidth="1"/>
    <col min="15121" max="15121" width="16.5703125" style="3" customWidth="1"/>
    <col min="15122" max="15122" width="2.42578125" style="3" customWidth="1"/>
    <col min="15123" max="15130" width="16.5703125" style="3" customWidth="1"/>
    <col min="15131" max="15131" width="13.140625" style="3" bestFit="1" customWidth="1"/>
    <col min="15132" max="15132" width="47" style="3" bestFit="1" customWidth="1"/>
    <col min="15133" max="15360" width="9.140625" style="3"/>
    <col min="15361" max="15361" width="0.85546875" style="3" customWidth="1"/>
    <col min="15362" max="15362" width="22.140625" style="3" customWidth="1"/>
    <col min="15363" max="15363" width="0.85546875" style="3" customWidth="1"/>
    <col min="15364" max="15364" width="32.7109375" style="3" customWidth="1"/>
    <col min="15365" max="15365" width="22" style="3" bestFit="1" customWidth="1"/>
    <col min="15366" max="15366" width="0.85546875" style="3" customWidth="1"/>
    <col min="15367" max="15367" width="15.85546875" style="3" customWidth="1"/>
    <col min="15368" max="15368" width="16" style="3" customWidth="1"/>
    <col min="15369" max="15369" width="16.42578125" style="3" customWidth="1"/>
    <col min="15370" max="15370" width="17.28515625" style="3" customWidth="1"/>
    <col min="15371" max="15371" width="16.85546875" style="3" customWidth="1"/>
    <col min="15372" max="15372" width="1.7109375" style="3" customWidth="1"/>
    <col min="15373" max="15373" width="17.140625" style="3" customWidth="1"/>
    <col min="15374" max="15374" width="14.7109375" style="3" customWidth="1"/>
    <col min="15375" max="15375" width="17.28515625" style="3" customWidth="1"/>
    <col min="15376" max="15376" width="14.7109375" style="3" customWidth="1"/>
    <col min="15377" max="15377" width="16.5703125" style="3" customWidth="1"/>
    <col min="15378" max="15378" width="2.42578125" style="3" customWidth="1"/>
    <col min="15379" max="15386" width="16.5703125" style="3" customWidth="1"/>
    <col min="15387" max="15387" width="13.140625" style="3" bestFit="1" customWidth="1"/>
    <col min="15388" max="15388" width="47" style="3" bestFit="1" customWidth="1"/>
    <col min="15389" max="15616" width="9.140625" style="3"/>
    <col min="15617" max="15617" width="0.85546875" style="3" customWidth="1"/>
    <col min="15618" max="15618" width="22.140625" style="3" customWidth="1"/>
    <col min="15619" max="15619" width="0.85546875" style="3" customWidth="1"/>
    <col min="15620" max="15620" width="32.7109375" style="3" customWidth="1"/>
    <col min="15621" max="15621" width="22" style="3" bestFit="1" customWidth="1"/>
    <col min="15622" max="15622" width="0.85546875" style="3" customWidth="1"/>
    <col min="15623" max="15623" width="15.85546875" style="3" customWidth="1"/>
    <col min="15624" max="15624" width="16" style="3" customWidth="1"/>
    <col min="15625" max="15625" width="16.42578125" style="3" customWidth="1"/>
    <col min="15626" max="15626" width="17.28515625" style="3" customWidth="1"/>
    <col min="15627" max="15627" width="16.85546875" style="3" customWidth="1"/>
    <col min="15628" max="15628" width="1.7109375" style="3" customWidth="1"/>
    <col min="15629" max="15629" width="17.140625" style="3" customWidth="1"/>
    <col min="15630" max="15630" width="14.7109375" style="3" customWidth="1"/>
    <col min="15631" max="15631" width="17.28515625" style="3" customWidth="1"/>
    <col min="15632" max="15632" width="14.7109375" style="3" customWidth="1"/>
    <col min="15633" max="15633" width="16.5703125" style="3" customWidth="1"/>
    <col min="15634" max="15634" width="2.42578125" style="3" customWidth="1"/>
    <col min="15635" max="15642" width="16.5703125" style="3" customWidth="1"/>
    <col min="15643" max="15643" width="13.140625" style="3" bestFit="1" customWidth="1"/>
    <col min="15644" max="15644" width="47" style="3" bestFit="1" customWidth="1"/>
    <col min="15645" max="15872" width="9.140625" style="3"/>
    <col min="15873" max="15873" width="0.85546875" style="3" customWidth="1"/>
    <col min="15874" max="15874" width="22.140625" style="3" customWidth="1"/>
    <col min="15875" max="15875" width="0.85546875" style="3" customWidth="1"/>
    <col min="15876" max="15876" width="32.7109375" style="3" customWidth="1"/>
    <col min="15877" max="15877" width="22" style="3" bestFit="1" customWidth="1"/>
    <col min="15878" max="15878" width="0.85546875" style="3" customWidth="1"/>
    <col min="15879" max="15879" width="15.85546875" style="3" customWidth="1"/>
    <col min="15880" max="15880" width="16" style="3" customWidth="1"/>
    <col min="15881" max="15881" width="16.42578125" style="3" customWidth="1"/>
    <col min="15882" max="15882" width="17.28515625" style="3" customWidth="1"/>
    <col min="15883" max="15883" width="16.85546875" style="3" customWidth="1"/>
    <col min="15884" max="15884" width="1.7109375" style="3" customWidth="1"/>
    <col min="15885" max="15885" width="17.140625" style="3" customWidth="1"/>
    <col min="15886" max="15886" width="14.7109375" style="3" customWidth="1"/>
    <col min="15887" max="15887" width="17.28515625" style="3" customWidth="1"/>
    <col min="15888" max="15888" width="14.7109375" style="3" customWidth="1"/>
    <col min="15889" max="15889" width="16.5703125" style="3" customWidth="1"/>
    <col min="15890" max="15890" width="2.42578125" style="3" customWidth="1"/>
    <col min="15891" max="15898" width="16.5703125" style="3" customWidth="1"/>
    <col min="15899" max="15899" width="13.140625" style="3" bestFit="1" customWidth="1"/>
    <col min="15900" max="15900" width="47" style="3" bestFit="1" customWidth="1"/>
    <col min="15901" max="16128" width="9.140625" style="3"/>
    <col min="16129" max="16129" width="0.85546875" style="3" customWidth="1"/>
    <col min="16130" max="16130" width="22.140625" style="3" customWidth="1"/>
    <col min="16131" max="16131" width="0.85546875" style="3" customWidth="1"/>
    <col min="16132" max="16132" width="32.7109375" style="3" customWidth="1"/>
    <col min="16133" max="16133" width="22" style="3" bestFit="1" customWidth="1"/>
    <col min="16134" max="16134" width="0.85546875" style="3" customWidth="1"/>
    <col min="16135" max="16135" width="15.85546875" style="3" customWidth="1"/>
    <col min="16136" max="16136" width="16" style="3" customWidth="1"/>
    <col min="16137" max="16137" width="16.42578125" style="3" customWidth="1"/>
    <col min="16138" max="16138" width="17.28515625" style="3" customWidth="1"/>
    <col min="16139" max="16139" width="16.85546875" style="3" customWidth="1"/>
    <col min="16140" max="16140" width="1.7109375" style="3" customWidth="1"/>
    <col min="16141" max="16141" width="17.140625" style="3" customWidth="1"/>
    <col min="16142" max="16142" width="14.7109375" style="3" customWidth="1"/>
    <col min="16143" max="16143" width="17.28515625" style="3" customWidth="1"/>
    <col min="16144" max="16144" width="14.7109375" style="3" customWidth="1"/>
    <col min="16145" max="16145" width="16.5703125" style="3" customWidth="1"/>
    <col min="16146" max="16146" width="2.42578125" style="3" customWidth="1"/>
    <col min="16147" max="16154" width="16.5703125" style="3" customWidth="1"/>
    <col min="16155" max="16155" width="13.140625" style="3" bestFit="1" customWidth="1"/>
    <col min="16156" max="16156" width="47" style="3" bestFit="1" customWidth="1"/>
    <col min="16157" max="16384" width="9.140625" style="3"/>
  </cols>
  <sheetData>
    <row r="1" spans="2:28" x14ac:dyDescent="0.2">
      <c r="E1" s="2"/>
      <c r="F1" s="2"/>
    </row>
    <row r="2" spans="2:28" x14ac:dyDescent="0.2">
      <c r="E2" s="2"/>
      <c r="F2" s="2"/>
    </row>
    <row r="3" spans="2:28" ht="20.25" thickBot="1" x14ac:dyDescent="0.3">
      <c r="B3" s="1" t="s">
        <v>0</v>
      </c>
      <c r="C3" s="2"/>
      <c r="D3" s="2"/>
      <c r="E3" s="2"/>
      <c r="F3" s="2"/>
      <c r="G3" s="130" t="s">
        <v>156</v>
      </c>
      <c r="H3" s="130"/>
      <c r="I3" s="130"/>
      <c r="J3" s="130"/>
      <c r="K3" s="130"/>
      <c r="L3" s="5"/>
      <c r="M3" s="130" t="s">
        <v>157</v>
      </c>
      <c r="N3" s="130"/>
      <c r="O3" s="130"/>
      <c r="P3" s="130"/>
      <c r="Q3" s="130"/>
      <c r="R3" s="83"/>
      <c r="S3" s="83"/>
      <c r="T3" s="83"/>
      <c r="U3" s="83"/>
      <c r="V3" s="83"/>
      <c r="W3" s="83"/>
      <c r="X3" s="83"/>
      <c r="Y3" s="83"/>
      <c r="Z3" s="83"/>
    </row>
    <row r="4" spans="2:28" ht="19.5" x14ac:dyDescent="0.25">
      <c r="B4" s="1" t="s">
        <v>1</v>
      </c>
      <c r="C4" s="2"/>
      <c r="D4" s="2"/>
      <c r="L4" s="5"/>
    </row>
    <row r="5" spans="2:28" x14ac:dyDescent="0.2">
      <c r="B5" s="2" t="s">
        <v>158</v>
      </c>
      <c r="C5" s="2"/>
      <c r="D5" s="2"/>
      <c r="G5" s="7" t="s">
        <v>4</v>
      </c>
      <c r="H5" s="7" t="s">
        <v>5</v>
      </c>
      <c r="I5" s="7" t="s">
        <v>6</v>
      </c>
      <c r="J5" s="7" t="s">
        <v>7</v>
      </c>
      <c r="K5" s="7" t="s">
        <v>8</v>
      </c>
      <c r="L5" s="5"/>
      <c r="M5" s="7" t="s">
        <v>4</v>
      </c>
      <c r="N5" s="7" t="s">
        <v>5</v>
      </c>
      <c r="O5" s="7" t="s">
        <v>6</v>
      </c>
      <c r="P5" s="7" t="s">
        <v>7</v>
      </c>
      <c r="Q5" s="7" t="s">
        <v>8</v>
      </c>
      <c r="R5" s="7"/>
      <c r="S5" s="7"/>
      <c r="T5" s="7"/>
      <c r="U5" s="7"/>
      <c r="V5" s="7"/>
      <c r="W5" s="7"/>
      <c r="X5" s="7"/>
      <c r="Y5" s="7"/>
      <c r="Z5" s="7"/>
    </row>
    <row r="6" spans="2:28"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c r="W6" s="7"/>
      <c r="X6" s="7"/>
      <c r="Y6" s="7"/>
      <c r="Z6" s="7"/>
    </row>
    <row r="7" spans="2:28" x14ac:dyDescent="0.2">
      <c r="D7" s="81"/>
      <c r="E7" s="15"/>
      <c r="G7" s="7"/>
      <c r="H7" s="7" t="s">
        <v>14</v>
      </c>
      <c r="I7" s="7"/>
      <c r="J7" s="7"/>
      <c r="K7" s="7"/>
      <c r="L7" s="5"/>
      <c r="M7" s="7"/>
      <c r="N7" s="7" t="s">
        <v>14</v>
      </c>
      <c r="O7" s="7"/>
      <c r="P7" s="7"/>
      <c r="Q7" s="7"/>
      <c r="R7" s="7"/>
      <c r="S7" s="7"/>
      <c r="T7" s="7"/>
      <c r="U7" s="7"/>
      <c r="V7" s="7"/>
      <c r="W7" s="7"/>
      <c r="X7" s="7"/>
      <c r="Y7" s="7"/>
      <c r="Z7" s="7"/>
    </row>
    <row r="8" spans="2:28" ht="13.5" thickBot="1" x14ac:dyDescent="0.25">
      <c r="B8" s="2"/>
      <c r="E8" s="15"/>
      <c r="G8" s="8" t="s">
        <v>15</v>
      </c>
      <c r="H8" s="8" t="s">
        <v>16</v>
      </c>
      <c r="I8" s="8" t="s">
        <v>17</v>
      </c>
      <c r="J8" s="8"/>
      <c r="K8" s="8" t="s">
        <v>18</v>
      </c>
      <c r="L8" s="5"/>
      <c r="M8" s="8" t="s">
        <v>15</v>
      </c>
      <c r="N8" s="8" t="s">
        <v>16</v>
      </c>
      <c r="O8" s="8" t="s">
        <v>17</v>
      </c>
      <c r="P8" s="8"/>
      <c r="Q8" s="8" t="s">
        <v>18</v>
      </c>
      <c r="R8" s="84"/>
      <c r="S8" s="84"/>
      <c r="T8" s="84"/>
      <c r="U8" s="84"/>
      <c r="V8" s="84"/>
      <c r="W8" s="84"/>
      <c r="X8" s="84"/>
      <c r="Y8" s="84"/>
      <c r="Z8" s="84"/>
    </row>
    <row r="9" spans="2:28" ht="5.0999999999999996" customHeight="1" x14ac:dyDescent="0.2">
      <c r="B9" s="2"/>
      <c r="E9" s="15"/>
      <c r="G9" s="9"/>
      <c r="H9" s="9"/>
      <c r="I9" s="9"/>
      <c r="J9" s="9"/>
      <c r="K9" s="9"/>
      <c r="L9" s="5"/>
      <c r="M9" s="9"/>
      <c r="N9" s="9"/>
      <c r="O9" s="9"/>
      <c r="P9" s="9"/>
      <c r="Q9" s="9"/>
      <c r="R9" s="9"/>
      <c r="S9" s="9"/>
      <c r="T9" s="9"/>
      <c r="U9" s="9"/>
      <c r="V9" s="9"/>
      <c r="W9" s="9"/>
      <c r="X9" s="9"/>
      <c r="Y9" s="9"/>
      <c r="Z9" s="9"/>
    </row>
    <row r="10" spans="2:28" ht="15" thickBot="1" x14ac:dyDescent="0.25">
      <c r="B10" s="6" t="s">
        <v>3</v>
      </c>
      <c r="D10" s="3" t="s">
        <v>19</v>
      </c>
      <c r="E10" s="18" t="s">
        <v>20</v>
      </c>
      <c r="G10" s="11">
        <v>82208</v>
      </c>
      <c r="H10" s="11">
        <v>50865</v>
      </c>
      <c r="I10" s="11">
        <v>-60996</v>
      </c>
      <c r="J10" s="12">
        <v>0</v>
      </c>
      <c r="K10" s="11">
        <f>SUM(G10:J10)</f>
        <v>72077</v>
      </c>
      <c r="L10" s="5"/>
      <c r="M10" s="11">
        <v>0</v>
      </c>
      <c r="N10" s="11">
        <v>0</v>
      </c>
      <c r="O10" s="11">
        <v>0</v>
      </c>
      <c r="P10" s="12">
        <v>0</v>
      </c>
      <c r="Q10" s="12">
        <f>SUM(M10:P10)</f>
        <v>0</v>
      </c>
      <c r="R10" s="12"/>
      <c r="S10" s="12"/>
      <c r="T10" s="12"/>
      <c r="U10" s="12"/>
      <c r="V10" s="12"/>
      <c r="W10" s="12"/>
      <c r="X10" s="12"/>
      <c r="Y10" s="12"/>
      <c r="Z10" s="12"/>
    </row>
    <row r="11" spans="2:28" x14ac:dyDescent="0.2">
      <c r="B11" s="2" t="s">
        <v>9</v>
      </c>
      <c r="E11" s="18" t="s">
        <v>21</v>
      </c>
      <c r="G11" s="13">
        <v>442.1</v>
      </c>
      <c r="H11" s="13">
        <v>110.5</v>
      </c>
      <c r="I11" s="13">
        <v>2091</v>
      </c>
      <c r="J11" s="14">
        <v>0</v>
      </c>
      <c r="K11" s="13">
        <f>SUM(G11:J11)</f>
        <v>2643.6</v>
      </c>
      <c r="L11" s="5"/>
      <c r="M11" s="13">
        <f>G11</f>
        <v>442.1</v>
      </c>
      <c r="N11" s="13">
        <f>H11</f>
        <v>110.5</v>
      </c>
      <c r="O11" s="13">
        <f>I11</f>
        <v>2091</v>
      </c>
      <c r="P11" s="14">
        <v>0</v>
      </c>
      <c r="Q11" s="14">
        <f>SUM(M11:P11)</f>
        <v>2643.6</v>
      </c>
      <c r="R11" s="85"/>
      <c r="S11" s="85"/>
      <c r="T11" s="85"/>
      <c r="U11" s="85"/>
      <c r="V11" s="85"/>
      <c r="W11" s="85"/>
      <c r="X11" s="85"/>
      <c r="Y11" s="85"/>
      <c r="Z11" s="85"/>
    </row>
    <row r="12" spans="2:28" x14ac:dyDescent="0.2">
      <c r="E12" s="18"/>
      <c r="G12" s="15"/>
      <c r="H12" s="15"/>
      <c r="I12" s="15"/>
      <c r="K12" s="15"/>
      <c r="L12" s="5"/>
      <c r="M12" s="15"/>
      <c r="N12" s="15"/>
      <c r="O12" s="15"/>
    </row>
    <row r="13" spans="2:28" ht="13.5" thickBot="1" x14ac:dyDescent="0.25">
      <c r="D13" s="3" t="s">
        <v>22</v>
      </c>
      <c r="E13" s="18" t="s">
        <v>20</v>
      </c>
      <c r="G13" s="11">
        <v>109972</v>
      </c>
      <c r="H13" s="11">
        <v>27493</v>
      </c>
      <c r="I13" s="11">
        <v>422837</v>
      </c>
      <c r="J13" s="12">
        <v>0</v>
      </c>
      <c r="K13" s="11">
        <f>SUM(G13:J13)</f>
        <v>560302</v>
      </c>
      <c r="L13" s="5"/>
      <c r="M13" s="11">
        <f>G13</f>
        <v>109972</v>
      </c>
      <c r="N13" s="11">
        <f>H13</f>
        <v>27493</v>
      </c>
      <c r="O13" s="11">
        <f>I13</f>
        <v>422837</v>
      </c>
      <c r="P13" s="11">
        <f>J13</f>
        <v>0</v>
      </c>
      <c r="Q13" s="12">
        <f>SUM(M13:P13)</f>
        <v>560302</v>
      </c>
      <c r="R13" s="12"/>
      <c r="S13" s="12"/>
      <c r="T13" s="12"/>
      <c r="U13" s="12"/>
      <c r="V13" s="12"/>
      <c r="W13" s="12"/>
      <c r="X13" s="12"/>
      <c r="Y13" s="12"/>
      <c r="Z13" s="12"/>
    </row>
    <row r="14" spans="2:28" ht="13.5" thickBot="1" x14ac:dyDescent="0.25">
      <c r="E14" s="18" t="s">
        <v>21</v>
      </c>
      <c r="G14" s="13">
        <v>2420.6</v>
      </c>
      <c r="H14" s="13">
        <v>605.79999999999995</v>
      </c>
      <c r="I14" s="13">
        <v>9960.1</v>
      </c>
      <c r="J14" s="14">
        <v>0</v>
      </c>
      <c r="K14" s="13">
        <f>SUM(G14:J14)</f>
        <v>12986.5</v>
      </c>
      <c r="L14" s="5"/>
      <c r="M14" s="13">
        <f>G14</f>
        <v>2420.6</v>
      </c>
      <c r="N14" s="13">
        <f>H14</f>
        <v>605.79999999999995</v>
      </c>
      <c r="O14" s="13">
        <f>I14</f>
        <v>9960.1</v>
      </c>
      <c r="P14" s="14">
        <v>0</v>
      </c>
      <c r="Q14" s="14">
        <f>SUM(M14:P14)</f>
        <v>12986.5</v>
      </c>
      <c r="R14" s="85"/>
      <c r="S14" s="85"/>
      <c r="T14" s="85"/>
      <c r="U14" s="85"/>
      <c r="V14" s="85"/>
      <c r="W14" s="85"/>
      <c r="X14" s="85"/>
      <c r="Y14" s="85"/>
      <c r="Z14" s="85"/>
    </row>
    <row r="15" spans="2:28" x14ac:dyDescent="0.2">
      <c r="E15" s="15"/>
      <c r="G15" s="15"/>
      <c r="H15" s="15"/>
      <c r="I15" s="15"/>
      <c r="K15" s="15"/>
      <c r="L15" s="5"/>
      <c r="M15" s="15"/>
      <c r="N15" s="15"/>
      <c r="O15" s="15"/>
      <c r="AB15" s="16" t="s">
        <v>87</v>
      </c>
    </row>
    <row r="16" spans="2:28" x14ac:dyDescent="0.2">
      <c r="D16" s="3" t="s">
        <v>23</v>
      </c>
      <c r="E16" s="18" t="s">
        <v>24</v>
      </c>
      <c r="G16" s="11">
        <v>7626</v>
      </c>
      <c r="H16" s="11">
        <v>1906</v>
      </c>
      <c r="I16" s="11">
        <v>1458</v>
      </c>
      <c r="J16" s="12">
        <v>0</v>
      </c>
      <c r="K16" s="11">
        <f t="shared" ref="K16:K22" si="0">SUM(G16:J16)</f>
        <v>10990</v>
      </c>
      <c r="L16" s="5"/>
      <c r="M16" s="11">
        <v>0</v>
      </c>
      <c r="N16" s="11">
        <v>0</v>
      </c>
      <c r="O16" s="11">
        <v>0</v>
      </c>
      <c r="P16" s="12">
        <v>0</v>
      </c>
      <c r="Q16" s="12">
        <f t="shared" ref="Q16:Q21" si="1">SUM(M16:P16)</f>
        <v>0</v>
      </c>
      <c r="R16" s="12"/>
      <c r="S16" s="12"/>
      <c r="T16" s="12"/>
      <c r="U16" s="12"/>
      <c r="V16" s="12"/>
      <c r="W16" s="12"/>
      <c r="X16" s="12"/>
      <c r="Y16" s="12"/>
      <c r="Z16" s="12"/>
      <c r="AB16" s="17"/>
    </row>
    <row r="17" spans="2:28" x14ac:dyDescent="0.2">
      <c r="D17" s="3" t="s">
        <v>25</v>
      </c>
      <c r="E17" s="18" t="s">
        <v>26</v>
      </c>
      <c r="G17" s="11">
        <v>13140</v>
      </c>
      <c r="H17" s="11">
        <v>3285</v>
      </c>
      <c r="I17" s="11">
        <v>1692</v>
      </c>
      <c r="J17" s="12">
        <v>0</v>
      </c>
      <c r="K17" s="11">
        <f t="shared" si="0"/>
        <v>18117</v>
      </c>
      <c r="L17" s="5"/>
      <c r="M17" s="11">
        <f>G17</f>
        <v>13140</v>
      </c>
      <c r="N17" s="11">
        <f>H17</f>
        <v>3285</v>
      </c>
      <c r="O17" s="11">
        <f>I17</f>
        <v>1692</v>
      </c>
      <c r="P17" s="11">
        <f>J17</f>
        <v>0</v>
      </c>
      <c r="Q17" s="12">
        <f t="shared" si="1"/>
        <v>18117</v>
      </c>
      <c r="R17" s="12"/>
      <c r="S17" s="12"/>
      <c r="T17" s="12"/>
      <c r="U17" s="12"/>
      <c r="V17" s="12"/>
      <c r="W17" s="12"/>
      <c r="X17" s="12"/>
      <c r="Y17" s="12"/>
      <c r="Z17" s="12"/>
      <c r="AB17" s="17" t="s">
        <v>88</v>
      </c>
    </row>
    <row r="18" spans="2:28" x14ac:dyDescent="0.2">
      <c r="E18" s="18" t="s">
        <v>27</v>
      </c>
      <c r="G18" s="11">
        <v>1389</v>
      </c>
      <c r="H18" s="11">
        <v>347</v>
      </c>
      <c r="I18" s="11">
        <v>130</v>
      </c>
      <c r="J18" s="12">
        <v>0</v>
      </c>
      <c r="K18" s="11">
        <f t="shared" si="0"/>
        <v>1866</v>
      </c>
      <c r="L18" s="5"/>
      <c r="M18" s="11">
        <v>0</v>
      </c>
      <c r="N18" s="11">
        <v>0</v>
      </c>
      <c r="O18" s="11">
        <v>0</v>
      </c>
      <c r="P18" s="12">
        <v>0</v>
      </c>
      <c r="Q18" s="12">
        <f t="shared" si="1"/>
        <v>0</v>
      </c>
      <c r="R18" s="12"/>
      <c r="S18" s="12"/>
      <c r="T18" s="12"/>
      <c r="U18" s="12"/>
      <c r="V18" s="12"/>
      <c r="W18" s="12"/>
      <c r="X18" s="12"/>
      <c r="Y18" s="12"/>
      <c r="Z18" s="12"/>
      <c r="AB18" s="19">
        <f>395196+21379</f>
        <v>416575</v>
      </c>
    </row>
    <row r="19" spans="2:28" x14ac:dyDescent="0.2">
      <c r="E19" s="18" t="s">
        <v>28</v>
      </c>
      <c r="G19" s="95">
        <v>12026</v>
      </c>
      <c r="H19" s="11">
        <v>3005</v>
      </c>
      <c r="I19" s="11">
        <v>45983</v>
      </c>
      <c r="J19" s="12">
        <v>0</v>
      </c>
      <c r="K19" s="11">
        <f t="shared" si="0"/>
        <v>61014</v>
      </c>
      <c r="L19" s="5"/>
      <c r="M19" s="11">
        <v>0</v>
      </c>
      <c r="N19" s="11">
        <v>0</v>
      </c>
      <c r="O19" s="11">
        <v>0</v>
      </c>
      <c r="P19" s="12">
        <v>0</v>
      </c>
      <c r="Q19" s="12">
        <f t="shared" si="1"/>
        <v>0</v>
      </c>
      <c r="R19" s="12"/>
      <c r="S19" s="12"/>
      <c r="T19" s="12"/>
      <c r="U19" s="12"/>
      <c r="V19" s="12"/>
      <c r="W19" s="12"/>
      <c r="X19" s="12"/>
      <c r="Y19" s="12"/>
      <c r="Z19" s="12"/>
      <c r="AB19" s="17"/>
    </row>
    <row r="20" spans="2:28" x14ac:dyDescent="0.2">
      <c r="E20" s="18" t="s">
        <v>29</v>
      </c>
      <c r="G20" s="11">
        <v>124338</v>
      </c>
      <c r="H20" s="11">
        <v>33364</v>
      </c>
      <c r="I20" s="11">
        <v>0</v>
      </c>
      <c r="J20" s="12">
        <v>0</v>
      </c>
      <c r="K20" s="11">
        <f t="shared" si="0"/>
        <v>157702</v>
      </c>
      <c r="L20" s="5"/>
      <c r="M20" s="11">
        <f>G20</f>
        <v>124338</v>
      </c>
      <c r="N20" s="11">
        <f>H20</f>
        <v>33364</v>
      </c>
      <c r="O20" s="11">
        <f>I20</f>
        <v>0</v>
      </c>
      <c r="P20" s="11">
        <f>J20</f>
        <v>0</v>
      </c>
      <c r="Q20" s="12">
        <f t="shared" si="1"/>
        <v>157702</v>
      </c>
      <c r="R20" s="12"/>
      <c r="S20" s="12"/>
      <c r="T20" s="12"/>
      <c r="U20" s="12"/>
      <c r="V20" s="12"/>
      <c r="W20" s="12"/>
      <c r="X20" s="12"/>
      <c r="Y20" s="12"/>
      <c r="Z20" s="12"/>
      <c r="AB20" s="17" t="s">
        <v>89</v>
      </c>
    </row>
    <row r="21" spans="2:28" x14ac:dyDescent="0.2">
      <c r="E21" s="18" t="s">
        <v>30</v>
      </c>
      <c r="G21" s="21">
        <f>2856+670</f>
        <v>3526</v>
      </c>
      <c r="H21" s="21">
        <f>663+0</f>
        <v>663</v>
      </c>
      <c r="I21" s="21">
        <f>137917+0</f>
        <v>137917</v>
      </c>
      <c r="J21" s="22">
        <v>0</v>
      </c>
      <c r="K21" s="21">
        <f t="shared" si="0"/>
        <v>142106</v>
      </c>
      <c r="L21" s="5"/>
      <c r="M21" s="11">
        <v>0</v>
      </c>
      <c r="N21" s="11">
        <v>0</v>
      </c>
      <c r="O21" s="11">
        <v>0</v>
      </c>
      <c r="P21" s="12">
        <v>0</v>
      </c>
      <c r="Q21" s="12">
        <f t="shared" si="1"/>
        <v>0</v>
      </c>
      <c r="R21" s="12"/>
      <c r="S21" s="12"/>
      <c r="T21" s="12"/>
      <c r="U21" s="12"/>
      <c r="V21" s="12"/>
      <c r="W21" s="12"/>
      <c r="X21" s="12"/>
      <c r="Y21" s="12"/>
      <c r="Z21" s="12"/>
      <c r="AB21" s="19">
        <f>31030+1679</f>
        <v>32709</v>
      </c>
    </row>
    <row r="22" spans="2:28" x14ac:dyDescent="0.2">
      <c r="D22" s="2" t="s">
        <v>31</v>
      </c>
      <c r="E22" s="18"/>
      <c r="G22" s="23">
        <f>G10+G13+SUM(G16:G21)</f>
        <v>354225</v>
      </c>
      <c r="H22" s="23">
        <f>H10+H13+SUM(H16:H21)</f>
        <v>120928</v>
      </c>
      <c r="I22" s="23">
        <f>I10+I13+SUM(I16:I21)</f>
        <v>549021</v>
      </c>
      <c r="J22" s="24">
        <f>J10+J13+SUM(J16:J21)</f>
        <v>0</v>
      </c>
      <c r="K22" s="23">
        <f t="shared" si="0"/>
        <v>1024174</v>
      </c>
      <c r="L22" s="5"/>
      <c r="M22" s="25">
        <f>M10+M13+SUM(M16:M21)</f>
        <v>247450</v>
      </c>
      <c r="N22" s="25">
        <f>N10+N13+SUM(N16:N21)</f>
        <v>64142</v>
      </c>
      <c r="O22" s="25">
        <f>O10+O13+SUM(O16:O21)</f>
        <v>424529</v>
      </c>
      <c r="P22" s="26">
        <f>P10+P13+SUM(P16:P21)</f>
        <v>0</v>
      </c>
      <c r="Q22" s="26">
        <f>Q10+Q13+SUM(Q16:Q21)</f>
        <v>736121</v>
      </c>
      <c r="R22" s="86"/>
      <c r="S22" s="86"/>
      <c r="T22" s="86"/>
      <c r="U22" s="86"/>
      <c r="V22" s="86"/>
      <c r="W22" s="86"/>
      <c r="X22" s="86"/>
      <c r="Y22" s="86"/>
      <c r="Z22" s="86"/>
      <c r="AB22" s="17"/>
    </row>
    <row r="23" spans="2:28" x14ac:dyDescent="0.2">
      <c r="E23" s="18"/>
      <c r="G23" s="11"/>
      <c r="H23" s="11"/>
      <c r="I23" s="11"/>
      <c r="J23" s="12"/>
      <c r="K23" s="11"/>
      <c r="L23" s="5"/>
      <c r="M23" s="27"/>
      <c r="N23" s="11"/>
      <c r="O23" s="11"/>
      <c r="P23" s="12"/>
      <c r="Q23" s="12"/>
      <c r="R23" s="12"/>
      <c r="S23" s="12"/>
      <c r="T23" s="12"/>
      <c r="U23" s="12"/>
      <c r="V23" s="12"/>
      <c r="W23" s="12"/>
      <c r="X23" s="12"/>
      <c r="Y23" s="12"/>
      <c r="Z23" s="12"/>
      <c r="AB23" s="17" t="s">
        <v>90</v>
      </c>
    </row>
    <row r="24" spans="2:28" ht="13.5" thickBot="1" x14ac:dyDescent="0.25">
      <c r="B24" s="2" t="s">
        <v>32</v>
      </c>
      <c r="E24" s="18" t="s">
        <v>33</v>
      </c>
      <c r="G24" s="21">
        <v>41356</v>
      </c>
      <c r="H24" s="21">
        <v>9798</v>
      </c>
      <c r="I24" s="21">
        <v>160010</v>
      </c>
      <c r="J24" s="22">
        <v>0</v>
      </c>
      <c r="K24" s="21">
        <f>SUM(G24:J24)</f>
        <v>211164</v>
      </c>
      <c r="L24" s="5"/>
      <c r="M24" s="21">
        <f>$Q$24*G$154</f>
        <v>2651.6713451548658</v>
      </c>
      <c r="N24" s="21">
        <f>$Q$24*H$154</f>
        <v>733.09037379190067</v>
      </c>
      <c r="O24" s="21">
        <f>$Q$24*I$154</f>
        <v>13195.597822552363</v>
      </c>
      <c r="P24" s="21">
        <v>0</v>
      </c>
      <c r="Q24" s="21">
        <f>K24*AB24</f>
        <v>16580.359541499129</v>
      </c>
      <c r="R24" s="29"/>
      <c r="S24" s="29"/>
      <c r="T24" s="29"/>
      <c r="U24" s="29"/>
      <c r="V24" s="29"/>
      <c r="W24" s="29"/>
      <c r="X24" s="29"/>
      <c r="Y24" s="29"/>
      <c r="Z24" s="29"/>
      <c r="AB24" s="28">
        <f>AB21/AB18</f>
        <v>7.8518874152313511E-2</v>
      </c>
    </row>
    <row r="25" spans="2:28" x14ac:dyDescent="0.2">
      <c r="B25" s="2"/>
      <c r="D25" s="2" t="s">
        <v>34</v>
      </c>
      <c r="E25" s="18"/>
      <c r="G25" s="23">
        <f>SUM(G24)</f>
        <v>41356</v>
      </c>
      <c r="H25" s="23">
        <f>SUM(H24)</f>
        <v>9798</v>
      </c>
      <c r="I25" s="23">
        <f>SUM(I24)</f>
        <v>160010</v>
      </c>
      <c r="J25" s="24">
        <f>SUM(J24)</f>
        <v>0</v>
      </c>
      <c r="K25" s="23">
        <f>SUM(G25:J25)</f>
        <v>211164</v>
      </c>
      <c r="L25" s="5"/>
      <c r="M25" s="23">
        <f>SUM(M24)</f>
        <v>2651.6713451548658</v>
      </c>
      <c r="N25" s="23">
        <f>SUM(N24)</f>
        <v>733.09037379190067</v>
      </c>
      <c r="O25" s="23">
        <f>SUM(O24)</f>
        <v>13195.597822552363</v>
      </c>
      <c r="P25" s="24">
        <f>SUM(P24)</f>
        <v>0</v>
      </c>
      <c r="Q25" s="24">
        <f>SUM(M25:P25)</f>
        <v>16580.359541499129</v>
      </c>
      <c r="R25" s="24"/>
      <c r="S25" s="24"/>
      <c r="T25" s="24"/>
      <c r="U25" s="24"/>
      <c r="V25" s="24"/>
      <c r="W25" s="24"/>
      <c r="X25" s="24"/>
      <c r="Y25" s="24"/>
      <c r="Z25" s="24"/>
    </row>
    <row r="26" spans="2:28" x14ac:dyDescent="0.2">
      <c r="B26" s="2"/>
      <c r="E26" s="15"/>
      <c r="G26" s="15"/>
      <c r="H26" s="15"/>
      <c r="I26" s="15"/>
      <c r="K26" s="15"/>
      <c r="L26" s="5"/>
      <c r="M26" s="15"/>
      <c r="N26" s="15"/>
      <c r="O26" s="15"/>
    </row>
    <row r="27" spans="2:28" x14ac:dyDescent="0.2">
      <c r="B27" s="2" t="s">
        <v>35</v>
      </c>
      <c r="E27" s="18" t="s">
        <v>36</v>
      </c>
      <c r="F27" s="15"/>
      <c r="G27" s="11">
        <v>791</v>
      </c>
      <c r="H27" s="11">
        <v>183</v>
      </c>
      <c r="I27" s="11">
        <v>3096</v>
      </c>
      <c r="J27" s="12">
        <v>0</v>
      </c>
      <c r="K27" s="11">
        <f t="shared" ref="K27:K32" si="2">SUM(G27:J27)</f>
        <v>4070</v>
      </c>
      <c r="L27" s="5"/>
      <c r="M27" s="29">
        <v>0</v>
      </c>
      <c r="N27" s="29">
        <v>0</v>
      </c>
      <c r="O27" s="29">
        <v>0</v>
      </c>
      <c r="P27" s="12">
        <v>0</v>
      </c>
      <c r="Q27" s="12">
        <f t="shared" ref="Q27:Q32" si="3">SUM(M27:P27)</f>
        <v>0</v>
      </c>
      <c r="R27" s="12"/>
      <c r="S27" s="12"/>
      <c r="T27" s="12"/>
      <c r="U27" s="12"/>
      <c r="V27" s="12"/>
      <c r="W27" s="12"/>
      <c r="X27" s="12"/>
      <c r="Y27" s="12"/>
      <c r="Z27" s="12"/>
    </row>
    <row r="28" spans="2:28" x14ac:dyDescent="0.2">
      <c r="B28" s="2"/>
      <c r="E28" s="18" t="s">
        <v>37</v>
      </c>
      <c r="G28" s="11">
        <v>3196</v>
      </c>
      <c r="H28" s="11">
        <v>799</v>
      </c>
      <c r="I28" s="11">
        <v>11984</v>
      </c>
      <c r="J28" s="12">
        <v>0</v>
      </c>
      <c r="K28" s="11">
        <f t="shared" si="2"/>
        <v>15979</v>
      </c>
      <c r="L28" s="5"/>
      <c r="M28" s="11">
        <f>G28</f>
        <v>3196</v>
      </c>
      <c r="N28" s="11">
        <f>H28</f>
        <v>799</v>
      </c>
      <c r="O28" s="11">
        <f>I28</f>
        <v>11984</v>
      </c>
      <c r="P28" s="11">
        <f>J28</f>
        <v>0</v>
      </c>
      <c r="Q28" s="12">
        <f t="shared" si="3"/>
        <v>15979</v>
      </c>
      <c r="R28" s="12"/>
      <c r="S28" s="12"/>
      <c r="T28" s="12"/>
      <c r="U28" s="12"/>
      <c r="V28" s="12"/>
      <c r="W28" s="12"/>
      <c r="X28" s="12"/>
      <c r="Y28" s="12"/>
      <c r="Z28" s="12"/>
    </row>
    <row r="29" spans="2:28" x14ac:dyDescent="0.2">
      <c r="B29" s="2"/>
      <c r="E29" s="15" t="s">
        <v>38</v>
      </c>
      <c r="G29" s="11">
        <v>0</v>
      </c>
      <c r="H29" s="11">
        <v>0</v>
      </c>
      <c r="I29" s="11">
        <v>0</v>
      </c>
      <c r="J29" s="12">
        <v>0</v>
      </c>
      <c r="K29" s="11">
        <f t="shared" si="2"/>
        <v>0</v>
      </c>
      <c r="L29" s="5"/>
      <c r="M29" s="11">
        <v>0</v>
      </c>
      <c r="N29" s="11">
        <v>0</v>
      </c>
      <c r="O29" s="11">
        <v>0</v>
      </c>
      <c r="P29" s="12">
        <v>0</v>
      </c>
      <c r="Q29" s="12">
        <f t="shared" si="3"/>
        <v>0</v>
      </c>
      <c r="R29" s="12"/>
      <c r="S29" s="12"/>
      <c r="T29" s="12"/>
      <c r="U29" s="12"/>
      <c r="V29" s="12"/>
      <c r="W29" s="12"/>
      <c r="X29" s="12"/>
      <c r="Y29" s="12"/>
      <c r="Z29" s="12"/>
    </row>
    <row r="30" spans="2:28" x14ac:dyDescent="0.2">
      <c r="B30" s="2"/>
      <c r="E30" s="18" t="s">
        <v>39</v>
      </c>
      <c r="G30" s="11">
        <v>36974</v>
      </c>
      <c r="H30" s="11">
        <v>9243</v>
      </c>
      <c r="I30" s="11">
        <v>141082</v>
      </c>
      <c r="J30" s="12">
        <v>35317</v>
      </c>
      <c r="K30" s="11">
        <f t="shared" si="2"/>
        <v>222616</v>
      </c>
      <c r="L30" s="5"/>
      <c r="M30" s="11">
        <f t="shared" ref="M30:P31" si="4">G30</f>
        <v>36974</v>
      </c>
      <c r="N30" s="11">
        <f t="shared" si="4"/>
        <v>9243</v>
      </c>
      <c r="O30" s="11">
        <f t="shared" si="4"/>
        <v>141082</v>
      </c>
      <c r="P30" s="11">
        <f t="shared" si="4"/>
        <v>35317</v>
      </c>
      <c r="Q30" s="12">
        <f t="shared" si="3"/>
        <v>222616</v>
      </c>
      <c r="R30" s="12"/>
      <c r="S30" s="12"/>
      <c r="T30" s="12"/>
      <c r="U30" s="12"/>
      <c r="V30" s="12"/>
      <c r="W30" s="12"/>
      <c r="X30" s="12"/>
      <c r="Y30" s="12"/>
      <c r="Z30" s="12"/>
    </row>
    <row r="31" spans="2:28" x14ac:dyDescent="0.2">
      <c r="B31" s="2"/>
      <c r="E31" s="18" t="s">
        <v>40</v>
      </c>
      <c r="G31" s="21">
        <v>120</v>
      </c>
      <c r="H31" s="21">
        <v>30</v>
      </c>
      <c r="I31" s="21">
        <f>450</f>
        <v>450</v>
      </c>
      <c r="J31" s="22">
        <v>-600</v>
      </c>
      <c r="K31" s="21">
        <f t="shared" si="2"/>
        <v>0</v>
      </c>
      <c r="L31" s="5"/>
      <c r="M31" s="21">
        <f t="shared" si="4"/>
        <v>120</v>
      </c>
      <c r="N31" s="21">
        <f t="shared" si="4"/>
        <v>30</v>
      </c>
      <c r="O31" s="21">
        <f t="shared" si="4"/>
        <v>450</v>
      </c>
      <c r="P31" s="21">
        <f t="shared" si="4"/>
        <v>-600</v>
      </c>
      <c r="Q31" s="22">
        <f t="shared" si="3"/>
        <v>0</v>
      </c>
      <c r="R31" s="82"/>
      <c r="S31" s="82"/>
      <c r="T31" s="82"/>
      <c r="U31" s="82"/>
      <c r="V31" s="82"/>
      <c r="W31" s="82"/>
      <c r="X31" s="82"/>
      <c r="Y31" s="82"/>
      <c r="Z31" s="82"/>
    </row>
    <row r="32" spans="2:28" x14ac:dyDescent="0.2">
      <c r="B32" s="2"/>
      <c r="D32" s="2" t="s">
        <v>41</v>
      </c>
      <c r="G32" s="24">
        <f>SUM(G27:G31)</f>
        <v>41081</v>
      </c>
      <c r="H32" s="24">
        <f>SUM(H27:H31)</f>
        <v>10255</v>
      </c>
      <c r="I32" s="24">
        <f>SUM(I27:I31)</f>
        <v>156612</v>
      </c>
      <c r="J32" s="24">
        <f>SUM(J27:J31)</f>
        <v>34717</v>
      </c>
      <c r="K32" s="23">
        <f t="shared" si="2"/>
        <v>242665</v>
      </c>
      <c r="L32" s="5"/>
      <c r="M32" s="23">
        <f>SUM(M27:M31)</f>
        <v>40290</v>
      </c>
      <c r="N32" s="23">
        <f>SUM(N27:N31)</f>
        <v>10072</v>
      </c>
      <c r="O32" s="23">
        <f>SUM(O27:O31)</f>
        <v>153516</v>
      </c>
      <c r="P32" s="24">
        <f>SUM(P27:P31)</f>
        <v>34717</v>
      </c>
      <c r="Q32" s="24">
        <f t="shared" si="3"/>
        <v>238595</v>
      </c>
      <c r="R32" s="24"/>
      <c r="S32" s="24"/>
      <c r="T32" s="24"/>
      <c r="U32" s="24"/>
      <c r="V32" s="24"/>
      <c r="W32" s="24"/>
      <c r="X32" s="24"/>
      <c r="Y32" s="24"/>
      <c r="Z32" s="24"/>
    </row>
    <row r="33" spans="2:26" x14ac:dyDescent="0.2">
      <c r="B33" s="2"/>
      <c r="K33" s="15"/>
      <c r="L33" s="5"/>
    </row>
    <row r="34" spans="2:26" x14ac:dyDescent="0.2">
      <c r="B34" s="2" t="s">
        <v>42</v>
      </c>
      <c r="D34" s="2" t="s">
        <v>43</v>
      </c>
      <c r="E34" s="3" t="s">
        <v>44</v>
      </c>
      <c r="G34" s="11">
        <v>24342</v>
      </c>
      <c r="H34" s="11">
        <v>0</v>
      </c>
      <c r="I34" s="11">
        <v>0</v>
      </c>
      <c r="J34" s="11">
        <v>0</v>
      </c>
      <c r="K34" s="11">
        <f>SUM(G34:J34)</f>
        <v>24342</v>
      </c>
      <c r="L34" s="5"/>
      <c r="M34" s="12">
        <f t="shared" ref="M34:P35" si="5">G34</f>
        <v>24342</v>
      </c>
      <c r="N34" s="12">
        <f t="shared" si="5"/>
        <v>0</v>
      </c>
      <c r="O34" s="12">
        <f t="shared" si="5"/>
        <v>0</v>
      </c>
      <c r="P34" s="12">
        <f t="shared" si="5"/>
        <v>0</v>
      </c>
      <c r="Q34" s="12">
        <f>SUM(M34:P34)</f>
        <v>24342</v>
      </c>
      <c r="R34" s="12"/>
      <c r="S34" s="12"/>
      <c r="T34" s="12"/>
      <c r="U34" s="12"/>
      <c r="V34" s="12"/>
      <c r="W34" s="12"/>
      <c r="X34" s="12"/>
      <c r="Y34" s="12"/>
      <c r="Z34" s="12"/>
    </row>
    <row r="35" spans="2:26" x14ac:dyDescent="0.2">
      <c r="B35" s="2" t="s">
        <v>45</v>
      </c>
      <c r="D35" s="2" t="s">
        <v>46</v>
      </c>
      <c r="E35" s="3" t="s">
        <v>47</v>
      </c>
      <c r="G35" s="11">
        <v>6084</v>
      </c>
      <c r="H35" s="11">
        <v>0</v>
      </c>
      <c r="I35" s="11">
        <v>0</v>
      </c>
      <c r="J35" s="11">
        <v>0</v>
      </c>
      <c r="K35" s="11">
        <f>SUM(G35:J35)</f>
        <v>6084</v>
      </c>
      <c r="L35" s="5"/>
      <c r="M35" s="12">
        <f t="shared" si="5"/>
        <v>6084</v>
      </c>
      <c r="N35" s="12">
        <f t="shared" si="5"/>
        <v>0</v>
      </c>
      <c r="O35" s="12">
        <f t="shared" si="5"/>
        <v>0</v>
      </c>
      <c r="P35" s="12">
        <f t="shared" si="5"/>
        <v>0</v>
      </c>
      <c r="Q35" s="12">
        <f>SUM(M35:P35)</f>
        <v>6084</v>
      </c>
      <c r="R35" s="12"/>
      <c r="S35" s="12"/>
      <c r="T35" s="12"/>
      <c r="U35" s="12"/>
      <c r="V35" s="12"/>
      <c r="W35" s="12"/>
      <c r="X35" s="12"/>
      <c r="Y35" s="12"/>
      <c r="Z35" s="12"/>
    </row>
    <row r="36" spans="2:26" x14ac:dyDescent="0.2">
      <c r="D36" s="2"/>
      <c r="G36" s="15"/>
      <c r="H36" s="15"/>
      <c r="I36" s="15"/>
      <c r="J36" s="15"/>
      <c r="K36" s="15"/>
      <c r="L36" s="5"/>
      <c r="Q36" s="12"/>
      <c r="R36" s="12"/>
      <c r="S36" s="12"/>
      <c r="T36" s="12"/>
      <c r="U36" s="12"/>
      <c r="V36" s="12"/>
      <c r="W36" s="12"/>
      <c r="X36" s="12"/>
      <c r="Y36" s="12"/>
      <c r="Z36" s="12"/>
    </row>
    <row r="37" spans="2:26" x14ac:dyDescent="0.2">
      <c r="D37" s="2" t="s">
        <v>48</v>
      </c>
      <c r="E37" s="3" t="s">
        <v>49</v>
      </c>
      <c r="G37" s="11">
        <v>66048</v>
      </c>
      <c r="H37" s="11"/>
      <c r="I37" s="11">
        <v>0</v>
      </c>
      <c r="J37" s="11">
        <v>0</v>
      </c>
      <c r="K37" s="11">
        <f>SUM(G37:J37)</f>
        <v>66048</v>
      </c>
      <c r="L37" s="5"/>
      <c r="M37" s="12">
        <f t="shared" ref="M37:P40" si="6">G37</f>
        <v>66048</v>
      </c>
      <c r="N37" s="12">
        <f t="shared" si="6"/>
        <v>0</v>
      </c>
      <c r="O37" s="12">
        <f t="shared" si="6"/>
        <v>0</v>
      </c>
      <c r="P37" s="12">
        <f t="shared" si="6"/>
        <v>0</v>
      </c>
      <c r="Q37" s="12">
        <f>SUM(M37:P37)</f>
        <v>66048</v>
      </c>
      <c r="R37" s="12"/>
      <c r="S37" s="12"/>
      <c r="T37" s="12"/>
      <c r="U37" s="12"/>
      <c r="V37" s="12"/>
      <c r="W37" s="12"/>
      <c r="X37" s="12"/>
      <c r="Y37" s="12"/>
      <c r="Z37" s="12"/>
    </row>
    <row r="38" spans="2:26" x14ac:dyDescent="0.2">
      <c r="D38" s="2" t="s">
        <v>50</v>
      </c>
      <c r="E38" s="3" t="s">
        <v>51</v>
      </c>
      <c r="G38" s="11">
        <v>14254</v>
      </c>
      <c r="H38" s="11">
        <v>0</v>
      </c>
      <c r="I38" s="11">
        <v>0</v>
      </c>
      <c r="J38" s="11">
        <v>0</v>
      </c>
      <c r="K38" s="11">
        <f>SUM(G38:J38)</f>
        <v>14254</v>
      </c>
      <c r="L38" s="5"/>
      <c r="M38" s="12">
        <f t="shared" si="6"/>
        <v>14254</v>
      </c>
      <c r="N38" s="12">
        <f t="shared" si="6"/>
        <v>0</v>
      </c>
      <c r="O38" s="12">
        <f t="shared" si="6"/>
        <v>0</v>
      </c>
      <c r="P38" s="12">
        <f t="shared" si="6"/>
        <v>0</v>
      </c>
      <c r="Q38" s="12">
        <f>SUM(M38:P38)</f>
        <v>14254</v>
      </c>
      <c r="R38" s="12"/>
      <c r="S38" s="12"/>
      <c r="T38" s="12"/>
      <c r="U38" s="12"/>
      <c r="V38" s="12"/>
      <c r="W38" s="12"/>
      <c r="X38" s="12"/>
      <c r="Y38" s="12"/>
      <c r="Z38" s="12"/>
    </row>
    <row r="39" spans="2:26" x14ac:dyDescent="0.2">
      <c r="D39" s="2"/>
      <c r="E39" s="3" t="s">
        <v>52</v>
      </c>
      <c r="G39" s="11">
        <v>50421</v>
      </c>
      <c r="H39" s="11">
        <v>0</v>
      </c>
      <c r="I39" s="11">
        <v>0</v>
      </c>
      <c r="J39" s="11">
        <v>0</v>
      </c>
      <c r="K39" s="11">
        <f>SUM(G39:J39)</f>
        <v>50421</v>
      </c>
      <c r="L39" s="5"/>
      <c r="M39" s="12">
        <f t="shared" si="6"/>
        <v>50421</v>
      </c>
      <c r="N39" s="12">
        <f t="shared" si="6"/>
        <v>0</v>
      </c>
      <c r="O39" s="12">
        <f t="shared" si="6"/>
        <v>0</v>
      </c>
      <c r="P39" s="12">
        <f t="shared" si="6"/>
        <v>0</v>
      </c>
      <c r="Q39" s="12">
        <f>SUM(M39:P39)</f>
        <v>50421</v>
      </c>
      <c r="R39" s="12"/>
      <c r="S39" s="12"/>
      <c r="T39" s="12"/>
      <c r="U39" s="12"/>
      <c r="V39" s="12"/>
      <c r="W39" s="12"/>
      <c r="X39" s="12"/>
      <c r="Y39" s="12"/>
      <c r="Z39" s="12"/>
    </row>
    <row r="40" spans="2:26" x14ac:dyDescent="0.2">
      <c r="D40" s="2"/>
      <c r="E40" s="3" t="s">
        <v>53</v>
      </c>
      <c r="G40" s="11">
        <v>84082</v>
      </c>
      <c r="H40" s="11">
        <v>0</v>
      </c>
      <c r="I40" s="11"/>
      <c r="J40" s="11">
        <v>0</v>
      </c>
      <c r="K40" s="11">
        <f>SUM(G40:J40)</f>
        <v>84082</v>
      </c>
      <c r="L40" s="5"/>
      <c r="M40" s="12">
        <f t="shared" si="6"/>
        <v>84082</v>
      </c>
      <c r="N40" s="12">
        <f t="shared" si="6"/>
        <v>0</v>
      </c>
      <c r="O40" s="12">
        <f t="shared" si="6"/>
        <v>0</v>
      </c>
      <c r="P40" s="12">
        <f t="shared" si="6"/>
        <v>0</v>
      </c>
      <c r="Q40" s="12">
        <f>SUM(M40:P40)</f>
        <v>84082</v>
      </c>
      <c r="R40" s="12"/>
      <c r="S40" s="12"/>
      <c r="T40" s="12"/>
      <c r="U40" s="12"/>
      <c r="V40" s="12"/>
      <c r="W40" s="12"/>
      <c r="X40" s="12"/>
      <c r="Y40" s="12"/>
      <c r="Z40" s="12"/>
    </row>
    <row r="41" spans="2:26" x14ac:dyDescent="0.2">
      <c r="D41" s="2"/>
      <c r="G41" s="15"/>
      <c r="H41" s="15"/>
      <c r="I41" s="15"/>
      <c r="J41" s="15"/>
      <c r="K41" s="15"/>
      <c r="L41" s="5"/>
      <c r="Q41" s="12"/>
      <c r="R41" s="12"/>
      <c r="S41" s="12"/>
      <c r="T41" s="12"/>
      <c r="U41" s="12"/>
      <c r="V41" s="12"/>
      <c r="W41" s="12"/>
      <c r="X41" s="12"/>
      <c r="Y41" s="12"/>
      <c r="Z41" s="12"/>
    </row>
    <row r="42" spans="2:26" x14ac:dyDescent="0.2">
      <c r="D42" s="2" t="s">
        <v>54</v>
      </c>
      <c r="G42" s="11">
        <v>67923</v>
      </c>
      <c r="H42" s="11"/>
      <c r="I42" s="11">
        <v>0</v>
      </c>
      <c r="J42" s="11">
        <v>0</v>
      </c>
      <c r="K42" s="11">
        <f>SUM(G42:J42)</f>
        <v>67923</v>
      </c>
      <c r="L42" s="5"/>
      <c r="M42" s="12">
        <f>G42</f>
        <v>67923</v>
      </c>
      <c r="N42" s="12">
        <f>H42</f>
        <v>0</v>
      </c>
      <c r="O42" s="12">
        <f>I42</f>
        <v>0</v>
      </c>
      <c r="P42" s="12">
        <f>J42</f>
        <v>0</v>
      </c>
      <c r="Q42" s="12">
        <f>SUM(M42:P42)</f>
        <v>67923</v>
      </c>
      <c r="R42" s="12"/>
      <c r="S42" s="12"/>
      <c r="T42" s="12"/>
      <c r="U42" s="12"/>
      <c r="V42" s="12"/>
      <c r="W42" s="12"/>
      <c r="X42" s="12"/>
      <c r="Y42" s="12"/>
      <c r="Z42" s="12"/>
    </row>
    <row r="43" spans="2:26" x14ac:dyDescent="0.2">
      <c r="D43" s="2"/>
      <c r="G43" s="15"/>
      <c r="H43" s="15"/>
      <c r="I43" s="15"/>
      <c r="J43" s="15"/>
      <c r="L43" s="5"/>
    </row>
    <row r="44" spans="2:26"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c r="V44" s="12"/>
      <c r="W44" s="12"/>
      <c r="X44" s="12"/>
      <c r="Y44" s="12"/>
      <c r="Z44" s="12"/>
    </row>
    <row r="45" spans="2:26" x14ac:dyDescent="0.2">
      <c r="D45" s="2"/>
      <c r="G45" s="15"/>
      <c r="H45" s="15"/>
      <c r="I45" s="15"/>
      <c r="J45" s="15"/>
      <c r="L45" s="5"/>
    </row>
    <row r="46" spans="2:26"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c r="V46" s="12"/>
      <c r="W46" s="12"/>
      <c r="X46" s="12"/>
      <c r="Y46" s="12"/>
      <c r="Z46" s="12"/>
    </row>
    <row r="47" spans="2:26" x14ac:dyDescent="0.2">
      <c r="D47" s="2"/>
      <c r="G47" s="15"/>
      <c r="H47" s="15"/>
      <c r="I47" s="15"/>
      <c r="J47" s="15"/>
      <c r="L47" s="5"/>
    </row>
    <row r="48" spans="2:26"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c r="V48" s="12"/>
      <c r="W48" s="12"/>
      <c r="X48" s="12"/>
      <c r="Y48" s="12"/>
      <c r="Z48" s="12"/>
    </row>
    <row r="49" spans="2:28" x14ac:dyDescent="0.2">
      <c r="D49" s="2" t="s">
        <v>58</v>
      </c>
      <c r="G49" s="15"/>
      <c r="H49" s="15"/>
      <c r="I49" s="15"/>
      <c r="J49" s="15"/>
      <c r="L49" s="5"/>
    </row>
    <row r="50" spans="2:28" x14ac:dyDescent="0.2">
      <c r="D50" s="2"/>
      <c r="G50" s="15"/>
      <c r="H50" s="15"/>
      <c r="I50" s="15"/>
      <c r="J50" s="15"/>
      <c r="L50" s="5"/>
    </row>
    <row r="51" spans="2:28" x14ac:dyDescent="0.2">
      <c r="B51" s="2"/>
      <c r="D51" s="2" t="s">
        <v>53</v>
      </c>
      <c r="G51" s="21">
        <v>-37207</v>
      </c>
      <c r="H51" s="21">
        <v>-3809</v>
      </c>
      <c r="I51" s="21">
        <v>162919</v>
      </c>
      <c r="J51" s="21">
        <v>-35317</v>
      </c>
      <c r="K51" s="21">
        <f>SUM(G51:J51)</f>
        <v>86586</v>
      </c>
      <c r="L51" s="5"/>
      <c r="M51" s="22">
        <f>G51</f>
        <v>-37207</v>
      </c>
      <c r="N51" s="22">
        <f>H51</f>
        <v>-3809</v>
      </c>
      <c r="O51" s="22">
        <f>I51</f>
        <v>162919</v>
      </c>
      <c r="P51" s="22">
        <f>J51</f>
        <v>-35317</v>
      </c>
      <c r="Q51" s="22">
        <f>SUM(M51:P51)</f>
        <v>86586</v>
      </c>
      <c r="R51" s="82"/>
      <c r="S51" s="82"/>
      <c r="T51" s="82"/>
      <c r="U51" s="82"/>
      <c r="V51" s="82"/>
      <c r="W51" s="82"/>
      <c r="X51" s="82"/>
      <c r="Y51" s="82"/>
      <c r="Z51" s="82"/>
    </row>
    <row r="52" spans="2:28" x14ac:dyDescent="0.2">
      <c r="D52" s="2" t="s">
        <v>59</v>
      </c>
      <c r="G52" s="24">
        <f>SUM(G34:G51)</f>
        <v>275947</v>
      </c>
      <c r="H52" s="24">
        <f>SUM(H34:H51)</f>
        <v>-3809</v>
      </c>
      <c r="I52" s="24">
        <f>SUM(I34:I51)</f>
        <v>162919</v>
      </c>
      <c r="J52" s="24">
        <f>SUM(J34:J51)</f>
        <v>-35317</v>
      </c>
      <c r="K52" s="24">
        <f>SUM(G52:J52)</f>
        <v>399740</v>
      </c>
      <c r="L52" s="5"/>
      <c r="M52" s="24">
        <f>SUM(M34:M51)</f>
        <v>275947</v>
      </c>
      <c r="N52" s="24">
        <f>SUM(N34:N51)</f>
        <v>-3809</v>
      </c>
      <c r="O52" s="24">
        <f>SUM(O34:O51)</f>
        <v>162919</v>
      </c>
      <c r="P52" s="24">
        <f>SUM(P34:P51)</f>
        <v>-35317</v>
      </c>
      <c r="Q52" s="24">
        <f>SUM(M52:P52)</f>
        <v>399740</v>
      </c>
      <c r="R52" s="24"/>
      <c r="S52" s="24"/>
      <c r="T52" s="24"/>
      <c r="U52" s="24"/>
      <c r="V52" s="24"/>
      <c r="W52" s="24"/>
      <c r="X52" s="24"/>
      <c r="Y52" s="24"/>
      <c r="Z52" s="24"/>
    </row>
    <row r="53" spans="2:28" x14ac:dyDescent="0.2">
      <c r="B53" s="2"/>
      <c r="L53" s="5"/>
    </row>
    <row r="54" spans="2:28"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c r="W54" s="12"/>
      <c r="X54" s="12"/>
      <c r="Y54" s="12"/>
      <c r="Z54" s="12"/>
    </row>
    <row r="55" spans="2:28" x14ac:dyDescent="0.2">
      <c r="B55" s="2" t="s">
        <v>61</v>
      </c>
      <c r="L55" s="5"/>
    </row>
    <row r="56" spans="2:28" ht="13.5" thickBot="1" x14ac:dyDescent="0.25">
      <c r="K56" s="12"/>
      <c r="L56" s="5"/>
      <c r="Q56" s="30"/>
      <c r="R56" s="40"/>
      <c r="S56" s="40"/>
      <c r="T56" s="40"/>
      <c r="U56" s="40"/>
      <c r="V56" s="40"/>
      <c r="W56" s="40"/>
      <c r="X56" s="40"/>
      <c r="Y56" s="40"/>
      <c r="Z56" s="40"/>
    </row>
    <row r="57" spans="2:28" x14ac:dyDescent="0.2">
      <c r="B57" s="2" t="s">
        <v>62</v>
      </c>
      <c r="G57" s="31">
        <f>G22+G25+G32+G52+G54</f>
        <v>712609</v>
      </c>
      <c r="H57" s="31">
        <f>H22+H25+H32+H52+H54</f>
        <v>137172</v>
      </c>
      <c r="I57" s="31">
        <f>I22+I25+I32+I52+I54</f>
        <v>1028562</v>
      </c>
      <c r="J57" s="31">
        <f>J22+J25+J32+J52+J54</f>
        <v>-600</v>
      </c>
      <c r="K57" s="31">
        <f>SUM(G57:J57)</f>
        <v>1877743</v>
      </c>
      <c r="L57" s="32"/>
      <c r="M57" s="31">
        <f>M22+M25+M32+M52+M54</f>
        <v>566338.67134515487</v>
      </c>
      <c r="N57" s="31">
        <f>N22+N25+N32+N52+N54</f>
        <v>71138.0903737919</v>
      </c>
      <c r="O57" s="31">
        <f>O22+O25+O32+O52+O54</f>
        <v>754159.59782255231</v>
      </c>
      <c r="P57" s="31">
        <f>P22+P25+P32+P52+P54</f>
        <v>-600</v>
      </c>
      <c r="Q57" s="31">
        <f>SUM(M57:P57)</f>
        <v>1391036.3595414991</v>
      </c>
      <c r="R57" s="86"/>
      <c r="S57" s="86"/>
      <c r="T57" s="86"/>
      <c r="U57" s="86"/>
      <c r="V57" s="86"/>
      <c r="W57" s="86"/>
      <c r="X57" s="86"/>
      <c r="Y57" s="86"/>
      <c r="Z57" s="86"/>
    </row>
    <row r="58" spans="2:28" x14ac:dyDescent="0.2">
      <c r="L58" s="5"/>
    </row>
    <row r="59" spans="2:28" x14ac:dyDescent="0.2">
      <c r="L59" s="5"/>
    </row>
    <row r="60" spans="2:28" ht="14.25" x14ac:dyDescent="0.2">
      <c r="B60" s="6" t="s">
        <v>63</v>
      </c>
      <c r="K60" s="15"/>
      <c r="L60" s="5"/>
    </row>
    <row r="61" spans="2:28" x14ac:dyDescent="0.2">
      <c r="D61" s="15" t="s">
        <v>64</v>
      </c>
      <c r="E61" s="10" t="s">
        <v>20</v>
      </c>
      <c r="G61" s="12">
        <v>0</v>
      </c>
      <c r="H61" s="12">
        <v>0</v>
      </c>
      <c r="I61" s="12">
        <f>K61</f>
        <v>895102</v>
      </c>
      <c r="J61" s="11">
        <v>0</v>
      </c>
      <c r="K61" s="11">
        <v>895102</v>
      </c>
      <c r="L61" s="5"/>
      <c r="M61" s="12">
        <f>G61</f>
        <v>0</v>
      </c>
      <c r="N61" s="12">
        <f>H61</f>
        <v>0</v>
      </c>
      <c r="O61" s="12">
        <f>Q61</f>
        <v>895102</v>
      </c>
      <c r="P61" s="11">
        <f>J61</f>
        <v>0</v>
      </c>
      <c r="Q61" s="12">
        <f>$K$61</f>
        <v>895102</v>
      </c>
      <c r="R61" s="12"/>
      <c r="S61" s="12"/>
      <c r="T61" s="12"/>
      <c r="U61" s="12"/>
      <c r="V61" s="12"/>
      <c r="W61" s="12"/>
      <c r="X61" s="12"/>
      <c r="Y61" s="12"/>
      <c r="Z61" s="12"/>
      <c r="AB61" s="3" t="s">
        <v>143</v>
      </c>
    </row>
    <row r="62" spans="2:28"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W62" s="33"/>
      <c r="X62" s="33"/>
      <c r="Y62" s="33"/>
      <c r="Z62" s="33"/>
      <c r="AB62" s="35">
        <f>K61-(703*25.09*8)</f>
        <v>753995.84</v>
      </c>
    </row>
    <row r="63" spans="2:28" x14ac:dyDescent="0.2">
      <c r="D63" s="15"/>
      <c r="E63" s="10"/>
      <c r="J63" s="15"/>
      <c r="K63" s="15"/>
      <c r="L63" s="5"/>
      <c r="P63" s="15"/>
    </row>
    <row r="64" spans="2:28" x14ac:dyDescent="0.2">
      <c r="D64" s="15" t="s">
        <v>129</v>
      </c>
      <c r="E64" s="10" t="s">
        <v>20</v>
      </c>
      <c r="G64" s="12">
        <f>$G$137*K64</f>
        <v>73584.68310445892</v>
      </c>
      <c r="H64" s="12">
        <f>$H$137*K64</f>
        <v>20343.47994934336</v>
      </c>
      <c r="I64" s="12">
        <f>$I$137*K64</f>
        <v>366181.83694619773</v>
      </c>
      <c r="J64" s="11">
        <v>0</v>
      </c>
      <c r="K64" s="11">
        <f>467967+913+(-8770)</f>
        <v>460110</v>
      </c>
      <c r="L64" s="5"/>
      <c r="M64" s="12">
        <f>$G$137*Q64</f>
        <v>60410.544338367283</v>
      </c>
      <c r="N64" s="12">
        <f>$H$137*Q64</f>
        <v>16701.31127332426</v>
      </c>
      <c r="O64" s="12">
        <f>$I$137*Q64</f>
        <v>300622.94438830845</v>
      </c>
      <c r="P64" s="11">
        <f>J64</f>
        <v>0</v>
      </c>
      <c r="Q64" s="11">
        <f>K64-(153*67.3*8)</f>
        <v>377734.8</v>
      </c>
      <c r="R64" s="11"/>
      <c r="S64" s="11"/>
      <c r="T64" s="11"/>
      <c r="U64" s="11"/>
      <c r="V64" s="11"/>
      <c r="W64" s="11"/>
      <c r="X64" s="11"/>
      <c r="Y64" s="11"/>
      <c r="Z64" s="11"/>
    </row>
    <row r="65" spans="4:26" x14ac:dyDescent="0.2">
      <c r="D65" s="15"/>
      <c r="E65" s="10" t="s">
        <v>21</v>
      </c>
      <c r="G65" s="36">
        <f>$G$137*K65</f>
        <v>0</v>
      </c>
      <c r="H65" s="36">
        <f>$H$137*K65</f>
        <v>0</v>
      </c>
      <c r="I65" s="36">
        <f>$I$137*K65</f>
        <v>0</v>
      </c>
      <c r="J65" s="37">
        <v>0</v>
      </c>
      <c r="K65" s="34">
        <v>0</v>
      </c>
      <c r="L65" s="5"/>
      <c r="M65" s="33">
        <f>G65</f>
        <v>0</v>
      </c>
      <c r="N65" s="33">
        <f>H65</f>
        <v>0</v>
      </c>
      <c r="O65" s="33">
        <f>I65</f>
        <v>0</v>
      </c>
      <c r="P65" s="34">
        <f>J65</f>
        <v>0</v>
      </c>
      <c r="Q65" s="33">
        <f>K65</f>
        <v>0</v>
      </c>
      <c r="R65" s="33"/>
      <c r="S65" s="33"/>
      <c r="T65" s="33"/>
      <c r="U65" s="33"/>
      <c r="V65" s="33"/>
      <c r="W65" s="33"/>
      <c r="X65" s="33"/>
      <c r="Y65" s="33"/>
      <c r="Z65" s="33"/>
    </row>
    <row r="66" spans="4:26" x14ac:dyDescent="0.2">
      <c r="D66" s="15"/>
      <c r="E66" s="10"/>
      <c r="J66" s="15"/>
      <c r="K66" s="15"/>
      <c r="L66" s="5"/>
      <c r="P66" s="15"/>
    </row>
    <row r="67" spans="4:26" x14ac:dyDescent="0.2">
      <c r="D67" s="15" t="s">
        <v>80</v>
      </c>
      <c r="E67" s="10" t="s">
        <v>20</v>
      </c>
      <c r="G67" s="12">
        <f>$G$137*K67</f>
        <v>1330.9246327949995</v>
      </c>
      <c r="H67" s="12">
        <f>$H$137*K67</f>
        <v>367.95209871212415</v>
      </c>
      <c r="I67" s="12">
        <f>$I$137*K67</f>
        <v>6623.1232684928773</v>
      </c>
      <c r="J67" s="11">
        <v>0</v>
      </c>
      <c r="K67" s="11">
        <v>8322</v>
      </c>
      <c r="L67" s="5"/>
      <c r="M67" s="12">
        <f t="shared" ref="M67:Q68" si="7">G67</f>
        <v>1330.9246327949995</v>
      </c>
      <c r="N67" s="12">
        <f t="shared" si="7"/>
        <v>367.95209871212415</v>
      </c>
      <c r="O67" s="12">
        <f t="shared" si="7"/>
        <v>6623.1232684928773</v>
      </c>
      <c r="P67" s="11">
        <f t="shared" si="7"/>
        <v>0</v>
      </c>
      <c r="Q67" s="12">
        <f t="shared" si="7"/>
        <v>8322</v>
      </c>
      <c r="R67" s="12"/>
      <c r="S67" s="12"/>
      <c r="T67" s="12"/>
      <c r="U67" s="12"/>
      <c r="V67" s="12"/>
      <c r="W67" s="12"/>
      <c r="X67" s="12"/>
      <c r="Y67" s="12"/>
      <c r="Z67" s="12"/>
    </row>
    <row r="68" spans="4:26" x14ac:dyDescent="0.2">
      <c r="D68" s="15"/>
      <c r="E68" s="10" t="s">
        <v>21</v>
      </c>
      <c r="G68" s="36">
        <f>$G$137*K68</f>
        <v>0</v>
      </c>
      <c r="H68" s="36">
        <f>$H$137*K68</f>
        <v>0</v>
      </c>
      <c r="I68" s="36">
        <f>$I$137*K68</f>
        <v>0</v>
      </c>
      <c r="J68" s="34">
        <v>0</v>
      </c>
      <c r="K68" s="34">
        <v>0</v>
      </c>
      <c r="L68" s="5"/>
      <c r="M68" s="33">
        <f t="shared" si="7"/>
        <v>0</v>
      </c>
      <c r="N68" s="33">
        <f t="shared" si="7"/>
        <v>0</v>
      </c>
      <c r="O68" s="33">
        <f t="shared" si="7"/>
        <v>0</v>
      </c>
      <c r="P68" s="34">
        <f t="shared" si="7"/>
        <v>0</v>
      </c>
      <c r="Q68" s="33">
        <f t="shared" si="7"/>
        <v>0</v>
      </c>
      <c r="R68" s="33"/>
      <c r="S68" s="33"/>
      <c r="T68" s="33"/>
      <c r="U68" s="33"/>
      <c r="V68" s="33"/>
      <c r="W68" s="33"/>
      <c r="X68" s="33"/>
      <c r="Y68" s="33"/>
      <c r="Z68" s="33"/>
    </row>
    <row r="69" spans="4:26" x14ac:dyDescent="0.2">
      <c r="D69" s="15"/>
      <c r="E69" s="10"/>
      <c r="J69" s="15"/>
      <c r="K69" s="15"/>
      <c r="L69" s="5"/>
      <c r="P69" s="15"/>
    </row>
    <row r="70" spans="4:26" x14ac:dyDescent="0.2">
      <c r="D70" s="15" t="s">
        <v>65</v>
      </c>
      <c r="E70" s="10" t="s">
        <v>20</v>
      </c>
      <c r="G70" s="12">
        <f>$G$137*K70</f>
        <v>12982.512486950212</v>
      </c>
      <c r="H70" s="12">
        <f>$H$137*K70</f>
        <v>3589.1910018209692</v>
      </c>
      <c r="I70" s="12">
        <f>$I$137*K70</f>
        <v>64605.296511228822</v>
      </c>
      <c r="J70" s="11">
        <v>0</v>
      </c>
      <c r="K70" s="11">
        <v>81177</v>
      </c>
      <c r="L70" s="5"/>
      <c r="M70" s="12">
        <f t="shared" ref="M70:Q71" si="8">G70</f>
        <v>12982.512486950212</v>
      </c>
      <c r="N70" s="12">
        <f t="shared" si="8"/>
        <v>3589.1910018209692</v>
      </c>
      <c r="O70" s="12">
        <f t="shared" si="8"/>
        <v>64605.296511228822</v>
      </c>
      <c r="P70" s="11">
        <f t="shared" si="8"/>
        <v>0</v>
      </c>
      <c r="Q70" s="11">
        <f t="shared" si="8"/>
        <v>81177</v>
      </c>
      <c r="R70" s="11"/>
      <c r="S70" s="11"/>
      <c r="T70" s="11"/>
      <c r="U70" s="11"/>
      <c r="V70" s="11"/>
      <c r="W70" s="11"/>
      <c r="X70" s="11"/>
      <c r="Y70" s="11"/>
      <c r="Z70" s="11"/>
    </row>
    <row r="71" spans="4:26" x14ac:dyDescent="0.2">
      <c r="D71" s="15"/>
      <c r="E71" s="10" t="s">
        <v>21</v>
      </c>
      <c r="G71" s="36">
        <f>$G$137*K71</f>
        <v>0</v>
      </c>
      <c r="H71" s="36">
        <f>$H$137*K71</f>
        <v>0</v>
      </c>
      <c r="I71" s="36">
        <f>$I$137*K71</f>
        <v>0</v>
      </c>
      <c r="J71" s="34">
        <v>0</v>
      </c>
      <c r="K71" s="34">
        <v>0</v>
      </c>
      <c r="L71" s="5"/>
      <c r="M71" s="33">
        <f t="shared" si="8"/>
        <v>0</v>
      </c>
      <c r="N71" s="33">
        <f t="shared" si="8"/>
        <v>0</v>
      </c>
      <c r="O71" s="33">
        <f t="shared" si="8"/>
        <v>0</v>
      </c>
      <c r="P71" s="34">
        <f t="shared" si="8"/>
        <v>0</v>
      </c>
      <c r="Q71" s="33">
        <f t="shared" si="8"/>
        <v>0</v>
      </c>
      <c r="R71" s="33"/>
      <c r="S71" s="33"/>
      <c r="T71" s="33"/>
      <c r="U71" s="33"/>
      <c r="V71" s="33"/>
      <c r="W71" s="33"/>
      <c r="X71" s="33"/>
      <c r="Y71" s="33"/>
      <c r="Z71" s="33"/>
    </row>
    <row r="72" spans="4:26" x14ac:dyDescent="0.2">
      <c r="D72" s="15"/>
      <c r="E72" s="10"/>
      <c r="G72" s="33"/>
      <c r="H72" s="33"/>
      <c r="I72" s="33"/>
      <c r="J72" s="34"/>
      <c r="K72" s="34"/>
      <c r="L72" s="5"/>
      <c r="M72" s="33"/>
      <c r="N72" s="33"/>
      <c r="O72" s="33"/>
      <c r="P72" s="34"/>
      <c r="Q72" s="34"/>
      <c r="R72" s="34"/>
      <c r="S72" s="34"/>
      <c r="T72" s="34"/>
      <c r="U72" s="34"/>
      <c r="V72" s="34"/>
      <c r="W72" s="34"/>
      <c r="X72" s="34"/>
      <c r="Y72" s="34"/>
      <c r="Z72" s="34"/>
    </row>
    <row r="73" spans="4:26" x14ac:dyDescent="0.2">
      <c r="D73" s="15" t="s">
        <v>159</v>
      </c>
      <c r="E73" s="10" t="s">
        <v>20</v>
      </c>
      <c r="G73" s="12">
        <f>$G$137*K73</f>
        <v>66690.487109442489</v>
      </c>
      <c r="H73" s="12">
        <f>$H$137*K73</f>
        <v>18437.48630943922</v>
      </c>
      <c r="I73" s="12">
        <f>$I$137*K73</f>
        <v>331874.02658111829</v>
      </c>
      <c r="J73" s="11">
        <v>0</v>
      </c>
      <c r="K73" s="11">
        <v>417002</v>
      </c>
      <c r="L73" s="5"/>
      <c r="M73" s="12">
        <f t="shared" ref="M73:Q74" si="9">G73</f>
        <v>66690.487109442489</v>
      </c>
      <c r="N73" s="12">
        <f t="shared" si="9"/>
        <v>18437.48630943922</v>
      </c>
      <c r="O73" s="12">
        <f t="shared" si="9"/>
        <v>331874.02658111829</v>
      </c>
      <c r="P73" s="11">
        <f t="shared" si="9"/>
        <v>0</v>
      </c>
      <c r="Q73" s="11">
        <f t="shared" si="9"/>
        <v>417002</v>
      </c>
      <c r="R73" s="11"/>
      <c r="S73" s="11"/>
      <c r="T73" s="11"/>
      <c r="U73" s="11"/>
      <c r="V73" s="11"/>
      <c r="W73" s="11"/>
      <c r="X73" s="11"/>
      <c r="Y73" s="11"/>
      <c r="Z73" s="11"/>
    </row>
    <row r="74" spans="4:26" x14ac:dyDescent="0.2">
      <c r="D74" s="15"/>
      <c r="E74" s="10" t="s">
        <v>21</v>
      </c>
      <c r="G74" s="36">
        <f>$G$137*K74</f>
        <v>0</v>
      </c>
      <c r="H74" s="36">
        <f>$H$137*K74</f>
        <v>0</v>
      </c>
      <c r="I74" s="36">
        <f>$I$137*K74</f>
        <v>0</v>
      </c>
      <c r="J74" s="34">
        <v>0</v>
      </c>
      <c r="K74" s="34">
        <v>0</v>
      </c>
      <c r="L74" s="5"/>
      <c r="M74" s="33">
        <f t="shared" si="9"/>
        <v>0</v>
      </c>
      <c r="N74" s="33">
        <f t="shared" si="9"/>
        <v>0</v>
      </c>
      <c r="O74" s="33">
        <f t="shared" si="9"/>
        <v>0</v>
      </c>
      <c r="P74" s="34">
        <f t="shared" si="9"/>
        <v>0</v>
      </c>
      <c r="Q74" s="33">
        <f t="shared" si="9"/>
        <v>0</v>
      </c>
      <c r="R74" s="33"/>
      <c r="S74" s="33"/>
      <c r="T74" s="33"/>
      <c r="U74" s="33"/>
      <c r="V74" s="33"/>
      <c r="W74" s="33"/>
      <c r="X74" s="33"/>
      <c r="Y74" s="33"/>
      <c r="Z74" s="33"/>
    </row>
    <row r="75" spans="4:26" x14ac:dyDescent="0.2">
      <c r="D75" s="15"/>
      <c r="E75" s="10"/>
      <c r="J75" s="15"/>
      <c r="K75" s="15"/>
      <c r="L75" s="5"/>
      <c r="P75" s="15"/>
    </row>
    <row r="76" spans="4:26" x14ac:dyDescent="0.2">
      <c r="D76" s="15" t="s">
        <v>160</v>
      </c>
      <c r="E76" s="10" t="s">
        <v>20</v>
      </c>
      <c r="G76" s="12">
        <f>$G$137*K76</f>
        <v>186797.35767987883</v>
      </c>
      <c r="H76" s="12">
        <f>$H$137*K76</f>
        <v>51642.653609806257</v>
      </c>
      <c r="I76" s="12">
        <f>$I$137*K76</f>
        <v>929565.72871031496</v>
      </c>
      <c r="J76" s="11">
        <v>0</v>
      </c>
      <c r="K76" s="11">
        <v>1168005.74</v>
      </c>
      <c r="L76" s="5"/>
      <c r="M76" s="12">
        <f t="shared" ref="M76:Q77" si="10">G76</f>
        <v>186797.35767987883</v>
      </c>
      <c r="N76" s="12">
        <f t="shared" si="10"/>
        <v>51642.653609806257</v>
      </c>
      <c r="O76" s="12">
        <f t="shared" si="10"/>
        <v>929565.72871031496</v>
      </c>
      <c r="P76" s="11">
        <f t="shared" si="10"/>
        <v>0</v>
      </c>
      <c r="Q76" s="12">
        <f t="shared" si="10"/>
        <v>1168005.74</v>
      </c>
      <c r="R76" s="12"/>
      <c r="S76" s="12"/>
      <c r="T76" s="12"/>
      <c r="U76" s="12"/>
      <c r="V76" s="12"/>
      <c r="W76" s="12"/>
      <c r="X76" s="12"/>
      <c r="Y76" s="12"/>
      <c r="Z76" s="12"/>
    </row>
    <row r="77" spans="4:26" x14ac:dyDescent="0.2">
      <c r="E77" s="10" t="s">
        <v>21</v>
      </c>
      <c r="G77" s="36">
        <f>$G$137*K77</f>
        <v>0</v>
      </c>
      <c r="H77" s="36">
        <f>$H$137*K77</f>
        <v>0</v>
      </c>
      <c r="I77" s="36">
        <f>$I$137*K77</f>
        <v>0</v>
      </c>
      <c r="J77" s="34">
        <v>0</v>
      </c>
      <c r="K77" s="34">
        <v>0</v>
      </c>
      <c r="L77" s="5"/>
      <c r="M77" s="33">
        <f t="shared" si="10"/>
        <v>0</v>
      </c>
      <c r="N77" s="33">
        <f t="shared" si="10"/>
        <v>0</v>
      </c>
      <c r="O77" s="33">
        <f t="shared" si="10"/>
        <v>0</v>
      </c>
      <c r="P77" s="34">
        <f t="shared" si="10"/>
        <v>0</v>
      </c>
      <c r="Q77" s="33">
        <f t="shared" si="10"/>
        <v>0</v>
      </c>
      <c r="R77" s="33"/>
      <c r="S77" s="33"/>
      <c r="T77" s="33"/>
      <c r="U77" s="33"/>
      <c r="V77" s="33"/>
      <c r="W77" s="33"/>
      <c r="X77" s="33"/>
      <c r="Y77" s="33"/>
      <c r="Z77" s="33"/>
    </row>
    <row r="78" spans="4:26" x14ac:dyDescent="0.2">
      <c r="E78" s="10"/>
      <c r="G78" s="36"/>
      <c r="H78" s="36"/>
      <c r="I78" s="36"/>
      <c r="J78" s="34"/>
      <c r="K78" s="34"/>
      <c r="L78" s="5"/>
      <c r="M78" s="33"/>
      <c r="N78" s="33"/>
      <c r="O78" s="33"/>
      <c r="P78" s="34"/>
      <c r="Q78" s="33"/>
      <c r="R78" s="33"/>
      <c r="S78" s="33"/>
      <c r="T78" s="33"/>
      <c r="U78" s="33"/>
      <c r="V78" s="33"/>
      <c r="W78" s="33"/>
      <c r="X78" s="33"/>
      <c r="Y78" s="33"/>
      <c r="Z78" s="33"/>
    </row>
    <row r="79" spans="4:26" x14ac:dyDescent="0.2">
      <c r="D79" s="15" t="s">
        <v>161</v>
      </c>
      <c r="E79" s="10" t="s">
        <v>20</v>
      </c>
      <c r="G79" s="12">
        <f>$G$137*K79</f>
        <v>53647.041879750752</v>
      </c>
      <c r="H79" s="12">
        <f>$H$137*K79</f>
        <v>14831.449627540229</v>
      </c>
      <c r="I79" s="12">
        <f>$I$137*K79</f>
        <v>266965.50849270902</v>
      </c>
      <c r="J79" s="11">
        <v>0</v>
      </c>
      <c r="K79" s="11">
        <v>335444</v>
      </c>
      <c r="L79" s="5"/>
      <c r="M79" s="12">
        <f t="shared" ref="M79:Q80" si="11">G79</f>
        <v>53647.041879750752</v>
      </c>
      <c r="N79" s="12">
        <f t="shared" si="11"/>
        <v>14831.449627540229</v>
      </c>
      <c r="O79" s="12">
        <f t="shared" si="11"/>
        <v>266965.50849270902</v>
      </c>
      <c r="P79" s="11">
        <f t="shared" si="11"/>
        <v>0</v>
      </c>
      <c r="Q79" s="12">
        <f t="shared" si="11"/>
        <v>335444</v>
      </c>
      <c r="R79" s="12"/>
      <c r="S79" s="12"/>
      <c r="T79" s="12"/>
      <c r="U79" s="12"/>
      <c r="V79" s="12"/>
      <c r="W79" s="12"/>
      <c r="X79" s="12"/>
      <c r="Y79" s="12"/>
      <c r="Z79" s="12"/>
    </row>
    <row r="80" spans="4:26" x14ac:dyDescent="0.2">
      <c r="E80" s="10" t="s">
        <v>21</v>
      </c>
      <c r="G80" s="36">
        <f>$G$137*K80</f>
        <v>0</v>
      </c>
      <c r="H80" s="36">
        <f>$H$137*K80</f>
        <v>0</v>
      </c>
      <c r="I80" s="36">
        <f>$I$137*K80</f>
        <v>0</v>
      </c>
      <c r="J80" s="34">
        <v>0</v>
      </c>
      <c r="K80" s="34">
        <v>0</v>
      </c>
      <c r="L80" s="5"/>
      <c r="M80" s="33">
        <f t="shared" si="11"/>
        <v>0</v>
      </c>
      <c r="N80" s="33">
        <f t="shared" si="11"/>
        <v>0</v>
      </c>
      <c r="O80" s="33">
        <f t="shared" si="11"/>
        <v>0</v>
      </c>
      <c r="P80" s="34">
        <f t="shared" si="11"/>
        <v>0</v>
      </c>
      <c r="Q80" s="33">
        <f t="shared" si="11"/>
        <v>0</v>
      </c>
      <c r="R80" s="33"/>
      <c r="S80" s="33"/>
      <c r="T80" s="33"/>
      <c r="U80" s="33"/>
      <c r="V80" s="33"/>
      <c r="W80" s="33"/>
      <c r="X80" s="33"/>
      <c r="Y80" s="33"/>
      <c r="Z80" s="33"/>
    </row>
    <row r="81" spans="4:26" x14ac:dyDescent="0.2">
      <c r="E81" s="10"/>
      <c r="G81" s="36"/>
      <c r="H81" s="36"/>
      <c r="I81" s="36"/>
      <c r="J81" s="34"/>
      <c r="K81" s="34"/>
      <c r="L81" s="5"/>
      <c r="M81" s="33"/>
      <c r="N81" s="33"/>
      <c r="O81" s="33"/>
      <c r="P81" s="34"/>
      <c r="Q81" s="33"/>
      <c r="R81" s="33"/>
      <c r="S81" s="33"/>
      <c r="T81" s="33"/>
      <c r="U81" s="33"/>
      <c r="V81" s="33"/>
      <c r="W81" s="33"/>
      <c r="X81" s="33"/>
      <c r="Y81" s="33"/>
      <c r="Z81" s="33"/>
    </row>
    <row r="82" spans="4:26" x14ac:dyDescent="0.2">
      <c r="D82" s="15" t="s">
        <v>162</v>
      </c>
      <c r="E82" s="10" t="s">
        <v>20</v>
      </c>
      <c r="G82" s="12">
        <f>$G$137*K82</f>
        <v>92991.681703402399</v>
      </c>
      <c r="H82" s="12">
        <f>$H$137*K82</f>
        <v>25708.806947002438</v>
      </c>
      <c r="I82" s="12">
        <f>$I$137*K82</f>
        <v>462757.51134959521</v>
      </c>
      <c r="J82" s="11">
        <v>0</v>
      </c>
      <c r="K82" s="11">
        <v>581458</v>
      </c>
      <c r="L82" s="5"/>
      <c r="M82" s="12">
        <f t="shared" ref="M82:Q83" si="12">G82</f>
        <v>92991.681703402399</v>
      </c>
      <c r="N82" s="12">
        <f t="shared" si="12"/>
        <v>25708.806947002438</v>
      </c>
      <c r="O82" s="12">
        <f t="shared" si="12"/>
        <v>462757.51134959521</v>
      </c>
      <c r="P82" s="11">
        <f t="shared" si="12"/>
        <v>0</v>
      </c>
      <c r="Q82" s="12">
        <f t="shared" si="12"/>
        <v>581458</v>
      </c>
      <c r="R82" s="12"/>
      <c r="S82" s="12"/>
      <c r="T82" s="12"/>
      <c r="U82" s="12"/>
      <c r="V82" s="12"/>
      <c r="W82" s="12"/>
      <c r="X82" s="12"/>
      <c r="Y82" s="12"/>
      <c r="Z82" s="12"/>
    </row>
    <row r="83" spans="4:26" x14ac:dyDescent="0.2">
      <c r="E83" s="10" t="s">
        <v>21</v>
      </c>
      <c r="G83" s="36">
        <f>$G$137*K83</f>
        <v>0</v>
      </c>
      <c r="H83" s="36">
        <f>$H$137*K83</f>
        <v>0</v>
      </c>
      <c r="I83" s="36">
        <f>$I$137*K83</f>
        <v>0</v>
      </c>
      <c r="J83" s="34">
        <v>0</v>
      </c>
      <c r="K83" s="34">
        <v>0</v>
      </c>
      <c r="L83" s="5"/>
      <c r="M83" s="33">
        <f t="shared" si="12"/>
        <v>0</v>
      </c>
      <c r="N83" s="33">
        <f t="shared" si="12"/>
        <v>0</v>
      </c>
      <c r="O83" s="33">
        <f t="shared" si="12"/>
        <v>0</v>
      </c>
      <c r="P83" s="34">
        <f t="shared" si="12"/>
        <v>0</v>
      </c>
      <c r="Q83" s="33">
        <f t="shared" si="12"/>
        <v>0</v>
      </c>
      <c r="R83" s="33"/>
      <c r="S83" s="33"/>
      <c r="T83" s="33"/>
      <c r="U83" s="33"/>
      <c r="V83" s="33"/>
      <c r="W83" s="33"/>
      <c r="X83" s="33"/>
      <c r="Y83" s="33"/>
      <c r="Z83" s="33"/>
    </row>
    <row r="84" spans="4:26" x14ac:dyDescent="0.2">
      <c r="E84" s="10"/>
      <c r="J84" s="15"/>
      <c r="K84" s="15"/>
      <c r="L84" s="5"/>
      <c r="P84" s="15"/>
    </row>
    <row r="85" spans="4:26" x14ac:dyDescent="0.2">
      <c r="D85" s="15" t="s">
        <v>163</v>
      </c>
      <c r="E85" s="10" t="s">
        <v>20</v>
      </c>
      <c r="G85" s="12">
        <f>$G$137*K85</f>
        <v>90429.615001726546</v>
      </c>
      <c r="H85" s="12">
        <f>$H$137*K85</f>
        <v>25000.48898767342</v>
      </c>
      <c r="I85" s="12">
        <f>$I$137*K85</f>
        <v>450007.81601060013</v>
      </c>
      <c r="J85" s="11">
        <v>0</v>
      </c>
      <c r="K85" s="11">
        <v>565437.92000000004</v>
      </c>
      <c r="L85" s="5"/>
      <c r="M85" s="12">
        <f t="shared" ref="M85:Q86" si="13">G85</f>
        <v>90429.615001726546</v>
      </c>
      <c r="N85" s="12">
        <f t="shared" si="13"/>
        <v>25000.48898767342</v>
      </c>
      <c r="O85" s="12">
        <f t="shared" si="13"/>
        <v>450007.81601060013</v>
      </c>
      <c r="P85" s="11">
        <f t="shared" si="13"/>
        <v>0</v>
      </c>
      <c r="Q85" s="12">
        <f t="shared" si="13"/>
        <v>565437.92000000004</v>
      </c>
      <c r="R85" s="12"/>
      <c r="S85" s="12"/>
      <c r="T85" s="12"/>
      <c r="U85" s="12"/>
      <c r="V85" s="12"/>
      <c r="W85" s="12"/>
      <c r="X85" s="12"/>
      <c r="Y85" s="12"/>
      <c r="Z85" s="12"/>
    </row>
    <row r="86" spans="4:26" x14ac:dyDescent="0.2">
      <c r="E86" s="10" t="s">
        <v>21</v>
      </c>
      <c r="G86" s="36">
        <f>$G$137*K86</f>
        <v>0</v>
      </c>
      <c r="H86" s="36">
        <f>$H$137*K86</f>
        <v>0</v>
      </c>
      <c r="I86" s="36">
        <f>$I$137*K86</f>
        <v>0</v>
      </c>
      <c r="J86" s="34">
        <v>0</v>
      </c>
      <c r="K86" s="34">
        <v>0</v>
      </c>
      <c r="L86" s="5"/>
      <c r="M86" s="33">
        <f t="shared" si="13"/>
        <v>0</v>
      </c>
      <c r="N86" s="33">
        <f t="shared" si="13"/>
        <v>0</v>
      </c>
      <c r="O86" s="33">
        <f t="shared" si="13"/>
        <v>0</v>
      </c>
      <c r="P86" s="34">
        <f t="shared" si="13"/>
        <v>0</v>
      </c>
      <c r="Q86" s="33">
        <f t="shared" si="13"/>
        <v>0</v>
      </c>
      <c r="R86" s="33"/>
      <c r="S86" s="33"/>
      <c r="T86" s="33"/>
      <c r="U86" s="33"/>
      <c r="V86" s="33"/>
      <c r="W86" s="33"/>
      <c r="X86" s="33"/>
      <c r="Y86" s="33"/>
      <c r="Z86" s="33"/>
    </row>
    <row r="87" spans="4:26" x14ac:dyDescent="0.2">
      <c r="E87" s="10"/>
      <c r="J87" s="15"/>
      <c r="K87" s="15"/>
      <c r="L87" s="5"/>
      <c r="P87" s="15"/>
    </row>
    <row r="88" spans="4:26" x14ac:dyDescent="0.2">
      <c r="D88" s="15" t="s">
        <v>164</v>
      </c>
      <c r="E88" s="10" t="s">
        <v>20</v>
      </c>
      <c r="G88" s="12">
        <f>$G$137*K88</f>
        <v>36399.557257811713</v>
      </c>
      <c r="H88" s="12">
        <f>$H$137*K88</f>
        <v>10063.149449024364</v>
      </c>
      <c r="I88" s="12">
        <f>$I$137*K88</f>
        <v>181136.29329316394</v>
      </c>
      <c r="J88" s="11">
        <v>0</v>
      </c>
      <c r="K88" s="11">
        <v>227599</v>
      </c>
      <c r="L88" s="5"/>
      <c r="M88" s="12">
        <f t="shared" ref="M88:Q89" si="14">G88</f>
        <v>36399.557257811713</v>
      </c>
      <c r="N88" s="12">
        <f t="shared" si="14"/>
        <v>10063.149449024364</v>
      </c>
      <c r="O88" s="12">
        <f t="shared" si="14"/>
        <v>181136.29329316394</v>
      </c>
      <c r="P88" s="11">
        <f t="shared" si="14"/>
        <v>0</v>
      </c>
      <c r="Q88" s="12">
        <f t="shared" si="14"/>
        <v>227599</v>
      </c>
      <c r="R88" s="12"/>
      <c r="S88" s="12"/>
      <c r="T88" s="12"/>
      <c r="U88" s="12"/>
      <c r="V88" s="12"/>
      <c r="W88" s="12"/>
      <c r="X88" s="12"/>
      <c r="Y88" s="12"/>
      <c r="Z88" s="12"/>
    </row>
    <row r="89" spans="4:26" x14ac:dyDescent="0.2">
      <c r="E89" s="10" t="s">
        <v>21</v>
      </c>
      <c r="G89" s="36">
        <f>$G$137*K89</f>
        <v>0</v>
      </c>
      <c r="H89" s="36">
        <f>$H$137*K89</f>
        <v>0</v>
      </c>
      <c r="I89" s="36">
        <f>$I$137*K89</f>
        <v>0</v>
      </c>
      <c r="J89" s="34">
        <v>0</v>
      </c>
      <c r="K89" s="34">
        <v>0</v>
      </c>
      <c r="L89" s="5"/>
      <c r="M89" s="33">
        <f t="shared" si="14"/>
        <v>0</v>
      </c>
      <c r="N89" s="33">
        <f t="shared" si="14"/>
        <v>0</v>
      </c>
      <c r="O89" s="33">
        <f t="shared" si="14"/>
        <v>0</v>
      </c>
      <c r="P89" s="34">
        <f t="shared" si="14"/>
        <v>0</v>
      </c>
      <c r="Q89" s="33">
        <f t="shared" si="14"/>
        <v>0</v>
      </c>
      <c r="R89" s="33"/>
      <c r="S89" s="33"/>
      <c r="T89" s="33"/>
      <c r="U89" s="33"/>
      <c r="V89" s="33"/>
      <c r="W89" s="33"/>
      <c r="X89" s="33"/>
      <c r="Y89" s="33"/>
      <c r="Z89" s="33"/>
    </row>
    <row r="90" spans="4:26" x14ac:dyDescent="0.2">
      <c r="E90" s="10"/>
      <c r="J90" s="15"/>
      <c r="K90" s="15"/>
      <c r="L90" s="5"/>
      <c r="P90" s="15"/>
    </row>
    <row r="91" spans="4:26" x14ac:dyDescent="0.2">
      <c r="D91" s="15" t="s">
        <v>165</v>
      </c>
      <c r="E91" s="10" t="s">
        <v>20</v>
      </c>
      <c r="G91" s="12">
        <f>$G$137*K91</f>
        <v>45829.418964551864</v>
      </c>
      <c r="H91" s="12">
        <f>$H$137*K91</f>
        <v>12670.162137844716</v>
      </c>
      <c r="I91" s="12">
        <f>$I$137*K91</f>
        <v>228062.41889760343</v>
      </c>
      <c r="J91" s="11">
        <v>0</v>
      </c>
      <c r="K91" s="11">
        <v>286562</v>
      </c>
      <c r="L91" s="5"/>
      <c r="M91" s="12">
        <f t="shared" ref="M91:Q92" si="15">G91</f>
        <v>45829.418964551864</v>
      </c>
      <c r="N91" s="12">
        <f t="shared" si="15"/>
        <v>12670.162137844716</v>
      </c>
      <c r="O91" s="12">
        <f t="shared" si="15"/>
        <v>228062.41889760343</v>
      </c>
      <c r="P91" s="11">
        <f t="shared" si="15"/>
        <v>0</v>
      </c>
      <c r="Q91" s="12">
        <f t="shared" si="15"/>
        <v>286562</v>
      </c>
      <c r="R91" s="12"/>
      <c r="S91" s="12"/>
      <c r="T91" s="12"/>
      <c r="U91" s="12"/>
      <c r="V91" s="12"/>
      <c r="W91" s="12"/>
      <c r="X91" s="12"/>
      <c r="Y91" s="12"/>
      <c r="Z91" s="12"/>
    </row>
    <row r="92" spans="4:26" x14ac:dyDescent="0.2">
      <c r="E92" s="10" t="s">
        <v>21</v>
      </c>
      <c r="G92" s="36">
        <f>$G$137*K92</f>
        <v>0</v>
      </c>
      <c r="H92" s="36">
        <f>$H$137*K92</f>
        <v>0</v>
      </c>
      <c r="I92" s="36">
        <f>$I$137*K92</f>
        <v>0</v>
      </c>
      <c r="J92" s="34">
        <v>0</v>
      </c>
      <c r="K92" s="34">
        <v>0</v>
      </c>
      <c r="L92" s="5"/>
      <c r="M92" s="33">
        <f t="shared" si="15"/>
        <v>0</v>
      </c>
      <c r="N92" s="33">
        <f t="shared" si="15"/>
        <v>0</v>
      </c>
      <c r="O92" s="33">
        <f t="shared" si="15"/>
        <v>0</v>
      </c>
      <c r="P92" s="34">
        <f t="shared" si="15"/>
        <v>0</v>
      </c>
      <c r="Q92" s="33">
        <f t="shared" si="15"/>
        <v>0</v>
      </c>
      <c r="R92" s="33"/>
      <c r="S92" s="33"/>
      <c r="T92" s="33"/>
      <c r="U92" s="33"/>
      <c r="V92" s="33"/>
      <c r="W92" s="33"/>
      <c r="X92" s="33"/>
      <c r="Y92" s="33"/>
      <c r="Z92" s="33"/>
    </row>
    <row r="93" spans="4:26" x14ac:dyDescent="0.2">
      <c r="D93" s="15"/>
      <c r="E93" s="10"/>
      <c r="J93" s="15"/>
      <c r="K93" s="15"/>
      <c r="L93" s="5"/>
      <c r="P93" s="15"/>
    </row>
    <row r="94" spans="4:26" x14ac:dyDescent="0.2">
      <c r="D94" s="15" t="s">
        <v>166</v>
      </c>
      <c r="E94" s="10" t="s">
        <v>20</v>
      </c>
      <c r="G94" s="12">
        <f>$G$137*K94</f>
        <v>52943.3566617385</v>
      </c>
      <c r="H94" s="12">
        <f>$H$137*K94</f>
        <v>14636.90634054992</v>
      </c>
      <c r="I94" s="12">
        <f>$I$137*K94</f>
        <v>263463.73699771159</v>
      </c>
      <c r="J94" s="11">
        <v>0</v>
      </c>
      <c r="K94" s="11">
        <f>466844-'[1]2012 Thunderstorm #4'!K82</f>
        <v>331044</v>
      </c>
      <c r="L94" s="5"/>
      <c r="M94" s="12">
        <f t="shared" ref="M94:Q95" si="16">G94</f>
        <v>52943.3566617385</v>
      </c>
      <c r="N94" s="12">
        <f t="shared" si="16"/>
        <v>14636.90634054992</v>
      </c>
      <c r="O94" s="12">
        <f t="shared" si="16"/>
        <v>263463.73699771159</v>
      </c>
      <c r="P94" s="11">
        <f t="shared" si="16"/>
        <v>0</v>
      </c>
      <c r="Q94" s="12">
        <f t="shared" si="16"/>
        <v>331044</v>
      </c>
      <c r="R94" s="12"/>
      <c r="S94" s="12"/>
      <c r="T94" s="12"/>
      <c r="U94" s="12"/>
      <c r="V94" s="12"/>
      <c r="W94" s="12"/>
      <c r="X94" s="12"/>
      <c r="Y94" s="12"/>
      <c r="Z94" s="12"/>
    </row>
    <row r="95" spans="4:26" x14ac:dyDescent="0.2">
      <c r="D95" s="15"/>
      <c r="E95" s="10" t="s">
        <v>21</v>
      </c>
      <c r="G95" s="36">
        <f>$G$137*K95</f>
        <v>0</v>
      </c>
      <c r="H95" s="36">
        <f>$H$137*K95</f>
        <v>0</v>
      </c>
      <c r="I95" s="36">
        <f>$I$137*K95</f>
        <v>0</v>
      </c>
      <c r="J95" s="34">
        <v>0</v>
      </c>
      <c r="K95" s="34">
        <v>0</v>
      </c>
      <c r="L95" s="5"/>
      <c r="M95" s="33">
        <f t="shared" si="16"/>
        <v>0</v>
      </c>
      <c r="N95" s="33">
        <f t="shared" si="16"/>
        <v>0</v>
      </c>
      <c r="O95" s="33">
        <f t="shared" si="16"/>
        <v>0</v>
      </c>
      <c r="P95" s="34">
        <f t="shared" si="16"/>
        <v>0</v>
      </c>
      <c r="Q95" s="33">
        <f t="shared" si="16"/>
        <v>0</v>
      </c>
      <c r="R95" s="33"/>
      <c r="S95" s="33"/>
      <c r="T95" s="33"/>
      <c r="U95" s="33"/>
      <c r="V95" s="33"/>
      <c r="W95" s="33"/>
      <c r="X95" s="33"/>
      <c r="Y95" s="33"/>
      <c r="Z95" s="33"/>
    </row>
    <row r="96" spans="4:26" x14ac:dyDescent="0.2">
      <c r="D96" s="15"/>
      <c r="J96" s="15"/>
      <c r="K96" s="15"/>
      <c r="L96" s="5"/>
    </row>
    <row r="97" spans="4:27" x14ac:dyDescent="0.2">
      <c r="D97" s="15" t="s">
        <v>167</v>
      </c>
      <c r="E97" s="10" t="s">
        <v>20</v>
      </c>
      <c r="G97" s="12">
        <f>$G$137*K97</f>
        <v>22617.242549207116</v>
      </c>
      <c r="H97" s="12">
        <f>$H$137*K97</f>
        <v>6252.8423157855459</v>
      </c>
      <c r="I97" s="12">
        <f>$I$137*K97</f>
        <v>112550.91513500735</v>
      </c>
      <c r="J97" s="11">
        <v>0</v>
      </c>
      <c r="K97" s="11">
        <v>141421</v>
      </c>
      <c r="L97" s="5"/>
      <c r="M97" s="12">
        <f t="shared" ref="M97:Q98" si="17">G97</f>
        <v>22617.242549207116</v>
      </c>
      <c r="N97" s="12">
        <f t="shared" si="17"/>
        <v>6252.8423157855459</v>
      </c>
      <c r="O97" s="12">
        <f t="shared" si="17"/>
        <v>112550.91513500735</v>
      </c>
      <c r="P97" s="11">
        <f t="shared" si="17"/>
        <v>0</v>
      </c>
      <c r="Q97" s="12">
        <f t="shared" si="17"/>
        <v>141421</v>
      </c>
      <c r="R97" s="12"/>
      <c r="S97" s="12"/>
      <c r="T97" s="12"/>
      <c r="U97" s="12"/>
      <c r="V97" s="12"/>
      <c r="W97" s="12"/>
      <c r="X97" s="12"/>
      <c r="Y97" s="12"/>
      <c r="Z97" s="12"/>
    </row>
    <row r="98" spans="4:27" x14ac:dyDescent="0.2">
      <c r="D98" s="15"/>
      <c r="E98" s="10" t="s">
        <v>21</v>
      </c>
      <c r="G98" s="36">
        <f>$G$137*K98</f>
        <v>0</v>
      </c>
      <c r="H98" s="36">
        <f>$H$137*K98</f>
        <v>0</v>
      </c>
      <c r="I98" s="36">
        <f>$I$137*K98</f>
        <v>0</v>
      </c>
      <c r="J98" s="34">
        <v>0</v>
      </c>
      <c r="K98" s="34">
        <v>0</v>
      </c>
      <c r="L98" s="5"/>
      <c r="M98" s="33">
        <f t="shared" si="17"/>
        <v>0</v>
      </c>
      <c r="N98" s="33">
        <f t="shared" si="17"/>
        <v>0</v>
      </c>
      <c r="O98" s="33">
        <f t="shared" si="17"/>
        <v>0</v>
      </c>
      <c r="P98" s="34">
        <f t="shared" si="17"/>
        <v>0</v>
      </c>
      <c r="Q98" s="33">
        <f t="shared" si="17"/>
        <v>0</v>
      </c>
      <c r="R98" s="33"/>
      <c r="S98" s="33"/>
      <c r="T98" s="33"/>
      <c r="U98" s="33"/>
      <c r="V98" s="33"/>
      <c r="W98" s="33"/>
      <c r="X98" s="33"/>
      <c r="Y98" s="33"/>
      <c r="Z98" s="33"/>
    </row>
    <row r="99" spans="4:27" x14ac:dyDescent="0.2">
      <c r="D99" s="15"/>
      <c r="E99" s="10"/>
      <c r="G99" s="36"/>
      <c r="H99" s="36"/>
      <c r="I99" s="36"/>
      <c r="J99" s="34"/>
      <c r="K99" s="34"/>
      <c r="L99" s="5"/>
      <c r="M99" s="33"/>
      <c r="N99" s="33"/>
      <c r="O99" s="33"/>
      <c r="P99" s="34"/>
      <c r="Q99" s="33"/>
      <c r="R99" s="33"/>
      <c r="S99" s="33"/>
      <c r="T99" s="33"/>
      <c r="U99" s="33"/>
      <c r="V99" s="33"/>
      <c r="W99" s="33"/>
      <c r="X99" s="33"/>
      <c r="Y99" s="33"/>
      <c r="Z99" s="33"/>
    </row>
    <row r="100" spans="4:27" x14ac:dyDescent="0.2">
      <c r="D100" s="15" t="s">
        <v>86</v>
      </c>
      <c r="E100" s="10" t="s">
        <v>20</v>
      </c>
      <c r="G100" s="12">
        <f>$G$137*K100</f>
        <v>7080.0328639551335</v>
      </c>
      <c r="H100" s="12">
        <f>$H$137*K100</f>
        <v>1957.3707534229436</v>
      </c>
      <c r="I100" s="12">
        <f>$I$137*K100</f>
        <v>35232.596382621923</v>
      </c>
      <c r="J100" s="11">
        <v>0</v>
      </c>
      <c r="K100" s="11">
        <v>44270</v>
      </c>
      <c r="L100" s="5"/>
      <c r="M100" s="12">
        <f t="shared" ref="M100:Q101" si="18">G100</f>
        <v>7080.0328639551335</v>
      </c>
      <c r="N100" s="12">
        <f t="shared" si="18"/>
        <v>1957.3707534229436</v>
      </c>
      <c r="O100" s="12">
        <f t="shared" si="18"/>
        <v>35232.596382621923</v>
      </c>
      <c r="P100" s="11">
        <f t="shared" si="18"/>
        <v>0</v>
      </c>
      <c r="Q100" s="12">
        <f t="shared" si="18"/>
        <v>44270</v>
      </c>
      <c r="R100" s="12"/>
      <c r="S100" s="12"/>
      <c r="T100" s="12"/>
      <c r="U100" s="12"/>
      <c r="V100" s="12"/>
      <c r="W100" s="12"/>
      <c r="X100" s="12"/>
      <c r="Y100" s="12"/>
      <c r="Z100" s="12"/>
    </row>
    <row r="101" spans="4:27" x14ac:dyDescent="0.2">
      <c r="D101" s="15"/>
      <c r="E101" s="10" t="s">
        <v>21</v>
      </c>
      <c r="G101" s="36">
        <f>$G$137*K101</f>
        <v>0</v>
      </c>
      <c r="H101" s="36">
        <f>$H$137*K101</f>
        <v>0</v>
      </c>
      <c r="I101" s="36">
        <f>$I$137*K101</f>
        <v>0</v>
      </c>
      <c r="J101" s="34">
        <v>0</v>
      </c>
      <c r="K101" s="34">
        <v>0</v>
      </c>
      <c r="L101" s="5"/>
      <c r="M101" s="33">
        <f t="shared" si="18"/>
        <v>0</v>
      </c>
      <c r="N101" s="33">
        <f t="shared" si="18"/>
        <v>0</v>
      </c>
      <c r="O101" s="33">
        <f t="shared" si="18"/>
        <v>0</v>
      </c>
      <c r="P101" s="34">
        <f t="shared" si="18"/>
        <v>0</v>
      </c>
      <c r="Q101" s="33">
        <f t="shared" si="18"/>
        <v>0</v>
      </c>
      <c r="R101" s="33"/>
      <c r="S101" s="33"/>
      <c r="T101" s="33"/>
      <c r="U101" s="33"/>
      <c r="V101" s="33"/>
      <c r="W101" s="33"/>
      <c r="X101" s="33"/>
      <c r="Y101" s="33"/>
      <c r="Z101" s="33"/>
    </row>
    <row r="102" spans="4:27" x14ac:dyDescent="0.2">
      <c r="D102" s="15"/>
      <c r="E102" s="10"/>
      <c r="G102" s="36"/>
      <c r="H102" s="36"/>
      <c r="I102" s="36"/>
      <c r="J102" s="34"/>
      <c r="K102" s="34"/>
      <c r="L102" s="5"/>
      <c r="M102" s="33"/>
      <c r="N102" s="33"/>
      <c r="O102" s="33"/>
      <c r="P102" s="34"/>
      <c r="Q102" s="33"/>
      <c r="R102" s="33"/>
      <c r="S102" s="33"/>
      <c r="T102" s="33"/>
      <c r="U102" s="33"/>
      <c r="V102" s="33"/>
      <c r="W102" s="33"/>
      <c r="X102" s="33"/>
      <c r="Y102" s="33"/>
      <c r="Z102" s="33"/>
    </row>
    <row r="103" spans="4:27" x14ac:dyDescent="0.2">
      <c r="D103" s="15" t="s">
        <v>147</v>
      </c>
      <c r="E103" s="10" t="s">
        <v>20</v>
      </c>
      <c r="G103" s="12">
        <f>$G$137*K103</f>
        <v>24966.911463533495</v>
      </c>
      <c r="H103" s="12">
        <f>$H$137*K103</f>
        <v>6902.4400367995486</v>
      </c>
      <c r="I103" s="12">
        <f>$I$137*K103</f>
        <v>124243.64849966696</v>
      </c>
      <c r="J103" s="11">
        <v>0</v>
      </c>
      <c r="K103" s="11">
        <f>168133-'[1]2012 Thunderstorm #4'!K85</f>
        <v>156113</v>
      </c>
      <c r="L103" s="5"/>
      <c r="M103" s="12">
        <f t="shared" ref="M103:Q104" si="19">G103</f>
        <v>24966.911463533495</v>
      </c>
      <c r="N103" s="12">
        <f t="shared" si="19"/>
        <v>6902.4400367995486</v>
      </c>
      <c r="O103" s="12">
        <f t="shared" si="19"/>
        <v>124243.64849966696</v>
      </c>
      <c r="P103" s="11">
        <f t="shared" si="19"/>
        <v>0</v>
      </c>
      <c r="Q103" s="12">
        <f t="shared" si="19"/>
        <v>156113</v>
      </c>
      <c r="R103" s="12"/>
      <c r="S103" s="12"/>
      <c r="T103" s="12"/>
      <c r="U103" s="12"/>
      <c r="V103" s="12"/>
      <c r="W103" s="12"/>
      <c r="X103" s="12"/>
      <c r="Y103" s="12"/>
      <c r="Z103" s="12"/>
    </row>
    <row r="104" spans="4:27" x14ac:dyDescent="0.2">
      <c r="D104" s="15"/>
      <c r="E104" s="10" t="s">
        <v>21</v>
      </c>
      <c r="G104" s="36">
        <f>$G$137*K104</f>
        <v>0</v>
      </c>
      <c r="H104" s="36">
        <f>$H$137*K104</f>
        <v>0</v>
      </c>
      <c r="I104" s="36">
        <f>$I$137*K104</f>
        <v>0</v>
      </c>
      <c r="J104" s="34">
        <v>0</v>
      </c>
      <c r="K104" s="34">
        <v>0</v>
      </c>
      <c r="L104" s="5"/>
      <c r="M104" s="33">
        <f t="shared" si="19"/>
        <v>0</v>
      </c>
      <c r="N104" s="33">
        <f t="shared" si="19"/>
        <v>0</v>
      </c>
      <c r="O104" s="33">
        <f t="shared" si="19"/>
        <v>0</v>
      </c>
      <c r="P104" s="34">
        <f t="shared" si="19"/>
        <v>0</v>
      </c>
      <c r="Q104" s="33">
        <f t="shared" si="19"/>
        <v>0</v>
      </c>
      <c r="R104" s="33"/>
      <c r="S104" s="33"/>
      <c r="T104" s="33"/>
      <c r="U104" s="33"/>
      <c r="V104" s="33"/>
      <c r="W104" s="33"/>
      <c r="X104" s="33"/>
      <c r="Y104" s="33"/>
      <c r="Z104" s="33"/>
    </row>
    <row r="105" spans="4:27" x14ac:dyDescent="0.2">
      <c r="D105" s="15"/>
      <c r="E105" s="10"/>
      <c r="G105" s="36"/>
      <c r="H105" s="36"/>
      <c r="I105" s="36"/>
      <c r="J105" s="34"/>
      <c r="K105" s="34"/>
      <c r="L105" s="5"/>
      <c r="M105" s="33"/>
      <c r="N105" s="33"/>
      <c r="O105" s="33"/>
      <c r="P105" s="34"/>
      <c r="Q105" s="33"/>
      <c r="R105" s="33"/>
      <c r="S105" s="33"/>
      <c r="T105" s="33"/>
      <c r="U105" s="33"/>
      <c r="V105" s="33"/>
      <c r="W105" s="33"/>
      <c r="X105" s="33"/>
      <c r="Y105" s="33"/>
      <c r="Z105" s="33"/>
    </row>
    <row r="106" spans="4:27" x14ac:dyDescent="0.2">
      <c r="D106" s="15" t="s">
        <v>168</v>
      </c>
      <c r="E106" s="10" t="s">
        <v>20</v>
      </c>
      <c r="G106" s="12">
        <f>$G$137*K106</f>
        <v>66049.973632592693</v>
      </c>
      <c r="H106" s="12">
        <f>$H$137*K106</f>
        <v>18260.407703894634</v>
      </c>
      <c r="I106" s="12">
        <f>$I$137*K106</f>
        <v>328686.61866351269</v>
      </c>
      <c r="J106" s="11">
        <v>0</v>
      </c>
      <c r="K106" s="11">
        <f>425228-'[1]2012 Thunderstorm #4'!K88</f>
        <v>412997</v>
      </c>
      <c r="L106" s="5"/>
      <c r="M106" s="12">
        <f t="shared" ref="M106:Q107" si="20">G106</f>
        <v>66049.973632592693</v>
      </c>
      <c r="N106" s="12">
        <f t="shared" si="20"/>
        <v>18260.407703894634</v>
      </c>
      <c r="O106" s="12">
        <f t="shared" si="20"/>
        <v>328686.61866351269</v>
      </c>
      <c r="P106" s="11">
        <f t="shared" si="20"/>
        <v>0</v>
      </c>
      <c r="Q106" s="12">
        <f t="shared" si="20"/>
        <v>412997</v>
      </c>
      <c r="R106" s="12"/>
      <c r="S106" s="12"/>
      <c r="T106" s="12"/>
      <c r="U106" s="12"/>
      <c r="V106" s="12"/>
      <c r="W106" s="12"/>
      <c r="X106" s="12"/>
      <c r="Y106" s="12"/>
      <c r="Z106" s="12"/>
    </row>
    <row r="107" spans="4:27" x14ac:dyDescent="0.2">
      <c r="D107" s="15"/>
      <c r="E107" s="10" t="s">
        <v>21</v>
      </c>
      <c r="G107" s="36">
        <f>$G$137*K107</f>
        <v>0</v>
      </c>
      <c r="H107" s="36">
        <f>$H$137*K107</f>
        <v>0</v>
      </c>
      <c r="I107" s="36">
        <f>$I$137*K107</f>
        <v>0</v>
      </c>
      <c r="J107" s="34">
        <v>0</v>
      </c>
      <c r="K107" s="34">
        <v>0</v>
      </c>
      <c r="L107" s="5"/>
      <c r="M107" s="33">
        <f t="shared" si="20"/>
        <v>0</v>
      </c>
      <c r="N107" s="33">
        <f t="shared" si="20"/>
        <v>0</v>
      </c>
      <c r="O107" s="33">
        <f t="shared" si="20"/>
        <v>0</v>
      </c>
      <c r="P107" s="34">
        <f t="shared" si="20"/>
        <v>0</v>
      </c>
      <c r="Q107" s="33">
        <f t="shared" si="20"/>
        <v>0</v>
      </c>
      <c r="R107" s="33"/>
      <c r="S107" s="33"/>
      <c r="T107" s="33"/>
      <c r="U107" s="33"/>
      <c r="V107" s="33"/>
      <c r="W107" s="33"/>
      <c r="X107" s="33"/>
      <c r="Y107" s="33"/>
      <c r="Z107" s="33"/>
    </row>
    <row r="108" spans="4:27" x14ac:dyDescent="0.2">
      <c r="D108" s="15"/>
      <c r="J108" s="15"/>
      <c r="K108" s="15"/>
      <c r="L108" s="5"/>
    </row>
    <row r="109" spans="4:27" x14ac:dyDescent="0.2">
      <c r="D109" s="15" t="s">
        <v>66</v>
      </c>
      <c r="E109" s="10" t="s">
        <v>20</v>
      </c>
      <c r="G109" s="12">
        <f>$G$137*K109</f>
        <v>-8814.1371409794283</v>
      </c>
      <c r="H109" s="12">
        <f>$H$137*K109</f>
        <v>-2436.7873127038333</v>
      </c>
      <c r="I109" s="12">
        <f>$I$137*K109</f>
        <v>-43862.075546316744</v>
      </c>
      <c r="J109" s="11">
        <v>0</v>
      </c>
      <c r="K109" s="11">
        <v>-55113</v>
      </c>
      <c r="L109" s="5"/>
      <c r="M109" s="12">
        <f>G109</f>
        <v>-8814.1371409794283</v>
      </c>
      <c r="N109" s="12">
        <f>H109</f>
        <v>-2436.7873127038333</v>
      </c>
      <c r="O109" s="12">
        <f>I109</f>
        <v>-43862.075546316744</v>
      </c>
      <c r="P109" s="11">
        <f>J109</f>
        <v>0</v>
      </c>
      <c r="Q109" s="12">
        <f>K109</f>
        <v>-55113</v>
      </c>
      <c r="R109" s="12"/>
      <c r="S109" s="12"/>
      <c r="T109" s="12"/>
      <c r="U109" s="12"/>
      <c r="V109" s="12"/>
      <c r="W109" s="12"/>
      <c r="X109" s="12"/>
      <c r="Y109" s="12"/>
      <c r="Z109" s="12"/>
    </row>
    <row r="110" spans="4:27" x14ac:dyDescent="0.2">
      <c r="D110" s="15"/>
      <c r="E110" s="10"/>
      <c r="G110" s="12"/>
      <c r="H110" s="12"/>
      <c r="I110" s="12"/>
      <c r="J110" s="11"/>
      <c r="K110" s="11"/>
      <c r="L110" s="5"/>
      <c r="M110" s="12"/>
      <c r="N110" s="12"/>
      <c r="O110" s="12"/>
      <c r="P110" s="11"/>
      <c r="Q110" s="12"/>
      <c r="R110" s="12"/>
      <c r="S110" s="12"/>
      <c r="T110" s="12"/>
      <c r="U110" s="12"/>
      <c r="V110" s="12"/>
      <c r="W110" s="12"/>
      <c r="X110" s="12"/>
      <c r="Y110" s="12"/>
      <c r="Z110" s="12"/>
    </row>
    <row r="111" spans="4:27" x14ac:dyDescent="0.2">
      <c r="D111" s="15" t="s">
        <v>169</v>
      </c>
      <c r="E111" s="10" t="s">
        <v>20</v>
      </c>
      <c r="G111" s="12">
        <v>0</v>
      </c>
      <c r="H111" s="12">
        <v>0</v>
      </c>
      <c r="I111" s="12">
        <v>0</v>
      </c>
      <c r="J111" s="12">
        <v>600</v>
      </c>
      <c r="K111" s="12">
        <v>600</v>
      </c>
      <c r="L111" s="5"/>
      <c r="M111" s="12">
        <f>G111</f>
        <v>0</v>
      </c>
      <c r="N111" s="12">
        <f>H111</f>
        <v>0</v>
      </c>
      <c r="O111" s="12">
        <f>I111</f>
        <v>0</v>
      </c>
      <c r="P111" s="11">
        <f>J111</f>
        <v>600</v>
      </c>
      <c r="Q111" s="12">
        <f>K111</f>
        <v>600</v>
      </c>
      <c r="R111" s="12"/>
      <c r="S111" s="12"/>
      <c r="T111" s="12"/>
      <c r="U111" s="12"/>
      <c r="V111" s="12"/>
      <c r="W111" s="12"/>
      <c r="X111" s="12"/>
      <c r="Y111" s="12"/>
      <c r="Z111" s="12"/>
      <c r="AA111" s="38"/>
    </row>
    <row r="112" spans="4:27" ht="13.5" thickBot="1" x14ac:dyDescent="0.25">
      <c r="D112" s="15"/>
      <c r="E112" s="10"/>
      <c r="G112" s="12"/>
      <c r="H112" s="12"/>
      <c r="I112" s="12"/>
      <c r="J112" s="12"/>
      <c r="K112" s="12"/>
      <c r="L112" s="5"/>
      <c r="P112" s="11"/>
      <c r="Q112" s="12"/>
      <c r="R112" s="12"/>
      <c r="S112" s="12"/>
      <c r="T112" s="12"/>
      <c r="U112" s="12"/>
      <c r="V112" s="12"/>
      <c r="W112" s="12"/>
      <c r="X112" s="12"/>
      <c r="Y112" s="12"/>
      <c r="Z112" s="12"/>
      <c r="AA112" s="38"/>
    </row>
    <row r="113" spans="2:27" ht="13.5" thickBot="1" x14ac:dyDescent="0.25">
      <c r="B113" s="2" t="s">
        <v>67</v>
      </c>
      <c r="E113" s="10" t="s">
        <v>20</v>
      </c>
      <c r="G113" s="31">
        <f>G61+G64+G67+G70+G73+G76+G79+G82+G85+G88+G91+G94+G97+G100+G103+G106+G109+G111</f>
        <v>825526.65985081624</v>
      </c>
      <c r="H113" s="31">
        <f>H61+H64+H67+H70+H73+H76+H79+H82+H85+H88+H91+H94+H97+H100+H103+H106+H109+H111</f>
        <v>228227.99995595589</v>
      </c>
      <c r="I113" s="31">
        <f>I61+I64+I67+I70+I73+I76+I79+I82+I85+I88+I91+I94+I97+I100+I103+I106+I109+I111</f>
        <v>5003197.0001932289</v>
      </c>
      <c r="J113" s="31">
        <f>J61+J64+J67+J70+J73+J76+J79+J82+J85+J88+J91+J94+J97+J100+J103+J106+J109+J111</f>
        <v>600</v>
      </c>
      <c r="K113" s="39">
        <f>SUM(G113:J113)</f>
        <v>6057551.6600000011</v>
      </c>
      <c r="L113" s="32"/>
      <c r="M113" s="31">
        <f>M61+M64+M67+M70+M73+M76+M79+M82+M85+M88+M91+M94+M97+M100+M103+M106+M109+M111</f>
        <v>812352.52108472446</v>
      </c>
      <c r="N113" s="31">
        <f>N61+N64+N67+N70+N73+N76+N79+N82+N85+N88+N91+N94+N97+N100+N103+N106+N109+N111</f>
        <v>224585.83127993677</v>
      </c>
      <c r="O113" s="31">
        <f>O61+O64+O67+O70+O73+O76+O79+O82+O85+O88+O91+O94+O97+O100+O103+O106+O109+O111</f>
        <v>4937638.1076353397</v>
      </c>
      <c r="P113" s="31">
        <f>P61+P64+P67+P70+P73+P76+P79+P82+P85+P88+P91+P94+P97+P100+P103+P106+P109+P111</f>
        <v>600</v>
      </c>
      <c r="Q113" s="31">
        <f>SUM(M113:P113)</f>
        <v>5975176.4600000009</v>
      </c>
      <c r="R113" s="86"/>
      <c r="S113" s="86"/>
      <c r="T113" s="86"/>
      <c r="U113" s="86"/>
      <c r="V113" s="86"/>
      <c r="W113" s="86"/>
      <c r="X113" s="86"/>
      <c r="Y113" s="86"/>
      <c r="Z113" s="86"/>
      <c r="AA113" s="40"/>
    </row>
    <row r="114" spans="2:27" x14ac:dyDescent="0.2">
      <c r="B114" s="2"/>
      <c r="E114" s="10" t="s">
        <v>21</v>
      </c>
      <c r="G114" s="41">
        <f>G62+G65+G68+G71+G74+G77+G80+G83+G86+G89+G92+G95+G98+G101+G104+G107</f>
        <v>0</v>
      </c>
      <c r="H114" s="41">
        <f>H62+H65+H68+H71+H74+H77+H80+H83+H86+H89+H92+H95+H98+H101+H104+H107</f>
        <v>0</v>
      </c>
      <c r="I114" s="41">
        <f>I62+I65+I68+I71+I74+I77+I80+I83+I86+I89+I92+I95+I98+I101+I104+I107</f>
        <v>0</v>
      </c>
      <c r="J114" s="41">
        <f>J62+J65+J68+J71+J74+J77+J80+J83+J86+J89+J92+J95+J98+J101+J104+J107</f>
        <v>0</v>
      </c>
      <c r="K114" s="42">
        <f>SUM(G114:J114)</f>
        <v>0</v>
      </c>
      <c r="L114" s="43"/>
      <c r="M114" s="41">
        <f>M62+M65+M68+M71+M74+M77+M80+M83+M86+M89+M92+M95+M98+M101+M104+M107</f>
        <v>0</v>
      </c>
      <c r="N114" s="41">
        <f>N62+N65+N68+N71+N74+N77+N80+N83+N86+N89+N92+N95+N98+N101+N104+N107</f>
        <v>0</v>
      </c>
      <c r="O114" s="41">
        <f>O62+O65+O68+O71+O74+O77+O80+O83+O86+O89+O92+O95+O98+O101+O104+O107</f>
        <v>0</v>
      </c>
      <c r="P114" s="41">
        <f>P62+P65+P68+P71+P74+P77+P80+P83+P86+P89+P92+P95+P98+P101+P104+P107</f>
        <v>0</v>
      </c>
      <c r="Q114" s="44">
        <f>SUM(M114:P114)</f>
        <v>0</v>
      </c>
      <c r="R114" s="42"/>
      <c r="S114" s="42"/>
      <c r="T114" s="42"/>
      <c r="U114" s="42"/>
      <c r="V114" s="42"/>
      <c r="W114" s="42"/>
      <c r="X114" s="42"/>
      <c r="Y114" s="42"/>
      <c r="Z114" s="42"/>
    </row>
    <row r="115" spans="2:27" x14ac:dyDescent="0.2">
      <c r="G115" s="12"/>
      <c r="H115" s="12"/>
      <c r="I115" s="12"/>
      <c r="K115" s="12"/>
      <c r="L115" s="5"/>
      <c r="AA115" s="12"/>
    </row>
    <row r="116" spans="2:27" ht="13.5" thickBot="1" x14ac:dyDescent="0.25">
      <c r="L116" s="5"/>
    </row>
    <row r="117" spans="2:27" ht="15" thickBot="1" x14ac:dyDescent="0.25">
      <c r="B117" s="6" t="s">
        <v>68</v>
      </c>
      <c r="G117" s="45">
        <f t="shared" ref="G117:Q117" si="21">G57+G113</f>
        <v>1538135.6598508162</v>
      </c>
      <c r="H117" s="45">
        <f t="shared" si="21"/>
        <v>365399.99995595589</v>
      </c>
      <c r="I117" s="45">
        <f t="shared" si="21"/>
        <v>6031759.0001932289</v>
      </c>
      <c r="J117" s="45">
        <f t="shared" si="21"/>
        <v>0</v>
      </c>
      <c r="K117" s="45">
        <f t="shared" si="21"/>
        <v>7935294.6600000011</v>
      </c>
      <c r="L117" s="46">
        <f t="shared" si="21"/>
        <v>0</v>
      </c>
      <c r="M117" s="45">
        <f t="shared" si="21"/>
        <v>1378691.1924298792</v>
      </c>
      <c r="N117" s="45">
        <f t="shared" si="21"/>
        <v>295723.9216537287</v>
      </c>
      <c r="O117" s="79">
        <f t="shared" si="21"/>
        <v>5691797.7054578923</v>
      </c>
      <c r="P117" s="45">
        <f t="shared" si="21"/>
        <v>0</v>
      </c>
      <c r="Q117" s="45">
        <f t="shared" si="21"/>
        <v>7366212.8195414999</v>
      </c>
      <c r="R117" s="86"/>
      <c r="S117" s="86"/>
      <c r="T117" s="86"/>
      <c r="U117" s="86"/>
      <c r="V117" s="86"/>
      <c r="W117" s="86"/>
      <c r="X117" s="86"/>
      <c r="Y117" s="86"/>
      <c r="Z117" s="86"/>
    </row>
    <row r="118" spans="2:27" ht="13.5" thickTop="1" x14ac:dyDescent="0.2">
      <c r="I118" s="97"/>
      <c r="L118" s="5"/>
      <c r="O118" s="80"/>
    </row>
    <row r="119" spans="2:27" x14ac:dyDescent="0.2">
      <c r="I119" s="97"/>
      <c r="L119" s="5"/>
      <c r="O119" s="80"/>
    </row>
    <row r="120" spans="2:27" x14ac:dyDescent="0.2">
      <c r="I120" s="97"/>
      <c r="L120" s="5"/>
      <c r="O120" s="80"/>
    </row>
    <row r="121" spans="2:27" x14ac:dyDescent="0.2">
      <c r="I121" s="97"/>
      <c r="L121" s="5"/>
      <c r="O121" s="80"/>
    </row>
    <row r="122" spans="2:27" x14ac:dyDescent="0.2">
      <c r="I122" s="97"/>
      <c r="L122" s="5"/>
      <c r="O122" s="80"/>
    </row>
    <row r="123" spans="2:27" x14ac:dyDescent="0.2">
      <c r="I123" s="97"/>
      <c r="L123" s="5"/>
      <c r="O123" s="80"/>
    </row>
    <row r="124" spans="2:27" x14ac:dyDescent="0.2">
      <c r="I124" s="97"/>
      <c r="L124" s="5"/>
      <c r="O124" s="80"/>
    </row>
    <row r="125" spans="2:27" x14ac:dyDescent="0.2">
      <c r="I125" s="97"/>
      <c r="L125" s="5"/>
      <c r="O125" s="80"/>
    </row>
    <row r="126" spans="2:27" x14ac:dyDescent="0.2">
      <c r="I126" s="97"/>
      <c r="L126" s="5"/>
      <c r="O126" s="80"/>
    </row>
    <row r="127" spans="2:27" x14ac:dyDescent="0.2">
      <c r="I127" s="97"/>
      <c r="L127" s="5"/>
      <c r="O127" s="80"/>
    </row>
    <row r="128" spans="2:27" x14ac:dyDescent="0.2">
      <c r="I128" s="97"/>
      <c r="L128" s="5"/>
      <c r="O128" s="80"/>
    </row>
    <row r="129" spans="5:15" x14ac:dyDescent="0.2">
      <c r="I129" s="97"/>
      <c r="L129" s="5"/>
      <c r="O129" s="80"/>
    </row>
    <row r="130" spans="5:15" x14ac:dyDescent="0.2">
      <c r="I130" s="97"/>
      <c r="L130" s="5"/>
      <c r="O130" s="80"/>
    </row>
    <row r="131" spans="5:15" x14ac:dyDescent="0.2">
      <c r="I131" s="97"/>
      <c r="L131" s="5"/>
      <c r="O131" s="80"/>
    </row>
    <row r="132" spans="5:15" x14ac:dyDescent="0.2">
      <c r="I132" s="97"/>
      <c r="L132" s="5"/>
      <c r="O132" s="80"/>
    </row>
    <row r="133" spans="5:15" x14ac:dyDescent="0.2">
      <c r="L133" s="5"/>
    </row>
    <row r="134" spans="5:15" x14ac:dyDescent="0.2">
      <c r="K134" s="3">
        <v>15818</v>
      </c>
      <c r="L134" s="5"/>
      <c r="O134" s="47"/>
    </row>
    <row r="135" spans="5:15" x14ac:dyDescent="0.2">
      <c r="L135" s="5"/>
      <c r="O135" s="15"/>
    </row>
    <row r="136" spans="5:15" ht="13.5" thickBot="1" x14ac:dyDescent="0.25">
      <c r="G136" s="3">
        <v>0.15992820999999999</v>
      </c>
      <c r="H136" s="3">
        <v>4.421431E-2</v>
      </c>
      <c r="I136" s="3">
        <v>0.79585748000000001</v>
      </c>
      <c r="L136" s="5"/>
    </row>
    <row r="137" spans="5:15" x14ac:dyDescent="0.2">
      <c r="E137" s="50"/>
      <c r="F137" s="51"/>
      <c r="G137" s="52">
        <f>G154</f>
        <v>0.15992845863914917</v>
      </c>
      <c r="H137" s="52">
        <f>H154</f>
        <v>4.4214383406888269E-2</v>
      </c>
      <c r="I137" s="52">
        <f>I154</f>
        <v>0.79585715795396261</v>
      </c>
      <c r="J137" s="51"/>
      <c r="K137" s="53"/>
      <c r="L137" s="5"/>
      <c r="M137" s="47"/>
      <c r="N137" s="47"/>
    </row>
    <row r="138" spans="5:15" x14ac:dyDescent="0.2">
      <c r="E138" s="54"/>
      <c r="F138" s="38"/>
      <c r="G138" s="38"/>
      <c r="H138" s="38"/>
      <c r="I138" s="38"/>
      <c r="J138" s="38"/>
      <c r="K138" s="55"/>
      <c r="L138" s="5"/>
      <c r="M138" s="48"/>
    </row>
    <row r="139" spans="5:15" x14ac:dyDescent="0.2">
      <c r="E139" s="54" t="s">
        <v>170</v>
      </c>
      <c r="F139" s="38"/>
      <c r="G139" s="38"/>
      <c r="H139" s="38"/>
      <c r="I139" s="38"/>
      <c r="J139" s="38"/>
      <c r="K139" s="103">
        <v>6057552</v>
      </c>
      <c r="L139" s="5"/>
      <c r="M139" s="49"/>
    </row>
    <row r="140" spans="5:15" x14ac:dyDescent="0.2">
      <c r="E140" s="54" t="s">
        <v>91</v>
      </c>
      <c r="F140" s="38"/>
      <c r="G140" s="38"/>
      <c r="H140" s="38"/>
      <c r="I140" s="38"/>
      <c r="J140" s="38"/>
      <c r="K140" s="56">
        <v>-1733444</v>
      </c>
      <c r="L140" s="5"/>
      <c r="M140" s="49"/>
    </row>
    <row r="141" spans="5:15" x14ac:dyDescent="0.2">
      <c r="E141" s="54" t="s">
        <v>171</v>
      </c>
      <c r="K141" s="104">
        <f>SUM(K139:K140)</f>
        <v>4324108</v>
      </c>
      <c r="L141" s="5"/>
      <c r="M141" s="49"/>
    </row>
    <row r="142" spans="5:15" x14ac:dyDescent="0.2">
      <c r="E142" s="54" t="s">
        <v>172</v>
      </c>
      <c r="K142" s="105">
        <v>1168005.74</v>
      </c>
      <c r="L142" s="5"/>
      <c r="M142" s="49"/>
    </row>
    <row r="143" spans="5:15" x14ac:dyDescent="0.2">
      <c r="E143" s="54" t="s">
        <v>173</v>
      </c>
      <c r="K143" s="105">
        <v>0</v>
      </c>
      <c r="L143" s="5"/>
      <c r="M143" s="49"/>
    </row>
    <row r="144" spans="5:15" x14ac:dyDescent="0.2">
      <c r="E144" s="54" t="s">
        <v>174</v>
      </c>
      <c r="K144" s="105">
        <v>565437.92000000004</v>
      </c>
      <c r="L144" s="5"/>
      <c r="M144" s="49"/>
    </row>
    <row r="145" spans="2:13" x14ac:dyDescent="0.2">
      <c r="E145" s="54" t="s">
        <v>175</v>
      </c>
      <c r="K145" s="105">
        <v>0</v>
      </c>
      <c r="L145" s="5"/>
      <c r="M145" s="49"/>
    </row>
    <row r="146" spans="2:13" x14ac:dyDescent="0.2">
      <c r="E146" s="106" t="s">
        <v>176</v>
      </c>
      <c r="K146" s="105">
        <v>0</v>
      </c>
      <c r="L146" s="5"/>
      <c r="M146" s="49"/>
    </row>
    <row r="147" spans="2:13" x14ac:dyDescent="0.2">
      <c r="E147" s="54" t="s">
        <v>177</v>
      </c>
      <c r="F147" s="38"/>
      <c r="G147" s="38"/>
      <c r="H147" s="38"/>
      <c r="I147" s="38"/>
      <c r="J147" s="38"/>
      <c r="K147" s="104">
        <f>SUM(K141:K146)</f>
        <v>6057551.6600000001</v>
      </c>
      <c r="L147" s="5"/>
    </row>
    <row r="148" spans="2:13" x14ac:dyDescent="0.2">
      <c r="E148" s="54" t="s">
        <v>71</v>
      </c>
      <c r="F148" s="38"/>
      <c r="G148" s="38"/>
      <c r="H148" s="38"/>
      <c r="I148" s="38"/>
      <c r="J148" s="38"/>
      <c r="K148" s="56">
        <f>-K61</f>
        <v>-895102</v>
      </c>
      <c r="L148" s="5"/>
    </row>
    <row r="149" spans="2:13" ht="13.5" thickBot="1" x14ac:dyDescent="0.25">
      <c r="E149" s="54" t="s">
        <v>72</v>
      </c>
      <c r="F149" s="38"/>
      <c r="G149" s="38"/>
      <c r="H149" s="38"/>
      <c r="I149" s="38"/>
      <c r="J149" s="38"/>
      <c r="K149" s="107">
        <f>SUM(K147:K148)</f>
        <v>5162449.66</v>
      </c>
      <c r="L149" s="5"/>
    </row>
    <row r="150" spans="2:13" ht="13.5" thickTop="1" x14ac:dyDescent="0.2">
      <c r="E150" s="108" t="s">
        <v>178</v>
      </c>
      <c r="F150" s="38"/>
      <c r="G150" s="109">
        <v>0</v>
      </c>
      <c r="H150" s="109">
        <v>0</v>
      </c>
      <c r="I150" s="109">
        <v>2810000</v>
      </c>
      <c r="J150" s="38"/>
      <c r="K150" s="56"/>
      <c r="L150" s="5"/>
    </row>
    <row r="151" spans="2:13" ht="13.5" thickBot="1" x14ac:dyDescent="0.25">
      <c r="E151" s="57" t="s">
        <v>73</v>
      </c>
      <c r="F151" s="38"/>
      <c r="G151" s="58">
        <f>825527+600*G136</f>
        <v>825622.95692599996</v>
      </c>
      <c r="H151" s="59">
        <f>228228+600*H136</f>
        <v>228254.528586</v>
      </c>
      <c r="I151" s="59">
        <f>5003197+(600*I136)</f>
        <v>5003674.5144880004</v>
      </c>
      <c r="J151" s="38"/>
      <c r="K151" s="56"/>
      <c r="L151" s="5"/>
    </row>
    <row r="152" spans="2:13" ht="13.5" thickTop="1" x14ac:dyDescent="0.2">
      <c r="E152" s="54" t="s">
        <v>74</v>
      </c>
      <c r="F152" s="38"/>
      <c r="G152" s="60"/>
      <c r="H152" s="61"/>
      <c r="I152" s="61">
        <f>-K61</f>
        <v>-895102</v>
      </c>
      <c r="K152" s="55"/>
      <c r="L152" s="5"/>
    </row>
    <row r="153" spans="2:13" ht="13.5" thickBot="1" x14ac:dyDescent="0.25">
      <c r="C153" s="2"/>
      <c r="E153" s="54" t="s">
        <v>75</v>
      </c>
      <c r="F153" s="38"/>
      <c r="G153" s="63"/>
      <c r="H153" s="64">
        <f>SUM(H151:H152)</f>
        <v>228254.528586</v>
      </c>
      <c r="I153" s="64">
        <f>SUM(I151:I152)</f>
        <v>4108572.5144880004</v>
      </c>
      <c r="J153" s="65"/>
      <c r="K153" s="56"/>
      <c r="L153" s="5"/>
    </row>
    <row r="154" spans="2:13" ht="14.25" thickTop="1" thickBot="1" x14ac:dyDescent="0.25">
      <c r="C154" s="2"/>
      <c r="D154" s="2"/>
      <c r="E154" s="54" t="s">
        <v>76</v>
      </c>
      <c r="F154" s="38"/>
      <c r="G154" s="66">
        <f>1-(H154+I154)</f>
        <v>0.15992845863914917</v>
      </c>
      <c r="H154" s="66">
        <f>H$153/$K$149</f>
        <v>4.4214383406888269E-2</v>
      </c>
      <c r="I154" s="66">
        <f>I$153/$K$149</f>
        <v>0.79585715795396261</v>
      </c>
      <c r="J154" s="49"/>
      <c r="K154" s="56"/>
      <c r="L154" s="5"/>
      <c r="M154" s="62"/>
    </row>
    <row r="155" spans="2:13" ht="14.25" thickTop="1" thickBot="1" x14ac:dyDescent="0.25">
      <c r="C155" s="2"/>
      <c r="E155" s="67"/>
      <c r="F155" s="68"/>
      <c r="G155" s="69" t="s">
        <v>77</v>
      </c>
      <c r="H155" s="69" t="s">
        <v>78</v>
      </c>
      <c r="I155" s="69" t="s">
        <v>79</v>
      </c>
      <c r="J155" s="68"/>
      <c r="K155" s="70"/>
      <c r="L155" s="5"/>
    </row>
    <row r="156" spans="2:13" x14ac:dyDescent="0.2">
      <c r="C156" s="2"/>
      <c r="L156" s="5"/>
    </row>
    <row r="157" spans="2:13" x14ac:dyDescent="0.2">
      <c r="C157" s="2"/>
      <c r="L157" s="5"/>
    </row>
    <row r="158" spans="2:13" x14ac:dyDescent="0.2">
      <c r="G158" s="110">
        <v>600</v>
      </c>
      <c r="H158" s="110">
        <v>600</v>
      </c>
      <c r="I158" s="110">
        <v>600</v>
      </c>
      <c r="J158" s="38" t="s">
        <v>179</v>
      </c>
      <c r="L158" s="5"/>
    </row>
    <row r="159" spans="2:13" x14ac:dyDescent="0.2">
      <c r="G159" s="111">
        <v>0.2</v>
      </c>
      <c r="H159" s="111">
        <v>0.05</v>
      </c>
      <c r="I159" s="111">
        <v>0.75</v>
      </c>
      <c r="J159" s="38" t="s">
        <v>180</v>
      </c>
      <c r="L159" s="5"/>
    </row>
    <row r="160" spans="2:13" ht="13.5" thickBot="1" x14ac:dyDescent="0.25">
      <c r="B160" s="2" t="s">
        <v>84</v>
      </c>
      <c r="D160" s="2" t="s">
        <v>181</v>
      </c>
      <c r="G160" s="112">
        <f>G158*G159</f>
        <v>120</v>
      </c>
      <c r="H160" s="112">
        <f>H158*H159</f>
        <v>30</v>
      </c>
      <c r="I160" s="112">
        <f>I158*I159</f>
        <v>450</v>
      </c>
      <c r="J160" s="38" t="s">
        <v>182</v>
      </c>
      <c r="L160" s="5"/>
    </row>
    <row r="161" spans="2:12" ht="13.5" thickTop="1" x14ac:dyDescent="0.2">
      <c r="G161" s="38"/>
      <c r="H161" s="38"/>
      <c r="I161" s="38"/>
      <c r="J161" s="38"/>
      <c r="K161" s="38"/>
      <c r="L161" s="5"/>
    </row>
    <row r="162" spans="2:12" x14ac:dyDescent="0.2">
      <c r="B162" s="2" t="s">
        <v>85</v>
      </c>
      <c r="G162" s="110">
        <v>825527</v>
      </c>
      <c r="H162" s="110">
        <v>228228</v>
      </c>
      <c r="I162" s="110">
        <v>5073936</v>
      </c>
      <c r="J162" s="3" t="s">
        <v>183</v>
      </c>
      <c r="L162" s="5"/>
    </row>
    <row r="163" spans="2:12" x14ac:dyDescent="0.2">
      <c r="B163" s="2" t="s">
        <v>81</v>
      </c>
      <c r="D163" s="131" t="s">
        <v>184</v>
      </c>
      <c r="G163" s="62">
        <v>0</v>
      </c>
      <c r="H163" s="62">
        <v>0</v>
      </c>
      <c r="I163" s="62">
        <v>-1733444</v>
      </c>
      <c r="J163" s="3" t="s">
        <v>185</v>
      </c>
      <c r="L163" s="5"/>
    </row>
    <row r="164" spans="2:12" x14ac:dyDescent="0.2">
      <c r="B164" s="2" t="s">
        <v>83</v>
      </c>
      <c r="D164" s="131"/>
      <c r="G164" s="113">
        <f>SUM(G162:G163)</f>
        <v>825527</v>
      </c>
      <c r="H164" s="113">
        <f>SUM(H162:H163)</f>
        <v>228228</v>
      </c>
      <c r="I164" s="113">
        <f>SUM(I162:I163)</f>
        <v>3340492</v>
      </c>
      <c r="J164" s="3" t="s">
        <v>186</v>
      </c>
      <c r="L164" s="5"/>
    </row>
    <row r="165" spans="2:12" x14ac:dyDescent="0.2">
      <c r="B165" s="2" t="s">
        <v>82</v>
      </c>
      <c r="D165" s="131"/>
      <c r="G165" s="62">
        <v>0</v>
      </c>
      <c r="H165" s="62">
        <v>0</v>
      </c>
      <c r="I165" s="62">
        <v>1733444</v>
      </c>
      <c r="J165" s="3" t="s">
        <v>187</v>
      </c>
      <c r="L165" s="5"/>
    </row>
    <row r="166" spans="2:12" x14ac:dyDescent="0.2">
      <c r="G166" s="113">
        <f>SUM(G164:G165)</f>
        <v>825527</v>
      </c>
      <c r="H166" s="113">
        <f>SUM(H164:H165)</f>
        <v>228228</v>
      </c>
      <c r="I166" s="113">
        <f>SUM(I164:I165)</f>
        <v>5073936</v>
      </c>
      <c r="J166" s="3" t="s">
        <v>188</v>
      </c>
      <c r="L166" s="5"/>
    </row>
    <row r="167" spans="2:12" x14ac:dyDescent="0.2">
      <c r="B167" s="2" t="s">
        <v>92</v>
      </c>
      <c r="D167" s="2" t="s">
        <v>100</v>
      </c>
      <c r="G167" s="114"/>
      <c r="H167" s="114"/>
      <c r="I167" s="115">
        <f>K146</f>
        <v>0</v>
      </c>
      <c r="J167" s="3" t="s">
        <v>189</v>
      </c>
      <c r="L167" s="5"/>
    </row>
    <row r="168" spans="2:12" ht="13.5" thickBot="1" x14ac:dyDescent="0.25">
      <c r="G168" s="116">
        <f>SUM(G166:G167)</f>
        <v>825527</v>
      </c>
      <c r="H168" s="116">
        <f>SUM(H166:H167)</f>
        <v>228228</v>
      </c>
      <c r="I168" s="116">
        <f>SUM(I166:I167)</f>
        <v>5073936</v>
      </c>
      <c r="J168" s="3" t="s">
        <v>190</v>
      </c>
      <c r="L168" s="5"/>
    </row>
    <row r="169" spans="2:12" ht="13.5" thickTop="1" x14ac:dyDescent="0.2">
      <c r="G169" s="132" t="s">
        <v>191</v>
      </c>
      <c r="H169" s="132"/>
      <c r="I169" s="132"/>
      <c r="L169" s="5"/>
    </row>
    <row r="170" spans="2:12" x14ac:dyDescent="0.2">
      <c r="E170" s="71"/>
      <c r="F170" s="71"/>
      <c r="L170" s="5"/>
    </row>
    <row r="171" spans="2:12" x14ac:dyDescent="0.2">
      <c r="G171" s="110"/>
      <c r="H171" s="110"/>
      <c r="I171" s="110"/>
      <c r="J171" s="15"/>
      <c r="K171" s="15"/>
      <c r="L171" s="5"/>
    </row>
    <row r="172" spans="2:12" x14ac:dyDescent="0.2">
      <c r="G172" s="100" t="s">
        <v>192</v>
      </c>
      <c r="H172" s="100" t="s">
        <v>193</v>
      </c>
      <c r="I172" s="100" t="s">
        <v>79</v>
      </c>
      <c r="J172" s="117" t="s">
        <v>53</v>
      </c>
      <c r="L172" s="5"/>
    </row>
    <row r="173" spans="2:12" x14ac:dyDescent="0.2">
      <c r="E173" s="10" t="s">
        <v>194</v>
      </c>
      <c r="G173" s="118">
        <v>387651</v>
      </c>
      <c r="H173" s="118">
        <v>96346</v>
      </c>
      <c r="I173" s="118">
        <v>2475211</v>
      </c>
      <c r="J173" s="118">
        <v>3553</v>
      </c>
      <c r="K173" s="118">
        <v>2962760</v>
      </c>
      <c r="L173" s="5"/>
    </row>
    <row r="174" spans="2:12" x14ac:dyDescent="0.2">
      <c r="L174" s="5"/>
    </row>
    <row r="175" spans="2:12" x14ac:dyDescent="0.2">
      <c r="E175" s="10" t="s">
        <v>195</v>
      </c>
      <c r="G175" s="110">
        <f>G160</f>
        <v>120</v>
      </c>
      <c r="H175" s="110">
        <f>H160</f>
        <v>30</v>
      </c>
      <c r="I175" s="110">
        <f>I160</f>
        <v>450</v>
      </c>
      <c r="J175" s="110">
        <v>0</v>
      </c>
      <c r="K175" s="110">
        <f>SUM(G175:J175)</f>
        <v>600</v>
      </c>
      <c r="L175" s="5"/>
    </row>
    <row r="176" spans="2:12" x14ac:dyDescent="0.2">
      <c r="E176" s="10" t="s">
        <v>196</v>
      </c>
      <c r="G176" s="114"/>
      <c r="H176" s="114"/>
      <c r="I176" s="119">
        <v>0</v>
      </c>
      <c r="J176" s="119">
        <v>0</v>
      </c>
      <c r="K176" s="119">
        <f>SUM(G176:J176)</f>
        <v>0</v>
      </c>
      <c r="L176" s="5"/>
    </row>
    <row r="177" spans="5:12" x14ac:dyDescent="0.2">
      <c r="E177" s="10" t="s">
        <v>197</v>
      </c>
      <c r="G177" s="120">
        <f>SUM(G175:G176)</f>
        <v>120</v>
      </c>
      <c r="H177" s="120">
        <f>SUM(H175:H176)</f>
        <v>30</v>
      </c>
      <c r="I177" s="120">
        <f>SUM(I175:I176)</f>
        <v>450</v>
      </c>
      <c r="J177" s="120">
        <f>SUM(J175:J176)</f>
        <v>0</v>
      </c>
      <c r="K177" s="120">
        <f>SUM(K175:K176)</f>
        <v>600</v>
      </c>
      <c r="L177" s="5"/>
    </row>
    <row r="178" spans="5:12" x14ac:dyDescent="0.2">
      <c r="L178" s="5"/>
    </row>
    <row r="179" spans="5:12" ht="13.5" thickBot="1" x14ac:dyDescent="0.25">
      <c r="E179" s="10" t="s">
        <v>198</v>
      </c>
      <c r="G179" s="101">
        <f>G173+G177</f>
        <v>387771</v>
      </c>
      <c r="H179" s="101">
        <f>H173+H177</f>
        <v>96376</v>
      </c>
      <c r="I179" s="101">
        <f>I173+I177</f>
        <v>2475661</v>
      </c>
      <c r="J179" s="101">
        <f>J173+J177</f>
        <v>3553</v>
      </c>
      <c r="K179" s="101">
        <f>K173+K177</f>
        <v>2963360</v>
      </c>
      <c r="L179" s="5"/>
    </row>
    <row r="180" spans="5:12" ht="13.5" thickTop="1" x14ac:dyDescent="0.2">
      <c r="L180" s="5"/>
    </row>
    <row r="181" spans="5:12" x14ac:dyDescent="0.2">
      <c r="G181" s="100" t="s">
        <v>192</v>
      </c>
      <c r="H181" s="100" t="s">
        <v>193</v>
      </c>
      <c r="I181" s="100" t="s">
        <v>79</v>
      </c>
      <c r="J181" s="117" t="s">
        <v>53</v>
      </c>
      <c r="L181" s="5"/>
    </row>
    <row r="182" spans="5:12" x14ac:dyDescent="0.2">
      <c r="E182" s="10" t="s">
        <v>199</v>
      </c>
      <c r="G182" s="118">
        <v>1415069</v>
      </c>
      <c r="H182" s="118">
        <v>349483</v>
      </c>
      <c r="I182" s="118">
        <v>5829527</v>
      </c>
      <c r="J182" s="118">
        <v>0</v>
      </c>
      <c r="K182" s="118">
        <v>4784044</v>
      </c>
      <c r="L182" s="5"/>
    </row>
    <row r="183" spans="5:12" x14ac:dyDescent="0.2">
      <c r="G183" s="38"/>
      <c r="H183" s="38"/>
      <c r="I183" s="38"/>
      <c r="J183" s="38"/>
      <c r="K183" s="38"/>
      <c r="L183" s="121">
        <f>L177+L181</f>
        <v>0</v>
      </c>
    </row>
    <row r="184" spans="5:12" x14ac:dyDescent="0.2">
      <c r="E184" s="10" t="s">
        <v>200</v>
      </c>
      <c r="G184" s="63">
        <f>G177</f>
        <v>120</v>
      </c>
      <c r="H184" s="63">
        <f>H177</f>
        <v>30</v>
      </c>
      <c r="I184" s="63">
        <f>I177</f>
        <v>450</v>
      </c>
      <c r="J184" s="63">
        <f>J177</f>
        <v>0</v>
      </c>
      <c r="K184" s="63">
        <f>SUM(G184:J184)</f>
        <v>600</v>
      </c>
      <c r="L184" s="5"/>
    </row>
    <row r="185" spans="5:12" x14ac:dyDescent="0.2">
      <c r="L185" s="5"/>
    </row>
    <row r="186" spans="5:12" x14ac:dyDescent="0.2">
      <c r="E186" s="10" t="s">
        <v>201</v>
      </c>
      <c r="G186" s="61">
        <f>G42</f>
        <v>67923</v>
      </c>
      <c r="H186" s="114"/>
      <c r="I186" s="114"/>
      <c r="J186" s="114"/>
      <c r="K186" s="61">
        <f>SUM(G186:J186)</f>
        <v>67923</v>
      </c>
      <c r="L186" s="5"/>
    </row>
    <row r="187" spans="5:12" ht="13.5" thickBot="1" x14ac:dyDescent="0.25">
      <c r="K187" s="101">
        <f>SUM(K182:K186)</f>
        <v>4852567</v>
      </c>
      <c r="L187" s="5"/>
    </row>
    <row r="188" spans="5:12" ht="13.5" thickTop="1" x14ac:dyDescent="0.2">
      <c r="K188" s="122"/>
      <c r="L188" s="5"/>
    </row>
    <row r="189" spans="5:12" ht="13.5" thickBot="1" x14ac:dyDescent="0.25">
      <c r="E189" s="10" t="s">
        <v>202</v>
      </c>
      <c r="G189" s="101">
        <f>SUM(G182:G186)</f>
        <v>1483112</v>
      </c>
      <c r="H189" s="101">
        <f>SUM(H182:H186)</f>
        <v>349513</v>
      </c>
      <c r="I189" s="101">
        <f>SUM(I182:I186)</f>
        <v>5829977</v>
      </c>
      <c r="J189" s="101">
        <f>SUM(J182:J186)</f>
        <v>0</v>
      </c>
      <c r="K189" s="101">
        <f>SUM(G189:J189)</f>
        <v>7662602</v>
      </c>
      <c r="L189" s="5"/>
    </row>
    <row r="190" spans="5:12" ht="13.5" thickTop="1" x14ac:dyDescent="0.2"/>
    <row r="194" spans="7:11" x14ac:dyDescent="0.2">
      <c r="G194" s="110"/>
      <c r="H194" s="110"/>
      <c r="I194" s="110"/>
      <c r="J194" s="71"/>
      <c r="K194" s="71"/>
    </row>
    <row r="195" spans="7:11" x14ac:dyDescent="0.2">
      <c r="G195" s="123"/>
      <c r="H195" s="123"/>
      <c r="I195" s="123"/>
      <c r="J195" s="71"/>
      <c r="K195" s="71"/>
    </row>
    <row r="196" spans="7:11" x14ac:dyDescent="0.2">
      <c r="G196" s="110"/>
      <c r="H196" s="110"/>
      <c r="I196" s="110"/>
      <c r="J196" s="71"/>
      <c r="K196" s="71"/>
    </row>
    <row r="197" spans="7:11" x14ac:dyDescent="0.2">
      <c r="G197" s="71"/>
      <c r="H197" s="71"/>
      <c r="I197" s="71"/>
      <c r="J197" s="71"/>
      <c r="K197" s="71"/>
    </row>
    <row r="198" spans="7:11" x14ac:dyDescent="0.2">
      <c r="G198" s="110"/>
      <c r="H198" s="110"/>
      <c r="I198" s="110"/>
      <c r="J198" s="71"/>
      <c r="K198" s="71"/>
    </row>
    <row r="199" spans="7:11" x14ac:dyDescent="0.2">
      <c r="G199" s="123"/>
      <c r="H199" s="123"/>
      <c r="I199" s="123"/>
      <c r="J199" s="71"/>
      <c r="K199" s="71"/>
    </row>
    <row r="200" spans="7:11" x14ac:dyDescent="0.2">
      <c r="G200" s="110"/>
      <c r="H200" s="110"/>
      <c r="I200" s="110"/>
      <c r="J200" s="71"/>
      <c r="K200" s="71"/>
    </row>
    <row r="201" spans="7:11" x14ac:dyDescent="0.2">
      <c r="G201" s="71"/>
      <c r="H201" s="71"/>
      <c r="I201" s="71"/>
      <c r="J201" s="71"/>
      <c r="K201" s="71"/>
    </row>
    <row r="202" spans="7:11" x14ac:dyDescent="0.2">
      <c r="G202" s="110"/>
      <c r="H202" s="110"/>
      <c r="I202" s="110"/>
      <c r="J202" s="71"/>
      <c r="K202" s="71"/>
    </row>
    <row r="203" spans="7:11" x14ac:dyDescent="0.2">
      <c r="G203" s="123"/>
      <c r="H203" s="123"/>
      <c r="I203" s="123"/>
      <c r="J203" s="71"/>
      <c r="K203" s="71"/>
    </row>
    <row r="204" spans="7:11" x14ac:dyDescent="0.2">
      <c r="G204" s="110"/>
      <c r="H204" s="110"/>
      <c r="I204" s="110"/>
      <c r="J204" s="71"/>
      <c r="K204" s="71"/>
    </row>
  </sheetData>
  <mergeCells count="4">
    <mergeCell ref="G3:K3"/>
    <mergeCell ref="M3:Q3"/>
    <mergeCell ref="D163:D165"/>
    <mergeCell ref="G169:I169"/>
  </mergeCells>
  <printOptions horizontalCentered="1"/>
  <pageMargins left="0.25" right="0.25" top="0.5" bottom="0.25" header="0.25" footer="0"/>
  <pageSetup scale="55" fitToHeight="0" orientation="landscape" copies="2" r:id="rId1"/>
  <headerFooter alignWithMargins="0"/>
  <rowBreaks count="2" manualBreakCount="2">
    <brk id="58" max="17" man="1"/>
    <brk id="135"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Y153"/>
  <sheetViews>
    <sheetView zoomScaleNormal="100" workbookViewId="0">
      <selection activeCell="B1" sqref="B1"/>
    </sheetView>
  </sheetViews>
  <sheetFormatPr defaultRowHeight="12.75" x14ac:dyDescent="0.2"/>
  <cols>
    <col min="1" max="1" width="0.85546875" style="3" customWidth="1"/>
    <col min="2" max="2" width="22.140625" style="3" customWidth="1"/>
    <col min="3" max="3" width="0.85546875" style="3" customWidth="1"/>
    <col min="4" max="4" width="33.5703125" style="3" customWidth="1"/>
    <col min="5" max="5" width="22" style="3" bestFit="1" customWidth="1"/>
    <col min="6" max="6" width="0.85546875" style="3" customWidth="1"/>
    <col min="7" max="7" width="16.5703125" style="3" customWidth="1"/>
    <col min="8" max="8" width="14.7109375" style="3" customWidth="1"/>
    <col min="9" max="9" width="17.5703125" style="3" customWidth="1"/>
    <col min="10" max="10" width="14.7109375" style="3" customWidth="1"/>
    <col min="11" max="11" width="16.85546875" style="3" customWidth="1"/>
    <col min="12" max="12" width="1.7109375" style="3" customWidth="1"/>
    <col min="13" max="13" width="16.42578125" style="3" customWidth="1"/>
    <col min="14" max="14" width="14.7109375" style="3" customWidth="1"/>
    <col min="15" max="15" width="17.28515625" style="3" customWidth="1"/>
    <col min="16" max="16" width="14.7109375" style="3" customWidth="1"/>
    <col min="17" max="17" width="16.85546875" style="3" customWidth="1"/>
    <col min="18" max="18" width="2.42578125" style="3" customWidth="1"/>
    <col min="19" max="23" width="16.85546875" style="3" customWidth="1"/>
    <col min="24" max="24" width="13.140625" style="3" bestFit="1" customWidth="1"/>
    <col min="25" max="25" width="47" style="3" bestFit="1" customWidth="1"/>
    <col min="26" max="256" width="9.140625" style="3"/>
    <col min="257" max="257" width="0.85546875" style="3" customWidth="1"/>
    <col min="258" max="258" width="22.140625" style="3" customWidth="1"/>
    <col min="259" max="259" width="0.85546875" style="3" customWidth="1"/>
    <col min="260" max="260" width="33.5703125" style="3" customWidth="1"/>
    <col min="261" max="261" width="22" style="3" bestFit="1" customWidth="1"/>
    <col min="262" max="262" width="0.85546875" style="3" customWidth="1"/>
    <col min="263" max="263" width="16.5703125" style="3" customWidth="1"/>
    <col min="264" max="264" width="14.7109375" style="3" customWidth="1"/>
    <col min="265" max="265" width="17.5703125" style="3" customWidth="1"/>
    <col min="266" max="266" width="14.7109375" style="3" customWidth="1"/>
    <col min="267" max="267" width="16.85546875" style="3" customWidth="1"/>
    <col min="268" max="268" width="1.7109375" style="3" customWidth="1"/>
    <col min="269" max="269" width="16.42578125" style="3" customWidth="1"/>
    <col min="270" max="270" width="14.7109375" style="3" customWidth="1"/>
    <col min="271" max="271" width="17.28515625" style="3" customWidth="1"/>
    <col min="272" max="272" width="14.7109375" style="3" customWidth="1"/>
    <col min="273" max="273" width="16.85546875" style="3" customWidth="1"/>
    <col min="274" max="274" width="2.42578125" style="3" customWidth="1"/>
    <col min="275" max="279" width="16.85546875" style="3" customWidth="1"/>
    <col min="280" max="280" width="13.140625" style="3" bestFit="1" customWidth="1"/>
    <col min="281" max="281" width="47" style="3" bestFit="1" customWidth="1"/>
    <col min="282" max="512" width="9.140625" style="3"/>
    <col min="513" max="513" width="0.85546875" style="3" customWidth="1"/>
    <col min="514" max="514" width="22.140625" style="3" customWidth="1"/>
    <col min="515" max="515" width="0.85546875" style="3" customWidth="1"/>
    <col min="516" max="516" width="33.5703125" style="3" customWidth="1"/>
    <col min="517" max="517" width="22" style="3" bestFit="1" customWidth="1"/>
    <col min="518" max="518" width="0.85546875" style="3" customWidth="1"/>
    <col min="519" max="519" width="16.5703125" style="3" customWidth="1"/>
    <col min="520" max="520" width="14.7109375" style="3" customWidth="1"/>
    <col min="521" max="521" width="17.5703125" style="3" customWidth="1"/>
    <col min="522" max="522" width="14.7109375" style="3" customWidth="1"/>
    <col min="523" max="523" width="16.85546875" style="3" customWidth="1"/>
    <col min="524" max="524" width="1.7109375" style="3" customWidth="1"/>
    <col min="525" max="525" width="16.42578125" style="3" customWidth="1"/>
    <col min="526" max="526" width="14.7109375" style="3" customWidth="1"/>
    <col min="527" max="527" width="17.28515625" style="3" customWidth="1"/>
    <col min="528" max="528" width="14.7109375" style="3" customWidth="1"/>
    <col min="529" max="529" width="16.85546875" style="3" customWidth="1"/>
    <col min="530" max="530" width="2.42578125" style="3" customWidth="1"/>
    <col min="531" max="535" width="16.85546875" style="3" customWidth="1"/>
    <col min="536" max="536" width="13.140625" style="3" bestFit="1" customWidth="1"/>
    <col min="537" max="537" width="47" style="3" bestFit="1" customWidth="1"/>
    <col min="538" max="768" width="9.140625" style="3"/>
    <col min="769" max="769" width="0.85546875" style="3" customWidth="1"/>
    <col min="770" max="770" width="22.140625" style="3" customWidth="1"/>
    <col min="771" max="771" width="0.85546875" style="3" customWidth="1"/>
    <col min="772" max="772" width="33.5703125" style="3" customWidth="1"/>
    <col min="773" max="773" width="22" style="3" bestFit="1" customWidth="1"/>
    <col min="774" max="774" width="0.85546875" style="3" customWidth="1"/>
    <col min="775" max="775" width="16.5703125" style="3" customWidth="1"/>
    <col min="776" max="776" width="14.7109375" style="3" customWidth="1"/>
    <col min="777" max="777" width="17.5703125" style="3" customWidth="1"/>
    <col min="778" max="778" width="14.7109375" style="3" customWidth="1"/>
    <col min="779" max="779" width="16.85546875" style="3" customWidth="1"/>
    <col min="780" max="780" width="1.7109375" style="3" customWidth="1"/>
    <col min="781" max="781" width="16.42578125" style="3" customWidth="1"/>
    <col min="782" max="782" width="14.7109375" style="3" customWidth="1"/>
    <col min="783" max="783" width="17.28515625" style="3" customWidth="1"/>
    <col min="784" max="784" width="14.7109375" style="3" customWidth="1"/>
    <col min="785" max="785" width="16.85546875" style="3" customWidth="1"/>
    <col min="786" max="786" width="2.42578125" style="3" customWidth="1"/>
    <col min="787" max="791" width="16.85546875" style="3" customWidth="1"/>
    <col min="792" max="792" width="13.140625" style="3" bestFit="1" customWidth="1"/>
    <col min="793" max="793" width="47" style="3" bestFit="1" customWidth="1"/>
    <col min="794" max="1024" width="9.140625" style="3"/>
    <col min="1025" max="1025" width="0.85546875" style="3" customWidth="1"/>
    <col min="1026" max="1026" width="22.140625" style="3" customWidth="1"/>
    <col min="1027" max="1027" width="0.85546875" style="3" customWidth="1"/>
    <col min="1028" max="1028" width="33.5703125" style="3" customWidth="1"/>
    <col min="1029" max="1029" width="22" style="3" bestFit="1" customWidth="1"/>
    <col min="1030" max="1030" width="0.85546875" style="3" customWidth="1"/>
    <col min="1031" max="1031" width="16.5703125" style="3" customWidth="1"/>
    <col min="1032" max="1032" width="14.7109375" style="3" customWidth="1"/>
    <col min="1033" max="1033" width="17.5703125" style="3" customWidth="1"/>
    <col min="1034" max="1034" width="14.7109375" style="3" customWidth="1"/>
    <col min="1035" max="1035" width="16.85546875" style="3" customWidth="1"/>
    <col min="1036" max="1036" width="1.7109375" style="3" customWidth="1"/>
    <col min="1037" max="1037" width="16.42578125" style="3" customWidth="1"/>
    <col min="1038" max="1038" width="14.7109375" style="3" customWidth="1"/>
    <col min="1039" max="1039" width="17.28515625" style="3" customWidth="1"/>
    <col min="1040" max="1040" width="14.7109375" style="3" customWidth="1"/>
    <col min="1041" max="1041" width="16.85546875" style="3" customWidth="1"/>
    <col min="1042" max="1042" width="2.42578125" style="3" customWidth="1"/>
    <col min="1043" max="1047" width="16.85546875" style="3" customWidth="1"/>
    <col min="1048" max="1048" width="13.140625" style="3" bestFit="1" customWidth="1"/>
    <col min="1049" max="1049" width="47" style="3" bestFit="1" customWidth="1"/>
    <col min="1050" max="1280" width="9.140625" style="3"/>
    <col min="1281" max="1281" width="0.85546875" style="3" customWidth="1"/>
    <col min="1282" max="1282" width="22.140625" style="3" customWidth="1"/>
    <col min="1283" max="1283" width="0.85546875" style="3" customWidth="1"/>
    <col min="1284" max="1284" width="33.5703125" style="3" customWidth="1"/>
    <col min="1285" max="1285" width="22" style="3" bestFit="1" customWidth="1"/>
    <col min="1286" max="1286" width="0.85546875" style="3" customWidth="1"/>
    <col min="1287" max="1287" width="16.5703125" style="3" customWidth="1"/>
    <col min="1288" max="1288" width="14.7109375" style="3" customWidth="1"/>
    <col min="1289" max="1289" width="17.5703125" style="3" customWidth="1"/>
    <col min="1290" max="1290" width="14.7109375" style="3" customWidth="1"/>
    <col min="1291" max="1291" width="16.85546875" style="3" customWidth="1"/>
    <col min="1292" max="1292" width="1.7109375" style="3" customWidth="1"/>
    <col min="1293" max="1293" width="16.42578125" style="3" customWidth="1"/>
    <col min="1294" max="1294" width="14.7109375" style="3" customWidth="1"/>
    <col min="1295" max="1295" width="17.28515625" style="3" customWidth="1"/>
    <col min="1296" max="1296" width="14.7109375" style="3" customWidth="1"/>
    <col min="1297" max="1297" width="16.85546875" style="3" customWidth="1"/>
    <col min="1298" max="1298" width="2.42578125" style="3" customWidth="1"/>
    <col min="1299" max="1303" width="16.85546875" style="3" customWidth="1"/>
    <col min="1304" max="1304" width="13.140625" style="3" bestFit="1" customWidth="1"/>
    <col min="1305" max="1305" width="47" style="3" bestFit="1" customWidth="1"/>
    <col min="1306" max="1536" width="9.140625" style="3"/>
    <col min="1537" max="1537" width="0.85546875" style="3" customWidth="1"/>
    <col min="1538" max="1538" width="22.140625" style="3" customWidth="1"/>
    <col min="1539" max="1539" width="0.85546875" style="3" customWidth="1"/>
    <col min="1540" max="1540" width="33.5703125" style="3" customWidth="1"/>
    <col min="1541" max="1541" width="22" style="3" bestFit="1" customWidth="1"/>
    <col min="1542" max="1542" width="0.85546875" style="3" customWidth="1"/>
    <col min="1543" max="1543" width="16.5703125" style="3" customWidth="1"/>
    <col min="1544" max="1544" width="14.7109375" style="3" customWidth="1"/>
    <col min="1545" max="1545" width="17.5703125" style="3" customWidth="1"/>
    <col min="1546" max="1546" width="14.7109375" style="3" customWidth="1"/>
    <col min="1547" max="1547" width="16.85546875" style="3" customWidth="1"/>
    <col min="1548" max="1548" width="1.7109375" style="3" customWidth="1"/>
    <col min="1549" max="1549" width="16.42578125" style="3" customWidth="1"/>
    <col min="1550" max="1550" width="14.7109375" style="3" customWidth="1"/>
    <col min="1551" max="1551" width="17.28515625" style="3" customWidth="1"/>
    <col min="1552" max="1552" width="14.7109375" style="3" customWidth="1"/>
    <col min="1553" max="1553" width="16.85546875" style="3" customWidth="1"/>
    <col min="1554" max="1554" width="2.42578125" style="3" customWidth="1"/>
    <col min="1555" max="1559" width="16.85546875" style="3" customWidth="1"/>
    <col min="1560" max="1560" width="13.140625" style="3" bestFit="1" customWidth="1"/>
    <col min="1561" max="1561" width="47" style="3" bestFit="1" customWidth="1"/>
    <col min="1562" max="1792" width="9.140625" style="3"/>
    <col min="1793" max="1793" width="0.85546875" style="3" customWidth="1"/>
    <col min="1794" max="1794" width="22.140625" style="3" customWidth="1"/>
    <col min="1795" max="1795" width="0.85546875" style="3" customWidth="1"/>
    <col min="1796" max="1796" width="33.5703125" style="3" customWidth="1"/>
    <col min="1797" max="1797" width="22" style="3" bestFit="1" customWidth="1"/>
    <col min="1798" max="1798" width="0.85546875" style="3" customWidth="1"/>
    <col min="1799" max="1799" width="16.5703125" style="3" customWidth="1"/>
    <col min="1800" max="1800" width="14.7109375" style="3" customWidth="1"/>
    <col min="1801" max="1801" width="17.5703125" style="3" customWidth="1"/>
    <col min="1802" max="1802" width="14.7109375" style="3" customWidth="1"/>
    <col min="1803" max="1803" width="16.85546875" style="3" customWidth="1"/>
    <col min="1804" max="1804" width="1.7109375" style="3" customWidth="1"/>
    <col min="1805" max="1805" width="16.42578125" style="3" customWidth="1"/>
    <col min="1806" max="1806" width="14.7109375" style="3" customWidth="1"/>
    <col min="1807" max="1807" width="17.28515625" style="3" customWidth="1"/>
    <col min="1808" max="1808" width="14.7109375" style="3" customWidth="1"/>
    <col min="1809" max="1809" width="16.85546875" style="3" customWidth="1"/>
    <col min="1810" max="1810" width="2.42578125" style="3" customWidth="1"/>
    <col min="1811" max="1815" width="16.85546875" style="3" customWidth="1"/>
    <col min="1816" max="1816" width="13.140625" style="3" bestFit="1" customWidth="1"/>
    <col min="1817" max="1817" width="47" style="3" bestFit="1" customWidth="1"/>
    <col min="1818" max="2048" width="9.140625" style="3"/>
    <col min="2049" max="2049" width="0.85546875" style="3" customWidth="1"/>
    <col min="2050" max="2050" width="22.140625" style="3" customWidth="1"/>
    <col min="2051" max="2051" width="0.85546875" style="3" customWidth="1"/>
    <col min="2052" max="2052" width="33.5703125" style="3" customWidth="1"/>
    <col min="2053" max="2053" width="22" style="3" bestFit="1" customWidth="1"/>
    <col min="2054" max="2054" width="0.85546875" style="3" customWidth="1"/>
    <col min="2055" max="2055" width="16.5703125" style="3" customWidth="1"/>
    <col min="2056" max="2056" width="14.7109375" style="3" customWidth="1"/>
    <col min="2057" max="2057" width="17.5703125" style="3" customWidth="1"/>
    <col min="2058" max="2058" width="14.7109375" style="3" customWidth="1"/>
    <col min="2059" max="2059" width="16.85546875" style="3" customWidth="1"/>
    <col min="2060" max="2060" width="1.7109375" style="3" customWidth="1"/>
    <col min="2061" max="2061" width="16.42578125" style="3" customWidth="1"/>
    <col min="2062" max="2062" width="14.7109375" style="3" customWidth="1"/>
    <col min="2063" max="2063" width="17.28515625" style="3" customWidth="1"/>
    <col min="2064" max="2064" width="14.7109375" style="3" customWidth="1"/>
    <col min="2065" max="2065" width="16.85546875" style="3" customWidth="1"/>
    <col min="2066" max="2066" width="2.42578125" style="3" customWidth="1"/>
    <col min="2067" max="2071" width="16.85546875" style="3" customWidth="1"/>
    <col min="2072" max="2072" width="13.140625" style="3" bestFit="1" customWidth="1"/>
    <col min="2073" max="2073" width="47" style="3" bestFit="1" customWidth="1"/>
    <col min="2074" max="2304" width="9.140625" style="3"/>
    <col min="2305" max="2305" width="0.85546875" style="3" customWidth="1"/>
    <col min="2306" max="2306" width="22.140625" style="3" customWidth="1"/>
    <col min="2307" max="2307" width="0.85546875" style="3" customWidth="1"/>
    <col min="2308" max="2308" width="33.5703125" style="3" customWidth="1"/>
    <col min="2309" max="2309" width="22" style="3" bestFit="1" customWidth="1"/>
    <col min="2310" max="2310" width="0.85546875" style="3" customWidth="1"/>
    <col min="2311" max="2311" width="16.5703125" style="3" customWidth="1"/>
    <col min="2312" max="2312" width="14.7109375" style="3" customWidth="1"/>
    <col min="2313" max="2313" width="17.5703125" style="3" customWidth="1"/>
    <col min="2314" max="2314" width="14.7109375" style="3" customWidth="1"/>
    <col min="2315" max="2315" width="16.85546875" style="3" customWidth="1"/>
    <col min="2316" max="2316" width="1.7109375" style="3" customWidth="1"/>
    <col min="2317" max="2317" width="16.42578125" style="3" customWidth="1"/>
    <col min="2318" max="2318" width="14.7109375" style="3" customWidth="1"/>
    <col min="2319" max="2319" width="17.28515625" style="3" customWidth="1"/>
    <col min="2320" max="2320" width="14.7109375" style="3" customWidth="1"/>
    <col min="2321" max="2321" width="16.85546875" style="3" customWidth="1"/>
    <col min="2322" max="2322" width="2.42578125" style="3" customWidth="1"/>
    <col min="2323" max="2327" width="16.85546875" style="3" customWidth="1"/>
    <col min="2328" max="2328" width="13.140625" style="3" bestFit="1" customWidth="1"/>
    <col min="2329" max="2329" width="47" style="3" bestFit="1" customWidth="1"/>
    <col min="2330" max="2560" width="9.140625" style="3"/>
    <col min="2561" max="2561" width="0.85546875" style="3" customWidth="1"/>
    <col min="2562" max="2562" width="22.140625" style="3" customWidth="1"/>
    <col min="2563" max="2563" width="0.85546875" style="3" customWidth="1"/>
    <col min="2564" max="2564" width="33.5703125" style="3" customWidth="1"/>
    <col min="2565" max="2565" width="22" style="3" bestFit="1" customWidth="1"/>
    <col min="2566" max="2566" width="0.85546875" style="3" customWidth="1"/>
    <col min="2567" max="2567" width="16.5703125" style="3" customWidth="1"/>
    <col min="2568" max="2568" width="14.7109375" style="3" customWidth="1"/>
    <col min="2569" max="2569" width="17.5703125" style="3" customWidth="1"/>
    <col min="2570" max="2570" width="14.7109375" style="3" customWidth="1"/>
    <col min="2571" max="2571" width="16.85546875" style="3" customWidth="1"/>
    <col min="2572" max="2572" width="1.7109375" style="3" customWidth="1"/>
    <col min="2573" max="2573" width="16.42578125" style="3" customWidth="1"/>
    <col min="2574" max="2574" width="14.7109375" style="3" customWidth="1"/>
    <col min="2575" max="2575" width="17.28515625" style="3" customWidth="1"/>
    <col min="2576" max="2576" width="14.7109375" style="3" customWidth="1"/>
    <col min="2577" max="2577" width="16.85546875" style="3" customWidth="1"/>
    <col min="2578" max="2578" width="2.42578125" style="3" customWidth="1"/>
    <col min="2579" max="2583" width="16.85546875" style="3" customWidth="1"/>
    <col min="2584" max="2584" width="13.140625" style="3" bestFit="1" customWidth="1"/>
    <col min="2585" max="2585" width="47" style="3" bestFit="1" customWidth="1"/>
    <col min="2586" max="2816" width="9.140625" style="3"/>
    <col min="2817" max="2817" width="0.85546875" style="3" customWidth="1"/>
    <col min="2818" max="2818" width="22.140625" style="3" customWidth="1"/>
    <col min="2819" max="2819" width="0.85546875" style="3" customWidth="1"/>
    <col min="2820" max="2820" width="33.5703125" style="3" customWidth="1"/>
    <col min="2821" max="2821" width="22" style="3" bestFit="1" customWidth="1"/>
    <col min="2822" max="2822" width="0.85546875" style="3" customWidth="1"/>
    <col min="2823" max="2823" width="16.5703125" style="3" customWidth="1"/>
    <col min="2824" max="2824" width="14.7109375" style="3" customWidth="1"/>
    <col min="2825" max="2825" width="17.5703125" style="3" customWidth="1"/>
    <col min="2826" max="2826" width="14.7109375" style="3" customWidth="1"/>
    <col min="2827" max="2827" width="16.85546875" style="3" customWidth="1"/>
    <col min="2828" max="2828" width="1.7109375" style="3" customWidth="1"/>
    <col min="2829" max="2829" width="16.42578125" style="3" customWidth="1"/>
    <col min="2830" max="2830" width="14.7109375" style="3" customWidth="1"/>
    <col min="2831" max="2831" width="17.28515625" style="3" customWidth="1"/>
    <col min="2832" max="2832" width="14.7109375" style="3" customWidth="1"/>
    <col min="2833" max="2833" width="16.85546875" style="3" customWidth="1"/>
    <col min="2834" max="2834" width="2.42578125" style="3" customWidth="1"/>
    <col min="2835" max="2839" width="16.85546875" style="3" customWidth="1"/>
    <col min="2840" max="2840" width="13.140625" style="3" bestFit="1" customWidth="1"/>
    <col min="2841" max="2841" width="47" style="3" bestFit="1" customWidth="1"/>
    <col min="2842" max="3072" width="9.140625" style="3"/>
    <col min="3073" max="3073" width="0.85546875" style="3" customWidth="1"/>
    <col min="3074" max="3074" width="22.140625" style="3" customWidth="1"/>
    <col min="3075" max="3075" width="0.85546875" style="3" customWidth="1"/>
    <col min="3076" max="3076" width="33.5703125" style="3" customWidth="1"/>
    <col min="3077" max="3077" width="22" style="3" bestFit="1" customWidth="1"/>
    <col min="3078" max="3078" width="0.85546875" style="3" customWidth="1"/>
    <col min="3079" max="3079" width="16.5703125" style="3" customWidth="1"/>
    <col min="3080" max="3080" width="14.7109375" style="3" customWidth="1"/>
    <col min="3081" max="3081" width="17.5703125" style="3" customWidth="1"/>
    <col min="3082" max="3082" width="14.7109375" style="3" customWidth="1"/>
    <col min="3083" max="3083" width="16.85546875" style="3" customWidth="1"/>
    <col min="3084" max="3084" width="1.7109375" style="3" customWidth="1"/>
    <col min="3085" max="3085" width="16.42578125" style="3" customWidth="1"/>
    <col min="3086" max="3086" width="14.7109375" style="3" customWidth="1"/>
    <col min="3087" max="3087" width="17.28515625" style="3" customWidth="1"/>
    <col min="3088" max="3088" width="14.7109375" style="3" customWidth="1"/>
    <col min="3089" max="3089" width="16.85546875" style="3" customWidth="1"/>
    <col min="3090" max="3090" width="2.42578125" style="3" customWidth="1"/>
    <col min="3091" max="3095" width="16.85546875" style="3" customWidth="1"/>
    <col min="3096" max="3096" width="13.140625" style="3" bestFit="1" customWidth="1"/>
    <col min="3097" max="3097" width="47" style="3" bestFit="1" customWidth="1"/>
    <col min="3098" max="3328" width="9.140625" style="3"/>
    <col min="3329" max="3329" width="0.85546875" style="3" customWidth="1"/>
    <col min="3330" max="3330" width="22.140625" style="3" customWidth="1"/>
    <col min="3331" max="3331" width="0.85546875" style="3" customWidth="1"/>
    <col min="3332" max="3332" width="33.5703125" style="3" customWidth="1"/>
    <col min="3333" max="3333" width="22" style="3" bestFit="1" customWidth="1"/>
    <col min="3334" max="3334" width="0.85546875" style="3" customWidth="1"/>
    <col min="3335" max="3335" width="16.5703125" style="3" customWidth="1"/>
    <col min="3336" max="3336" width="14.7109375" style="3" customWidth="1"/>
    <col min="3337" max="3337" width="17.5703125" style="3" customWidth="1"/>
    <col min="3338" max="3338" width="14.7109375" style="3" customWidth="1"/>
    <col min="3339" max="3339" width="16.85546875" style="3" customWidth="1"/>
    <col min="3340" max="3340" width="1.7109375" style="3" customWidth="1"/>
    <col min="3341" max="3341" width="16.42578125" style="3" customWidth="1"/>
    <col min="3342" max="3342" width="14.7109375" style="3" customWidth="1"/>
    <col min="3343" max="3343" width="17.28515625" style="3" customWidth="1"/>
    <col min="3344" max="3344" width="14.7109375" style="3" customWidth="1"/>
    <col min="3345" max="3345" width="16.85546875" style="3" customWidth="1"/>
    <col min="3346" max="3346" width="2.42578125" style="3" customWidth="1"/>
    <col min="3347" max="3351" width="16.85546875" style="3" customWidth="1"/>
    <col min="3352" max="3352" width="13.140625" style="3" bestFit="1" customWidth="1"/>
    <col min="3353" max="3353" width="47" style="3" bestFit="1" customWidth="1"/>
    <col min="3354" max="3584" width="9.140625" style="3"/>
    <col min="3585" max="3585" width="0.85546875" style="3" customWidth="1"/>
    <col min="3586" max="3586" width="22.140625" style="3" customWidth="1"/>
    <col min="3587" max="3587" width="0.85546875" style="3" customWidth="1"/>
    <col min="3588" max="3588" width="33.5703125" style="3" customWidth="1"/>
    <col min="3589" max="3589" width="22" style="3" bestFit="1" customWidth="1"/>
    <col min="3590" max="3590" width="0.85546875" style="3" customWidth="1"/>
    <col min="3591" max="3591" width="16.5703125" style="3" customWidth="1"/>
    <col min="3592" max="3592" width="14.7109375" style="3" customWidth="1"/>
    <col min="3593" max="3593" width="17.5703125" style="3" customWidth="1"/>
    <col min="3594" max="3594" width="14.7109375" style="3" customWidth="1"/>
    <col min="3595" max="3595" width="16.85546875" style="3" customWidth="1"/>
    <col min="3596" max="3596" width="1.7109375" style="3" customWidth="1"/>
    <col min="3597" max="3597" width="16.42578125" style="3" customWidth="1"/>
    <col min="3598" max="3598" width="14.7109375" style="3" customWidth="1"/>
    <col min="3599" max="3599" width="17.28515625" style="3" customWidth="1"/>
    <col min="3600" max="3600" width="14.7109375" style="3" customWidth="1"/>
    <col min="3601" max="3601" width="16.85546875" style="3" customWidth="1"/>
    <col min="3602" max="3602" width="2.42578125" style="3" customWidth="1"/>
    <col min="3603" max="3607" width="16.85546875" style="3" customWidth="1"/>
    <col min="3608" max="3608" width="13.140625" style="3" bestFit="1" customWidth="1"/>
    <col min="3609" max="3609" width="47" style="3" bestFit="1" customWidth="1"/>
    <col min="3610" max="3840" width="9.140625" style="3"/>
    <col min="3841" max="3841" width="0.85546875" style="3" customWidth="1"/>
    <col min="3842" max="3842" width="22.140625" style="3" customWidth="1"/>
    <col min="3843" max="3843" width="0.85546875" style="3" customWidth="1"/>
    <col min="3844" max="3844" width="33.5703125" style="3" customWidth="1"/>
    <col min="3845" max="3845" width="22" style="3" bestFit="1" customWidth="1"/>
    <col min="3846" max="3846" width="0.85546875" style="3" customWidth="1"/>
    <col min="3847" max="3847" width="16.5703125" style="3" customWidth="1"/>
    <col min="3848" max="3848" width="14.7109375" style="3" customWidth="1"/>
    <col min="3849" max="3849" width="17.5703125" style="3" customWidth="1"/>
    <col min="3850" max="3850" width="14.7109375" style="3" customWidth="1"/>
    <col min="3851" max="3851" width="16.85546875" style="3" customWidth="1"/>
    <col min="3852" max="3852" width="1.7109375" style="3" customWidth="1"/>
    <col min="3853" max="3853" width="16.42578125" style="3" customWidth="1"/>
    <col min="3854" max="3854" width="14.7109375" style="3" customWidth="1"/>
    <col min="3855" max="3855" width="17.28515625" style="3" customWidth="1"/>
    <col min="3856" max="3856" width="14.7109375" style="3" customWidth="1"/>
    <col min="3857" max="3857" width="16.85546875" style="3" customWidth="1"/>
    <col min="3858" max="3858" width="2.42578125" style="3" customWidth="1"/>
    <col min="3859" max="3863" width="16.85546875" style="3" customWidth="1"/>
    <col min="3864" max="3864" width="13.140625" style="3" bestFit="1" customWidth="1"/>
    <col min="3865" max="3865" width="47" style="3" bestFit="1" customWidth="1"/>
    <col min="3866" max="4096" width="9.140625" style="3"/>
    <col min="4097" max="4097" width="0.85546875" style="3" customWidth="1"/>
    <col min="4098" max="4098" width="22.140625" style="3" customWidth="1"/>
    <col min="4099" max="4099" width="0.85546875" style="3" customWidth="1"/>
    <col min="4100" max="4100" width="33.5703125" style="3" customWidth="1"/>
    <col min="4101" max="4101" width="22" style="3" bestFit="1" customWidth="1"/>
    <col min="4102" max="4102" width="0.85546875" style="3" customWidth="1"/>
    <col min="4103" max="4103" width="16.5703125" style="3" customWidth="1"/>
    <col min="4104" max="4104" width="14.7109375" style="3" customWidth="1"/>
    <col min="4105" max="4105" width="17.5703125" style="3" customWidth="1"/>
    <col min="4106" max="4106" width="14.7109375" style="3" customWidth="1"/>
    <col min="4107" max="4107" width="16.85546875" style="3" customWidth="1"/>
    <col min="4108" max="4108" width="1.7109375" style="3" customWidth="1"/>
    <col min="4109" max="4109" width="16.42578125" style="3" customWidth="1"/>
    <col min="4110" max="4110" width="14.7109375" style="3" customWidth="1"/>
    <col min="4111" max="4111" width="17.28515625" style="3" customWidth="1"/>
    <col min="4112" max="4112" width="14.7109375" style="3" customWidth="1"/>
    <col min="4113" max="4113" width="16.85546875" style="3" customWidth="1"/>
    <col min="4114" max="4114" width="2.42578125" style="3" customWidth="1"/>
    <col min="4115" max="4119" width="16.85546875" style="3" customWidth="1"/>
    <col min="4120" max="4120" width="13.140625" style="3" bestFit="1" customWidth="1"/>
    <col min="4121" max="4121" width="47" style="3" bestFit="1" customWidth="1"/>
    <col min="4122" max="4352" width="9.140625" style="3"/>
    <col min="4353" max="4353" width="0.85546875" style="3" customWidth="1"/>
    <col min="4354" max="4354" width="22.140625" style="3" customWidth="1"/>
    <col min="4355" max="4355" width="0.85546875" style="3" customWidth="1"/>
    <col min="4356" max="4356" width="33.5703125" style="3" customWidth="1"/>
    <col min="4357" max="4357" width="22" style="3" bestFit="1" customWidth="1"/>
    <col min="4358" max="4358" width="0.85546875" style="3" customWidth="1"/>
    <col min="4359" max="4359" width="16.5703125" style="3" customWidth="1"/>
    <col min="4360" max="4360" width="14.7109375" style="3" customWidth="1"/>
    <col min="4361" max="4361" width="17.5703125" style="3" customWidth="1"/>
    <col min="4362" max="4362" width="14.7109375" style="3" customWidth="1"/>
    <col min="4363" max="4363" width="16.85546875" style="3" customWidth="1"/>
    <col min="4364" max="4364" width="1.7109375" style="3" customWidth="1"/>
    <col min="4365" max="4365" width="16.42578125" style="3" customWidth="1"/>
    <col min="4366" max="4366" width="14.7109375" style="3" customWidth="1"/>
    <col min="4367" max="4367" width="17.28515625" style="3" customWidth="1"/>
    <col min="4368" max="4368" width="14.7109375" style="3" customWidth="1"/>
    <col min="4369" max="4369" width="16.85546875" style="3" customWidth="1"/>
    <col min="4370" max="4370" width="2.42578125" style="3" customWidth="1"/>
    <col min="4371" max="4375" width="16.85546875" style="3" customWidth="1"/>
    <col min="4376" max="4376" width="13.140625" style="3" bestFit="1" customWidth="1"/>
    <col min="4377" max="4377" width="47" style="3" bestFit="1" customWidth="1"/>
    <col min="4378" max="4608" width="9.140625" style="3"/>
    <col min="4609" max="4609" width="0.85546875" style="3" customWidth="1"/>
    <col min="4610" max="4610" width="22.140625" style="3" customWidth="1"/>
    <col min="4611" max="4611" width="0.85546875" style="3" customWidth="1"/>
    <col min="4612" max="4612" width="33.5703125" style="3" customWidth="1"/>
    <col min="4613" max="4613" width="22" style="3" bestFit="1" customWidth="1"/>
    <col min="4614" max="4614" width="0.85546875" style="3" customWidth="1"/>
    <col min="4615" max="4615" width="16.5703125" style="3" customWidth="1"/>
    <col min="4616" max="4616" width="14.7109375" style="3" customWidth="1"/>
    <col min="4617" max="4617" width="17.5703125" style="3" customWidth="1"/>
    <col min="4618" max="4618" width="14.7109375" style="3" customWidth="1"/>
    <col min="4619" max="4619" width="16.85546875" style="3" customWidth="1"/>
    <col min="4620" max="4620" width="1.7109375" style="3" customWidth="1"/>
    <col min="4621" max="4621" width="16.42578125" style="3" customWidth="1"/>
    <col min="4622" max="4622" width="14.7109375" style="3" customWidth="1"/>
    <col min="4623" max="4623" width="17.28515625" style="3" customWidth="1"/>
    <col min="4624" max="4624" width="14.7109375" style="3" customWidth="1"/>
    <col min="4625" max="4625" width="16.85546875" style="3" customWidth="1"/>
    <col min="4626" max="4626" width="2.42578125" style="3" customWidth="1"/>
    <col min="4627" max="4631" width="16.85546875" style="3" customWidth="1"/>
    <col min="4632" max="4632" width="13.140625" style="3" bestFit="1" customWidth="1"/>
    <col min="4633" max="4633" width="47" style="3" bestFit="1" customWidth="1"/>
    <col min="4634" max="4864" width="9.140625" style="3"/>
    <col min="4865" max="4865" width="0.85546875" style="3" customWidth="1"/>
    <col min="4866" max="4866" width="22.140625" style="3" customWidth="1"/>
    <col min="4867" max="4867" width="0.85546875" style="3" customWidth="1"/>
    <col min="4868" max="4868" width="33.5703125" style="3" customWidth="1"/>
    <col min="4869" max="4869" width="22" style="3" bestFit="1" customWidth="1"/>
    <col min="4870" max="4870" width="0.85546875" style="3" customWidth="1"/>
    <col min="4871" max="4871" width="16.5703125" style="3" customWidth="1"/>
    <col min="4872" max="4872" width="14.7109375" style="3" customWidth="1"/>
    <col min="4873" max="4873" width="17.5703125" style="3" customWidth="1"/>
    <col min="4874" max="4874" width="14.7109375" style="3" customWidth="1"/>
    <col min="4875" max="4875" width="16.85546875" style="3" customWidth="1"/>
    <col min="4876" max="4876" width="1.7109375" style="3" customWidth="1"/>
    <col min="4877" max="4877" width="16.42578125" style="3" customWidth="1"/>
    <col min="4878" max="4878" width="14.7109375" style="3" customWidth="1"/>
    <col min="4879" max="4879" width="17.28515625" style="3" customWidth="1"/>
    <col min="4880" max="4880" width="14.7109375" style="3" customWidth="1"/>
    <col min="4881" max="4881" width="16.85546875" style="3" customWidth="1"/>
    <col min="4882" max="4882" width="2.42578125" style="3" customWidth="1"/>
    <col min="4883" max="4887" width="16.85546875" style="3" customWidth="1"/>
    <col min="4888" max="4888" width="13.140625" style="3" bestFit="1" customWidth="1"/>
    <col min="4889" max="4889" width="47" style="3" bestFit="1" customWidth="1"/>
    <col min="4890" max="5120" width="9.140625" style="3"/>
    <col min="5121" max="5121" width="0.85546875" style="3" customWidth="1"/>
    <col min="5122" max="5122" width="22.140625" style="3" customWidth="1"/>
    <col min="5123" max="5123" width="0.85546875" style="3" customWidth="1"/>
    <col min="5124" max="5124" width="33.5703125" style="3" customWidth="1"/>
    <col min="5125" max="5125" width="22" style="3" bestFit="1" customWidth="1"/>
    <col min="5126" max="5126" width="0.85546875" style="3" customWidth="1"/>
    <col min="5127" max="5127" width="16.5703125" style="3" customWidth="1"/>
    <col min="5128" max="5128" width="14.7109375" style="3" customWidth="1"/>
    <col min="5129" max="5129" width="17.5703125" style="3" customWidth="1"/>
    <col min="5130" max="5130" width="14.7109375" style="3" customWidth="1"/>
    <col min="5131" max="5131" width="16.85546875" style="3" customWidth="1"/>
    <col min="5132" max="5132" width="1.7109375" style="3" customWidth="1"/>
    <col min="5133" max="5133" width="16.42578125" style="3" customWidth="1"/>
    <col min="5134" max="5134" width="14.7109375" style="3" customWidth="1"/>
    <col min="5135" max="5135" width="17.28515625" style="3" customWidth="1"/>
    <col min="5136" max="5136" width="14.7109375" style="3" customWidth="1"/>
    <col min="5137" max="5137" width="16.85546875" style="3" customWidth="1"/>
    <col min="5138" max="5138" width="2.42578125" style="3" customWidth="1"/>
    <col min="5139" max="5143" width="16.85546875" style="3" customWidth="1"/>
    <col min="5144" max="5144" width="13.140625" style="3" bestFit="1" customWidth="1"/>
    <col min="5145" max="5145" width="47" style="3" bestFit="1" customWidth="1"/>
    <col min="5146" max="5376" width="9.140625" style="3"/>
    <col min="5377" max="5377" width="0.85546875" style="3" customWidth="1"/>
    <col min="5378" max="5378" width="22.140625" style="3" customWidth="1"/>
    <col min="5379" max="5379" width="0.85546875" style="3" customWidth="1"/>
    <col min="5380" max="5380" width="33.5703125" style="3" customWidth="1"/>
    <col min="5381" max="5381" width="22" style="3" bestFit="1" customWidth="1"/>
    <col min="5382" max="5382" width="0.85546875" style="3" customWidth="1"/>
    <col min="5383" max="5383" width="16.5703125" style="3" customWidth="1"/>
    <col min="5384" max="5384" width="14.7109375" style="3" customWidth="1"/>
    <col min="5385" max="5385" width="17.5703125" style="3" customWidth="1"/>
    <col min="5386" max="5386" width="14.7109375" style="3" customWidth="1"/>
    <col min="5387" max="5387" width="16.85546875" style="3" customWidth="1"/>
    <col min="5388" max="5388" width="1.7109375" style="3" customWidth="1"/>
    <col min="5389" max="5389" width="16.42578125" style="3" customWidth="1"/>
    <col min="5390" max="5390" width="14.7109375" style="3" customWidth="1"/>
    <col min="5391" max="5391" width="17.28515625" style="3" customWidth="1"/>
    <col min="5392" max="5392" width="14.7109375" style="3" customWidth="1"/>
    <col min="5393" max="5393" width="16.85546875" style="3" customWidth="1"/>
    <col min="5394" max="5394" width="2.42578125" style="3" customWidth="1"/>
    <col min="5395" max="5399" width="16.85546875" style="3" customWidth="1"/>
    <col min="5400" max="5400" width="13.140625" style="3" bestFit="1" customWidth="1"/>
    <col min="5401" max="5401" width="47" style="3" bestFit="1" customWidth="1"/>
    <col min="5402" max="5632" width="9.140625" style="3"/>
    <col min="5633" max="5633" width="0.85546875" style="3" customWidth="1"/>
    <col min="5634" max="5634" width="22.140625" style="3" customWidth="1"/>
    <col min="5635" max="5635" width="0.85546875" style="3" customWidth="1"/>
    <col min="5636" max="5636" width="33.5703125" style="3" customWidth="1"/>
    <col min="5637" max="5637" width="22" style="3" bestFit="1" customWidth="1"/>
    <col min="5638" max="5638" width="0.85546875" style="3" customWidth="1"/>
    <col min="5639" max="5639" width="16.5703125" style="3" customWidth="1"/>
    <col min="5640" max="5640" width="14.7109375" style="3" customWidth="1"/>
    <col min="5641" max="5641" width="17.5703125" style="3" customWidth="1"/>
    <col min="5642" max="5642" width="14.7109375" style="3" customWidth="1"/>
    <col min="5643" max="5643" width="16.85546875" style="3" customWidth="1"/>
    <col min="5644" max="5644" width="1.7109375" style="3" customWidth="1"/>
    <col min="5645" max="5645" width="16.42578125" style="3" customWidth="1"/>
    <col min="5646" max="5646" width="14.7109375" style="3" customWidth="1"/>
    <col min="5647" max="5647" width="17.28515625" style="3" customWidth="1"/>
    <col min="5648" max="5648" width="14.7109375" style="3" customWidth="1"/>
    <col min="5649" max="5649" width="16.85546875" style="3" customWidth="1"/>
    <col min="5650" max="5650" width="2.42578125" style="3" customWidth="1"/>
    <col min="5651" max="5655" width="16.85546875" style="3" customWidth="1"/>
    <col min="5656" max="5656" width="13.140625" style="3" bestFit="1" customWidth="1"/>
    <col min="5657" max="5657" width="47" style="3" bestFit="1" customWidth="1"/>
    <col min="5658" max="5888" width="9.140625" style="3"/>
    <col min="5889" max="5889" width="0.85546875" style="3" customWidth="1"/>
    <col min="5890" max="5890" width="22.140625" style="3" customWidth="1"/>
    <col min="5891" max="5891" width="0.85546875" style="3" customWidth="1"/>
    <col min="5892" max="5892" width="33.5703125" style="3" customWidth="1"/>
    <col min="5893" max="5893" width="22" style="3" bestFit="1" customWidth="1"/>
    <col min="5894" max="5894" width="0.85546875" style="3" customWidth="1"/>
    <col min="5895" max="5895" width="16.5703125" style="3" customWidth="1"/>
    <col min="5896" max="5896" width="14.7109375" style="3" customWidth="1"/>
    <col min="5897" max="5897" width="17.5703125" style="3" customWidth="1"/>
    <col min="5898" max="5898" width="14.7109375" style="3" customWidth="1"/>
    <col min="5899" max="5899" width="16.85546875" style="3" customWidth="1"/>
    <col min="5900" max="5900" width="1.7109375" style="3" customWidth="1"/>
    <col min="5901" max="5901" width="16.42578125" style="3" customWidth="1"/>
    <col min="5902" max="5902" width="14.7109375" style="3" customWidth="1"/>
    <col min="5903" max="5903" width="17.28515625" style="3" customWidth="1"/>
    <col min="5904" max="5904" width="14.7109375" style="3" customWidth="1"/>
    <col min="5905" max="5905" width="16.85546875" style="3" customWidth="1"/>
    <col min="5906" max="5906" width="2.42578125" style="3" customWidth="1"/>
    <col min="5907" max="5911" width="16.85546875" style="3" customWidth="1"/>
    <col min="5912" max="5912" width="13.140625" style="3" bestFit="1" customWidth="1"/>
    <col min="5913" max="5913" width="47" style="3" bestFit="1" customWidth="1"/>
    <col min="5914" max="6144" width="9.140625" style="3"/>
    <col min="6145" max="6145" width="0.85546875" style="3" customWidth="1"/>
    <col min="6146" max="6146" width="22.140625" style="3" customWidth="1"/>
    <col min="6147" max="6147" width="0.85546875" style="3" customWidth="1"/>
    <col min="6148" max="6148" width="33.5703125" style="3" customWidth="1"/>
    <col min="6149" max="6149" width="22" style="3" bestFit="1" customWidth="1"/>
    <col min="6150" max="6150" width="0.85546875" style="3" customWidth="1"/>
    <col min="6151" max="6151" width="16.5703125" style="3" customWidth="1"/>
    <col min="6152" max="6152" width="14.7109375" style="3" customWidth="1"/>
    <col min="6153" max="6153" width="17.5703125" style="3" customWidth="1"/>
    <col min="6154" max="6154" width="14.7109375" style="3" customWidth="1"/>
    <col min="6155" max="6155" width="16.85546875" style="3" customWidth="1"/>
    <col min="6156" max="6156" width="1.7109375" style="3" customWidth="1"/>
    <col min="6157" max="6157" width="16.42578125" style="3" customWidth="1"/>
    <col min="6158" max="6158" width="14.7109375" style="3" customWidth="1"/>
    <col min="6159" max="6159" width="17.28515625" style="3" customWidth="1"/>
    <col min="6160" max="6160" width="14.7109375" style="3" customWidth="1"/>
    <col min="6161" max="6161" width="16.85546875" style="3" customWidth="1"/>
    <col min="6162" max="6162" width="2.42578125" style="3" customWidth="1"/>
    <col min="6163" max="6167" width="16.85546875" style="3" customWidth="1"/>
    <col min="6168" max="6168" width="13.140625" style="3" bestFit="1" customWidth="1"/>
    <col min="6169" max="6169" width="47" style="3" bestFit="1" customWidth="1"/>
    <col min="6170" max="6400" width="9.140625" style="3"/>
    <col min="6401" max="6401" width="0.85546875" style="3" customWidth="1"/>
    <col min="6402" max="6402" width="22.140625" style="3" customWidth="1"/>
    <col min="6403" max="6403" width="0.85546875" style="3" customWidth="1"/>
    <col min="6404" max="6404" width="33.5703125" style="3" customWidth="1"/>
    <col min="6405" max="6405" width="22" style="3" bestFit="1" customWidth="1"/>
    <col min="6406" max="6406" width="0.85546875" style="3" customWidth="1"/>
    <col min="6407" max="6407" width="16.5703125" style="3" customWidth="1"/>
    <col min="6408" max="6408" width="14.7109375" style="3" customWidth="1"/>
    <col min="6409" max="6409" width="17.5703125" style="3" customWidth="1"/>
    <col min="6410" max="6410" width="14.7109375" style="3" customWidth="1"/>
    <col min="6411" max="6411" width="16.85546875" style="3" customWidth="1"/>
    <col min="6412" max="6412" width="1.7109375" style="3" customWidth="1"/>
    <col min="6413" max="6413" width="16.42578125" style="3" customWidth="1"/>
    <col min="6414" max="6414" width="14.7109375" style="3" customWidth="1"/>
    <col min="6415" max="6415" width="17.28515625" style="3" customWidth="1"/>
    <col min="6416" max="6416" width="14.7109375" style="3" customWidth="1"/>
    <col min="6417" max="6417" width="16.85546875" style="3" customWidth="1"/>
    <col min="6418" max="6418" width="2.42578125" style="3" customWidth="1"/>
    <col min="6419" max="6423" width="16.85546875" style="3" customWidth="1"/>
    <col min="6424" max="6424" width="13.140625" style="3" bestFit="1" customWidth="1"/>
    <col min="6425" max="6425" width="47" style="3" bestFit="1" customWidth="1"/>
    <col min="6426" max="6656" width="9.140625" style="3"/>
    <col min="6657" max="6657" width="0.85546875" style="3" customWidth="1"/>
    <col min="6658" max="6658" width="22.140625" style="3" customWidth="1"/>
    <col min="6659" max="6659" width="0.85546875" style="3" customWidth="1"/>
    <col min="6660" max="6660" width="33.5703125" style="3" customWidth="1"/>
    <col min="6661" max="6661" width="22" style="3" bestFit="1" customWidth="1"/>
    <col min="6662" max="6662" width="0.85546875" style="3" customWidth="1"/>
    <col min="6663" max="6663" width="16.5703125" style="3" customWidth="1"/>
    <col min="6664" max="6664" width="14.7109375" style="3" customWidth="1"/>
    <col min="6665" max="6665" width="17.5703125" style="3" customWidth="1"/>
    <col min="6666" max="6666" width="14.7109375" style="3" customWidth="1"/>
    <col min="6667" max="6667" width="16.85546875" style="3" customWidth="1"/>
    <col min="6668" max="6668" width="1.7109375" style="3" customWidth="1"/>
    <col min="6669" max="6669" width="16.42578125" style="3" customWidth="1"/>
    <col min="6670" max="6670" width="14.7109375" style="3" customWidth="1"/>
    <col min="6671" max="6671" width="17.28515625" style="3" customWidth="1"/>
    <col min="6672" max="6672" width="14.7109375" style="3" customWidth="1"/>
    <col min="6673" max="6673" width="16.85546875" style="3" customWidth="1"/>
    <col min="6674" max="6674" width="2.42578125" style="3" customWidth="1"/>
    <col min="6675" max="6679" width="16.85546875" style="3" customWidth="1"/>
    <col min="6680" max="6680" width="13.140625" style="3" bestFit="1" customWidth="1"/>
    <col min="6681" max="6681" width="47" style="3" bestFit="1" customWidth="1"/>
    <col min="6682" max="6912" width="9.140625" style="3"/>
    <col min="6913" max="6913" width="0.85546875" style="3" customWidth="1"/>
    <col min="6914" max="6914" width="22.140625" style="3" customWidth="1"/>
    <col min="6915" max="6915" width="0.85546875" style="3" customWidth="1"/>
    <col min="6916" max="6916" width="33.5703125" style="3" customWidth="1"/>
    <col min="6917" max="6917" width="22" style="3" bestFit="1" customWidth="1"/>
    <col min="6918" max="6918" width="0.85546875" style="3" customWidth="1"/>
    <col min="6919" max="6919" width="16.5703125" style="3" customWidth="1"/>
    <col min="6920" max="6920" width="14.7109375" style="3" customWidth="1"/>
    <col min="6921" max="6921" width="17.5703125" style="3" customWidth="1"/>
    <col min="6922" max="6922" width="14.7109375" style="3" customWidth="1"/>
    <col min="6923" max="6923" width="16.85546875" style="3" customWidth="1"/>
    <col min="6924" max="6924" width="1.7109375" style="3" customWidth="1"/>
    <col min="6925" max="6925" width="16.42578125" style="3" customWidth="1"/>
    <col min="6926" max="6926" width="14.7109375" style="3" customWidth="1"/>
    <col min="6927" max="6927" width="17.28515625" style="3" customWidth="1"/>
    <col min="6928" max="6928" width="14.7109375" style="3" customWidth="1"/>
    <col min="6929" max="6929" width="16.85546875" style="3" customWidth="1"/>
    <col min="6930" max="6930" width="2.42578125" style="3" customWidth="1"/>
    <col min="6931" max="6935" width="16.85546875" style="3" customWidth="1"/>
    <col min="6936" max="6936" width="13.140625" style="3" bestFit="1" customWidth="1"/>
    <col min="6937" max="6937" width="47" style="3" bestFit="1" customWidth="1"/>
    <col min="6938" max="7168" width="9.140625" style="3"/>
    <col min="7169" max="7169" width="0.85546875" style="3" customWidth="1"/>
    <col min="7170" max="7170" width="22.140625" style="3" customWidth="1"/>
    <col min="7171" max="7171" width="0.85546875" style="3" customWidth="1"/>
    <col min="7172" max="7172" width="33.5703125" style="3" customWidth="1"/>
    <col min="7173" max="7173" width="22" style="3" bestFit="1" customWidth="1"/>
    <col min="7174" max="7174" width="0.85546875" style="3" customWidth="1"/>
    <col min="7175" max="7175" width="16.5703125" style="3" customWidth="1"/>
    <col min="7176" max="7176" width="14.7109375" style="3" customWidth="1"/>
    <col min="7177" max="7177" width="17.5703125" style="3" customWidth="1"/>
    <col min="7178" max="7178" width="14.7109375" style="3" customWidth="1"/>
    <col min="7179" max="7179" width="16.85546875" style="3" customWidth="1"/>
    <col min="7180" max="7180" width="1.7109375" style="3" customWidth="1"/>
    <col min="7181" max="7181" width="16.42578125" style="3" customWidth="1"/>
    <col min="7182" max="7182" width="14.7109375" style="3" customWidth="1"/>
    <col min="7183" max="7183" width="17.28515625" style="3" customWidth="1"/>
    <col min="7184" max="7184" width="14.7109375" style="3" customWidth="1"/>
    <col min="7185" max="7185" width="16.85546875" style="3" customWidth="1"/>
    <col min="7186" max="7186" width="2.42578125" style="3" customWidth="1"/>
    <col min="7187" max="7191" width="16.85546875" style="3" customWidth="1"/>
    <col min="7192" max="7192" width="13.140625" style="3" bestFit="1" customWidth="1"/>
    <col min="7193" max="7193" width="47" style="3" bestFit="1" customWidth="1"/>
    <col min="7194" max="7424" width="9.140625" style="3"/>
    <col min="7425" max="7425" width="0.85546875" style="3" customWidth="1"/>
    <col min="7426" max="7426" width="22.140625" style="3" customWidth="1"/>
    <col min="7427" max="7427" width="0.85546875" style="3" customWidth="1"/>
    <col min="7428" max="7428" width="33.5703125" style="3" customWidth="1"/>
    <col min="7429" max="7429" width="22" style="3" bestFit="1" customWidth="1"/>
    <col min="7430" max="7430" width="0.85546875" style="3" customWidth="1"/>
    <col min="7431" max="7431" width="16.5703125" style="3" customWidth="1"/>
    <col min="7432" max="7432" width="14.7109375" style="3" customWidth="1"/>
    <col min="7433" max="7433" width="17.5703125" style="3" customWidth="1"/>
    <col min="7434" max="7434" width="14.7109375" style="3" customWidth="1"/>
    <col min="7435" max="7435" width="16.85546875" style="3" customWidth="1"/>
    <col min="7436" max="7436" width="1.7109375" style="3" customWidth="1"/>
    <col min="7437" max="7437" width="16.42578125" style="3" customWidth="1"/>
    <col min="7438" max="7438" width="14.7109375" style="3" customWidth="1"/>
    <col min="7439" max="7439" width="17.28515625" style="3" customWidth="1"/>
    <col min="7440" max="7440" width="14.7109375" style="3" customWidth="1"/>
    <col min="7441" max="7441" width="16.85546875" style="3" customWidth="1"/>
    <col min="7442" max="7442" width="2.42578125" style="3" customWidth="1"/>
    <col min="7443" max="7447" width="16.85546875" style="3" customWidth="1"/>
    <col min="7448" max="7448" width="13.140625" style="3" bestFit="1" customWidth="1"/>
    <col min="7449" max="7449" width="47" style="3" bestFit="1" customWidth="1"/>
    <col min="7450" max="7680" width="9.140625" style="3"/>
    <col min="7681" max="7681" width="0.85546875" style="3" customWidth="1"/>
    <col min="7682" max="7682" width="22.140625" style="3" customWidth="1"/>
    <col min="7683" max="7683" width="0.85546875" style="3" customWidth="1"/>
    <col min="7684" max="7684" width="33.5703125" style="3" customWidth="1"/>
    <col min="7685" max="7685" width="22" style="3" bestFit="1" customWidth="1"/>
    <col min="7686" max="7686" width="0.85546875" style="3" customWidth="1"/>
    <col min="7687" max="7687" width="16.5703125" style="3" customWidth="1"/>
    <col min="7688" max="7688" width="14.7109375" style="3" customWidth="1"/>
    <col min="7689" max="7689" width="17.5703125" style="3" customWidth="1"/>
    <col min="7690" max="7690" width="14.7109375" style="3" customWidth="1"/>
    <col min="7691" max="7691" width="16.85546875" style="3" customWidth="1"/>
    <col min="7692" max="7692" width="1.7109375" style="3" customWidth="1"/>
    <col min="7693" max="7693" width="16.42578125" style="3" customWidth="1"/>
    <col min="7694" max="7694" width="14.7109375" style="3" customWidth="1"/>
    <col min="7695" max="7695" width="17.28515625" style="3" customWidth="1"/>
    <col min="7696" max="7696" width="14.7109375" style="3" customWidth="1"/>
    <col min="7697" max="7697" width="16.85546875" style="3" customWidth="1"/>
    <col min="7698" max="7698" width="2.42578125" style="3" customWidth="1"/>
    <col min="7699" max="7703" width="16.85546875" style="3" customWidth="1"/>
    <col min="7704" max="7704" width="13.140625" style="3" bestFit="1" customWidth="1"/>
    <col min="7705" max="7705" width="47" style="3" bestFit="1" customWidth="1"/>
    <col min="7706" max="7936" width="9.140625" style="3"/>
    <col min="7937" max="7937" width="0.85546875" style="3" customWidth="1"/>
    <col min="7938" max="7938" width="22.140625" style="3" customWidth="1"/>
    <col min="7939" max="7939" width="0.85546875" style="3" customWidth="1"/>
    <col min="7940" max="7940" width="33.5703125" style="3" customWidth="1"/>
    <col min="7941" max="7941" width="22" style="3" bestFit="1" customWidth="1"/>
    <col min="7942" max="7942" width="0.85546875" style="3" customWidth="1"/>
    <col min="7943" max="7943" width="16.5703125" style="3" customWidth="1"/>
    <col min="7944" max="7944" width="14.7109375" style="3" customWidth="1"/>
    <col min="7945" max="7945" width="17.5703125" style="3" customWidth="1"/>
    <col min="7946" max="7946" width="14.7109375" style="3" customWidth="1"/>
    <col min="7947" max="7947" width="16.85546875" style="3" customWidth="1"/>
    <col min="7948" max="7948" width="1.7109375" style="3" customWidth="1"/>
    <col min="7949" max="7949" width="16.42578125" style="3" customWidth="1"/>
    <col min="7950" max="7950" width="14.7109375" style="3" customWidth="1"/>
    <col min="7951" max="7951" width="17.28515625" style="3" customWidth="1"/>
    <col min="7952" max="7952" width="14.7109375" style="3" customWidth="1"/>
    <col min="7953" max="7953" width="16.85546875" style="3" customWidth="1"/>
    <col min="7954" max="7954" width="2.42578125" style="3" customWidth="1"/>
    <col min="7955" max="7959" width="16.85546875" style="3" customWidth="1"/>
    <col min="7960" max="7960" width="13.140625" style="3" bestFit="1" customWidth="1"/>
    <col min="7961" max="7961" width="47" style="3" bestFit="1" customWidth="1"/>
    <col min="7962" max="8192" width="9.140625" style="3"/>
    <col min="8193" max="8193" width="0.85546875" style="3" customWidth="1"/>
    <col min="8194" max="8194" width="22.140625" style="3" customWidth="1"/>
    <col min="8195" max="8195" width="0.85546875" style="3" customWidth="1"/>
    <col min="8196" max="8196" width="33.5703125" style="3" customWidth="1"/>
    <col min="8197" max="8197" width="22" style="3" bestFit="1" customWidth="1"/>
    <col min="8198" max="8198" width="0.85546875" style="3" customWidth="1"/>
    <col min="8199" max="8199" width="16.5703125" style="3" customWidth="1"/>
    <col min="8200" max="8200" width="14.7109375" style="3" customWidth="1"/>
    <col min="8201" max="8201" width="17.5703125" style="3" customWidth="1"/>
    <col min="8202" max="8202" width="14.7109375" style="3" customWidth="1"/>
    <col min="8203" max="8203" width="16.85546875" style="3" customWidth="1"/>
    <col min="8204" max="8204" width="1.7109375" style="3" customWidth="1"/>
    <col min="8205" max="8205" width="16.42578125" style="3" customWidth="1"/>
    <col min="8206" max="8206" width="14.7109375" style="3" customWidth="1"/>
    <col min="8207" max="8207" width="17.28515625" style="3" customWidth="1"/>
    <col min="8208" max="8208" width="14.7109375" style="3" customWidth="1"/>
    <col min="8209" max="8209" width="16.85546875" style="3" customWidth="1"/>
    <col min="8210" max="8210" width="2.42578125" style="3" customWidth="1"/>
    <col min="8211" max="8215" width="16.85546875" style="3" customWidth="1"/>
    <col min="8216" max="8216" width="13.140625" style="3" bestFit="1" customWidth="1"/>
    <col min="8217" max="8217" width="47" style="3" bestFit="1" customWidth="1"/>
    <col min="8218" max="8448" width="9.140625" style="3"/>
    <col min="8449" max="8449" width="0.85546875" style="3" customWidth="1"/>
    <col min="8450" max="8450" width="22.140625" style="3" customWidth="1"/>
    <col min="8451" max="8451" width="0.85546875" style="3" customWidth="1"/>
    <col min="8452" max="8452" width="33.5703125" style="3" customWidth="1"/>
    <col min="8453" max="8453" width="22" style="3" bestFit="1" customWidth="1"/>
    <col min="8454" max="8454" width="0.85546875" style="3" customWidth="1"/>
    <col min="8455" max="8455" width="16.5703125" style="3" customWidth="1"/>
    <col min="8456" max="8456" width="14.7109375" style="3" customWidth="1"/>
    <col min="8457" max="8457" width="17.5703125" style="3" customWidth="1"/>
    <col min="8458" max="8458" width="14.7109375" style="3" customWidth="1"/>
    <col min="8459" max="8459" width="16.85546875" style="3" customWidth="1"/>
    <col min="8460" max="8460" width="1.7109375" style="3" customWidth="1"/>
    <col min="8461" max="8461" width="16.42578125" style="3" customWidth="1"/>
    <col min="8462" max="8462" width="14.7109375" style="3" customWidth="1"/>
    <col min="8463" max="8463" width="17.28515625" style="3" customWidth="1"/>
    <col min="8464" max="8464" width="14.7109375" style="3" customWidth="1"/>
    <col min="8465" max="8465" width="16.85546875" style="3" customWidth="1"/>
    <col min="8466" max="8466" width="2.42578125" style="3" customWidth="1"/>
    <col min="8467" max="8471" width="16.85546875" style="3" customWidth="1"/>
    <col min="8472" max="8472" width="13.140625" style="3" bestFit="1" customWidth="1"/>
    <col min="8473" max="8473" width="47" style="3" bestFit="1" customWidth="1"/>
    <col min="8474" max="8704" width="9.140625" style="3"/>
    <col min="8705" max="8705" width="0.85546875" style="3" customWidth="1"/>
    <col min="8706" max="8706" width="22.140625" style="3" customWidth="1"/>
    <col min="8707" max="8707" width="0.85546875" style="3" customWidth="1"/>
    <col min="8708" max="8708" width="33.5703125" style="3" customWidth="1"/>
    <col min="8709" max="8709" width="22" style="3" bestFit="1" customWidth="1"/>
    <col min="8710" max="8710" width="0.85546875" style="3" customWidth="1"/>
    <col min="8711" max="8711" width="16.5703125" style="3" customWidth="1"/>
    <col min="8712" max="8712" width="14.7109375" style="3" customWidth="1"/>
    <col min="8713" max="8713" width="17.5703125" style="3" customWidth="1"/>
    <col min="8714" max="8714" width="14.7109375" style="3" customWidth="1"/>
    <col min="8715" max="8715" width="16.85546875" style="3" customWidth="1"/>
    <col min="8716" max="8716" width="1.7109375" style="3" customWidth="1"/>
    <col min="8717" max="8717" width="16.42578125" style="3" customWidth="1"/>
    <col min="8718" max="8718" width="14.7109375" style="3" customWidth="1"/>
    <col min="8719" max="8719" width="17.28515625" style="3" customWidth="1"/>
    <col min="8720" max="8720" width="14.7109375" style="3" customWidth="1"/>
    <col min="8721" max="8721" width="16.85546875" style="3" customWidth="1"/>
    <col min="8722" max="8722" width="2.42578125" style="3" customWidth="1"/>
    <col min="8723" max="8727" width="16.85546875" style="3" customWidth="1"/>
    <col min="8728" max="8728" width="13.140625" style="3" bestFit="1" customWidth="1"/>
    <col min="8729" max="8729" width="47" style="3" bestFit="1" customWidth="1"/>
    <col min="8730" max="8960" width="9.140625" style="3"/>
    <col min="8961" max="8961" width="0.85546875" style="3" customWidth="1"/>
    <col min="8962" max="8962" width="22.140625" style="3" customWidth="1"/>
    <col min="8963" max="8963" width="0.85546875" style="3" customWidth="1"/>
    <col min="8964" max="8964" width="33.5703125" style="3" customWidth="1"/>
    <col min="8965" max="8965" width="22" style="3" bestFit="1" customWidth="1"/>
    <col min="8966" max="8966" width="0.85546875" style="3" customWidth="1"/>
    <col min="8967" max="8967" width="16.5703125" style="3" customWidth="1"/>
    <col min="8968" max="8968" width="14.7109375" style="3" customWidth="1"/>
    <col min="8969" max="8969" width="17.5703125" style="3" customWidth="1"/>
    <col min="8970" max="8970" width="14.7109375" style="3" customWidth="1"/>
    <col min="8971" max="8971" width="16.85546875" style="3" customWidth="1"/>
    <col min="8972" max="8972" width="1.7109375" style="3" customWidth="1"/>
    <col min="8973" max="8973" width="16.42578125" style="3" customWidth="1"/>
    <col min="8974" max="8974" width="14.7109375" style="3" customWidth="1"/>
    <col min="8975" max="8975" width="17.28515625" style="3" customWidth="1"/>
    <col min="8976" max="8976" width="14.7109375" style="3" customWidth="1"/>
    <col min="8977" max="8977" width="16.85546875" style="3" customWidth="1"/>
    <col min="8978" max="8978" width="2.42578125" style="3" customWidth="1"/>
    <col min="8979" max="8983" width="16.85546875" style="3" customWidth="1"/>
    <col min="8984" max="8984" width="13.140625" style="3" bestFit="1" customWidth="1"/>
    <col min="8985" max="8985" width="47" style="3" bestFit="1" customWidth="1"/>
    <col min="8986" max="9216" width="9.140625" style="3"/>
    <col min="9217" max="9217" width="0.85546875" style="3" customWidth="1"/>
    <col min="9218" max="9218" width="22.140625" style="3" customWidth="1"/>
    <col min="9219" max="9219" width="0.85546875" style="3" customWidth="1"/>
    <col min="9220" max="9220" width="33.5703125" style="3" customWidth="1"/>
    <col min="9221" max="9221" width="22" style="3" bestFit="1" customWidth="1"/>
    <col min="9222" max="9222" width="0.85546875" style="3" customWidth="1"/>
    <col min="9223" max="9223" width="16.5703125" style="3" customWidth="1"/>
    <col min="9224" max="9224" width="14.7109375" style="3" customWidth="1"/>
    <col min="9225" max="9225" width="17.5703125" style="3" customWidth="1"/>
    <col min="9226" max="9226" width="14.7109375" style="3" customWidth="1"/>
    <col min="9227" max="9227" width="16.85546875" style="3" customWidth="1"/>
    <col min="9228" max="9228" width="1.7109375" style="3" customWidth="1"/>
    <col min="9229" max="9229" width="16.42578125" style="3" customWidth="1"/>
    <col min="9230" max="9230" width="14.7109375" style="3" customWidth="1"/>
    <col min="9231" max="9231" width="17.28515625" style="3" customWidth="1"/>
    <col min="9232" max="9232" width="14.7109375" style="3" customWidth="1"/>
    <col min="9233" max="9233" width="16.85546875" style="3" customWidth="1"/>
    <col min="9234" max="9234" width="2.42578125" style="3" customWidth="1"/>
    <col min="9235" max="9239" width="16.85546875" style="3" customWidth="1"/>
    <col min="9240" max="9240" width="13.140625" style="3" bestFit="1" customWidth="1"/>
    <col min="9241" max="9241" width="47" style="3" bestFit="1" customWidth="1"/>
    <col min="9242" max="9472" width="9.140625" style="3"/>
    <col min="9473" max="9473" width="0.85546875" style="3" customWidth="1"/>
    <col min="9474" max="9474" width="22.140625" style="3" customWidth="1"/>
    <col min="9475" max="9475" width="0.85546875" style="3" customWidth="1"/>
    <col min="9476" max="9476" width="33.5703125" style="3" customWidth="1"/>
    <col min="9477" max="9477" width="22" style="3" bestFit="1" customWidth="1"/>
    <col min="9478" max="9478" width="0.85546875" style="3" customWidth="1"/>
    <col min="9479" max="9479" width="16.5703125" style="3" customWidth="1"/>
    <col min="9480" max="9480" width="14.7109375" style="3" customWidth="1"/>
    <col min="9481" max="9481" width="17.5703125" style="3" customWidth="1"/>
    <col min="9482" max="9482" width="14.7109375" style="3" customWidth="1"/>
    <col min="9483" max="9483" width="16.85546875" style="3" customWidth="1"/>
    <col min="9484" max="9484" width="1.7109375" style="3" customWidth="1"/>
    <col min="9485" max="9485" width="16.42578125" style="3" customWidth="1"/>
    <col min="9486" max="9486" width="14.7109375" style="3" customWidth="1"/>
    <col min="9487" max="9487" width="17.28515625" style="3" customWidth="1"/>
    <col min="9488" max="9488" width="14.7109375" style="3" customWidth="1"/>
    <col min="9489" max="9489" width="16.85546875" style="3" customWidth="1"/>
    <col min="9490" max="9490" width="2.42578125" style="3" customWidth="1"/>
    <col min="9491" max="9495" width="16.85546875" style="3" customWidth="1"/>
    <col min="9496" max="9496" width="13.140625" style="3" bestFit="1" customWidth="1"/>
    <col min="9497" max="9497" width="47" style="3" bestFit="1" customWidth="1"/>
    <col min="9498" max="9728" width="9.140625" style="3"/>
    <col min="9729" max="9729" width="0.85546875" style="3" customWidth="1"/>
    <col min="9730" max="9730" width="22.140625" style="3" customWidth="1"/>
    <col min="9731" max="9731" width="0.85546875" style="3" customWidth="1"/>
    <col min="9732" max="9732" width="33.5703125" style="3" customWidth="1"/>
    <col min="9733" max="9733" width="22" style="3" bestFit="1" customWidth="1"/>
    <col min="9734" max="9734" width="0.85546875" style="3" customWidth="1"/>
    <col min="9735" max="9735" width="16.5703125" style="3" customWidth="1"/>
    <col min="9736" max="9736" width="14.7109375" style="3" customWidth="1"/>
    <col min="9737" max="9737" width="17.5703125" style="3" customWidth="1"/>
    <col min="9738" max="9738" width="14.7109375" style="3" customWidth="1"/>
    <col min="9739" max="9739" width="16.85546875" style="3" customWidth="1"/>
    <col min="9740" max="9740" width="1.7109375" style="3" customWidth="1"/>
    <col min="9741" max="9741" width="16.42578125" style="3" customWidth="1"/>
    <col min="9742" max="9742" width="14.7109375" style="3" customWidth="1"/>
    <col min="9743" max="9743" width="17.28515625" style="3" customWidth="1"/>
    <col min="9744" max="9744" width="14.7109375" style="3" customWidth="1"/>
    <col min="9745" max="9745" width="16.85546875" style="3" customWidth="1"/>
    <col min="9746" max="9746" width="2.42578125" style="3" customWidth="1"/>
    <col min="9747" max="9751" width="16.85546875" style="3" customWidth="1"/>
    <col min="9752" max="9752" width="13.140625" style="3" bestFit="1" customWidth="1"/>
    <col min="9753" max="9753" width="47" style="3" bestFit="1" customWidth="1"/>
    <col min="9754" max="9984" width="9.140625" style="3"/>
    <col min="9985" max="9985" width="0.85546875" style="3" customWidth="1"/>
    <col min="9986" max="9986" width="22.140625" style="3" customWidth="1"/>
    <col min="9987" max="9987" width="0.85546875" style="3" customWidth="1"/>
    <col min="9988" max="9988" width="33.5703125" style="3" customWidth="1"/>
    <col min="9989" max="9989" width="22" style="3" bestFit="1" customWidth="1"/>
    <col min="9990" max="9990" width="0.85546875" style="3" customWidth="1"/>
    <col min="9991" max="9991" width="16.5703125" style="3" customWidth="1"/>
    <col min="9992" max="9992" width="14.7109375" style="3" customWidth="1"/>
    <col min="9993" max="9993" width="17.5703125" style="3" customWidth="1"/>
    <col min="9994" max="9994" width="14.7109375" style="3" customWidth="1"/>
    <col min="9995" max="9995" width="16.85546875" style="3" customWidth="1"/>
    <col min="9996" max="9996" width="1.7109375" style="3" customWidth="1"/>
    <col min="9997" max="9997" width="16.42578125" style="3" customWidth="1"/>
    <col min="9998" max="9998" width="14.7109375" style="3" customWidth="1"/>
    <col min="9999" max="9999" width="17.28515625" style="3" customWidth="1"/>
    <col min="10000" max="10000" width="14.7109375" style="3" customWidth="1"/>
    <col min="10001" max="10001" width="16.85546875" style="3" customWidth="1"/>
    <col min="10002" max="10002" width="2.42578125" style="3" customWidth="1"/>
    <col min="10003" max="10007" width="16.85546875" style="3" customWidth="1"/>
    <col min="10008" max="10008" width="13.140625" style="3" bestFit="1" customWidth="1"/>
    <col min="10009" max="10009" width="47" style="3" bestFit="1" customWidth="1"/>
    <col min="10010" max="10240" width="9.140625" style="3"/>
    <col min="10241" max="10241" width="0.85546875" style="3" customWidth="1"/>
    <col min="10242" max="10242" width="22.140625" style="3" customWidth="1"/>
    <col min="10243" max="10243" width="0.85546875" style="3" customWidth="1"/>
    <col min="10244" max="10244" width="33.5703125" style="3" customWidth="1"/>
    <col min="10245" max="10245" width="22" style="3" bestFit="1" customWidth="1"/>
    <col min="10246" max="10246" width="0.85546875" style="3" customWidth="1"/>
    <col min="10247" max="10247" width="16.5703125" style="3" customWidth="1"/>
    <col min="10248" max="10248" width="14.7109375" style="3" customWidth="1"/>
    <col min="10249" max="10249" width="17.5703125" style="3" customWidth="1"/>
    <col min="10250" max="10250" width="14.7109375" style="3" customWidth="1"/>
    <col min="10251" max="10251" width="16.85546875" style="3" customWidth="1"/>
    <col min="10252" max="10252" width="1.7109375" style="3" customWidth="1"/>
    <col min="10253" max="10253" width="16.42578125" style="3" customWidth="1"/>
    <col min="10254" max="10254" width="14.7109375" style="3" customWidth="1"/>
    <col min="10255" max="10255" width="17.28515625" style="3" customWidth="1"/>
    <col min="10256" max="10256" width="14.7109375" style="3" customWidth="1"/>
    <col min="10257" max="10257" width="16.85546875" style="3" customWidth="1"/>
    <col min="10258" max="10258" width="2.42578125" style="3" customWidth="1"/>
    <col min="10259" max="10263" width="16.85546875" style="3" customWidth="1"/>
    <col min="10264" max="10264" width="13.140625" style="3" bestFit="1" customWidth="1"/>
    <col min="10265" max="10265" width="47" style="3" bestFit="1" customWidth="1"/>
    <col min="10266" max="10496" width="9.140625" style="3"/>
    <col min="10497" max="10497" width="0.85546875" style="3" customWidth="1"/>
    <col min="10498" max="10498" width="22.140625" style="3" customWidth="1"/>
    <col min="10499" max="10499" width="0.85546875" style="3" customWidth="1"/>
    <col min="10500" max="10500" width="33.5703125" style="3" customWidth="1"/>
    <col min="10501" max="10501" width="22" style="3" bestFit="1" customWidth="1"/>
    <col min="10502" max="10502" width="0.85546875" style="3" customWidth="1"/>
    <col min="10503" max="10503" width="16.5703125" style="3" customWidth="1"/>
    <col min="10504" max="10504" width="14.7109375" style="3" customWidth="1"/>
    <col min="10505" max="10505" width="17.5703125" style="3" customWidth="1"/>
    <col min="10506" max="10506" width="14.7109375" style="3" customWidth="1"/>
    <col min="10507" max="10507" width="16.85546875" style="3" customWidth="1"/>
    <col min="10508" max="10508" width="1.7109375" style="3" customWidth="1"/>
    <col min="10509" max="10509" width="16.42578125" style="3" customWidth="1"/>
    <col min="10510" max="10510" width="14.7109375" style="3" customWidth="1"/>
    <col min="10511" max="10511" width="17.28515625" style="3" customWidth="1"/>
    <col min="10512" max="10512" width="14.7109375" style="3" customWidth="1"/>
    <col min="10513" max="10513" width="16.85546875" style="3" customWidth="1"/>
    <col min="10514" max="10514" width="2.42578125" style="3" customWidth="1"/>
    <col min="10515" max="10519" width="16.85546875" style="3" customWidth="1"/>
    <col min="10520" max="10520" width="13.140625" style="3" bestFit="1" customWidth="1"/>
    <col min="10521" max="10521" width="47" style="3" bestFit="1" customWidth="1"/>
    <col min="10522" max="10752" width="9.140625" style="3"/>
    <col min="10753" max="10753" width="0.85546875" style="3" customWidth="1"/>
    <col min="10754" max="10754" width="22.140625" style="3" customWidth="1"/>
    <col min="10755" max="10755" width="0.85546875" style="3" customWidth="1"/>
    <col min="10756" max="10756" width="33.5703125" style="3" customWidth="1"/>
    <col min="10757" max="10757" width="22" style="3" bestFit="1" customWidth="1"/>
    <col min="10758" max="10758" width="0.85546875" style="3" customWidth="1"/>
    <col min="10759" max="10759" width="16.5703125" style="3" customWidth="1"/>
    <col min="10760" max="10760" width="14.7109375" style="3" customWidth="1"/>
    <col min="10761" max="10761" width="17.5703125" style="3" customWidth="1"/>
    <col min="10762" max="10762" width="14.7109375" style="3" customWidth="1"/>
    <col min="10763" max="10763" width="16.85546875" style="3" customWidth="1"/>
    <col min="10764" max="10764" width="1.7109375" style="3" customWidth="1"/>
    <col min="10765" max="10765" width="16.42578125" style="3" customWidth="1"/>
    <col min="10766" max="10766" width="14.7109375" style="3" customWidth="1"/>
    <col min="10767" max="10767" width="17.28515625" style="3" customWidth="1"/>
    <col min="10768" max="10768" width="14.7109375" style="3" customWidth="1"/>
    <col min="10769" max="10769" width="16.85546875" style="3" customWidth="1"/>
    <col min="10770" max="10770" width="2.42578125" style="3" customWidth="1"/>
    <col min="10771" max="10775" width="16.85546875" style="3" customWidth="1"/>
    <col min="10776" max="10776" width="13.140625" style="3" bestFit="1" customWidth="1"/>
    <col min="10777" max="10777" width="47" style="3" bestFit="1" customWidth="1"/>
    <col min="10778" max="11008" width="9.140625" style="3"/>
    <col min="11009" max="11009" width="0.85546875" style="3" customWidth="1"/>
    <col min="11010" max="11010" width="22.140625" style="3" customWidth="1"/>
    <col min="11011" max="11011" width="0.85546875" style="3" customWidth="1"/>
    <col min="11012" max="11012" width="33.5703125" style="3" customWidth="1"/>
    <col min="11013" max="11013" width="22" style="3" bestFit="1" customWidth="1"/>
    <col min="11014" max="11014" width="0.85546875" style="3" customWidth="1"/>
    <col min="11015" max="11015" width="16.5703125" style="3" customWidth="1"/>
    <col min="11016" max="11016" width="14.7109375" style="3" customWidth="1"/>
    <col min="11017" max="11017" width="17.5703125" style="3" customWidth="1"/>
    <col min="11018" max="11018" width="14.7109375" style="3" customWidth="1"/>
    <col min="11019" max="11019" width="16.85546875" style="3" customWidth="1"/>
    <col min="11020" max="11020" width="1.7109375" style="3" customWidth="1"/>
    <col min="11021" max="11021" width="16.42578125" style="3" customWidth="1"/>
    <col min="11022" max="11022" width="14.7109375" style="3" customWidth="1"/>
    <col min="11023" max="11023" width="17.28515625" style="3" customWidth="1"/>
    <col min="11024" max="11024" width="14.7109375" style="3" customWidth="1"/>
    <col min="11025" max="11025" width="16.85546875" style="3" customWidth="1"/>
    <col min="11026" max="11026" width="2.42578125" style="3" customWidth="1"/>
    <col min="11027" max="11031" width="16.85546875" style="3" customWidth="1"/>
    <col min="11032" max="11032" width="13.140625" style="3" bestFit="1" customWidth="1"/>
    <col min="11033" max="11033" width="47" style="3" bestFit="1" customWidth="1"/>
    <col min="11034" max="11264" width="9.140625" style="3"/>
    <col min="11265" max="11265" width="0.85546875" style="3" customWidth="1"/>
    <col min="11266" max="11266" width="22.140625" style="3" customWidth="1"/>
    <col min="11267" max="11267" width="0.85546875" style="3" customWidth="1"/>
    <col min="11268" max="11268" width="33.5703125" style="3" customWidth="1"/>
    <col min="11269" max="11269" width="22" style="3" bestFit="1" customWidth="1"/>
    <col min="11270" max="11270" width="0.85546875" style="3" customWidth="1"/>
    <col min="11271" max="11271" width="16.5703125" style="3" customWidth="1"/>
    <col min="11272" max="11272" width="14.7109375" style="3" customWidth="1"/>
    <col min="11273" max="11273" width="17.5703125" style="3" customWidth="1"/>
    <col min="11274" max="11274" width="14.7109375" style="3" customWidth="1"/>
    <col min="11275" max="11275" width="16.85546875" style="3" customWidth="1"/>
    <col min="11276" max="11276" width="1.7109375" style="3" customWidth="1"/>
    <col min="11277" max="11277" width="16.42578125" style="3" customWidth="1"/>
    <col min="11278" max="11278" width="14.7109375" style="3" customWidth="1"/>
    <col min="11279" max="11279" width="17.28515625" style="3" customWidth="1"/>
    <col min="11280" max="11280" width="14.7109375" style="3" customWidth="1"/>
    <col min="11281" max="11281" width="16.85546875" style="3" customWidth="1"/>
    <col min="11282" max="11282" width="2.42578125" style="3" customWidth="1"/>
    <col min="11283" max="11287" width="16.85546875" style="3" customWidth="1"/>
    <col min="11288" max="11288" width="13.140625" style="3" bestFit="1" customWidth="1"/>
    <col min="11289" max="11289" width="47" style="3" bestFit="1" customWidth="1"/>
    <col min="11290" max="11520" width="9.140625" style="3"/>
    <col min="11521" max="11521" width="0.85546875" style="3" customWidth="1"/>
    <col min="11522" max="11522" width="22.140625" style="3" customWidth="1"/>
    <col min="11523" max="11523" width="0.85546875" style="3" customWidth="1"/>
    <col min="11524" max="11524" width="33.5703125" style="3" customWidth="1"/>
    <col min="11525" max="11525" width="22" style="3" bestFit="1" customWidth="1"/>
    <col min="11526" max="11526" width="0.85546875" style="3" customWidth="1"/>
    <col min="11527" max="11527" width="16.5703125" style="3" customWidth="1"/>
    <col min="11528" max="11528" width="14.7109375" style="3" customWidth="1"/>
    <col min="11529" max="11529" width="17.5703125" style="3" customWidth="1"/>
    <col min="11530" max="11530" width="14.7109375" style="3" customWidth="1"/>
    <col min="11531" max="11531" width="16.85546875" style="3" customWidth="1"/>
    <col min="11532" max="11532" width="1.7109375" style="3" customWidth="1"/>
    <col min="11533" max="11533" width="16.42578125" style="3" customWidth="1"/>
    <col min="11534" max="11534" width="14.7109375" style="3" customWidth="1"/>
    <col min="11535" max="11535" width="17.28515625" style="3" customWidth="1"/>
    <col min="11536" max="11536" width="14.7109375" style="3" customWidth="1"/>
    <col min="11537" max="11537" width="16.85546875" style="3" customWidth="1"/>
    <col min="11538" max="11538" width="2.42578125" style="3" customWidth="1"/>
    <col min="11539" max="11543" width="16.85546875" style="3" customWidth="1"/>
    <col min="11544" max="11544" width="13.140625" style="3" bestFit="1" customWidth="1"/>
    <col min="11545" max="11545" width="47" style="3" bestFit="1" customWidth="1"/>
    <col min="11546" max="11776" width="9.140625" style="3"/>
    <col min="11777" max="11777" width="0.85546875" style="3" customWidth="1"/>
    <col min="11778" max="11778" width="22.140625" style="3" customWidth="1"/>
    <col min="11779" max="11779" width="0.85546875" style="3" customWidth="1"/>
    <col min="11780" max="11780" width="33.5703125" style="3" customWidth="1"/>
    <col min="11781" max="11781" width="22" style="3" bestFit="1" customWidth="1"/>
    <col min="11782" max="11782" width="0.85546875" style="3" customWidth="1"/>
    <col min="11783" max="11783" width="16.5703125" style="3" customWidth="1"/>
    <col min="11784" max="11784" width="14.7109375" style="3" customWidth="1"/>
    <col min="11785" max="11785" width="17.5703125" style="3" customWidth="1"/>
    <col min="11786" max="11786" width="14.7109375" style="3" customWidth="1"/>
    <col min="11787" max="11787" width="16.85546875" style="3" customWidth="1"/>
    <col min="11788" max="11788" width="1.7109375" style="3" customWidth="1"/>
    <col min="11789" max="11789" width="16.42578125" style="3" customWidth="1"/>
    <col min="11790" max="11790" width="14.7109375" style="3" customWidth="1"/>
    <col min="11791" max="11791" width="17.28515625" style="3" customWidth="1"/>
    <col min="11792" max="11792" width="14.7109375" style="3" customWidth="1"/>
    <col min="11793" max="11793" width="16.85546875" style="3" customWidth="1"/>
    <col min="11794" max="11794" width="2.42578125" style="3" customWidth="1"/>
    <col min="11795" max="11799" width="16.85546875" style="3" customWidth="1"/>
    <col min="11800" max="11800" width="13.140625" style="3" bestFit="1" customWidth="1"/>
    <col min="11801" max="11801" width="47" style="3" bestFit="1" customWidth="1"/>
    <col min="11802" max="12032" width="9.140625" style="3"/>
    <col min="12033" max="12033" width="0.85546875" style="3" customWidth="1"/>
    <col min="12034" max="12034" width="22.140625" style="3" customWidth="1"/>
    <col min="12035" max="12035" width="0.85546875" style="3" customWidth="1"/>
    <col min="12036" max="12036" width="33.5703125" style="3" customWidth="1"/>
    <col min="12037" max="12037" width="22" style="3" bestFit="1" customWidth="1"/>
    <col min="12038" max="12038" width="0.85546875" style="3" customWidth="1"/>
    <col min="12039" max="12039" width="16.5703125" style="3" customWidth="1"/>
    <col min="12040" max="12040" width="14.7109375" style="3" customWidth="1"/>
    <col min="12041" max="12041" width="17.5703125" style="3" customWidth="1"/>
    <col min="12042" max="12042" width="14.7109375" style="3" customWidth="1"/>
    <col min="12043" max="12043" width="16.85546875" style="3" customWidth="1"/>
    <col min="12044" max="12044" width="1.7109375" style="3" customWidth="1"/>
    <col min="12045" max="12045" width="16.42578125" style="3" customWidth="1"/>
    <col min="12046" max="12046" width="14.7109375" style="3" customWidth="1"/>
    <col min="12047" max="12047" width="17.28515625" style="3" customWidth="1"/>
    <col min="12048" max="12048" width="14.7109375" style="3" customWidth="1"/>
    <col min="12049" max="12049" width="16.85546875" style="3" customWidth="1"/>
    <col min="12050" max="12050" width="2.42578125" style="3" customWidth="1"/>
    <col min="12051" max="12055" width="16.85546875" style="3" customWidth="1"/>
    <col min="12056" max="12056" width="13.140625" style="3" bestFit="1" customWidth="1"/>
    <col min="12057" max="12057" width="47" style="3" bestFit="1" customWidth="1"/>
    <col min="12058" max="12288" width="9.140625" style="3"/>
    <col min="12289" max="12289" width="0.85546875" style="3" customWidth="1"/>
    <col min="12290" max="12290" width="22.140625" style="3" customWidth="1"/>
    <col min="12291" max="12291" width="0.85546875" style="3" customWidth="1"/>
    <col min="12292" max="12292" width="33.5703125" style="3" customWidth="1"/>
    <col min="12293" max="12293" width="22" style="3" bestFit="1" customWidth="1"/>
    <col min="12294" max="12294" width="0.85546875" style="3" customWidth="1"/>
    <col min="12295" max="12295" width="16.5703125" style="3" customWidth="1"/>
    <col min="12296" max="12296" width="14.7109375" style="3" customWidth="1"/>
    <col min="12297" max="12297" width="17.5703125" style="3" customWidth="1"/>
    <col min="12298" max="12298" width="14.7109375" style="3" customWidth="1"/>
    <col min="12299" max="12299" width="16.85546875" style="3" customWidth="1"/>
    <col min="12300" max="12300" width="1.7109375" style="3" customWidth="1"/>
    <col min="12301" max="12301" width="16.42578125" style="3" customWidth="1"/>
    <col min="12302" max="12302" width="14.7109375" style="3" customWidth="1"/>
    <col min="12303" max="12303" width="17.28515625" style="3" customWidth="1"/>
    <col min="12304" max="12304" width="14.7109375" style="3" customWidth="1"/>
    <col min="12305" max="12305" width="16.85546875" style="3" customWidth="1"/>
    <col min="12306" max="12306" width="2.42578125" style="3" customWidth="1"/>
    <col min="12307" max="12311" width="16.85546875" style="3" customWidth="1"/>
    <col min="12312" max="12312" width="13.140625" style="3" bestFit="1" customWidth="1"/>
    <col min="12313" max="12313" width="47" style="3" bestFit="1" customWidth="1"/>
    <col min="12314" max="12544" width="9.140625" style="3"/>
    <col min="12545" max="12545" width="0.85546875" style="3" customWidth="1"/>
    <col min="12546" max="12546" width="22.140625" style="3" customWidth="1"/>
    <col min="12547" max="12547" width="0.85546875" style="3" customWidth="1"/>
    <col min="12548" max="12548" width="33.5703125" style="3" customWidth="1"/>
    <col min="12549" max="12549" width="22" style="3" bestFit="1" customWidth="1"/>
    <col min="12550" max="12550" width="0.85546875" style="3" customWidth="1"/>
    <col min="12551" max="12551" width="16.5703125" style="3" customWidth="1"/>
    <col min="12552" max="12552" width="14.7109375" style="3" customWidth="1"/>
    <col min="12553" max="12553" width="17.5703125" style="3" customWidth="1"/>
    <col min="12554" max="12554" width="14.7109375" style="3" customWidth="1"/>
    <col min="12555" max="12555" width="16.85546875" style="3" customWidth="1"/>
    <col min="12556" max="12556" width="1.7109375" style="3" customWidth="1"/>
    <col min="12557" max="12557" width="16.42578125" style="3" customWidth="1"/>
    <col min="12558" max="12558" width="14.7109375" style="3" customWidth="1"/>
    <col min="12559" max="12559" width="17.28515625" style="3" customWidth="1"/>
    <col min="12560" max="12560" width="14.7109375" style="3" customWidth="1"/>
    <col min="12561" max="12561" width="16.85546875" style="3" customWidth="1"/>
    <col min="12562" max="12562" width="2.42578125" style="3" customWidth="1"/>
    <col min="12563" max="12567" width="16.85546875" style="3" customWidth="1"/>
    <col min="12568" max="12568" width="13.140625" style="3" bestFit="1" customWidth="1"/>
    <col min="12569" max="12569" width="47" style="3" bestFit="1" customWidth="1"/>
    <col min="12570" max="12800" width="9.140625" style="3"/>
    <col min="12801" max="12801" width="0.85546875" style="3" customWidth="1"/>
    <col min="12802" max="12802" width="22.140625" style="3" customWidth="1"/>
    <col min="12803" max="12803" width="0.85546875" style="3" customWidth="1"/>
    <col min="12804" max="12804" width="33.5703125" style="3" customWidth="1"/>
    <col min="12805" max="12805" width="22" style="3" bestFit="1" customWidth="1"/>
    <col min="12806" max="12806" width="0.85546875" style="3" customWidth="1"/>
    <col min="12807" max="12807" width="16.5703125" style="3" customWidth="1"/>
    <col min="12808" max="12808" width="14.7109375" style="3" customWidth="1"/>
    <col min="12809" max="12809" width="17.5703125" style="3" customWidth="1"/>
    <col min="12810" max="12810" width="14.7109375" style="3" customWidth="1"/>
    <col min="12811" max="12811" width="16.85546875" style="3" customWidth="1"/>
    <col min="12812" max="12812" width="1.7109375" style="3" customWidth="1"/>
    <col min="12813" max="12813" width="16.42578125" style="3" customWidth="1"/>
    <col min="12814" max="12814" width="14.7109375" style="3" customWidth="1"/>
    <col min="12815" max="12815" width="17.28515625" style="3" customWidth="1"/>
    <col min="12816" max="12816" width="14.7109375" style="3" customWidth="1"/>
    <col min="12817" max="12817" width="16.85546875" style="3" customWidth="1"/>
    <col min="12818" max="12818" width="2.42578125" style="3" customWidth="1"/>
    <col min="12819" max="12823" width="16.85546875" style="3" customWidth="1"/>
    <col min="12824" max="12824" width="13.140625" style="3" bestFit="1" customWidth="1"/>
    <col min="12825" max="12825" width="47" style="3" bestFit="1" customWidth="1"/>
    <col min="12826" max="13056" width="9.140625" style="3"/>
    <col min="13057" max="13057" width="0.85546875" style="3" customWidth="1"/>
    <col min="13058" max="13058" width="22.140625" style="3" customWidth="1"/>
    <col min="13059" max="13059" width="0.85546875" style="3" customWidth="1"/>
    <col min="13060" max="13060" width="33.5703125" style="3" customWidth="1"/>
    <col min="13061" max="13061" width="22" style="3" bestFit="1" customWidth="1"/>
    <col min="13062" max="13062" width="0.85546875" style="3" customWidth="1"/>
    <col min="13063" max="13063" width="16.5703125" style="3" customWidth="1"/>
    <col min="13064" max="13064" width="14.7109375" style="3" customWidth="1"/>
    <col min="13065" max="13065" width="17.5703125" style="3" customWidth="1"/>
    <col min="13066" max="13066" width="14.7109375" style="3" customWidth="1"/>
    <col min="13067" max="13067" width="16.85546875" style="3" customWidth="1"/>
    <col min="13068" max="13068" width="1.7109375" style="3" customWidth="1"/>
    <col min="13069" max="13069" width="16.42578125" style="3" customWidth="1"/>
    <col min="13070" max="13070" width="14.7109375" style="3" customWidth="1"/>
    <col min="13071" max="13071" width="17.28515625" style="3" customWidth="1"/>
    <col min="13072" max="13072" width="14.7109375" style="3" customWidth="1"/>
    <col min="13073" max="13073" width="16.85546875" style="3" customWidth="1"/>
    <col min="13074" max="13074" width="2.42578125" style="3" customWidth="1"/>
    <col min="13075" max="13079" width="16.85546875" style="3" customWidth="1"/>
    <col min="13080" max="13080" width="13.140625" style="3" bestFit="1" customWidth="1"/>
    <col min="13081" max="13081" width="47" style="3" bestFit="1" customWidth="1"/>
    <col min="13082" max="13312" width="9.140625" style="3"/>
    <col min="13313" max="13313" width="0.85546875" style="3" customWidth="1"/>
    <col min="13314" max="13314" width="22.140625" style="3" customWidth="1"/>
    <col min="13315" max="13315" width="0.85546875" style="3" customWidth="1"/>
    <col min="13316" max="13316" width="33.5703125" style="3" customWidth="1"/>
    <col min="13317" max="13317" width="22" style="3" bestFit="1" customWidth="1"/>
    <col min="13318" max="13318" width="0.85546875" style="3" customWidth="1"/>
    <col min="13319" max="13319" width="16.5703125" style="3" customWidth="1"/>
    <col min="13320" max="13320" width="14.7109375" style="3" customWidth="1"/>
    <col min="13321" max="13321" width="17.5703125" style="3" customWidth="1"/>
    <col min="13322" max="13322" width="14.7109375" style="3" customWidth="1"/>
    <col min="13323" max="13323" width="16.85546875" style="3" customWidth="1"/>
    <col min="13324" max="13324" width="1.7109375" style="3" customWidth="1"/>
    <col min="13325" max="13325" width="16.42578125" style="3" customWidth="1"/>
    <col min="13326" max="13326" width="14.7109375" style="3" customWidth="1"/>
    <col min="13327" max="13327" width="17.28515625" style="3" customWidth="1"/>
    <col min="13328" max="13328" width="14.7109375" style="3" customWidth="1"/>
    <col min="13329" max="13329" width="16.85546875" style="3" customWidth="1"/>
    <col min="13330" max="13330" width="2.42578125" style="3" customWidth="1"/>
    <col min="13331" max="13335" width="16.85546875" style="3" customWidth="1"/>
    <col min="13336" max="13336" width="13.140625" style="3" bestFit="1" customWidth="1"/>
    <col min="13337" max="13337" width="47" style="3" bestFit="1" customWidth="1"/>
    <col min="13338" max="13568" width="9.140625" style="3"/>
    <col min="13569" max="13569" width="0.85546875" style="3" customWidth="1"/>
    <col min="13570" max="13570" width="22.140625" style="3" customWidth="1"/>
    <col min="13571" max="13571" width="0.85546875" style="3" customWidth="1"/>
    <col min="13572" max="13572" width="33.5703125" style="3" customWidth="1"/>
    <col min="13573" max="13573" width="22" style="3" bestFit="1" customWidth="1"/>
    <col min="13574" max="13574" width="0.85546875" style="3" customWidth="1"/>
    <col min="13575" max="13575" width="16.5703125" style="3" customWidth="1"/>
    <col min="13576" max="13576" width="14.7109375" style="3" customWidth="1"/>
    <col min="13577" max="13577" width="17.5703125" style="3" customWidth="1"/>
    <col min="13578" max="13578" width="14.7109375" style="3" customWidth="1"/>
    <col min="13579" max="13579" width="16.85546875" style="3" customWidth="1"/>
    <col min="13580" max="13580" width="1.7109375" style="3" customWidth="1"/>
    <col min="13581" max="13581" width="16.42578125" style="3" customWidth="1"/>
    <col min="13582" max="13582" width="14.7109375" style="3" customWidth="1"/>
    <col min="13583" max="13583" width="17.28515625" style="3" customWidth="1"/>
    <col min="13584" max="13584" width="14.7109375" style="3" customWidth="1"/>
    <col min="13585" max="13585" width="16.85546875" style="3" customWidth="1"/>
    <col min="13586" max="13586" width="2.42578125" style="3" customWidth="1"/>
    <col min="13587" max="13591" width="16.85546875" style="3" customWidth="1"/>
    <col min="13592" max="13592" width="13.140625" style="3" bestFit="1" customWidth="1"/>
    <col min="13593" max="13593" width="47" style="3" bestFit="1" customWidth="1"/>
    <col min="13594" max="13824" width="9.140625" style="3"/>
    <col min="13825" max="13825" width="0.85546875" style="3" customWidth="1"/>
    <col min="13826" max="13826" width="22.140625" style="3" customWidth="1"/>
    <col min="13827" max="13827" width="0.85546875" style="3" customWidth="1"/>
    <col min="13828" max="13828" width="33.5703125" style="3" customWidth="1"/>
    <col min="13829" max="13829" width="22" style="3" bestFit="1" customWidth="1"/>
    <col min="13830" max="13830" width="0.85546875" style="3" customWidth="1"/>
    <col min="13831" max="13831" width="16.5703125" style="3" customWidth="1"/>
    <col min="13832" max="13832" width="14.7109375" style="3" customWidth="1"/>
    <col min="13833" max="13833" width="17.5703125" style="3" customWidth="1"/>
    <col min="13834" max="13834" width="14.7109375" style="3" customWidth="1"/>
    <col min="13835" max="13835" width="16.85546875" style="3" customWidth="1"/>
    <col min="13836" max="13836" width="1.7109375" style="3" customWidth="1"/>
    <col min="13837" max="13837" width="16.42578125" style="3" customWidth="1"/>
    <col min="13838" max="13838" width="14.7109375" style="3" customWidth="1"/>
    <col min="13839" max="13839" width="17.28515625" style="3" customWidth="1"/>
    <col min="13840" max="13840" width="14.7109375" style="3" customWidth="1"/>
    <col min="13841" max="13841" width="16.85546875" style="3" customWidth="1"/>
    <col min="13842" max="13842" width="2.42578125" style="3" customWidth="1"/>
    <col min="13843" max="13847" width="16.85546875" style="3" customWidth="1"/>
    <col min="13848" max="13848" width="13.140625" style="3" bestFit="1" customWidth="1"/>
    <col min="13849" max="13849" width="47" style="3" bestFit="1" customWidth="1"/>
    <col min="13850" max="14080" width="9.140625" style="3"/>
    <col min="14081" max="14081" width="0.85546875" style="3" customWidth="1"/>
    <col min="14082" max="14082" width="22.140625" style="3" customWidth="1"/>
    <col min="14083" max="14083" width="0.85546875" style="3" customWidth="1"/>
    <col min="14084" max="14084" width="33.5703125" style="3" customWidth="1"/>
    <col min="14085" max="14085" width="22" style="3" bestFit="1" customWidth="1"/>
    <col min="14086" max="14086" width="0.85546875" style="3" customWidth="1"/>
    <col min="14087" max="14087" width="16.5703125" style="3" customWidth="1"/>
    <col min="14088" max="14088" width="14.7109375" style="3" customWidth="1"/>
    <col min="14089" max="14089" width="17.5703125" style="3" customWidth="1"/>
    <col min="14090" max="14090" width="14.7109375" style="3" customWidth="1"/>
    <col min="14091" max="14091" width="16.85546875" style="3" customWidth="1"/>
    <col min="14092" max="14092" width="1.7109375" style="3" customWidth="1"/>
    <col min="14093" max="14093" width="16.42578125" style="3" customWidth="1"/>
    <col min="14094" max="14094" width="14.7109375" style="3" customWidth="1"/>
    <col min="14095" max="14095" width="17.28515625" style="3" customWidth="1"/>
    <col min="14096" max="14096" width="14.7109375" style="3" customWidth="1"/>
    <col min="14097" max="14097" width="16.85546875" style="3" customWidth="1"/>
    <col min="14098" max="14098" width="2.42578125" style="3" customWidth="1"/>
    <col min="14099" max="14103" width="16.85546875" style="3" customWidth="1"/>
    <col min="14104" max="14104" width="13.140625" style="3" bestFit="1" customWidth="1"/>
    <col min="14105" max="14105" width="47" style="3" bestFit="1" customWidth="1"/>
    <col min="14106" max="14336" width="9.140625" style="3"/>
    <col min="14337" max="14337" width="0.85546875" style="3" customWidth="1"/>
    <col min="14338" max="14338" width="22.140625" style="3" customWidth="1"/>
    <col min="14339" max="14339" width="0.85546875" style="3" customWidth="1"/>
    <col min="14340" max="14340" width="33.5703125" style="3" customWidth="1"/>
    <col min="14341" max="14341" width="22" style="3" bestFit="1" customWidth="1"/>
    <col min="14342" max="14342" width="0.85546875" style="3" customWidth="1"/>
    <col min="14343" max="14343" width="16.5703125" style="3" customWidth="1"/>
    <col min="14344" max="14344" width="14.7109375" style="3" customWidth="1"/>
    <col min="14345" max="14345" width="17.5703125" style="3" customWidth="1"/>
    <col min="14346" max="14346" width="14.7109375" style="3" customWidth="1"/>
    <col min="14347" max="14347" width="16.85546875" style="3" customWidth="1"/>
    <col min="14348" max="14348" width="1.7109375" style="3" customWidth="1"/>
    <col min="14349" max="14349" width="16.42578125" style="3" customWidth="1"/>
    <col min="14350" max="14350" width="14.7109375" style="3" customWidth="1"/>
    <col min="14351" max="14351" width="17.28515625" style="3" customWidth="1"/>
    <col min="14352" max="14352" width="14.7109375" style="3" customWidth="1"/>
    <col min="14353" max="14353" width="16.85546875" style="3" customWidth="1"/>
    <col min="14354" max="14354" width="2.42578125" style="3" customWidth="1"/>
    <col min="14355" max="14359" width="16.85546875" style="3" customWidth="1"/>
    <col min="14360" max="14360" width="13.140625" style="3" bestFit="1" customWidth="1"/>
    <col min="14361" max="14361" width="47" style="3" bestFit="1" customWidth="1"/>
    <col min="14362" max="14592" width="9.140625" style="3"/>
    <col min="14593" max="14593" width="0.85546875" style="3" customWidth="1"/>
    <col min="14594" max="14594" width="22.140625" style="3" customWidth="1"/>
    <col min="14595" max="14595" width="0.85546875" style="3" customWidth="1"/>
    <col min="14596" max="14596" width="33.5703125" style="3" customWidth="1"/>
    <col min="14597" max="14597" width="22" style="3" bestFit="1" customWidth="1"/>
    <col min="14598" max="14598" width="0.85546875" style="3" customWidth="1"/>
    <col min="14599" max="14599" width="16.5703125" style="3" customWidth="1"/>
    <col min="14600" max="14600" width="14.7109375" style="3" customWidth="1"/>
    <col min="14601" max="14601" width="17.5703125" style="3" customWidth="1"/>
    <col min="14602" max="14602" width="14.7109375" style="3" customWidth="1"/>
    <col min="14603" max="14603" width="16.85546875" style="3" customWidth="1"/>
    <col min="14604" max="14604" width="1.7109375" style="3" customWidth="1"/>
    <col min="14605" max="14605" width="16.42578125" style="3" customWidth="1"/>
    <col min="14606" max="14606" width="14.7109375" style="3" customWidth="1"/>
    <col min="14607" max="14607" width="17.28515625" style="3" customWidth="1"/>
    <col min="14608" max="14608" width="14.7109375" style="3" customWidth="1"/>
    <col min="14609" max="14609" width="16.85546875" style="3" customWidth="1"/>
    <col min="14610" max="14610" width="2.42578125" style="3" customWidth="1"/>
    <col min="14611" max="14615" width="16.85546875" style="3" customWidth="1"/>
    <col min="14616" max="14616" width="13.140625" style="3" bestFit="1" customWidth="1"/>
    <col min="14617" max="14617" width="47" style="3" bestFit="1" customWidth="1"/>
    <col min="14618" max="14848" width="9.140625" style="3"/>
    <col min="14849" max="14849" width="0.85546875" style="3" customWidth="1"/>
    <col min="14850" max="14850" width="22.140625" style="3" customWidth="1"/>
    <col min="14851" max="14851" width="0.85546875" style="3" customWidth="1"/>
    <col min="14852" max="14852" width="33.5703125" style="3" customWidth="1"/>
    <col min="14853" max="14853" width="22" style="3" bestFit="1" customWidth="1"/>
    <col min="14854" max="14854" width="0.85546875" style="3" customWidth="1"/>
    <col min="14855" max="14855" width="16.5703125" style="3" customWidth="1"/>
    <col min="14856" max="14856" width="14.7109375" style="3" customWidth="1"/>
    <col min="14857" max="14857" width="17.5703125" style="3" customWidth="1"/>
    <col min="14858" max="14858" width="14.7109375" style="3" customWidth="1"/>
    <col min="14859" max="14859" width="16.85546875" style="3" customWidth="1"/>
    <col min="14860" max="14860" width="1.7109375" style="3" customWidth="1"/>
    <col min="14861" max="14861" width="16.42578125" style="3" customWidth="1"/>
    <col min="14862" max="14862" width="14.7109375" style="3" customWidth="1"/>
    <col min="14863" max="14863" width="17.28515625" style="3" customWidth="1"/>
    <col min="14864" max="14864" width="14.7109375" style="3" customWidth="1"/>
    <col min="14865" max="14865" width="16.85546875" style="3" customWidth="1"/>
    <col min="14866" max="14866" width="2.42578125" style="3" customWidth="1"/>
    <col min="14867" max="14871" width="16.85546875" style="3" customWidth="1"/>
    <col min="14872" max="14872" width="13.140625" style="3" bestFit="1" customWidth="1"/>
    <col min="14873" max="14873" width="47" style="3" bestFit="1" customWidth="1"/>
    <col min="14874" max="15104" width="9.140625" style="3"/>
    <col min="15105" max="15105" width="0.85546875" style="3" customWidth="1"/>
    <col min="15106" max="15106" width="22.140625" style="3" customWidth="1"/>
    <col min="15107" max="15107" width="0.85546875" style="3" customWidth="1"/>
    <col min="15108" max="15108" width="33.5703125" style="3" customWidth="1"/>
    <col min="15109" max="15109" width="22" style="3" bestFit="1" customWidth="1"/>
    <col min="15110" max="15110" width="0.85546875" style="3" customWidth="1"/>
    <col min="15111" max="15111" width="16.5703125" style="3" customWidth="1"/>
    <col min="15112" max="15112" width="14.7109375" style="3" customWidth="1"/>
    <col min="15113" max="15113" width="17.5703125" style="3" customWidth="1"/>
    <col min="15114" max="15114" width="14.7109375" style="3" customWidth="1"/>
    <col min="15115" max="15115" width="16.85546875" style="3" customWidth="1"/>
    <col min="15116" max="15116" width="1.7109375" style="3" customWidth="1"/>
    <col min="15117" max="15117" width="16.42578125" style="3" customWidth="1"/>
    <col min="15118" max="15118" width="14.7109375" style="3" customWidth="1"/>
    <col min="15119" max="15119" width="17.28515625" style="3" customWidth="1"/>
    <col min="15120" max="15120" width="14.7109375" style="3" customWidth="1"/>
    <col min="15121" max="15121" width="16.85546875" style="3" customWidth="1"/>
    <col min="15122" max="15122" width="2.42578125" style="3" customWidth="1"/>
    <col min="15123" max="15127" width="16.85546875" style="3" customWidth="1"/>
    <col min="15128" max="15128" width="13.140625" style="3" bestFit="1" customWidth="1"/>
    <col min="15129" max="15129" width="47" style="3" bestFit="1" customWidth="1"/>
    <col min="15130" max="15360" width="9.140625" style="3"/>
    <col min="15361" max="15361" width="0.85546875" style="3" customWidth="1"/>
    <col min="15362" max="15362" width="22.140625" style="3" customWidth="1"/>
    <col min="15363" max="15363" width="0.85546875" style="3" customWidth="1"/>
    <col min="15364" max="15364" width="33.5703125" style="3" customWidth="1"/>
    <col min="15365" max="15365" width="22" style="3" bestFit="1" customWidth="1"/>
    <col min="15366" max="15366" width="0.85546875" style="3" customWidth="1"/>
    <col min="15367" max="15367" width="16.5703125" style="3" customWidth="1"/>
    <col min="15368" max="15368" width="14.7109375" style="3" customWidth="1"/>
    <col min="15369" max="15369" width="17.5703125" style="3" customWidth="1"/>
    <col min="15370" max="15370" width="14.7109375" style="3" customWidth="1"/>
    <col min="15371" max="15371" width="16.85546875" style="3" customWidth="1"/>
    <col min="15372" max="15372" width="1.7109375" style="3" customWidth="1"/>
    <col min="15373" max="15373" width="16.42578125" style="3" customWidth="1"/>
    <col min="15374" max="15374" width="14.7109375" style="3" customWidth="1"/>
    <col min="15375" max="15375" width="17.28515625" style="3" customWidth="1"/>
    <col min="15376" max="15376" width="14.7109375" style="3" customWidth="1"/>
    <col min="15377" max="15377" width="16.85546875" style="3" customWidth="1"/>
    <col min="15378" max="15378" width="2.42578125" style="3" customWidth="1"/>
    <col min="15379" max="15383" width="16.85546875" style="3" customWidth="1"/>
    <col min="15384" max="15384" width="13.140625" style="3" bestFit="1" customWidth="1"/>
    <col min="15385" max="15385" width="47" style="3" bestFit="1" customWidth="1"/>
    <col min="15386" max="15616" width="9.140625" style="3"/>
    <col min="15617" max="15617" width="0.85546875" style="3" customWidth="1"/>
    <col min="15618" max="15618" width="22.140625" style="3" customWidth="1"/>
    <col min="15619" max="15619" width="0.85546875" style="3" customWidth="1"/>
    <col min="15620" max="15620" width="33.5703125" style="3" customWidth="1"/>
    <col min="15621" max="15621" width="22" style="3" bestFit="1" customWidth="1"/>
    <col min="15622" max="15622" width="0.85546875" style="3" customWidth="1"/>
    <col min="15623" max="15623" width="16.5703125" style="3" customWidth="1"/>
    <col min="15624" max="15624" width="14.7109375" style="3" customWidth="1"/>
    <col min="15625" max="15625" width="17.5703125" style="3" customWidth="1"/>
    <col min="15626" max="15626" width="14.7109375" style="3" customWidth="1"/>
    <col min="15627" max="15627" width="16.85546875" style="3" customWidth="1"/>
    <col min="15628" max="15628" width="1.7109375" style="3" customWidth="1"/>
    <col min="15629" max="15629" width="16.42578125" style="3" customWidth="1"/>
    <col min="15630" max="15630" width="14.7109375" style="3" customWidth="1"/>
    <col min="15631" max="15631" width="17.28515625" style="3" customWidth="1"/>
    <col min="15632" max="15632" width="14.7109375" style="3" customWidth="1"/>
    <col min="15633" max="15633" width="16.85546875" style="3" customWidth="1"/>
    <col min="15634" max="15634" width="2.42578125" style="3" customWidth="1"/>
    <col min="15635" max="15639" width="16.85546875" style="3" customWidth="1"/>
    <col min="15640" max="15640" width="13.140625" style="3" bestFit="1" customWidth="1"/>
    <col min="15641" max="15641" width="47" style="3" bestFit="1" customWidth="1"/>
    <col min="15642" max="15872" width="9.140625" style="3"/>
    <col min="15873" max="15873" width="0.85546875" style="3" customWidth="1"/>
    <col min="15874" max="15874" width="22.140625" style="3" customWidth="1"/>
    <col min="15875" max="15875" width="0.85546875" style="3" customWidth="1"/>
    <col min="15876" max="15876" width="33.5703125" style="3" customWidth="1"/>
    <col min="15877" max="15877" width="22" style="3" bestFit="1" customWidth="1"/>
    <col min="15878" max="15878" width="0.85546875" style="3" customWidth="1"/>
    <col min="15879" max="15879" width="16.5703125" style="3" customWidth="1"/>
    <col min="15880" max="15880" width="14.7109375" style="3" customWidth="1"/>
    <col min="15881" max="15881" width="17.5703125" style="3" customWidth="1"/>
    <col min="15882" max="15882" width="14.7109375" style="3" customWidth="1"/>
    <col min="15883" max="15883" width="16.85546875" style="3" customWidth="1"/>
    <col min="15884" max="15884" width="1.7109375" style="3" customWidth="1"/>
    <col min="15885" max="15885" width="16.42578125" style="3" customWidth="1"/>
    <col min="15886" max="15886" width="14.7109375" style="3" customWidth="1"/>
    <col min="15887" max="15887" width="17.28515625" style="3" customWidth="1"/>
    <col min="15888" max="15888" width="14.7109375" style="3" customWidth="1"/>
    <col min="15889" max="15889" width="16.85546875" style="3" customWidth="1"/>
    <col min="15890" max="15890" width="2.42578125" style="3" customWidth="1"/>
    <col min="15891" max="15895" width="16.85546875" style="3" customWidth="1"/>
    <col min="15896" max="15896" width="13.140625" style="3" bestFit="1" customWidth="1"/>
    <col min="15897" max="15897" width="47" style="3" bestFit="1" customWidth="1"/>
    <col min="15898" max="16128" width="9.140625" style="3"/>
    <col min="16129" max="16129" width="0.85546875" style="3" customWidth="1"/>
    <col min="16130" max="16130" width="22.140625" style="3" customWidth="1"/>
    <col min="16131" max="16131" width="0.85546875" style="3" customWidth="1"/>
    <col min="16132" max="16132" width="33.5703125" style="3" customWidth="1"/>
    <col min="16133" max="16133" width="22" style="3" bestFit="1" customWidth="1"/>
    <col min="16134" max="16134" width="0.85546875" style="3" customWidth="1"/>
    <col min="16135" max="16135" width="16.5703125" style="3" customWidth="1"/>
    <col min="16136" max="16136" width="14.7109375" style="3" customWidth="1"/>
    <col min="16137" max="16137" width="17.5703125" style="3" customWidth="1"/>
    <col min="16138" max="16138" width="14.7109375" style="3" customWidth="1"/>
    <col min="16139" max="16139" width="16.85546875" style="3" customWidth="1"/>
    <col min="16140" max="16140" width="1.7109375" style="3" customWidth="1"/>
    <col min="16141" max="16141" width="16.42578125" style="3" customWidth="1"/>
    <col min="16142" max="16142" width="14.7109375" style="3" customWidth="1"/>
    <col min="16143" max="16143" width="17.28515625" style="3" customWidth="1"/>
    <col min="16144" max="16144" width="14.7109375" style="3" customWidth="1"/>
    <col min="16145" max="16145" width="16.85546875" style="3" customWidth="1"/>
    <col min="16146" max="16146" width="2.42578125" style="3" customWidth="1"/>
    <col min="16147" max="16151" width="16.85546875" style="3" customWidth="1"/>
    <col min="16152" max="16152" width="13.140625" style="3" bestFit="1" customWidth="1"/>
    <col min="16153" max="16153" width="47" style="3" bestFit="1" customWidth="1"/>
    <col min="16154" max="16384" width="9.140625" style="3"/>
  </cols>
  <sheetData>
    <row r="1" spans="2:25" x14ac:dyDescent="0.2">
      <c r="E1" s="2"/>
      <c r="F1" s="2"/>
    </row>
    <row r="2" spans="2:25" x14ac:dyDescent="0.2">
      <c r="E2" s="2"/>
      <c r="F2" s="2"/>
    </row>
    <row r="3" spans="2:25" ht="20.25" thickBot="1" x14ac:dyDescent="0.3">
      <c r="B3" s="1" t="s">
        <v>0</v>
      </c>
      <c r="C3" s="2"/>
      <c r="D3" s="2"/>
      <c r="E3" s="2"/>
      <c r="F3" s="2"/>
      <c r="G3" s="130" t="s">
        <v>140</v>
      </c>
      <c r="H3" s="130"/>
      <c r="I3" s="130"/>
      <c r="J3" s="130"/>
      <c r="K3" s="130"/>
      <c r="L3" s="5"/>
      <c r="M3" s="130" t="s">
        <v>141</v>
      </c>
      <c r="N3" s="130"/>
      <c r="O3" s="130"/>
      <c r="P3" s="130"/>
      <c r="Q3" s="130"/>
      <c r="R3" s="83"/>
      <c r="S3" s="83"/>
      <c r="T3" s="83"/>
      <c r="U3" s="83"/>
      <c r="V3" s="83"/>
      <c r="W3" s="83"/>
    </row>
    <row r="4" spans="2:25" ht="19.5" x14ac:dyDescent="0.25">
      <c r="B4" s="1" t="s">
        <v>1</v>
      </c>
      <c r="C4" s="2"/>
      <c r="D4" s="2"/>
      <c r="L4" s="5"/>
    </row>
    <row r="5" spans="2:25" x14ac:dyDescent="0.2">
      <c r="B5" s="2" t="s">
        <v>142</v>
      </c>
      <c r="C5" s="2"/>
      <c r="D5" s="2"/>
      <c r="G5" s="7" t="s">
        <v>4</v>
      </c>
      <c r="H5" s="7" t="s">
        <v>5</v>
      </c>
      <c r="I5" s="7" t="s">
        <v>6</v>
      </c>
      <c r="J5" s="7" t="s">
        <v>7</v>
      </c>
      <c r="K5" s="7" t="s">
        <v>8</v>
      </c>
      <c r="L5" s="5"/>
      <c r="M5" s="7" t="s">
        <v>4</v>
      </c>
      <c r="N5" s="7" t="s">
        <v>5</v>
      </c>
      <c r="O5" s="7" t="s">
        <v>6</v>
      </c>
      <c r="P5" s="7" t="s">
        <v>7</v>
      </c>
      <c r="Q5" s="7" t="s">
        <v>8</v>
      </c>
      <c r="R5" s="7"/>
      <c r="S5" s="7"/>
      <c r="T5" s="7"/>
      <c r="U5" s="7"/>
      <c r="V5" s="7"/>
      <c r="W5" s="7"/>
    </row>
    <row r="6" spans="2:25"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c r="W6" s="7"/>
    </row>
    <row r="7" spans="2:25" x14ac:dyDescent="0.2">
      <c r="D7" s="81"/>
      <c r="E7" s="15"/>
      <c r="G7" s="7"/>
      <c r="H7" s="7" t="s">
        <v>14</v>
      </c>
      <c r="I7" s="7"/>
      <c r="J7" s="7"/>
      <c r="K7" s="7"/>
      <c r="L7" s="5"/>
      <c r="M7" s="7"/>
      <c r="N7" s="7" t="s">
        <v>14</v>
      </c>
      <c r="O7" s="7"/>
      <c r="P7" s="7"/>
      <c r="Q7" s="7"/>
      <c r="R7" s="7"/>
      <c r="S7" s="7"/>
      <c r="T7" s="7"/>
      <c r="U7" s="7"/>
      <c r="V7" s="7"/>
      <c r="W7" s="7"/>
    </row>
    <row r="8" spans="2:25" ht="13.5" thickBot="1" x14ac:dyDescent="0.25">
      <c r="B8" s="2"/>
      <c r="E8" s="15"/>
      <c r="G8" s="8" t="s">
        <v>15</v>
      </c>
      <c r="H8" s="8" t="s">
        <v>16</v>
      </c>
      <c r="I8" s="8" t="s">
        <v>17</v>
      </c>
      <c r="J8" s="8"/>
      <c r="K8" s="8" t="s">
        <v>18</v>
      </c>
      <c r="L8" s="5"/>
      <c r="M8" s="8" t="s">
        <v>15</v>
      </c>
      <c r="N8" s="8" t="s">
        <v>16</v>
      </c>
      <c r="O8" s="8" t="s">
        <v>17</v>
      </c>
      <c r="P8" s="8"/>
      <c r="Q8" s="8" t="s">
        <v>18</v>
      </c>
      <c r="R8" s="84"/>
      <c r="S8" s="84"/>
      <c r="T8" s="84"/>
      <c r="U8" s="84"/>
      <c r="V8" s="84"/>
      <c r="W8" s="84"/>
    </row>
    <row r="9" spans="2:25" ht="5.0999999999999996" customHeight="1" x14ac:dyDescent="0.2">
      <c r="B9" s="2"/>
      <c r="E9" s="15"/>
      <c r="G9" s="9"/>
      <c r="H9" s="9"/>
      <c r="I9" s="9"/>
      <c r="J9" s="9"/>
      <c r="K9" s="9"/>
      <c r="L9" s="5"/>
      <c r="M9" s="9"/>
      <c r="N9" s="9"/>
      <c r="O9" s="9"/>
      <c r="P9" s="9"/>
      <c r="Q9" s="9"/>
      <c r="R9" s="9"/>
      <c r="S9" s="9"/>
      <c r="T9" s="9"/>
      <c r="U9" s="9"/>
      <c r="V9" s="9"/>
      <c r="W9" s="9"/>
    </row>
    <row r="10" spans="2:25" ht="15" thickBot="1" x14ac:dyDescent="0.25">
      <c r="B10" s="6" t="s">
        <v>3</v>
      </c>
      <c r="D10" s="3" t="s">
        <v>19</v>
      </c>
      <c r="E10" s="18" t="s">
        <v>20</v>
      </c>
      <c r="G10" s="11">
        <v>99612</v>
      </c>
      <c r="H10" s="11">
        <v>22136</v>
      </c>
      <c r="I10" s="11">
        <v>101950</v>
      </c>
      <c r="J10" s="12">
        <v>0</v>
      </c>
      <c r="K10" s="11">
        <f>SUM(G10:J10)</f>
        <v>223698</v>
      </c>
      <c r="L10" s="5"/>
      <c r="M10" s="11">
        <v>0</v>
      </c>
      <c r="N10" s="11">
        <v>0</v>
      </c>
      <c r="O10" s="11">
        <v>0</v>
      </c>
      <c r="P10" s="12">
        <v>0</v>
      </c>
      <c r="Q10" s="12">
        <f>SUM(M10:P10)</f>
        <v>0</v>
      </c>
      <c r="R10" s="12"/>
      <c r="S10" s="12"/>
      <c r="T10" s="12"/>
      <c r="U10" s="12"/>
      <c r="V10" s="12"/>
      <c r="W10" s="12"/>
    </row>
    <row r="11" spans="2:25" x14ac:dyDescent="0.2">
      <c r="B11" s="2" t="s">
        <v>9</v>
      </c>
      <c r="E11" s="18" t="s">
        <v>21</v>
      </c>
      <c r="G11" s="13">
        <v>2856.7</v>
      </c>
      <c r="H11" s="13">
        <v>636.70000000000005</v>
      </c>
      <c r="I11" s="13">
        <v>3131.7</v>
      </c>
      <c r="J11" s="14">
        <v>0</v>
      </c>
      <c r="K11" s="13">
        <f>SUM(G11:J11)</f>
        <v>6625.0999999999995</v>
      </c>
      <c r="L11" s="5"/>
      <c r="M11" s="13">
        <f>G11</f>
        <v>2856.7</v>
      </c>
      <c r="N11" s="13">
        <f>H11</f>
        <v>636.70000000000005</v>
      </c>
      <c r="O11" s="13">
        <f>I11</f>
        <v>3131.7</v>
      </c>
      <c r="P11" s="14">
        <v>0</v>
      </c>
      <c r="Q11" s="14">
        <f>SUM(M11:P11)</f>
        <v>6625.0999999999995</v>
      </c>
      <c r="R11" s="85"/>
      <c r="S11" s="85"/>
      <c r="T11" s="85"/>
      <c r="U11" s="85"/>
      <c r="V11" s="85"/>
      <c r="W11" s="85"/>
    </row>
    <row r="12" spans="2:25" x14ac:dyDescent="0.2">
      <c r="E12" s="18"/>
      <c r="G12" s="15"/>
      <c r="H12" s="15"/>
      <c r="I12" s="15"/>
      <c r="K12" s="15"/>
      <c r="L12" s="5"/>
      <c r="M12" s="15"/>
      <c r="N12" s="15"/>
      <c r="O12" s="15"/>
    </row>
    <row r="13" spans="2:25" ht="13.5" thickBot="1" x14ac:dyDescent="0.25">
      <c r="D13" s="3" t="s">
        <v>22</v>
      </c>
      <c r="E13" s="18" t="s">
        <v>20</v>
      </c>
      <c r="G13" s="11">
        <v>305854</v>
      </c>
      <c r="H13" s="11">
        <v>66433</v>
      </c>
      <c r="I13" s="11">
        <v>303790</v>
      </c>
      <c r="J13" s="12">
        <v>0</v>
      </c>
      <c r="K13" s="11">
        <f>SUM(G13:J13)</f>
        <v>676077</v>
      </c>
      <c r="L13" s="5"/>
      <c r="M13" s="11">
        <f>G13</f>
        <v>305854</v>
      </c>
      <c r="N13" s="11">
        <f>H13</f>
        <v>66433</v>
      </c>
      <c r="O13" s="11">
        <f>I13</f>
        <v>303790</v>
      </c>
      <c r="P13" s="11">
        <f>J13</f>
        <v>0</v>
      </c>
      <c r="Q13" s="12">
        <f>SUM(M13:P13)</f>
        <v>676077</v>
      </c>
      <c r="R13" s="12"/>
      <c r="S13" s="12"/>
      <c r="T13" s="12"/>
      <c r="U13" s="12"/>
      <c r="V13" s="12"/>
      <c r="W13" s="12"/>
    </row>
    <row r="14" spans="2:25" ht="13.5" thickBot="1" x14ac:dyDescent="0.25">
      <c r="E14" s="18" t="s">
        <v>21</v>
      </c>
      <c r="G14" s="13">
        <v>11024</v>
      </c>
      <c r="H14" s="13">
        <v>2343.6999999999998</v>
      </c>
      <c r="I14" s="13">
        <v>10748</v>
      </c>
      <c r="J14" s="14">
        <v>0</v>
      </c>
      <c r="K14" s="13">
        <f>SUM(G14:J14)</f>
        <v>24115.7</v>
      </c>
      <c r="L14" s="5"/>
      <c r="M14" s="13">
        <f>G14</f>
        <v>11024</v>
      </c>
      <c r="N14" s="13">
        <f>H14</f>
        <v>2343.6999999999998</v>
      </c>
      <c r="O14" s="13">
        <f>I14</f>
        <v>10748</v>
      </c>
      <c r="P14" s="14">
        <v>0</v>
      </c>
      <c r="Q14" s="14">
        <f>SUM(M14:P14)</f>
        <v>24115.7</v>
      </c>
      <c r="R14" s="85"/>
      <c r="S14" s="85"/>
      <c r="T14" s="85"/>
      <c r="U14" s="85"/>
      <c r="V14" s="85"/>
      <c r="W14" s="85"/>
    </row>
    <row r="15" spans="2:25" x14ac:dyDescent="0.2">
      <c r="E15" s="15"/>
      <c r="G15" s="15"/>
      <c r="H15" s="15"/>
      <c r="I15" s="15"/>
      <c r="K15" s="15"/>
      <c r="L15" s="5"/>
      <c r="M15" s="15"/>
      <c r="N15" s="15"/>
      <c r="O15" s="15"/>
      <c r="Y15" s="16" t="s">
        <v>87</v>
      </c>
    </row>
    <row r="16" spans="2:25" x14ac:dyDescent="0.2">
      <c r="D16" s="3" t="s">
        <v>23</v>
      </c>
      <c r="E16" s="18" t="s">
        <v>24</v>
      </c>
      <c r="G16" s="11">
        <v>53158</v>
      </c>
      <c r="H16" s="11">
        <v>11813</v>
      </c>
      <c r="I16" s="11">
        <v>1791</v>
      </c>
      <c r="J16" s="12">
        <v>0</v>
      </c>
      <c r="K16" s="11">
        <f t="shared" ref="K16:K22" si="0">SUM(G16:J16)</f>
        <v>66762</v>
      </c>
      <c r="L16" s="5"/>
      <c r="M16" s="11">
        <v>0</v>
      </c>
      <c r="N16" s="11">
        <v>0</v>
      </c>
      <c r="O16" s="11">
        <v>0</v>
      </c>
      <c r="P16" s="12">
        <v>0</v>
      </c>
      <c r="Q16" s="12">
        <f t="shared" ref="Q16:Q21" si="1">SUM(M16:P16)</f>
        <v>0</v>
      </c>
      <c r="R16" s="12"/>
      <c r="S16" s="12"/>
      <c r="T16" s="12"/>
      <c r="U16" s="12"/>
      <c r="V16" s="12"/>
      <c r="W16" s="12"/>
      <c r="Y16" s="17"/>
    </row>
    <row r="17" spans="2:25" x14ac:dyDescent="0.2">
      <c r="D17" s="3" t="s">
        <v>25</v>
      </c>
      <c r="E17" s="18" t="s">
        <v>26</v>
      </c>
      <c r="G17" s="11">
        <v>34879</v>
      </c>
      <c r="H17" s="11">
        <v>7576</v>
      </c>
      <c r="I17" s="11">
        <v>13198</v>
      </c>
      <c r="J17" s="12">
        <v>0</v>
      </c>
      <c r="K17" s="11">
        <f t="shared" si="0"/>
        <v>55653</v>
      </c>
      <c r="L17" s="5"/>
      <c r="M17" s="11">
        <f>G17</f>
        <v>34879</v>
      </c>
      <c r="N17" s="11">
        <f>H17</f>
        <v>7576</v>
      </c>
      <c r="O17" s="11">
        <f>I17</f>
        <v>13198</v>
      </c>
      <c r="P17" s="11">
        <f>J17</f>
        <v>0</v>
      </c>
      <c r="Q17" s="12">
        <f t="shared" si="1"/>
        <v>55653</v>
      </c>
      <c r="R17" s="12"/>
      <c r="S17" s="12"/>
      <c r="T17" s="12"/>
      <c r="U17" s="12"/>
      <c r="V17" s="12"/>
      <c r="W17" s="12"/>
      <c r="Y17" s="17" t="s">
        <v>88</v>
      </c>
    </row>
    <row r="18" spans="2:25" x14ac:dyDescent="0.2">
      <c r="E18" s="18" t="s">
        <v>27</v>
      </c>
      <c r="G18" s="11">
        <f>(-621)+10</f>
        <v>-611</v>
      </c>
      <c r="H18" s="11">
        <f>(-154)+2</f>
        <v>-152</v>
      </c>
      <c r="I18" s="11">
        <f>(-1204)+0</f>
        <v>-1204</v>
      </c>
      <c r="J18" s="12">
        <v>0</v>
      </c>
      <c r="K18" s="11">
        <f t="shared" si="0"/>
        <v>-1967</v>
      </c>
      <c r="L18" s="5"/>
      <c r="M18" s="11">
        <v>0</v>
      </c>
      <c r="N18" s="11">
        <v>0</v>
      </c>
      <c r="O18" s="11">
        <v>0</v>
      </c>
      <c r="P18" s="12">
        <v>0</v>
      </c>
      <c r="Q18" s="12">
        <f t="shared" si="1"/>
        <v>0</v>
      </c>
      <c r="R18" s="12"/>
      <c r="S18" s="12"/>
      <c r="T18" s="12"/>
      <c r="U18" s="12"/>
      <c r="V18" s="12"/>
      <c r="W18" s="12"/>
      <c r="Y18" s="19">
        <f>395196+21379</f>
        <v>416575</v>
      </c>
    </row>
    <row r="19" spans="2:25" x14ac:dyDescent="0.2">
      <c r="E19" s="18" t="s">
        <v>28</v>
      </c>
      <c r="G19" s="95">
        <v>-10006</v>
      </c>
      <c r="H19" s="11">
        <v>-2424</v>
      </c>
      <c r="I19" s="11">
        <v>-10858</v>
      </c>
      <c r="J19" s="12">
        <v>0</v>
      </c>
      <c r="K19" s="11">
        <f t="shared" si="0"/>
        <v>-23288</v>
      </c>
      <c r="L19" s="5"/>
      <c r="M19" s="11">
        <v>0</v>
      </c>
      <c r="N19" s="11">
        <v>0</v>
      </c>
      <c r="O19" s="11">
        <v>0</v>
      </c>
      <c r="P19" s="12">
        <v>0</v>
      </c>
      <c r="Q19" s="12">
        <f t="shared" si="1"/>
        <v>0</v>
      </c>
      <c r="R19" s="12"/>
      <c r="S19" s="12"/>
      <c r="T19" s="12"/>
      <c r="U19" s="12"/>
      <c r="V19" s="12"/>
      <c r="W19" s="12"/>
      <c r="Y19" s="17"/>
    </row>
    <row r="20" spans="2:25" x14ac:dyDescent="0.2">
      <c r="E20" s="18" t="s">
        <v>29</v>
      </c>
      <c r="G20" s="11">
        <v>436407</v>
      </c>
      <c r="H20" s="11">
        <v>41687</v>
      </c>
      <c r="I20" s="11">
        <v>0</v>
      </c>
      <c r="J20" s="12">
        <v>0</v>
      </c>
      <c r="K20" s="11">
        <f t="shared" si="0"/>
        <v>478094</v>
      </c>
      <c r="L20" s="5"/>
      <c r="M20" s="11">
        <f>G20</f>
        <v>436407</v>
      </c>
      <c r="N20" s="11">
        <f>H20</f>
        <v>41687</v>
      </c>
      <c r="O20" s="11">
        <f>I20</f>
        <v>0</v>
      </c>
      <c r="P20" s="11">
        <f>J20</f>
        <v>0</v>
      </c>
      <c r="Q20" s="12">
        <f t="shared" si="1"/>
        <v>478094</v>
      </c>
      <c r="R20" s="12"/>
      <c r="S20" s="12"/>
      <c r="T20" s="12"/>
      <c r="U20" s="12"/>
      <c r="V20" s="12"/>
      <c r="W20" s="12"/>
      <c r="Y20" s="17" t="s">
        <v>89</v>
      </c>
    </row>
    <row r="21" spans="2:25" x14ac:dyDescent="0.2">
      <c r="E21" s="18" t="s">
        <v>30</v>
      </c>
      <c r="G21" s="21">
        <f>(-5821)+1805</f>
        <v>-4016</v>
      </c>
      <c r="H21" s="21">
        <f>(-1373)+0</f>
        <v>-1373</v>
      </c>
      <c r="I21" s="21">
        <f>(-4963)+0</f>
        <v>-4963</v>
      </c>
      <c r="J21" s="22">
        <v>0</v>
      </c>
      <c r="K21" s="21">
        <f t="shared" si="0"/>
        <v>-10352</v>
      </c>
      <c r="L21" s="5"/>
      <c r="M21" s="11">
        <v>0</v>
      </c>
      <c r="N21" s="11">
        <v>0</v>
      </c>
      <c r="O21" s="11">
        <v>0</v>
      </c>
      <c r="P21" s="12">
        <v>0</v>
      </c>
      <c r="Q21" s="12">
        <f t="shared" si="1"/>
        <v>0</v>
      </c>
      <c r="R21" s="12"/>
      <c r="S21" s="12"/>
      <c r="T21" s="12"/>
      <c r="U21" s="12"/>
      <c r="V21" s="12"/>
      <c r="W21" s="12"/>
      <c r="Y21" s="19">
        <f>31030+1679</f>
        <v>32709</v>
      </c>
    </row>
    <row r="22" spans="2:25" x14ac:dyDescent="0.2">
      <c r="D22" s="2" t="s">
        <v>31</v>
      </c>
      <c r="E22" s="18"/>
      <c r="G22" s="23">
        <f>G10+G13+SUM(G16:G21)</f>
        <v>915277</v>
      </c>
      <c r="H22" s="23">
        <f>H10+H13+SUM(H16:H21)</f>
        <v>145696</v>
      </c>
      <c r="I22" s="23">
        <f>I10+I13+SUM(I16:I21)</f>
        <v>403704</v>
      </c>
      <c r="J22" s="24">
        <f>J10+J13+SUM(J16:J21)</f>
        <v>0</v>
      </c>
      <c r="K22" s="23">
        <f t="shared" si="0"/>
        <v>1464677</v>
      </c>
      <c r="L22" s="5"/>
      <c r="M22" s="25">
        <f>M10+M13+SUM(M16:M21)</f>
        <v>777140</v>
      </c>
      <c r="N22" s="25">
        <f>N10+N13+SUM(N16:N21)</f>
        <v>115696</v>
      </c>
      <c r="O22" s="25">
        <f>O10+O13+SUM(O16:O21)</f>
        <v>316988</v>
      </c>
      <c r="P22" s="26">
        <f>P10+P13+SUM(P16:P21)</f>
        <v>0</v>
      </c>
      <c r="Q22" s="26">
        <f>Q10+Q13+SUM(Q16:Q21)</f>
        <v>1209824</v>
      </c>
      <c r="R22" s="86"/>
      <c r="S22" s="86"/>
      <c r="T22" s="86"/>
      <c r="U22" s="86"/>
      <c r="V22" s="86"/>
      <c r="W22" s="86"/>
      <c r="Y22" s="17"/>
    </row>
    <row r="23" spans="2:25" x14ac:dyDescent="0.2">
      <c r="E23" s="18"/>
      <c r="G23" s="11"/>
      <c r="H23" s="11"/>
      <c r="I23" s="11"/>
      <c r="J23" s="12"/>
      <c r="K23" s="11"/>
      <c r="L23" s="5"/>
      <c r="M23" s="27"/>
      <c r="N23" s="11"/>
      <c r="O23" s="11"/>
      <c r="P23" s="12"/>
      <c r="Q23" s="12"/>
      <c r="R23" s="12"/>
      <c r="S23" s="12"/>
      <c r="T23" s="12"/>
      <c r="U23" s="12"/>
      <c r="V23" s="12"/>
      <c r="W23" s="12"/>
      <c r="Y23" s="17" t="s">
        <v>90</v>
      </c>
    </row>
    <row r="24" spans="2:25" ht="13.5" thickBot="1" x14ac:dyDescent="0.25">
      <c r="B24" s="2" t="s">
        <v>32</v>
      </c>
      <c r="E24" s="18" t="s">
        <v>33</v>
      </c>
      <c r="G24" s="21">
        <v>118958</v>
      </c>
      <c r="H24" s="21">
        <v>25486</v>
      </c>
      <c r="I24" s="21">
        <v>119757</v>
      </c>
      <c r="J24" s="22">
        <v>0</v>
      </c>
      <c r="K24" s="21">
        <f>SUM(G24:J24)</f>
        <v>264201</v>
      </c>
      <c r="L24" s="5"/>
      <c r="M24" s="21">
        <f>$Q$24*G$141</f>
        <v>12179.134710269676</v>
      </c>
      <c r="N24" s="21">
        <f>$Q$24*H$141</f>
        <v>1966.3627013166201</v>
      </c>
      <c r="O24" s="21">
        <f>$Q$24*I$141</f>
        <v>6599.267658329085</v>
      </c>
      <c r="P24" s="21">
        <v>0</v>
      </c>
      <c r="Q24" s="21">
        <f>K24*Y24</f>
        <v>20744.765069915382</v>
      </c>
      <c r="R24" s="29"/>
      <c r="S24" s="29"/>
      <c r="T24" s="29"/>
      <c r="U24" s="29"/>
      <c r="V24" s="29"/>
      <c r="W24" s="29"/>
      <c r="Y24" s="28">
        <f>Y21/Y18</f>
        <v>7.8518874152313511E-2</v>
      </c>
    </row>
    <row r="25" spans="2:25" x14ac:dyDescent="0.2">
      <c r="B25" s="2"/>
      <c r="D25" s="2" t="s">
        <v>34</v>
      </c>
      <c r="E25" s="18"/>
      <c r="G25" s="23">
        <f>SUM(G24)</f>
        <v>118958</v>
      </c>
      <c r="H25" s="23">
        <f>SUM(H24)</f>
        <v>25486</v>
      </c>
      <c r="I25" s="23">
        <f>SUM(I24)</f>
        <v>119757</v>
      </c>
      <c r="J25" s="24">
        <f>SUM(J24)</f>
        <v>0</v>
      </c>
      <c r="K25" s="23">
        <f>SUM(G25:J25)</f>
        <v>264201</v>
      </c>
      <c r="L25" s="5"/>
      <c r="M25" s="23">
        <f>SUM(M24)</f>
        <v>12179.134710269676</v>
      </c>
      <c r="N25" s="23">
        <f>SUM(N24)</f>
        <v>1966.3627013166201</v>
      </c>
      <c r="O25" s="23">
        <f>SUM(O24)</f>
        <v>6599.267658329085</v>
      </c>
      <c r="P25" s="24">
        <f>SUM(P24)</f>
        <v>0</v>
      </c>
      <c r="Q25" s="24">
        <f>SUM(M25:P25)</f>
        <v>20744.765069915382</v>
      </c>
      <c r="R25" s="24"/>
      <c r="S25" s="24"/>
      <c r="T25" s="24"/>
      <c r="U25" s="24"/>
      <c r="V25" s="24"/>
      <c r="W25" s="24"/>
    </row>
    <row r="26" spans="2:25" x14ac:dyDescent="0.2">
      <c r="B26" s="2"/>
      <c r="E26" s="15"/>
      <c r="G26" s="15"/>
      <c r="H26" s="15"/>
      <c r="I26" s="15"/>
      <c r="K26" s="15"/>
      <c r="L26" s="5"/>
      <c r="M26" s="15"/>
      <c r="N26" s="15"/>
      <c r="O26" s="15"/>
    </row>
    <row r="27" spans="2:25" x14ac:dyDescent="0.2">
      <c r="B27" s="2" t="s">
        <v>35</v>
      </c>
      <c r="E27" s="18" t="s">
        <v>36</v>
      </c>
      <c r="F27" s="15"/>
      <c r="G27" s="11">
        <v>2278</v>
      </c>
      <c r="H27" s="11">
        <v>480</v>
      </c>
      <c r="I27" s="11">
        <v>2372</v>
      </c>
      <c r="J27" s="12">
        <v>0</v>
      </c>
      <c r="K27" s="11">
        <f t="shared" ref="K27:K32" si="2">SUM(G27:J27)</f>
        <v>5130</v>
      </c>
      <c r="L27" s="5"/>
      <c r="M27" s="29">
        <v>0</v>
      </c>
      <c r="N27" s="29">
        <v>0</v>
      </c>
      <c r="O27" s="29">
        <v>0</v>
      </c>
      <c r="P27" s="12">
        <v>0</v>
      </c>
      <c r="Q27" s="12">
        <f t="shared" ref="Q27:Q32" si="3">SUM(M27:P27)</f>
        <v>0</v>
      </c>
      <c r="R27" s="12"/>
      <c r="S27" s="12"/>
      <c r="T27" s="12"/>
      <c r="U27" s="12"/>
      <c r="V27" s="12"/>
      <c r="W27" s="12"/>
    </row>
    <row r="28" spans="2:25" x14ac:dyDescent="0.2">
      <c r="B28" s="2"/>
      <c r="E28" s="18" t="s">
        <v>37</v>
      </c>
      <c r="G28" s="11">
        <v>6861</v>
      </c>
      <c r="H28" s="11">
        <v>1519</v>
      </c>
      <c r="I28" s="11">
        <f>6835-1</f>
        <v>6834</v>
      </c>
      <c r="J28" s="12">
        <v>0</v>
      </c>
      <c r="K28" s="11">
        <f t="shared" si="2"/>
        <v>15214</v>
      </c>
      <c r="L28" s="5"/>
      <c r="M28" s="11">
        <f>G28</f>
        <v>6861</v>
      </c>
      <c r="N28" s="11">
        <f>H28</f>
        <v>1519</v>
      </c>
      <c r="O28" s="11">
        <f>I28</f>
        <v>6834</v>
      </c>
      <c r="P28" s="11">
        <f>J28</f>
        <v>0</v>
      </c>
      <c r="Q28" s="12">
        <f t="shared" si="3"/>
        <v>15214</v>
      </c>
      <c r="R28" s="12"/>
      <c r="S28" s="12"/>
      <c r="T28" s="12"/>
      <c r="U28" s="12"/>
      <c r="V28" s="12"/>
      <c r="W28" s="12"/>
    </row>
    <row r="29" spans="2:25" x14ac:dyDescent="0.2">
      <c r="B29" s="2"/>
      <c r="E29" s="15" t="s">
        <v>38</v>
      </c>
      <c r="G29" s="11">
        <v>0</v>
      </c>
      <c r="H29" s="11">
        <v>0</v>
      </c>
      <c r="I29" s="11">
        <v>1047</v>
      </c>
      <c r="J29" s="12">
        <v>0</v>
      </c>
      <c r="K29" s="11">
        <f t="shared" si="2"/>
        <v>1047</v>
      </c>
      <c r="L29" s="5"/>
      <c r="M29" s="11">
        <v>0</v>
      </c>
      <c r="N29" s="11">
        <v>0</v>
      </c>
      <c r="O29" s="11">
        <v>0</v>
      </c>
      <c r="P29" s="12">
        <v>0</v>
      </c>
      <c r="Q29" s="12">
        <f t="shared" si="3"/>
        <v>0</v>
      </c>
      <c r="R29" s="12"/>
      <c r="S29" s="12"/>
      <c r="T29" s="12"/>
      <c r="U29" s="12"/>
      <c r="V29" s="12"/>
      <c r="W29" s="12"/>
    </row>
    <row r="30" spans="2:25" x14ac:dyDescent="0.2">
      <c r="B30" s="2"/>
      <c r="E30" s="18" t="s">
        <v>39</v>
      </c>
      <c r="G30" s="11">
        <v>75809</v>
      </c>
      <c r="H30" s="11">
        <v>16636</v>
      </c>
      <c r="I30" s="11">
        <v>76694</v>
      </c>
      <c r="J30" s="12">
        <v>0</v>
      </c>
      <c r="K30" s="11">
        <f t="shared" si="2"/>
        <v>169139</v>
      </c>
      <c r="L30" s="5"/>
      <c r="M30" s="11">
        <f t="shared" ref="M30:P31" si="4">G30</f>
        <v>75809</v>
      </c>
      <c r="N30" s="11">
        <f t="shared" si="4"/>
        <v>16636</v>
      </c>
      <c r="O30" s="11">
        <f t="shared" si="4"/>
        <v>76694</v>
      </c>
      <c r="P30" s="11">
        <f t="shared" si="4"/>
        <v>0</v>
      </c>
      <c r="Q30" s="12">
        <f t="shared" si="3"/>
        <v>169139</v>
      </c>
      <c r="R30" s="12"/>
      <c r="S30" s="12"/>
      <c r="T30" s="12"/>
      <c r="U30" s="12"/>
      <c r="V30" s="12"/>
      <c r="W30" s="12"/>
    </row>
    <row r="31" spans="2:25" x14ac:dyDescent="0.2">
      <c r="B31" s="2"/>
      <c r="E31" s="18" t="s">
        <v>40</v>
      </c>
      <c r="G31" s="21">
        <v>190</v>
      </c>
      <c r="H31" s="21">
        <v>42</v>
      </c>
      <c r="I31" s="21">
        <f>190</f>
        <v>190</v>
      </c>
      <c r="J31" s="22">
        <v>0</v>
      </c>
      <c r="K31" s="21">
        <f t="shared" si="2"/>
        <v>422</v>
      </c>
      <c r="L31" s="5"/>
      <c r="M31" s="21">
        <f t="shared" si="4"/>
        <v>190</v>
      </c>
      <c r="N31" s="21">
        <f t="shared" si="4"/>
        <v>42</v>
      </c>
      <c r="O31" s="21">
        <f t="shared" si="4"/>
        <v>190</v>
      </c>
      <c r="P31" s="21">
        <f t="shared" si="4"/>
        <v>0</v>
      </c>
      <c r="Q31" s="22">
        <f t="shared" si="3"/>
        <v>422</v>
      </c>
      <c r="R31" s="82"/>
      <c r="S31" s="82"/>
      <c r="T31" s="82"/>
      <c r="U31" s="82"/>
      <c r="V31" s="82"/>
      <c r="W31" s="82"/>
    </row>
    <row r="32" spans="2:25" x14ac:dyDescent="0.2">
      <c r="B32" s="2"/>
      <c r="D32" s="2" t="s">
        <v>41</v>
      </c>
      <c r="E32" s="15"/>
      <c r="G32" s="24">
        <f>SUM(G27:G31)</f>
        <v>85138</v>
      </c>
      <c r="H32" s="24">
        <f>SUM(H27:H31)</f>
        <v>18677</v>
      </c>
      <c r="I32" s="24">
        <f>SUM(I27:I31)</f>
        <v>87137</v>
      </c>
      <c r="J32" s="24">
        <f>SUM(J27:J31)</f>
        <v>0</v>
      </c>
      <c r="K32" s="23">
        <f t="shared" si="2"/>
        <v>190952</v>
      </c>
      <c r="L32" s="5"/>
      <c r="M32" s="23">
        <f>SUM(M27:M31)</f>
        <v>82860</v>
      </c>
      <c r="N32" s="23">
        <f>SUM(N27:N31)</f>
        <v>18197</v>
      </c>
      <c r="O32" s="23">
        <f>SUM(O27:O31)</f>
        <v>83718</v>
      </c>
      <c r="P32" s="24">
        <f>SUM(P27:P31)</f>
        <v>0</v>
      </c>
      <c r="Q32" s="24">
        <f t="shared" si="3"/>
        <v>184775</v>
      </c>
      <c r="R32" s="24"/>
      <c r="S32" s="24"/>
      <c r="T32" s="24"/>
      <c r="U32" s="24"/>
      <c r="V32" s="24"/>
      <c r="W32" s="24"/>
    </row>
    <row r="33" spans="2:23" x14ac:dyDescent="0.2">
      <c r="B33" s="2"/>
      <c r="E33" s="15"/>
      <c r="K33" s="15"/>
      <c r="L33" s="5"/>
    </row>
    <row r="34" spans="2:23" x14ac:dyDescent="0.2">
      <c r="B34" s="2" t="s">
        <v>42</v>
      </c>
      <c r="D34" s="2" t="s">
        <v>43</v>
      </c>
      <c r="E34" s="15" t="s">
        <v>44</v>
      </c>
      <c r="G34" s="11">
        <v>144958</v>
      </c>
      <c r="H34" s="11">
        <v>0</v>
      </c>
      <c r="I34" s="11">
        <v>0</v>
      </c>
      <c r="J34" s="11">
        <v>0</v>
      </c>
      <c r="K34" s="11">
        <f>SUM(G34:J34)</f>
        <v>144958</v>
      </c>
      <c r="L34" s="5"/>
      <c r="M34" s="12">
        <f t="shared" ref="M34:P35" si="5">G34</f>
        <v>144958</v>
      </c>
      <c r="N34" s="12">
        <f t="shared" si="5"/>
        <v>0</v>
      </c>
      <c r="O34" s="12">
        <f t="shared" si="5"/>
        <v>0</v>
      </c>
      <c r="P34" s="12">
        <f t="shared" si="5"/>
        <v>0</v>
      </c>
      <c r="Q34" s="12">
        <f>SUM(M34:P34)</f>
        <v>144958</v>
      </c>
      <c r="R34" s="12"/>
      <c r="S34" s="12"/>
      <c r="T34" s="12"/>
      <c r="U34" s="12"/>
      <c r="V34" s="12"/>
      <c r="W34" s="12"/>
    </row>
    <row r="35" spans="2:23" x14ac:dyDescent="0.2">
      <c r="B35" s="2" t="s">
        <v>45</v>
      </c>
      <c r="D35" s="2" t="s">
        <v>46</v>
      </c>
      <c r="E35" s="15" t="s">
        <v>47</v>
      </c>
      <c r="G35" s="11">
        <v>18414</v>
      </c>
      <c r="H35" s="11">
        <v>0</v>
      </c>
      <c r="I35" s="11">
        <v>0</v>
      </c>
      <c r="J35" s="11">
        <v>0</v>
      </c>
      <c r="K35" s="11">
        <f>SUM(G35:J35)</f>
        <v>18414</v>
      </c>
      <c r="L35" s="5"/>
      <c r="M35" s="12">
        <f t="shared" si="5"/>
        <v>18414</v>
      </c>
      <c r="N35" s="12">
        <f t="shared" si="5"/>
        <v>0</v>
      </c>
      <c r="O35" s="12">
        <f t="shared" si="5"/>
        <v>0</v>
      </c>
      <c r="P35" s="12">
        <f t="shared" si="5"/>
        <v>0</v>
      </c>
      <c r="Q35" s="12">
        <f>SUM(M35:P35)</f>
        <v>18414</v>
      </c>
      <c r="R35" s="12"/>
      <c r="S35" s="12"/>
      <c r="T35" s="12"/>
      <c r="U35" s="12"/>
      <c r="V35" s="12"/>
      <c r="W35" s="12"/>
    </row>
    <row r="36" spans="2:23" x14ac:dyDescent="0.2">
      <c r="D36" s="2"/>
      <c r="G36" s="15"/>
      <c r="H36" s="15"/>
      <c r="I36" s="15"/>
      <c r="J36" s="15"/>
      <c r="K36" s="15"/>
      <c r="L36" s="5"/>
      <c r="Q36" s="12"/>
      <c r="R36" s="12"/>
      <c r="S36" s="12"/>
      <c r="T36" s="12"/>
      <c r="U36" s="12"/>
      <c r="V36" s="12"/>
      <c r="W36" s="12"/>
    </row>
    <row r="37" spans="2:23" x14ac:dyDescent="0.2">
      <c r="D37" s="2" t="s">
        <v>48</v>
      </c>
      <c r="E37" s="3" t="s">
        <v>49</v>
      </c>
      <c r="G37" s="11">
        <v>191452</v>
      </c>
      <c r="H37" s="11"/>
      <c r="I37" s="11">
        <v>0</v>
      </c>
      <c r="J37" s="11">
        <v>0</v>
      </c>
      <c r="K37" s="11">
        <f>SUM(G37:J37)</f>
        <v>191452</v>
      </c>
      <c r="L37" s="5"/>
      <c r="M37" s="12">
        <f t="shared" ref="M37:P40" si="6">G37</f>
        <v>191452</v>
      </c>
      <c r="N37" s="12">
        <f t="shared" si="6"/>
        <v>0</v>
      </c>
      <c r="O37" s="12">
        <f t="shared" si="6"/>
        <v>0</v>
      </c>
      <c r="P37" s="12">
        <f t="shared" si="6"/>
        <v>0</v>
      </c>
      <c r="Q37" s="12">
        <f>SUM(M37:P37)</f>
        <v>191452</v>
      </c>
      <c r="R37" s="12"/>
      <c r="S37" s="12"/>
      <c r="T37" s="12"/>
      <c r="U37" s="12"/>
      <c r="V37" s="12"/>
      <c r="W37" s="12"/>
    </row>
    <row r="38" spans="2:23" x14ac:dyDescent="0.2">
      <c r="D38" s="2" t="s">
        <v>50</v>
      </c>
      <c r="E38" s="3" t="s">
        <v>51</v>
      </c>
      <c r="G38" s="11">
        <v>32906</v>
      </c>
      <c r="H38" s="11">
        <v>0</v>
      </c>
      <c r="I38" s="11">
        <v>0</v>
      </c>
      <c r="J38" s="11">
        <v>0</v>
      </c>
      <c r="K38" s="11">
        <f>SUM(G38:J38)</f>
        <v>32906</v>
      </c>
      <c r="L38" s="5"/>
      <c r="M38" s="12">
        <f t="shared" si="6"/>
        <v>32906</v>
      </c>
      <c r="N38" s="12">
        <f t="shared" si="6"/>
        <v>0</v>
      </c>
      <c r="O38" s="12">
        <f t="shared" si="6"/>
        <v>0</v>
      </c>
      <c r="P38" s="12">
        <f t="shared" si="6"/>
        <v>0</v>
      </c>
      <c r="Q38" s="12">
        <f>SUM(M38:P38)</f>
        <v>32906</v>
      </c>
      <c r="R38" s="12"/>
      <c r="S38" s="12"/>
      <c r="T38" s="12"/>
      <c r="U38" s="12"/>
      <c r="V38" s="12"/>
      <c r="W38" s="12"/>
    </row>
    <row r="39" spans="2:23" x14ac:dyDescent="0.2">
      <c r="D39" s="2"/>
      <c r="E39" s="3" t="s">
        <v>52</v>
      </c>
      <c r="G39" s="11">
        <v>70155</v>
      </c>
      <c r="H39" s="11">
        <v>0</v>
      </c>
      <c r="I39" s="11">
        <v>0</v>
      </c>
      <c r="J39" s="11">
        <v>0</v>
      </c>
      <c r="K39" s="11">
        <f>SUM(G39:J39)</f>
        <v>70155</v>
      </c>
      <c r="L39" s="5"/>
      <c r="M39" s="12">
        <f t="shared" si="6"/>
        <v>70155</v>
      </c>
      <c r="N39" s="12">
        <f t="shared" si="6"/>
        <v>0</v>
      </c>
      <c r="O39" s="12">
        <f t="shared" si="6"/>
        <v>0</v>
      </c>
      <c r="P39" s="12">
        <f t="shared" si="6"/>
        <v>0</v>
      </c>
      <c r="Q39" s="12">
        <f>SUM(M39:P39)</f>
        <v>70155</v>
      </c>
      <c r="R39" s="12"/>
      <c r="S39" s="12"/>
      <c r="T39" s="12"/>
      <c r="U39" s="12"/>
      <c r="V39" s="12"/>
      <c r="W39" s="12"/>
    </row>
    <row r="40" spans="2:23" x14ac:dyDescent="0.2">
      <c r="D40" s="2"/>
      <c r="E40" s="3" t="s">
        <v>53</v>
      </c>
      <c r="G40" s="11">
        <v>379431</v>
      </c>
      <c r="H40" s="11">
        <v>0</v>
      </c>
      <c r="I40" s="11"/>
      <c r="J40" s="11">
        <v>0</v>
      </c>
      <c r="K40" s="11">
        <f>SUM(G40:J40)</f>
        <v>379431</v>
      </c>
      <c r="L40" s="5"/>
      <c r="M40" s="12">
        <f t="shared" si="6"/>
        <v>379431</v>
      </c>
      <c r="N40" s="12">
        <f t="shared" si="6"/>
        <v>0</v>
      </c>
      <c r="O40" s="12">
        <f t="shared" si="6"/>
        <v>0</v>
      </c>
      <c r="P40" s="12">
        <f t="shared" si="6"/>
        <v>0</v>
      </c>
      <c r="Q40" s="12">
        <f>SUM(M40:P40)</f>
        <v>379431</v>
      </c>
      <c r="R40" s="12"/>
      <c r="S40" s="12"/>
      <c r="T40" s="12"/>
      <c r="U40" s="12"/>
      <c r="V40" s="12"/>
      <c r="W40" s="12"/>
    </row>
    <row r="41" spans="2:23" x14ac:dyDescent="0.2">
      <c r="D41" s="2"/>
      <c r="G41" s="15"/>
      <c r="H41" s="15"/>
      <c r="I41" s="15"/>
      <c r="J41" s="15"/>
      <c r="K41" s="15"/>
      <c r="L41" s="5"/>
      <c r="Q41" s="12"/>
      <c r="R41" s="12"/>
      <c r="S41" s="12"/>
      <c r="T41" s="12"/>
      <c r="U41" s="12"/>
      <c r="V41" s="12"/>
      <c r="W41" s="12"/>
    </row>
    <row r="42" spans="2:23" x14ac:dyDescent="0.2">
      <c r="D42" s="2" t="s">
        <v>54</v>
      </c>
      <c r="G42" s="11">
        <v>231517</v>
      </c>
      <c r="H42" s="11"/>
      <c r="I42" s="11">
        <v>0</v>
      </c>
      <c r="J42" s="11">
        <v>0</v>
      </c>
      <c r="K42" s="11">
        <f>SUM(G42:J42)</f>
        <v>231517</v>
      </c>
      <c r="L42" s="5"/>
      <c r="M42" s="12">
        <f>G42</f>
        <v>231517</v>
      </c>
      <c r="N42" s="12">
        <f>H42</f>
        <v>0</v>
      </c>
      <c r="O42" s="12">
        <f>I42</f>
        <v>0</v>
      </c>
      <c r="P42" s="12">
        <f>J42</f>
        <v>0</v>
      </c>
      <c r="Q42" s="12">
        <f>SUM(M42:P42)</f>
        <v>231517</v>
      </c>
      <c r="R42" s="12"/>
      <c r="S42" s="12"/>
      <c r="T42" s="12"/>
      <c r="U42" s="12"/>
      <c r="V42" s="12"/>
      <c r="W42" s="12"/>
    </row>
    <row r="43" spans="2:23" x14ac:dyDescent="0.2">
      <c r="D43" s="2"/>
      <c r="G43" s="15"/>
      <c r="H43" s="15"/>
      <c r="I43" s="15"/>
      <c r="J43" s="15"/>
      <c r="K43" s="15"/>
      <c r="L43" s="5"/>
    </row>
    <row r="44" spans="2:23" x14ac:dyDescent="0.2">
      <c r="D44" s="2" t="s">
        <v>55</v>
      </c>
      <c r="G44" s="11">
        <v>0</v>
      </c>
      <c r="H44" s="11">
        <v>0</v>
      </c>
      <c r="I44" s="11">
        <v>0</v>
      </c>
      <c r="J44" s="11">
        <v>0</v>
      </c>
      <c r="K44" s="11">
        <f>SUM(G44:J44)</f>
        <v>0</v>
      </c>
      <c r="L44" s="5"/>
      <c r="M44" s="12">
        <f>G44</f>
        <v>0</v>
      </c>
      <c r="N44" s="12">
        <f>H44</f>
        <v>0</v>
      </c>
      <c r="O44" s="12">
        <f>I44</f>
        <v>0</v>
      </c>
      <c r="P44" s="12">
        <f>J44</f>
        <v>0</v>
      </c>
      <c r="Q44" s="12">
        <f>SUM(M44:P44)</f>
        <v>0</v>
      </c>
      <c r="R44" s="12"/>
      <c r="S44" s="12"/>
      <c r="T44" s="12"/>
      <c r="U44" s="12"/>
      <c r="V44" s="12"/>
      <c r="W44" s="12"/>
    </row>
    <row r="45" spans="2:23" x14ac:dyDescent="0.2">
      <c r="D45" s="2"/>
      <c r="G45" s="15"/>
      <c r="H45" s="15"/>
      <c r="I45" s="15"/>
      <c r="J45" s="15"/>
      <c r="K45" s="15"/>
      <c r="L45" s="5"/>
    </row>
    <row r="46" spans="2:23" x14ac:dyDescent="0.2">
      <c r="D46" s="2" t="s">
        <v>56</v>
      </c>
      <c r="G46" s="11">
        <v>0</v>
      </c>
      <c r="H46" s="11">
        <v>0</v>
      </c>
      <c r="I46" s="11">
        <v>0</v>
      </c>
      <c r="J46" s="11">
        <v>0</v>
      </c>
      <c r="K46" s="11">
        <f>SUM(G46:J46)</f>
        <v>0</v>
      </c>
      <c r="L46" s="5"/>
      <c r="M46" s="12">
        <f>G46</f>
        <v>0</v>
      </c>
      <c r="N46" s="12">
        <f>H46</f>
        <v>0</v>
      </c>
      <c r="O46" s="12">
        <f>I46</f>
        <v>0</v>
      </c>
      <c r="P46" s="12">
        <f>J46</f>
        <v>0</v>
      </c>
      <c r="Q46" s="12">
        <f>SUM(M46:P46)</f>
        <v>0</v>
      </c>
      <c r="R46" s="12"/>
      <c r="S46" s="12"/>
      <c r="T46" s="12"/>
      <c r="U46" s="12"/>
      <c r="V46" s="12"/>
      <c r="W46" s="12"/>
    </row>
    <row r="47" spans="2:23" x14ac:dyDescent="0.2">
      <c r="D47" s="2"/>
      <c r="G47" s="15"/>
      <c r="H47" s="15"/>
      <c r="I47" s="15"/>
      <c r="J47" s="15"/>
      <c r="K47" s="15"/>
      <c r="L47" s="5"/>
    </row>
    <row r="48" spans="2:23" x14ac:dyDescent="0.2">
      <c r="D48" s="2" t="s">
        <v>57</v>
      </c>
      <c r="G48" s="11">
        <v>0</v>
      </c>
      <c r="H48" s="11">
        <v>0</v>
      </c>
      <c r="I48" s="11">
        <v>0</v>
      </c>
      <c r="J48" s="11">
        <v>0</v>
      </c>
      <c r="K48" s="11">
        <f>SUM(G48:J48)</f>
        <v>0</v>
      </c>
      <c r="L48" s="5"/>
      <c r="M48" s="12">
        <f>G48</f>
        <v>0</v>
      </c>
      <c r="N48" s="12">
        <f>H48</f>
        <v>0</v>
      </c>
      <c r="O48" s="12">
        <f>I48</f>
        <v>0</v>
      </c>
      <c r="P48" s="12">
        <f>J48</f>
        <v>0</v>
      </c>
      <c r="Q48" s="12">
        <f>SUM(M48:P48)</f>
        <v>0</v>
      </c>
      <c r="R48" s="12"/>
      <c r="S48" s="12"/>
      <c r="T48" s="12"/>
      <c r="U48" s="12"/>
      <c r="V48" s="12"/>
      <c r="W48" s="12"/>
    </row>
    <row r="49" spans="2:25" x14ac:dyDescent="0.2">
      <c r="D49" s="2" t="s">
        <v>58</v>
      </c>
      <c r="G49" s="15"/>
      <c r="H49" s="15"/>
      <c r="I49" s="15"/>
      <c r="J49" s="15"/>
      <c r="K49" s="15"/>
      <c r="L49" s="5"/>
    </row>
    <row r="50" spans="2:25" x14ac:dyDescent="0.2">
      <c r="D50" s="2"/>
      <c r="G50" s="15"/>
      <c r="H50" s="15"/>
      <c r="I50" s="15"/>
      <c r="J50" s="15"/>
      <c r="K50" s="15"/>
      <c r="L50" s="5"/>
    </row>
    <row r="51" spans="2:25" x14ac:dyDescent="0.2">
      <c r="B51" s="2"/>
      <c r="D51" s="2" t="s">
        <v>53</v>
      </c>
      <c r="G51" s="21">
        <v>-8814</v>
      </c>
      <c r="H51" s="21">
        <v>-5225</v>
      </c>
      <c r="I51" s="21">
        <v>565917</v>
      </c>
      <c r="J51" s="21">
        <v>0</v>
      </c>
      <c r="K51" s="21">
        <f>SUM(G51:J51)</f>
        <v>551878</v>
      </c>
      <c r="L51" s="5"/>
      <c r="M51" s="22">
        <f>G51</f>
        <v>-8814</v>
      </c>
      <c r="N51" s="22">
        <f>H51</f>
        <v>-5225</v>
      </c>
      <c r="O51" s="22">
        <f>I51</f>
        <v>565917</v>
      </c>
      <c r="P51" s="22">
        <f>J51</f>
        <v>0</v>
      </c>
      <c r="Q51" s="22">
        <f>SUM(M51:P51)</f>
        <v>551878</v>
      </c>
      <c r="R51" s="82"/>
      <c r="S51" s="82"/>
      <c r="T51" s="82"/>
      <c r="U51" s="82"/>
      <c r="V51" s="82"/>
      <c r="W51" s="82"/>
    </row>
    <row r="52" spans="2:25" x14ac:dyDescent="0.2">
      <c r="D52" s="2" t="s">
        <v>59</v>
      </c>
      <c r="G52" s="24">
        <f>SUM(G34:G51)</f>
        <v>1060019</v>
      </c>
      <c r="H52" s="24">
        <f>SUM(H34:H51)</f>
        <v>-5225</v>
      </c>
      <c r="I52" s="24">
        <f>SUM(I34:I51)</f>
        <v>565917</v>
      </c>
      <c r="J52" s="24">
        <f>SUM(J34:J51)</f>
        <v>0</v>
      </c>
      <c r="K52" s="24">
        <f>SUM(G52:J52)</f>
        <v>1620711</v>
      </c>
      <c r="L52" s="5"/>
      <c r="M52" s="24">
        <f>SUM(M34:M51)</f>
        <v>1060019</v>
      </c>
      <c r="N52" s="24">
        <f>SUM(N34:N51)</f>
        <v>-5225</v>
      </c>
      <c r="O52" s="24">
        <f>SUM(O34:O51)</f>
        <v>565917</v>
      </c>
      <c r="P52" s="24">
        <f>SUM(P34:P51)</f>
        <v>0</v>
      </c>
      <c r="Q52" s="24">
        <f>SUM(M52:P52)</f>
        <v>1620711</v>
      </c>
      <c r="R52" s="24"/>
      <c r="S52" s="24"/>
      <c r="T52" s="24"/>
      <c r="U52" s="24"/>
      <c r="V52" s="24"/>
      <c r="W52" s="24"/>
    </row>
    <row r="53" spans="2:25" x14ac:dyDescent="0.2">
      <c r="B53" s="2"/>
      <c r="L53" s="5"/>
    </row>
    <row r="54" spans="2:25"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c r="W54" s="12"/>
    </row>
    <row r="55" spans="2:25" x14ac:dyDescent="0.2">
      <c r="B55" s="2" t="s">
        <v>61</v>
      </c>
      <c r="L55" s="5"/>
    </row>
    <row r="56" spans="2:25" ht="13.5" thickBot="1" x14ac:dyDescent="0.25">
      <c r="K56" s="12"/>
      <c r="L56" s="5"/>
      <c r="Q56" s="30"/>
      <c r="R56" s="40"/>
      <c r="S56" s="40"/>
      <c r="T56" s="40"/>
      <c r="U56" s="40"/>
      <c r="V56" s="40"/>
      <c r="W56" s="40"/>
    </row>
    <row r="57" spans="2:25" x14ac:dyDescent="0.2">
      <c r="B57" s="2" t="s">
        <v>62</v>
      </c>
      <c r="G57" s="31">
        <f>G22+G25+G32+G52+G54</f>
        <v>2179392</v>
      </c>
      <c r="H57" s="31">
        <f>H22+H25+H32+H52+H54</f>
        <v>184634</v>
      </c>
      <c r="I57" s="31">
        <f>I22+I25+I32+I52+I54</f>
        <v>1176515</v>
      </c>
      <c r="J57" s="31">
        <f>J22+J25+J32+J52+J54</f>
        <v>0</v>
      </c>
      <c r="K57" s="31">
        <f>SUM(G57:J57)</f>
        <v>3540541</v>
      </c>
      <c r="L57" s="32"/>
      <c r="M57" s="31">
        <f>M22+M25+M32+M52+M54</f>
        <v>1932198.1347102695</v>
      </c>
      <c r="N57" s="31">
        <f>N22+N25+N32+N52+N54</f>
        <v>130634.36270131663</v>
      </c>
      <c r="O57" s="31">
        <f>O22+O25+O32+O52+O54</f>
        <v>973222.2676583291</v>
      </c>
      <c r="P57" s="31">
        <f>P22+P25+P32+P52+P54</f>
        <v>0</v>
      </c>
      <c r="Q57" s="31">
        <f>SUM(M57:P57)</f>
        <v>3036054.765069915</v>
      </c>
      <c r="R57" s="86"/>
      <c r="S57" s="86"/>
      <c r="T57" s="86"/>
      <c r="U57" s="86"/>
      <c r="V57" s="86"/>
      <c r="W57" s="86"/>
    </row>
    <row r="58" spans="2:25" x14ac:dyDescent="0.2">
      <c r="L58" s="5"/>
    </row>
    <row r="59" spans="2:25" x14ac:dyDescent="0.2">
      <c r="L59" s="5"/>
    </row>
    <row r="60" spans="2:25" ht="14.25" x14ac:dyDescent="0.2">
      <c r="B60" s="6" t="s">
        <v>63</v>
      </c>
      <c r="K60" s="15"/>
      <c r="L60" s="5"/>
    </row>
    <row r="61" spans="2:25" x14ac:dyDescent="0.2">
      <c r="D61" s="15" t="s">
        <v>64</v>
      </c>
      <c r="E61" s="10" t="s">
        <v>20</v>
      </c>
      <c r="G61" s="12">
        <v>0</v>
      </c>
      <c r="H61" s="12">
        <v>0</v>
      </c>
      <c r="I61" s="12">
        <f>K61</f>
        <v>369141</v>
      </c>
      <c r="J61" s="11">
        <v>0</v>
      </c>
      <c r="K61" s="11">
        <v>369141</v>
      </c>
      <c r="L61" s="5"/>
      <c r="M61" s="12">
        <f>G61</f>
        <v>0</v>
      </c>
      <c r="N61" s="12">
        <f>H61</f>
        <v>0</v>
      </c>
      <c r="O61" s="12">
        <f>Q61</f>
        <v>369141</v>
      </c>
      <c r="P61" s="11">
        <f>J61</f>
        <v>0</v>
      </c>
      <c r="Q61" s="11">
        <f>$K$61</f>
        <v>369141</v>
      </c>
      <c r="R61" s="11"/>
      <c r="S61" s="11"/>
      <c r="T61" s="11"/>
      <c r="U61" s="11"/>
      <c r="V61" s="11"/>
      <c r="W61" s="11"/>
      <c r="Y61" s="3" t="s">
        <v>143</v>
      </c>
    </row>
    <row r="62" spans="2:25"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W62" s="33"/>
      <c r="Y62" s="35">
        <f>$K$61-(437*25.09*8)</f>
        <v>281426.36</v>
      </c>
    </row>
    <row r="63" spans="2:25" x14ac:dyDescent="0.2">
      <c r="D63" s="15"/>
      <c r="E63" s="10"/>
      <c r="J63" s="15"/>
      <c r="K63" s="15"/>
      <c r="L63" s="5"/>
      <c r="P63" s="15"/>
    </row>
    <row r="64" spans="2:25" x14ac:dyDescent="0.2">
      <c r="D64" s="15" t="s">
        <v>129</v>
      </c>
      <c r="E64" s="10" t="s">
        <v>20</v>
      </c>
      <c r="G64" s="12">
        <f>$G$129*K64</f>
        <v>1044500.1748223642</v>
      </c>
      <c r="H64" s="12">
        <f>$H$129*K64</f>
        <v>168638.10394982554</v>
      </c>
      <c r="I64" s="12">
        <f>$I$129*K64</f>
        <v>565962.72122781025</v>
      </c>
      <c r="J64" s="11">
        <v>0</v>
      </c>
      <c r="K64" s="11">
        <f>1238600+540501</f>
        <v>1779101</v>
      </c>
      <c r="L64" s="5"/>
      <c r="M64" s="12">
        <f>$G$129*Q64</f>
        <v>985074.95270435081</v>
      </c>
      <c r="N64" s="12">
        <f>$H$129*Q64</f>
        <v>159043.69982587858</v>
      </c>
      <c r="O64" s="12">
        <f>$I$129*Q64</f>
        <v>533763.14746977063</v>
      </c>
      <c r="P64" s="11">
        <f>J64</f>
        <v>0</v>
      </c>
      <c r="Q64" s="11">
        <f>K64-(188*67.3*8)</f>
        <v>1677881.8</v>
      </c>
      <c r="R64" s="11"/>
      <c r="S64" s="11"/>
      <c r="T64" s="11"/>
      <c r="U64" s="11"/>
      <c r="V64" s="11"/>
      <c r="W64" s="11"/>
    </row>
    <row r="65" spans="4:23" x14ac:dyDescent="0.2">
      <c r="D65" s="15"/>
      <c r="E65" s="10" t="s">
        <v>21</v>
      </c>
      <c r="G65" s="36">
        <f>$G$129*K65</f>
        <v>0</v>
      </c>
      <c r="H65" s="36">
        <f>$H$129*K65</f>
        <v>0</v>
      </c>
      <c r="I65" s="36">
        <f>$I$129*K65</f>
        <v>0</v>
      </c>
      <c r="J65" s="37">
        <v>0</v>
      </c>
      <c r="K65" s="34">
        <v>0</v>
      </c>
      <c r="L65" s="5"/>
      <c r="M65" s="33">
        <f>G65</f>
        <v>0</v>
      </c>
      <c r="N65" s="33">
        <f>H65</f>
        <v>0</v>
      </c>
      <c r="O65" s="33">
        <f>I65</f>
        <v>0</v>
      </c>
      <c r="P65" s="34">
        <f>J65</f>
        <v>0</v>
      </c>
      <c r="Q65" s="33">
        <f>K65</f>
        <v>0</v>
      </c>
      <c r="R65" s="33"/>
      <c r="S65" s="33"/>
      <c r="T65" s="33"/>
      <c r="U65" s="33"/>
      <c r="V65" s="33"/>
      <c r="W65" s="33"/>
    </row>
    <row r="66" spans="4:23" x14ac:dyDescent="0.2">
      <c r="D66" s="15"/>
      <c r="E66" s="10"/>
      <c r="J66" s="15"/>
      <c r="K66" s="15"/>
      <c r="L66" s="5"/>
      <c r="P66" s="15"/>
    </row>
    <row r="67" spans="4:23" x14ac:dyDescent="0.2">
      <c r="D67" s="15" t="s">
        <v>80</v>
      </c>
      <c r="E67" s="10" t="s">
        <v>20</v>
      </c>
      <c r="G67" s="12">
        <f>$G$129*K67</f>
        <v>1552.2775054537831</v>
      </c>
      <c r="H67" s="12">
        <f>$H$129*K67</f>
        <v>250.62048014325143</v>
      </c>
      <c r="I67" s="12">
        <f>$I$129*K67</f>
        <v>841.10201440296544</v>
      </c>
      <c r="J67" s="11">
        <v>0</v>
      </c>
      <c r="K67" s="11">
        <v>2644</v>
      </c>
      <c r="L67" s="5"/>
      <c r="M67" s="12">
        <f t="shared" ref="M67:Q68" si="7">G67</f>
        <v>1552.2775054537831</v>
      </c>
      <c r="N67" s="12">
        <f t="shared" si="7"/>
        <v>250.62048014325143</v>
      </c>
      <c r="O67" s="12">
        <f t="shared" si="7"/>
        <v>841.10201440296544</v>
      </c>
      <c r="P67" s="11">
        <f t="shared" si="7"/>
        <v>0</v>
      </c>
      <c r="Q67" s="12">
        <f t="shared" si="7"/>
        <v>2644</v>
      </c>
      <c r="R67" s="12"/>
      <c r="S67" s="12"/>
      <c r="T67" s="12"/>
      <c r="U67" s="12"/>
      <c r="V67" s="12"/>
      <c r="W67" s="12"/>
    </row>
    <row r="68" spans="4:23" x14ac:dyDescent="0.2">
      <c r="D68" s="15"/>
      <c r="E68" s="10" t="s">
        <v>21</v>
      </c>
      <c r="G68" s="36">
        <f>$G$129*K68</f>
        <v>0</v>
      </c>
      <c r="H68" s="36">
        <f>$H$129*K68</f>
        <v>0</v>
      </c>
      <c r="I68" s="36">
        <f>$I$129*K68</f>
        <v>0</v>
      </c>
      <c r="J68" s="34">
        <v>0</v>
      </c>
      <c r="K68" s="34">
        <v>0</v>
      </c>
      <c r="L68" s="5"/>
      <c r="M68" s="33">
        <f t="shared" si="7"/>
        <v>0</v>
      </c>
      <c r="N68" s="33">
        <f t="shared" si="7"/>
        <v>0</v>
      </c>
      <c r="O68" s="33">
        <f t="shared" si="7"/>
        <v>0</v>
      </c>
      <c r="P68" s="34">
        <f t="shared" si="7"/>
        <v>0</v>
      </c>
      <c r="Q68" s="33">
        <f t="shared" si="7"/>
        <v>0</v>
      </c>
      <c r="R68" s="33"/>
      <c r="S68" s="33"/>
      <c r="T68" s="33"/>
      <c r="U68" s="33"/>
      <c r="V68" s="33"/>
      <c r="W68" s="33"/>
    </row>
    <row r="69" spans="4:23" x14ac:dyDescent="0.2">
      <c r="D69" s="15"/>
      <c r="E69" s="10"/>
      <c r="J69" s="15"/>
      <c r="K69" s="15"/>
      <c r="L69" s="5"/>
      <c r="P69" s="15"/>
    </row>
    <row r="70" spans="4:23" x14ac:dyDescent="0.2">
      <c r="D70" s="15" t="s">
        <v>65</v>
      </c>
      <c r="E70" s="10" t="s">
        <v>20</v>
      </c>
      <c r="G70" s="12">
        <f>$G$129*K70</f>
        <v>59390.466131507077</v>
      </c>
      <c r="H70" s="12">
        <f>$H$129*K70</f>
        <v>9588.7926517743253</v>
      </c>
      <c r="I70" s="12">
        <f>$I$129*K70</f>
        <v>32180.741216718601</v>
      </c>
      <c r="J70" s="11">
        <v>0</v>
      </c>
      <c r="K70" s="11">
        <v>101160</v>
      </c>
      <c r="L70" s="5"/>
      <c r="M70" s="12">
        <f>$G$129*Q$70</f>
        <v>59390.466131507077</v>
      </c>
      <c r="N70" s="12">
        <f>$H$129*Q$70</f>
        <v>9588.7926517743253</v>
      </c>
      <c r="O70" s="12">
        <f>$I$129*Q$70</f>
        <v>32180.741216718601</v>
      </c>
      <c r="P70" s="11">
        <f>J70</f>
        <v>0</v>
      </c>
      <c r="Q70" s="11">
        <f>K70</f>
        <v>101160</v>
      </c>
      <c r="R70" s="11"/>
      <c r="S70" s="11"/>
      <c r="T70" s="11"/>
      <c r="U70" s="11"/>
      <c r="V70" s="11"/>
      <c r="W70" s="11"/>
    </row>
    <row r="71" spans="4:23" x14ac:dyDescent="0.2">
      <c r="D71" s="15"/>
      <c r="E71" s="10" t="s">
        <v>21</v>
      </c>
      <c r="G71" s="36">
        <f>$G$129*K71</f>
        <v>0</v>
      </c>
      <c r="H71" s="36">
        <f>$H$129*K71</f>
        <v>0</v>
      </c>
      <c r="I71" s="36">
        <f>$I$129*K71</f>
        <v>0</v>
      </c>
      <c r="J71" s="34">
        <v>0</v>
      </c>
      <c r="K71" s="34">
        <v>0</v>
      </c>
      <c r="L71" s="5"/>
      <c r="M71" s="33">
        <f>G71</f>
        <v>0</v>
      </c>
      <c r="N71" s="33">
        <f>H71</f>
        <v>0</v>
      </c>
      <c r="O71" s="33">
        <f>I71</f>
        <v>0</v>
      </c>
      <c r="P71" s="34">
        <f>J71</f>
        <v>0</v>
      </c>
      <c r="Q71" s="33">
        <f>K71</f>
        <v>0</v>
      </c>
      <c r="R71" s="33"/>
      <c r="S71" s="33"/>
      <c r="T71" s="33"/>
      <c r="U71" s="33"/>
      <c r="V71" s="33"/>
      <c r="W71" s="33"/>
    </row>
    <row r="72" spans="4:23" x14ac:dyDescent="0.2">
      <c r="D72" s="15"/>
      <c r="E72" s="10"/>
      <c r="G72" s="33"/>
      <c r="H72" s="33"/>
      <c r="I72" s="33"/>
      <c r="J72" s="34"/>
      <c r="K72" s="34"/>
      <c r="L72" s="5"/>
      <c r="M72" s="33"/>
      <c r="N72" s="33"/>
      <c r="O72" s="33"/>
      <c r="P72" s="34"/>
      <c r="Q72" s="34"/>
      <c r="R72" s="34"/>
      <c r="S72" s="34"/>
      <c r="T72" s="34"/>
      <c r="U72" s="34"/>
      <c r="V72" s="34"/>
      <c r="W72" s="34"/>
    </row>
    <row r="73" spans="4:23" x14ac:dyDescent="0.2">
      <c r="D73" s="15" t="s">
        <v>144</v>
      </c>
      <c r="E73" s="10" t="s">
        <v>20</v>
      </c>
      <c r="G73" s="12">
        <f>$G$129*K73</f>
        <v>142810.70469048136</v>
      </c>
      <c r="H73" s="12">
        <f>$H$129*K73</f>
        <v>23057.27374994172</v>
      </c>
      <c r="I73" s="12">
        <f>$I$129*K73</f>
        <v>77382.021559576911</v>
      </c>
      <c r="J73" s="11">
        <v>0</v>
      </c>
      <c r="K73" s="11">
        <v>243250</v>
      </c>
      <c r="L73" s="5"/>
      <c r="M73" s="12">
        <f t="shared" ref="M73:Q74" si="8">G73</f>
        <v>142810.70469048136</v>
      </c>
      <c r="N73" s="12">
        <f t="shared" si="8"/>
        <v>23057.27374994172</v>
      </c>
      <c r="O73" s="12">
        <f t="shared" si="8"/>
        <v>77382.021559576911</v>
      </c>
      <c r="P73" s="11">
        <f t="shared" si="8"/>
        <v>0</v>
      </c>
      <c r="Q73" s="11">
        <f t="shared" si="8"/>
        <v>243250</v>
      </c>
      <c r="R73" s="11"/>
      <c r="S73" s="11"/>
      <c r="T73" s="11"/>
      <c r="U73" s="11"/>
      <c r="V73" s="11"/>
      <c r="W73" s="11"/>
    </row>
    <row r="74" spans="4:23" x14ac:dyDescent="0.2">
      <c r="D74" s="15"/>
      <c r="E74" s="10" t="s">
        <v>21</v>
      </c>
      <c r="G74" s="36">
        <f>$G$129*K74</f>
        <v>0</v>
      </c>
      <c r="H74" s="36">
        <f>$H$129*K74</f>
        <v>0</v>
      </c>
      <c r="I74" s="36">
        <f>$I$129*K74</f>
        <v>0</v>
      </c>
      <c r="J74" s="34">
        <v>0</v>
      </c>
      <c r="K74" s="34">
        <v>0</v>
      </c>
      <c r="L74" s="5"/>
      <c r="M74" s="33">
        <f t="shared" si="8"/>
        <v>0</v>
      </c>
      <c r="N74" s="33">
        <f t="shared" si="8"/>
        <v>0</v>
      </c>
      <c r="O74" s="33">
        <f t="shared" si="8"/>
        <v>0</v>
      </c>
      <c r="P74" s="34">
        <f t="shared" si="8"/>
        <v>0</v>
      </c>
      <c r="Q74" s="33">
        <f t="shared" si="8"/>
        <v>0</v>
      </c>
      <c r="R74" s="33"/>
      <c r="S74" s="33"/>
      <c r="T74" s="33"/>
      <c r="U74" s="33"/>
      <c r="V74" s="33"/>
      <c r="W74" s="33"/>
    </row>
    <row r="75" spans="4:23" x14ac:dyDescent="0.2">
      <c r="D75" s="15"/>
      <c r="E75" s="10"/>
      <c r="J75" s="15"/>
      <c r="K75" s="15"/>
      <c r="L75" s="5"/>
      <c r="P75" s="15"/>
    </row>
    <row r="76" spans="4:23" x14ac:dyDescent="0.2">
      <c r="D76" s="15" t="s">
        <v>105</v>
      </c>
      <c r="E76" s="10" t="s">
        <v>20</v>
      </c>
      <c r="G76" s="12">
        <f>$G$129*K76</f>
        <v>191002.34577791474</v>
      </c>
      <c r="H76" s="12">
        <f>$H$129*K76</f>
        <v>30837.978028519177</v>
      </c>
      <c r="I76" s="12">
        <f>$I$129*K76</f>
        <v>103494.67619356609</v>
      </c>
      <c r="J76" s="11">
        <v>0</v>
      </c>
      <c r="K76" s="11">
        <v>325335</v>
      </c>
      <c r="L76" s="5"/>
      <c r="M76" s="12">
        <f t="shared" ref="M76:Q77" si="9">G76</f>
        <v>191002.34577791474</v>
      </c>
      <c r="N76" s="12">
        <f t="shared" si="9"/>
        <v>30837.978028519177</v>
      </c>
      <c r="O76" s="12">
        <f t="shared" si="9"/>
        <v>103494.67619356609</v>
      </c>
      <c r="P76" s="11">
        <f t="shared" si="9"/>
        <v>0</v>
      </c>
      <c r="Q76" s="12">
        <f t="shared" si="9"/>
        <v>325335</v>
      </c>
      <c r="R76" s="12"/>
      <c r="S76" s="12"/>
      <c r="T76" s="12"/>
      <c r="U76" s="12"/>
      <c r="V76" s="12"/>
      <c r="W76" s="12"/>
    </row>
    <row r="77" spans="4:23" x14ac:dyDescent="0.2">
      <c r="E77" s="10" t="s">
        <v>21</v>
      </c>
      <c r="G77" s="36">
        <f>$G$129*K77</f>
        <v>0</v>
      </c>
      <c r="H77" s="36">
        <f>$H$129*K77</f>
        <v>0</v>
      </c>
      <c r="I77" s="36">
        <f>$I$129*K77</f>
        <v>0</v>
      </c>
      <c r="J77" s="34">
        <v>0</v>
      </c>
      <c r="K77" s="34">
        <v>0</v>
      </c>
      <c r="L77" s="5"/>
      <c r="M77" s="33">
        <f t="shared" si="9"/>
        <v>0</v>
      </c>
      <c r="N77" s="33">
        <f t="shared" si="9"/>
        <v>0</v>
      </c>
      <c r="O77" s="33">
        <f t="shared" si="9"/>
        <v>0</v>
      </c>
      <c r="P77" s="34">
        <f t="shared" si="9"/>
        <v>0</v>
      </c>
      <c r="Q77" s="33">
        <f t="shared" si="9"/>
        <v>0</v>
      </c>
      <c r="R77" s="33"/>
      <c r="S77" s="33"/>
      <c r="T77" s="33"/>
      <c r="U77" s="33"/>
      <c r="V77" s="33"/>
      <c r="W77" s="33"/>
    </row>
    <row r="78" spans="4:23" x14ac:dyDescent="0.2">
      <c r="E78" s="10"/>
      <c r="J78" s="15"/>
      <c r="K78" s="15"/>
      <c r="L78" s="5"/>
      <c r="P78" s="15"/>
    </row>
    <row r="79" spans="4:23" x14ac:dyDescent="0.2">
      <c r="D79" s="3" t="s">
        <v>145</v>
      </c>
      <c r="E79" s="10" t="s">
        <v>20</v>
      </c>
      <c r="G79" s="12">
        <f>$G$129*K79</f>
        <v>6829.6687673766492</v>
      </c>
      <c r="H79" s="12">
        <f>$H$129*K79</f>
        <v>1102.6732396015295</v>
      </c>
      <c r="I79" s="12">
        <f>$I$129*K79</f>
        <v>3700.6579930218218</v>
      </c>
      <c r="J79" s="11">
        <v>0</v>
      </c>
      <c r="K79" s="11">
        <v>11633</v>
      </c>
      <c r="L79" s="5"/>
      <c r="M79" s="12">
        <f t="shared" ref="M79:Q80" si="10">G79</f>
        <v>6829.6687673766492</v>
      </c>
      <c r="N79" s="12">
        <f t="shared" si="10"/>
        <v>1102.6732396015295</v>
      </c>
      <c r="O79" s="12">
        <f t="shared" si="10"/>
        <v>3700.6579930218218</v>
      </c>
      <c r="P79" s="11">
        <f t="shared" si="10"/>
        <v>0</v>
      </c>
      <c r="Q79" s="12">
        <f t="shared" si="10"/>
        <v>11633</v>
      </c>
      <c r="R79" s="12"/>
      <c r="S79" s="12"/>
      <c r="T79" s="12"/>
      <c r="U79" s="12"/>
      <c r="V79" s="12"/>
      <c r="W79" s="12"/>
    </row>
    <row r="80" spans="4:23" x14ac:dyDescent="0.2">
      <c r="E80" s="10" t="s">
        <v>21</v>
      </c>
      <c r="G80" s="36">
        <f>$G$129*K80</f>
        <v>0</v>
      </c>
      <c r="H80" s="36">
        <f>$H$129*K80</f>
        <v>0</v>
      </c>
      <c r="I80" s="36">
        <f>$I$129*K80</f>
        <v>0</v>
      </c>
      <c r="J80" s="34">
        <v>0</v>
      </c>
      <c r="K80" s="34">
        <v>0</v>
      </c>
      <c r="L80" s="5"/>
      <c r="M80" s="33">
        <f t="shared" si="10"/>
        <v>0</v>
      </c>
      <c r="N80" s="33">
        <f t="shared" si="10"/>
        <v>0</v>
      </c>
      <c r="O80" s="33">
        <f t="shared" si="10"/>
        <v>0</v>
      </c>
      <c r="P80" s="34">
        <f t="shared" si="10"/>
        <v>0</v>
      </c>
      <c r="Q80" s="33">
        <f t="shared" si="10"/>
        <v>0</v>
      </c>
      <c r="R80" s="33"/>
      <c r="S80" s="33"/>
      <c r="T80" s="33"/>
      <c r="U80" s="33"/>
      <c r="V80" s="33"/>
      <c r="W80" s="33"/>
    </row>
    <row r="81" spans="4:23" x14ac:dyDescent="0.2">
      <c r="E81" s="10"/>
      <c r="J81" s="15"/>
      <c r="K81" s="15"/>
      <c r="L81" s="5"/>
      <c r="P81" s="15"/>
    </row>
    <row r="82" spans="4:23" x14ac:dyDescent="0.2">
      <c r="D82" s="3" t="s">
        <v>132</v>
      </c>
      <c r="E82" s="10" t="s">
        <v>20</v>
      </c>
      <c r="G82" s="12">
        <f>$G$129*K82</f>
        <v>186430.05485035267</v>
      </c>
      <c r="H82" s="12">
        <f>$H$129*K82</f>
        <v>30099.766114995862</v>
      </c>
      <c r="I82" s="12">
        <f>$I$129*K82</f>
        <v>101017.17903465146</v>
      </c>
      <c r="J82" s="11">
        <v>0</v>
      </c>
      <c r="K82" s="11">
        <v>317547</v>
      </c>
      <c r="L82" s="5"/>
      <c r="M82" s="12">
        <f t="shared" ref="M82:Q83" si="11">G82</f>
        <v>186430.05485035267</v>
      </c>
      <c r="N82" s="12">
        <f t="shared" si="11"/>
        <v>30099.766114995862</v>
      </c>
      <c r="O82" s="12">
        <f t="shared" si="11"/>
        <v>101017.17903465146</v>
      </c>
      <c r="P82" s="11">
        <f t="shared" si="11"/>
        <v>0</v>
      </c>
      <c r="Q82" s="12">
        <f t="shared" si="11"/>
        <v>317547</v>
      </c>
      <c r="R82" s="12"/>
      <c r="S82" s="12"/>
      <c r="T82" s="12"/>
      <c r="U82" s="12"/>
      <c r="V82" s="12"/>
      <c r="W82" s="12"/>
    </row>
    <row r="83" spans="4:23" x14ac:dyDescent="0.2">
      <c r="E83" s="10" t="s">
        <v>21</v>
      </c>
      <c r="G83" s="36">
        <f>$G$129*K83</f>
        <v>0</v>
      </c>
      <c r="H83" s="36">
        <f>$H$129*K83</f>
        <v>0</v>
      </c>
      <c r="I83" s="36">
        <f>$I$129*K83</f>
        <v>0</v>
      </c>
      <c r="J83" s="34">
        <v>0</v>
      </c>
      <c r="K83" s="34">
        <v>0</v>
      </c>
      <c r="L83" s="5"/>
      <c r="M83" s="33">
        <f t="shared" si="11"/>
        <v>0</v>
      </c>
      <c r="N83" s="33">
        <f t="shared" si="11"/>
        <v>0</v>
      </c>
      <c r="O83" s="33">
        <f t="shared" si="11"/>
        <v>0</v>
      </c>
      <c r="P83" s="34">
        <f t="shared" si="11"/>
        <v>0</v>
      </c>
      <c r="Q83" s="33">
        <f t="shared" si="11"/>
        <v>0</v>
      </c>
      <c r="R83" s="33"/>
      <c r="S83" s="33"/>
      <c r="T83" s="33"/>
      <c r="U83" s="33"/>
      <c r="V83" s="33"/>
      <c r="W83" s="33"/>
    </row>
    <row r="84" spans="4:23" x14ac:dyDescent="0.2">
      <c r="E84" s="10"/>
      <c r="J84" s="15"/>
      <c r="K84" s="15"/>
      <c r="L84" s="5"/>
      <c r="P84" s="15"/>
    </row>
    <row r="85" spans="4:23" x14ac:dyDescent="0.2">
      <c r="D85" s="3" t="s">
        <v>146</v>
      </c>
      <c r="E85" s="10" t="s">
        <v>20</v>
      </c>
      <c r="G85" s="12">
        <f>$G$129*K85</f>
        <v>81057.770827527245</v>
      </c>
      <c r="H85" s="12">
        <f>$H$129*K85</f>
        <v>13087.052651837424</v>
      </c>
      <c r="I85" s="12">
        <f>$I$129*K85</f>
        <v>43921.176520635338</v>
      </c>
      <c r="J85" s="11">
        <v>0</v>
      </c>
      <c r="K85" s="11">
        <v>138066</v>
      </c>
      <c r="L85" s="5"/>
      <c r="M85" s="12">
        <f t="shared" ref="M85:Q86" si="12">G85</f>
        <v>81057.770827527245</v>
      </c>
      <c r="N85" s="12">
        <f t="shared" si="12"/>
        <v>13087.052651837424</v>
      </c>
      <c r="O85" s="12">
        <f t="shared" si="12"/>
        <v>43921.176520635338</v>
      </c>
      <c r="P85" s="11">
        <f t="shared" si="12"/>
        <v>0</v>
      </c>
      <c r="Q85" s="12">
        <f t="shared" si="12"/>
        <v>138066</v>
      </c>
      <c r="R85" s="12"/>
      <c r="S85" s="12"/>
      <c r="T85" s="12"/>
      <c r="U85" s="12"/>
      <c r="V85" s="12"/>
      <c r="W85" s="12"/>
    </row>
    <row r="86" spans="4:23" x14ac:dyDescent="0.2">
      <c r="E86" s="10" t="s">
        <v>21</v>
      </c>
      <c r="G86" s="36">
        <f>$G$129*K86</f>
        <v>0</v>
      </c>
      <c r="H86" s="36">
        <f>$H$129*K86</f>
        <v>0</v>
      </c>
      <c r="I86" s="36">
        <f>$I$129*K86</f>
        <v>0</v>
      </c>
      <c r="J86" s="34">
        <v>0</v>
      </c>
      <c r="K86" s="34">
        <v>0</v>
      </c>
      <c r="L86" s="5"/>
      <c r="M86" s="33">
        <f t="shared" si="12"/>
        <v>0</v>
      </c>
      <c r="N86" s="33">
        <f t="shared" si="12"/>
        <v>0</v>
      </c>
      <c r="O86" s="33">
        <f t="shared" si="12"/>
        <v>0</v>
      </c>
      <c r="P86" s="34">
        <f t="shared" si="12"/>
        <v>0</v>
      </c>
      <c r="Q86" s="33">
        <f t="shared" si="12"/>
        <v>0</v>
      </c>
      <c r="R86" s="33"/>
      <c r="S86" s="33"/>
      <c r="T86" s="33"/>
      <c r="U86" s="33"/>
      <c r="V86" s="33"/>
      <c r="W86" s="33"/>
    </row>
    <row r="87" spans="4:23" x14ac:dyDescent="0.2">
      <c r="D87" s="15"/>
      <c r="E87" s="10"/>
      <c r="J87" s="15"/>
      <c r="K87" s="15"/>
      <c r="L87" s="5"/>
      <c r="P87" s="15"/>
    </row>
    <row r="88" spans="4:23" x14ac:dyDescent="0.2">
      <c r="D88" s="3" t="s">
        <v>86</v>
      </c>
      <c r="E88" s="10" t="s">
        <v>20</v>
      </c>
      <c r="G88" s="12">
        <f>$G$129*K88</f>
        <v>549829.7259266699</v>
      </c>
      <c r="H88" s="12">
        <f>$H$129*K88</f>
        <v>88771.878368804406</v>
      </c>
      <c r="I88" s="12">
        <f>$I$129*K88</f>
        <v>297925.3957045257</v>
      </c>
      <c r="J88" s="11">
        <v>0</v>
      </c>
      <c r="K88" s="11">
        <v>936527</v>
      </c>
      <c r="L88" s="5"/>
      <c r="M88" s="12">
        <f t="shared" ref="M88:Q89" si="13">G88</f>
        <v>549829.7259266699</v>
      </c>
      <c r="N88" s="12">
        <f t="shared" si="13"/>
        <v>88771.878368804406</v>
      </c>
      <c r="O88" s="12">
        <f t="shared" si="13"/>
        <v>297925.3957045257</v>
      </c>
      <c r="P88" s="11">
        <f t="shared" si="13"/>
        <v>0</v>
      </c>
      <c r="Q88" s="12">
        <f t="shared" si="13"/>
        <v>936527</v>
      </c>
      <c r="R88" s="12"/>
      <c r="S88" s="12"/>
      <c r="T88" s="12"/>
      <c r="U88" s="12"/>
      <c r="V88" s="12"/>
      <c r="W88" s="12"/>
    </row>
    <row r="89" spans="4:23" x14ac:dyDescent="0.2">
      <c r="D89" s="15"/>
      <c r="E89" s="10" t="s">
        <v>21</v>
      </c>
      <c r="G89" s="36">
        <f>$G$129*K89</f>
        <v>0</v>
      </c>
      <c r="H89" s="36">
        <f>$H$129*K89</f>
        <v>0</v>
      </c>
      <c r="I89" s="36">
        <f>$I$129*K89</f>
        <v>0</v>
      </c>
      <c r="J89" s="34">
        <v>0</v>
      </c>
      <c r="K89" s="34">
        <v>0</v>
      </c>
      <c r="L89" s="5"/>
      <c r="M89" s="33">
        <f t="shared" si="13"/>
        <v>0</v>
      </c>
      <c r="N89" s="33">
        <f t="shared" si="13"/>
        <v>0</v>
      </c>
      <c r="O89" s="33">
        <f t="shared" si="13"/>
        <v>0</v>
      </c>
      <c r="P89" s="34">
        <f t="shared" si="13"/>
        <v>0</v>
      </c>
      <c r="Q89" s="33">
        <f t="shared" si="13"/>
        <v>0</v>
      </c>
      <c r="R89" s="33"/>
      <c r="S89" s="33"/>
      <c r="T89" s="33"/>
      <c r="U89" s="33"/>
      <c r="V89" s="33"/>
      <c r="W89" s="33"/>
    </row>
    <row r="90" spans="4:23" x14ac:dyDescent="0.2">
      <c r="D90" s="15"/>
      <c r="J90" s="15"/>
      <c r="K90" s="15"/>
      <c r="L90" s="5"/>
    </row>
    <row r="91" spans="4:23" x14ac:dyDescent="0.2">
      <c r="D91" s="15" t="s">
        <v>147</v>
      </c>
      <c r="E91" s="10" t="s">
        <v>20</v>
      </c>
      <c r="G91" s="12">
        <f>$G$129*K91</f>
        <v>69615.888715655543</v>
      </c>
      <c r="H91" s="12">
        <f>$H$129*K91</f>
        <v>11239.721888784541</v>
      </c>
      <c r="I91" s="12">
        <f>$I$129*K91</f>
        <v>37721.38939555992</v>
      </c>
      <c r="J91" s="11">
        <v>0</v>
      </c>
      <c r="K91" s="11">
        <v>118577</v>
      </c>
      <c r="L91" s="5"/>
      <c r="M91" s="12">
        <f t="shared" ref="M91:Q92" si="14">G91</f>
        <v>69615.888715655543</v>
      </c>
      <c r="N91" s="12">
        <f t="shared" si="14"/>
        <v>11239.721888784541</v>
      </c>
      <c r="O91" s="12">
        <f t="shared" si="14"/>
        <v>37721.38939555992</v>
      </c>
      <c r="P91" s="11">
        <f t="shared" si="14"/>
        <v>0</v>
      </c>
      <c r="Q91" s="12">
        <f t="shared" si="14"/>
        <v>118577</v>
      </c>
      <c r="R91" s="12"/>
      <c r="S91" s="12"/>
      <c r="T91" s="12"/>
      <c r="U91" s="12"/>
      <c r="V91" s="12"/>
      <c r="W91" s="12"/>
    </row>
    <row r="92" spans="4:23" x14ac:dyDescent="0.2">
      <c r="D92" s="15"/>
      <c r="E92" s="10" t="s">
        <v>21</v>
      </c>
      <c r="G92" s="36">
        <f>$G$129*K92</f>
        <v>0</v>
      </c>
      <c r="H92" s="36">
        <f>$H$129*K92</f>
        <v>0</v>
      </c>
      <c r="I92" s="36">
        <f>$I$129*K92</f>
        <v>0</v>
      </c>
      <c r="J92" s="34">
        <v>0</v>
      </c>
      <c r="K92" s="34">
        <v>0</v>
      </c>
      <c r="L92" s="5"/>
      <c r="M92" s="33">
        <f t="shared" si="14"/>
        <v>0</v>
      </c>
      <c r="N92" s="33">
        <f t="shared" si="14"/>
        <v>0</v>
      </c>
      <c r="O92" s="33">
        <f t="shared" si="14"/>
        <v>0</v>
      </c>
      <c r="P92" s="34">
        <f t="shared" si="14"/>
        <v>0</v>
      </c>
      <c r="Q92" s="33">
        <f t="shared" si="14"/>
        <v>0</v>
      </c>
      <c r="R92" s="33"/>
      <c r="S92" s="33"/>
      <c r="T92" s="33"/>
      <c r="U92" s="33"/>
      <c r="V92" s="33"/>
      <c r="W92" s="33"/>
    </row>
    <row r="93" spans="4:23" x14ac:dyDescent="0.2">
      <c r="D93" s="15"/>
      <c r="E93" s="10"/>
      <c r="G93" s="36"/>
      <c r="H93" s="36"/>
      <c r="I93" s="36"/>
      <c r="J93" s="34"/>
      <c r="K93" s="34"/>
      <c r="L93" s="5"/>
      <c r="M93" s="33"/>
      <c r="N93" s="33"/>
      <c r="O93" s="33"/>
      <c r="P93" s="34"/>
      <c r="Q93" s="33"/>
      <c r="R93" s="33"/>
      <c r="S93" s="33"/>
      <c r="T93" s="33"/>
      <c r="U93" s="33"/>
      <c r="V93" s="33"/>
      <c r="W93" s="33"/>
    </row>
    <row r="94" spans="4:23" x14ac:dyDescent="0.2">
      <c r="D94" s="15" t="s">
        <v>148</v>
      </c>
      <c r="E94" s="10" t="s">
        <v>20</v>
      </c>
      <c r="G94" s="12">
        <f>$G$129*K94</f>
        <v>869794.98156861425</v>
      </c>
      <c r="H94" s="12">
        <f>$H$129*K94</f>
        <v>140431.35659766663</v>
      </c>
      <c r="I94" s="12">
        <f>$I$129*K94</f>
        <v>471298.66183371912</v>
      </c>
      <c r="J94" s="11">
        <v>0</v>
      </c>
      <c r="K94" s="11">
        <f>1276855+193085+11585</f>
        <v>1481525</v>
      </c>
      <c r="L94" s="5"/>
      <c r="M94" s="12">
        <f t="shared" ref="M94:Q95" si="15">G94</f>
        <v>869794.98156861425</v>
      </c>
      <c r="N94" s="12">
        <f t="shared" si="15"/>
        <v>140431.35659766663</v>
      </c>
      <c r="O94" s="12">
        <f t="shared" si="15"/>
        <v>471298.66183371912</v>
      </c>
      <c r="P94" s="11">
        <f t="shared" si="15"/>
        <v>0</v>
      </c>
      <c r="Q94" s="12">
        <f t="shared" si="15"/>
        <v>1481525</v>
      </c>
      <c r="R94" s="12"/>
      <c r="S94" s="12"/>
      <c r="T94" s="12"/>
      <c r="U94" s="12"/>
      <c r="V94" s="12"/>
      <c r="W94" s="12"/>
    </row>
    <row r="95" spans="4:23" x14ac:dyDescent="0.2">
      <c r="D95" s="15"/>
      <c r="E95" s="10" t="s">
        <v>21</v>
      </c>
      <c r="G95" s="36">
        <f>$G$129*K95</f>
        <v>0</v>
      </c>
      <c r="H95" s="36">
        <f>$H$129*K95</f>
        <v>0</v>
      </c>
      <c r="I95" s="36">
        <f>$I$129*K95</f>
        <v>0</v>
      </c>
      <c r="J95" s="34">
        <v>0</v>
      </c>
      <c r="K95" s="34">
        <v>0</v>
      </c>
      <c r="L95" s="5"/>
      <c r="M95" s="33">
        <f t="shared" si="15"/>
        <v>0</v>
      </c>
      <c r="N95" s="33">
        <f t="shared" si="15"/>
        <v>0</v>
      </c>
      <c r="O95" s="33">
        <f t="shared" si="15"/>
        <v>0</v>
      </c>
      <c r="P95" s="34">
        <f t="shared" si="15"/>
        <v>0</v>
      </c>
      <c r="Q95" s="33">
        <f t="shared" si="15"/>
        <v>0</v>
      </c>
      <c r="R95" s="33"/>
      <c r="S95" s="33"/>
      <c r="T95" s="33"/>
      <c r="U95" s="33"/>
      <c r="V95" s="33"/>
      <c r="W95" s="33"/>
    </row>
    <row r="96" spans="4:23" x14ac:dyDescent="0.2">
      <c r="D96" s="15"/>
      <c r="E96" s="10"/>
      <c r="G96" s="36"/>
      <c r="H96" s="36"/>
      <c r="I96" s="36"/>
      <c r="J96" s="34"/>
      <c r="K96" s="34"/>
      <c r="L96" s="5"/>
      <c r="M96" s="33"/>
      <c r="N96" s="33"/>
      <c r="O96" s="33"/>
      <c r="P96" s="34"/>
      <c r="Q96" s="33"/>
      <c r="R96" s="33"/>
      <c r="S96" s="33"/>
      <c r="T96" s="33"/>
      <c r="U96" s="33"/>
      <c r="V96" s="33"/>
      <c r="W96" s="33"/>
    </row>
    <row r="97" spans="2:24" x14ac:dyDescent="0.2">
      <c r="D97" s="15" t="s">
        <v>149</v>
      </c>
      <c r="E97" s="10" t="s">
        <v>20</v>
      </c>
      <c r="G97" s="12">
        <f>$G$129*K97</f>
        <v>117387.17023655905</v>
      </c>
      <c r="H97" s="12">
        <f>$H$129*K97</f>
        <v>18952.557686354972</v>
      </c>
      <c r="I97" s="12">
        <f>$I$129*K97</f>
        <v>63606.272077085974</v>
      </c>
      <c r="J97" s="11">
        <v>0</v>
      </c>
      <c r="K97" s="11">
        <v>199946</v>
      </c>
      <c r="L97" s="5"/>
      <c r="M97" s="12">
        <f t="shared" ref="M97:Q98" si="16">G97</f>
        <v>117387.17023655905</v>
      </c>
      <c r="N97" s="12">
        <f t="shared" si="16"/>
        <v>18952.557686354972</v>
      </c>
      <c r="O97" s="12">
        <f t="shared" si="16"/>
        <v>63606.272077085974</v>
      </c>
      <c r="P97" s="11">
        <f t="shared" si="16"/>
        <v>0</v>
      </c>
      <c r="Q97" s="12">
        <f t="shared" si="16"/>
        <v>199946</v>
      </c>
      <c r="R97" s="12"/>
      <c r="S97" s="12"/>
      <c r="T97" s="12"/>
      <c r="U97" s="12"/>
      <c r="V97" s="12"/>
      <c r="W97" s="12"/>
    </row>
    <row r="98" spans="2:24" x14ac:dyDescent="0.2">
      <c r="D98" s="15"/>
      <c r="E98" s="10" t="s">
        <v>21</v>
      </c>
      <c r="G98" s="36">
        <f>$G$129*K98</f>
        <v>0</v>
      </c>
      <c r="H98" s="36">
        <f>$H$129*K98</f>
        <v>0</v>
      </c>
      <c r="I98" s="36">
        <f>$I$129*K98</f>
        <v>0</v>
      </c>
      <c r="J98" s="34">
        <v>0</v>
      </c>
      <c r="K98" s="34">
        <v>0</v>
      </c>
      <c r="L98" s="5"/>
      <c r="M98" s="33">
        <f t="shared" si="16"/>
        <v>0</v>
      </c>
      <c r="N98" s="33">
        <f t="shared" si="16"/>
        <v>0</v>
      </c>
      <c r="O98" s="33">
        <f t="shared" si="16"/>
        <v>0</v>
      </c>
      <c r="P98" s="34">
        <f t="shared" si="16"/>
        <v>0</v>
      </c>
      <c r="Q98" s="33">
        <f t="shared" si="16"/>
        <v>0</v>
      </c>
      <c r="R98" s="33"/>
      <c r="S98" s="33"/>
      <c r="T98" s="33"/>
      <c r="U98" s="33"/>
      <c r="V98" s="33"/>
      <c r="W98" s="33"/>
    </row>
    <row r="99" spans="2:24" x14ac:dyDescent="0.2">
      <c r="D99" s="15"/>
      <c r="E99" s="10"/>
      <c r="G99" s="36"/>
      <c r="H99" s="36"/>
      <c r="I99" s="36"/>
      <c r="J99" s="34"/>
      <c r="K99" s="34"/>
      <c r="L99" s="5"/>
      <c r="M99" s="33"/>
      <c r="N99" s="33"/>
      <c r="O99" s="33"/>
      <c r="P99" s="34"/>
      <c r="Q99" s="33"/>
      <c r="R99" s="33"/>
      <c r="S99" s="33"/>
      <c r="T99" s="33"/>
      <c r="U99" s="33"/>
      <c r="V99" s="33"/>
      <c r="W99" s="33"/>
    </row>
    <row r="100" spans="2:24" x14ac:dyDescent="0.2">
      <c r="D100" s="15" t="s">
        <v>150</v>
      </c>
      <c r="E100" s="10" t="s">
        <v>20</v>
      </c>
      <c r="G100" s="12">
        <f>$G$129*K100</f>
        <v>11683.177896569699</v>
      </c>
      <c r="H100" s="12">
        <f>$H$129*K100</f>
        <v>1886.2887877650164</v>
      </c>
      <c r="I100" s="12">
        <f>$I$129*K100</f>
        <v>6330.5333156652841</v>
      </c>
      <c r="J100" s="11">
        <v>0</v>
      </c>
      <c r="K100" s="11">
        <f>16671+3046+183</f>
        <v>19900</v>
      </c>
      <c r="L100" s="5"/>
      <c r="M100" s="12">
        <f t="shared" ref="M100:Q101" si="17">G100</f>
        <v>11683.177896569699</v>
      </c>
      <c r="N100" s="12">
        <f t="shared" si="17"/>
        <v>1886.2887877650164</v>
      </c>
      <c r="O100" s="12">
        <f t="shared" si="17"/>
        <v>6330.5333156652841</v>
      </c>
      <c r="P100" s="11">
        <f t="shared" si="17"/>
        <v>0</v>
      </c>
      <c r="Q100" s="12">
        <f t="shared" si="17"/>
        <v>19900</v>
      </c>
      <c r="R100" s="12"/>
      <c r="S100" s="12"/>
      <c r="T100" s="12"/>
      <c r="U100" s="12"/>
      <c r="V100" s="12"/>
      <c r="W100" s="12"/>
    </row>
    <row r="101" spans="2:24" x14ac:dyDescent="0.2">
      <c r="D101" s="15"/>
      <c r="E101" s="10" t="s">
        <v>21</v>
      </c>
      <c r="G101" s="36">
        <f>$G$129*K101</f>
        <v>0</v>
      </c>
      <c r="H101" s="36">
        <f>$H$129*K101</f>
        <v>0</v>
      </c>
      <c r="I101" s="36">
        <f>$I$129*K101</f>
        <v>0</v>
      </c>
      <c r="J101" s="34">
        <v>0</v>
      </c>
      <c r="K101" s="34">
        <v>0</v>
      </c>
      <c r="L101" s="5"/>
      <c r="M101" s="33">
        <f t="shared" si="17"/>
        <v>0</v>
      </c>
      <c r="N101" s="33">
        <f t="shared" si="17"/>
        <v>0</v>
      </c>
      <c r="O101" s="33">
        <f t="shared" si="17"/>
        <v>0</v>
      </c>
      <c r="P101" s="34">
        <f t="shared" si="17"/>
        <v>0</v>
      </c>
      <c r="Q101" s="33">
        <f t="shared" si="17"/>
        <v>0</v>
      </c>
      <c r="R101" s="33"/>
      <c r="S101" s="33"/>
      <c r="T101" s="33"/>
      <c r="U101" s="33"/>
      <c r="V101" s="33"/>
      <c r="W101" s="33"/>
    </row>
    <row r="102" spans="2:24" x14ac:dyDescent="0.2">
      <c r="D102" s="15"/>
      <c r="J102" s="15"/>
      <c r="K102" s="15"/>
      <c r="L102" s="5"/>
    </row>
    <row r="103" spans="2:24" x14ac:dyDescent="0.2">
      <c r="D103" s="15" t="s">
        <v>66</v>
      </c>
      <c r="E103" s="10" t="s">
        <v>20</v>
      </c>
      <c r="G103" s="12">
        <f>$G$129*K103</f>
        <v>17614.592282953803</v>
      </c>
      <c r="H103" s="12">
        <f>$H$129*K103</f>
        <v>2843.9358039856174</v>
      </c>
      <c r="I103" s="12">
        <f>$I$129*K103</f>
        <v>9544.471913060579</v>
      </c>
      <c r="J103" s="11">
        <v>0</v>
      </c>
      <c r="K103" s="11">
        <v>30003</v>
      </c>
      <c r="L103" s="5"/>
      <c r="M103" s="12">
        <f>G103</f>
        <v>17614.592282953803</v>
      </c>
      <c r="N103" s="12">
        <f>H103</f>
        <v>2843.9358039856174</v>
      </c>
      <c r="O103" s="12">
        <f>I103</f>
        <v>9544.471913060579</v>
      </c>
      <c r="P103" s="11">
        <f>J103</f>
        <v>0</v>
      </c>
      <c r="Q103" s="12">
        <f>K103</f>
        <v>30003</v>
      </c>
      <c r="R103" s="12"/>
      <c r="S103" s="12"/>
      <c r="T103" s="12"/>
      <c r="U103" s="12"/>
      <c r="V103" s="12"/>
      <c r="W103" s="12"/>
    </row>
    <row r="104" spans="2:24" ht="13.5" thickBot="1" x14ac:dyDescent="0.25">
      <c r="D104" s="15"/>
      <c r="J104" s="15"/>
      <c r="L104" s="5"/>
    </row>
    <row r="105" spans="2:24" ht="13.5" thickBot="1" x14ac:dyDescent="0.25">
      <c r="B105" s="2" t="s">
        <v>67</v>
      </c>
      <c r="E105" s="10" t="s">
        <v>20</v>
      </c>
      <c r="G105" s="31">
        <f>G61+G64+G67+G70+G73+G76+G79+G82+G85+G88+G91+G94+G97+G100+G103</f>
        <v>3349498.9999999995</v>
      </c>
      <c r="H105" s="31">
        <f>H61+H64+H67+H70+H73+H76+H79+H82+H85+H88+H91+H94+H97+H100+H103</f>
        <v>540788</v>
      </c>
      <c r="I105" s="31">
        <f>I61+I64+I67+I70+I73+I76+I79+I82+I85+I88+I91+I94+I97+I100+I103</f>
        <v>2184068</v>
      </c>
      <c r="J105" s="31">
        <f>J61+J64+J67+J70+J73+J76+J79+J82+J85+J88+J91+J94+J97+J100+J103</f>
        <v>0</v>
      </c>
      <c r="K105" s="39">
        <f>SUM(G105:J105)</f>
        <v>6074355</v>
      </c>
      <c r="L105" s="32"/>
      <c r="M105" s="31">
        <f>M61+M64+M67+M70+M73+M76+M79+M82+M85+M88+M91+M94+M97+M100+M103</f>
        <v>3290073.777881986</v>
      </c>
      <c r="N105" s="31">
        <f>N61+N64+N67+N70+N73+N76+N79+N82+N85+N88+N91+N94+N97+N100+N103</f>
        <v>531193.59587605298</v>
      </c>
      <c r="O105" s="31">
        <f>O61+O64+O67+O70+O73+O76+O79+O82+O85+O88+O91+O94+O97+O100+O103</f>
        <v>2151868.4262419604</v>
      </c>
      <c r="P105" s="31">
        <f>P61+P64+P67+P70+P73+P76+P79+P82+P85+P88+P91+P94+P97+P100+P103</f>
        <v>0</v>
      </c>
      <c r="Q105" s="31">
        <f>SUM(M105:P105)</f>
        <v>5973135.7999999989</v>
      </c>
      <c r="R105" s="31"/>
      <c r="S105" s="31"/>
      <c r="T105" s="31"/>
      <c r="U105" s="31"/>
      <c r="V105" s="31"/>
      <c r="W105" s="31"/>
      <c r="X105" s="96"/>
    </row>
    <row r="106" spans="2:24" x14ac:dyDescent="0.2">
      <c r="B106" s="2"/>
      <c r="E106" s="10" t="s">
        <v>21</v>
      </c>
      <c r="G106" s="41">
        <f>G62+G65+G68+G71+G74+G77+G80+G83+G86+G89+G92+G95+G98+G101</f>
        <v>0</v>
      </c>
      <c r="H106" s="41">
        <f>H62+H65+H68+H71+H74+H77+H80+H83+H86+H89+H92+H95+H98+H101</f>
        <v>0</v>
      </c>
      <c r="I106" s="41">
        <f>I62+I65+I68+I71+I74+I77+I80+I83+I86+I89+I92+I95+I98+I101</f>
        <v>0</v>
      </c>
      <c r="J106" s="41">
        <f>J62+J65+J68+J71+J74+J77+J80+J83+J86+J89+J92+J95+J98+J101</f>
        <v>0</v>
      </c>
      <c r="K106" s="42">
        <f>SUM(G106:J106)</f>
        <v>0</v>
      </c>
      <c r="L106" s="43"/>
      <c r="M106" s="41">
        <f>M62+M65+M68+M71+M74+M77+M80+M83+M86+M89+M92+M95+M98+M101</f>
        <v>0</v>
      </c>
      <c r="N106" s="41">
        <f>N62+N65+N68+N71+N74+N77+N80+N83+N86+N89+N92+N95+N98+N101</f>
        <v>0</v>
      </c>
      <c r="O106" s="41">
        <f>O62+O65+O68+O71+O74+O77+O80+O83+O86+O89+O92+O95+O98+O101</f>
        <v>0</v>
      </c>
      <c r="P106" s="41">
        <f>P62+P65+P68+P71+P74+P77+P80+P83+P86+P89+P92+P95+P98+P101</f>
        <v>0</v>
      </c>
      <c r="Q106" s="44">
        <f>SUM(M106:P106)</f>
        <v>0</v>
      </c>
      <c r="R106" s="42"/>
      <c r="S106" s="42"/>
      <c r="T106" s="42"/>
      <c r="U106" s="42"/>
      <c r="V106" s="42"/>
      <c r="W106" s="42"/>
    </row>
    <row r="107" spans="2:24" x14ac:dyDescent="0.2">
      <c r="K107" s="12"/>
      <c r="L107" s="5"/>
      <c r="X107" s="12"/>
    </row>
    <row r="108" spans="2:24" ht="13.5" thickBot="1" x14ac:dyDescent="0.25">
      <c r="L108" s="5"/>
    </row>
    <row r="109" spans="2:24" ht="15" thickBot="1" x14ac:dyDescent="0.25">
      <c r="B109" s="6" t="s">
        <v>68</v>
      </c>
      <c r="G109" s="45">
        <f t="shared" ref="G109:Q109" si="18">G57+G105</f>
        <v>5528891</v>
      </c>
      <c r="H109" s="45">
        <f t="shared" si="18"/>
        <v>725422</v>
      </c>
      <c r="I109" s="45">
        <f t="shared" si="18"/>
        <v>3360583</v>
      </c>
      <c r="J109" s="45">
        <f t="shared" si="18"/>
        <v>0</v>
      </c>
      <c r="K109" s="45">
        <f t="shared" si="18"/>
        <v>9614896</v>
      </c>
      <c r="L109" s="46">
        <f t="shared" si="18"/>
        <v>0</v>
      </c>
      <c r="M109" s="45">
        <f t="shared" si="18"/>
        <v>5222271.9125922555</v>
      </c>
      <c r="N109" s="45">
        <f t="shared" si="18"/>
        <v>661827.95857736957</v>
      </c>
      <c r="O109" s="79">
        <f t="shared" si="18"/>
        <v>3125090.6939002895</v>
      </c>
      <c r="P109" s="45">
        <f t="shared" si="18"/>
        <v>0</v>
      </c>
      <c r="Q109" s="45">
        <f t="shared" si="18"/>
        <v>9009190.5650699139</v>
      </c>
      <c r="R109" s="86"/>
      <c r="S109" s="86"/>
      <c r="T109" s="86"/>
      <c r="U109" s="86"/>
      <c r="V109" s="86"/>
      <c r="W109" s="86"/>
    </row>
    <row r="110" spans="2:24" ht="13.5" thickTop="1" x14ac:dyDescent="0.2">
      <c r="I110" s="97"/>
      <c r="L110" s="5"/>
      <c r="O110" s="80"/>
    </row>
    <row r="111" spans="2:24" x14ac:dyDescent="0.2">
      <c r="I111" s="97"/>
      <c r="L111" s="5"/>
      <c r="O111" s="80"/>
    </row>
    <row r="112" spans="2:24" x14ac:dyDescent="0.2">
      <c r="I112" s="97"/>
      <c r="L112" s="5"/>
      <c r="O112" s="80"/>
    </row>
    <row r="113" spans="9:15" x14ac:dyDescent="0.2">
      <c r="I113" s="97"/>
      <c r="L113" s="5"/>
      <c r="O113" s="80"/>
    </row>
    <row r="114" spans="9:15" x14ac:dyDescent="0.2">
      <c r="I114" s="97"/>
      <c r="L114" s="5"/>
      <c r="O114" s="80"/>
    </row>
    <row r="115" spans="9:15" x14ac:dyDescent="0.2">
      <c r="I115" s="97"/>
      <c r="L115" s="5"/>
      <c r="O115" s="80"/>
    </row>
    <row r="116" spans="9:15" x14ac:dyDescent="0.2">
      <c r="I116" s="97"/>
      <c r="L116" s="5"/>
      <c r="O116" s="80"/>
    </row>
    <row r="117" spans="9:15" x14ac:dyDescent="0.2">
      <c r="I117" s="97"/>
      <c r="L117" s="5"/>
      <c r="O117" s="80"/>
    </row>
    <row r="118" spans="9:15" x14ac:dyDescent="0.2">
      <c r="I118" s="97"/>
      <c r="L118" s="5"/>
      <c r="O118" s="80"/>
    </row>
    <row r="119" spans="9:15" x14ac:dyDescent="0.2">
      <c r="I119" s="97"/>
      <c r="L119" s="5"/>
      <c r="O119" s="80"/>
    </row>
    <row r="120" spans="9:15" x14ac:dyDescent="0.2">
      <c r="I120" s="97"/>
      <c r="L120" s="5"/>
      <c r="O120" s="80"/>
    </row>
    <row r="121" spans="9:15" x14ac:dyDescent="0.2">
      <c r="I121" s="97"/>
      <c r="L121" s="5"/>
      <c r="O121" s="80"/>
    </row>
    <row r="122" spans="9:15" x14ac:dyDescent="0.2">
      <c r="I122" s="97"/>
      <c r="L122" s="5"/>
      <c r="O122" s="80"/>
    </row>
    <row r="123" spans="9:15" x14ac:dyDescent="0.2">
      <c r="I123" s="97"/>
      <c r="L123" s="5"/>
      <c r="O123" s="80"/>
    </row>
    <row r="124" spans="9:15" x14ac:dyDescent="0.2">
      <c r="I124" s="97"/>
      <c r="L124" s="5"/>
      <c r="O124" s="80"/>
    </row>
    <row r="125" spans="9:15" x14ac:dyDescent="0.2">
      <c r="I125" s="97"/>
      <c r="L125" s="5"/>
      <c r="O125" s="80"/>
    </row>
    <row r="126" spans="9:15" x14ac:dyDescent="0.2">
      <c r="I126" s="97"/>
      <c r="L126" s="5"/>
      <c r="O126" s="80"/>
    </row>
    <row r="127" spans="9:15" x14ac:dyDescent="0.2">
      <c r="I127" s="97"/>
      <c r="L127" s="5"/>
      <c r="O127" s="80"/>
    </row>
    <row r="128" spans="9:15" ht="13.5" thickBot="1" x14ac:dyDescent="0.25">
      <c r="L128" s="5"/>
    </row>
    <row r="129" spans="5:16" x14ac:dyDescent="0.2">
      <c r="E129" s="50"/>
      <c r="F129" s="51"/>
      <c r="G129" s="52">
        <f>G141</f>
        <v>0.58709436666179393</v>
      </c>
      <c r="H129" s="52">
        <f>H141</f>
        <v>9.4788381294724444E-2</v>
      </c>
      <c r="I129" s="52">
        <f>I141</f>
        <v>0.31811725204348162</v>
      </c>
      <c r="J129" s="51"/>
      <c r="K129" s="53"/>
      <c r="L129" s="5"/>
      <c r="M129" s="47"/>
      <c r="N129" s="47"/>
      <c r="O129" s="47"/>
    </row>
    <row r="130" spans="5:16" x14ac:dyDescent="0.2">
      <c r="E130" s="54"/>
      <c r="F130" s="38"/>
      <c r="G130" s="38"/>
      <c r="H130" s="38"/>
      <c r="I130" s="38"/>
      <c r="J130" s="38"/>
      <c r="K130" s="55"/>
      <c r="L130" s="5"/>
      <c r="M130" s="48"/>
    </row>
    <row r="131" spans="5:16" x14ac:dyDescent="0.2">
      <c r="E131" s="54" t="s">
        <v>69</v>
      </c>
      <c r="F131" s="38"/>
      <c r="G131" s="38"/>
      <c r="H131" s="38"/>
      <c r="I131" s="38"/>
      <c r="J131" s="38"/>
      <c r="K131" s="56">
        <v>6074355</v>
      </c>
      <c r="L131" s="5"/>
      <c r="M131" s="49"/>
    </row>
    <row r="132" spans="5:16" x14ac:dyDescent="0.2">
      <c r="E132" s="54" t="s">
        <v>91</v>
      </c>
      <c r="F132" s="38"/>
      <c r="G132" s="38"/>
      <c r="H132" s="38"/>
      <c r="I132" s="38"/>
      <c r="J132" s="38"/>
      <c r="K132" s="56">
        <v>0</v>
      </c>
      <c r="L132" s="5"/>
      <c r="M132" s="49"/>
    </row>
    <row r="133" spans="5:16" x14ac:dyDescent="0.2">
      <c r="E133" s="54"/>
      <c r="F133" s="38"/>
      <c r="G133" s="38"/>
      <c r="H133" s="38"/>
      <c r="I133" s="38"/>
      <c r="J133" s="38"/>
      <c r="K133" s="56"/>
      <c r="L133" s="5"/>
      <c r="M133" s="49"/>
    </row>
    <row r="134" spans="5:16" x14ac:dyDescent="0.2">
      <c r="E134" s="54" t="s">
        <v>70</v>
      </c>
      <c r="F134" s="38"/>
      <c r="G134" s="38"/>
      <c r="H134" s="38"/>
      <c r="I134" s="38"/>
      <c r="J134" s="38"/>
      <c r="K134" s="72">
        <f>SUM(K131:K133)</f>
        <v>6074355</v>
      </c>
      <c r="L134" s="5"/>
      <c r="M134" s="49"/>
      <c r="O134" s="98"/>
      <c r="P134" s="99"/>
    </row>
    <row r="135" spans="5:16" x14ac:dyDescent="0.2">
      <c r="E135" s="54" t="s">
        <v>71</v>
      </c>
      <c r="F135" s="38"/>
      <c r="G135" s="38"/>
      <c r="H135" s="38"/>
      <c r="I135" s="38"/>
      <c r="J135" s="38"/>
      <c r="K135" s="56">
        <f>-K61</f>
        <v>-369141</v>
      </c>
      <c r="L135" s="5"/>
      <c r="M135" s="49"/>
      <c r="O135" s="98"/>
      <c r="P135" s="99"/>
    </row>
    <row r="136" spans="5:16" ht="13.5" thickBot="1" x14ac:dyDescent="0.25">
      <c r="E136" s="54" t="s">
        <v>72</v>
      </c>
      <c r="F136" s="38"/>
      <c r="G136" s="38"/>
      <c r="H136" s="38"/>
      <c r="I136" s="38"/>
      <c r="J136" s="38"/>
      <c r="K136" s="73">
        <f>SUM(K134:K135)</f>
        <v>5705214</v>
      </c>
      <c r="L136" s="5"/>
      <c r="M136" s="49"/>
      <c r="O136" s="98"/>
      <c r="P136" s="100"/>
    </row>
    <row r="137" spans="5:16" ht="13.5" thickTop="1" x14ac:dyDescent="0.2">
      <c r="E137" s="54"/>
      <c r="F137" s="38"/>
      <c r="G137" s="38"/>
      <c r="H137" s="38"/>
      <c r="I137" s="38"/>
      <c r="J137" s="38"/>
      <c r="K137" s="56"/>
      <c r="L137" s="5"/>
      <c r="M137" s="49"/>
    </row>
    <row r="138" spans="5:16" ht="13.5" thickBot="1" x14ac:dyDescent="0.25">
      <c r="E138" s="54" t="s">
        <v>73</v>
      </c>
      <c r="F138" s="38"/>
      <c r="G138" s="101">
        <v>3349499</v>
      </c>
      <c r="H138" s="63">
        <v>540788</v>
      </c>
      <c r="I138" s="63">
        <v>2184068</v>
      </c>
      <c r="J138" s="38"/>
      <c r="K138" s="56"/>
      <c r="L138" s="5"/>
      <c r="M138" s="49"/>
      <c r="O138" s="12"/>
      <c r="P138" s="102"/>
    </row>
    <row r="139" spans="5:16" ht="13.5" thickTop="1" x14ac:dyDescent="0.2">
      <c r="E139" s="54" t="s">
        <v>74</v>
      </c>
      <c r="F139" s="38"/>
      <c r="G139" s="60"/>
      <c r="H139" s="61"/>
      <c r="I139" s="61">
        <f>-K61</f>
        <v>-369141</v>
      </c>
      <c r="K139" s="55"/>
      <c r="L139" s="5"/>
      <c r="O139" s="12"/>
    </row>
    <row r="140" spans="5:16" ht="13.5" thickBot="1" x14ac:dyDescent="0.25">
      <c r="E140" s="54" t="s">
        <v>75</v>
      </c>
      <c r="F140" s="38"/>
      <c r="G140" s="63"/>
      <c r="H140" s="64">
        <f>SUM(H138:H139)</f>
        <v>540788</v>
      </c>
      <c r="I140" s="64">
        <f>SUM(I138:I139)</f>
        <v>1814927</v>
      </c>
      <c r="J140" s="65"/>
      <c r="K140" s="56"/>
      <c r="L140" s="5"/>
    </row>
    <row r="141" spans="5:16" ht="14.25" thickTop="1" thickBot="1" x14ac:dyDescent="0.25">
      <c r="E141" s="54" t="s">
        <v>76</v>
      </c>
      <c r="F141" s="38"/>
      <c r="G141" s="66">
        <f>1-(H141+I141)</f>
        <v>0.58709436666179393</v>
      </c>
      <c r="H141" s="66">
        <f>H$140/$K$136</f>
        <v>9.4788381294724444E-2</v>
      </c>
      <c r="I141" s="66">
        <f>I$140/$K$136</f>
        <v>0.31811725204348162</v>
      </c>
      <c r="J141" s="49"/>
      <c r="K141" s="56"/>
      <c r="L141" s="5"/>
    </row>
    <row r="142" spans="5:16" ht="14.25" thickTop="1" thickBot="1" x14ac:dyDescent="0.25">
      <c r="E142" s="67"/>
      <c r="F142" s="68"/>
      <c r="G142" s="69" t="s">
        <v>77</v>
      </c>
      <c r="H142" s="69" t="s">
        <v>78</v>
      </c>
      <c r="I142" s="69" t="s">
        <v>79</v>
      </c>
      <c r="J142" s="68"/>
      <c r="K142" s="70"/>
      <c r="L142" s="5"/>
    </row>
    <row r="143" spans="5:16" x14ac:dyDescent="0.2">
      <c r="J143" s="51"/>
      <c r="K143" s="74"/>
      <c r="L143" s="15"/>
    </row>
    <row r="144" spans="5:16" x14ac:dyDescent="0.2">
      <c r="J144" s="38"/>
      <c r="K144" s="63"/>
      <c r="L144" s="15"/>
    </row>
    <row r="145" spans="2:13" x14ac:dyDescent="0.2">
      <c r="B145" s="2" t="s">
        <v>84</v>
      </c>
      <c r="C145" s="2"/>
      <c r="D145" s="2" t="s">
        <v>151</v>
      </c>
      <c r="J145" s="38"/>
      <c r="K145" s="63"/>
      <c r="L145" s="15"/>
    </row>
    <row r="146" spans="2:13" x14ac:dyDescent="0.2">
      <c r="B146" s="2" t="s">
        <v>85</v>
      </c>
      <c r="C146" s="2"/>
      <c r="D146" s="2"/>
      <c r="J146" s="38"/>
      <c r="K146" s="38"/>
      <c r="M146" s="62"/>
    </row>
    <row r="147" spans="2:13" x14ac:dyDescent="0.2">
      <c r="B147" s="2" t="s">
        <v>81</v>
      </c>
      <c r="C147" s="2"/>
      <c r="D147" s="2" t="s">
        <v>152</v>
      </c>
      <c r="J147" s="38"/>
      <c r="K147" s="38"/>
    </row>
    <row r="148" spans="2:13" x14ac:dyDescent="0.2">
      <c r="B148" s="2" t="s">
        <v>83</v>
      </c>
      <c r="C148" s="2"/>
      <c r="D148" s="2" t="s">
        <v>153</v>
      </c>
      <c r="E148" s="71"/>
      <c r="F148" s="71"/>
      <c r="G148" s="49"/>
      <c r="H148" s="49"/>
      <c r="I148" s="49"/>
    </row>
    <row r="149" spans="2:13" x14ac:dyDescent="0.2">
      <c r="B149" s="2" t="s">
        <v>82</v>
      </c>
      <c r="C149" s="2"/>
      <c r="D149" s="2" t="s">
        <v>154</v>
      </c>
      <c r="E149" s="71"/>
      <c r="F149" s="71"/>
      <c r="G149" s="49"/>
      <c r="H149" s="49"/>
      <c r="I149" s="49"/>
    </row>
    <row r="150" spans="2:13" x14ac:dyDescent="0.2">
      <c r="E150" s="71"/>
      <c r="F150" s="71"/>
      <c r="G150" s="75"/>
      <c r="H150" s="75"/>
      <c r="I150" s="75"/>
    </row>
    <row r="151" spans="2:13" x14ac:dyDescent="0.2">
      <c r="B151" s="2" t="s">
        <v>92</v>
      </c>
      <c r="D151" s="2" t="s">
        <v>155</v>
      </c>
      <c r="E151" s="71"/>
      <c r="F151" s="71"/>
      <c r="G151" s="76"/>
      <c r="H151" s="76"/>
      <c r="I151" s="76"/>
      <c r="J151" s="38"/>
    </row>
    <row r="152" spans="2:13" x14ac:dyDescent="0.2">
      <c r="G152" s="63"/>
      <c r="H152" s="63"/>
      <c r="I152" s="63"/>
      <c r="J152" s="38"/>
    </row>
    <row r="153" spans="2:13" x14ac:dyDescent="0.2">
      <c r="G153" s="38"/>
      <c r="H153" s="38"/>
      <c r="I153" s="38"/>
      <c r="J153" s="38"/>
    </row>
  </sheetData>
  <mergeCells count="2">
    <mergeCell ref="G3:K3"/>
    <mergeCell ref="M3:Q3"/>
  </mergeCells>
  <printOptions horizontalCentered="1"/>
  <pageMargins left="0.25" right="0.25" top="0.5" bottom="0.25" header="0.25" footer="0"/>
  <pageSetup scale="55" fitToHeight="0" orientation="landscape" copies="2" r:id="rId1"/>
  <headerFooter alignWithMargins="0"/>
  <rowBreaks count="1" manualBreakCount="1">
    <brk id="58" max="1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Z144"/>
  <sheetViews>
    <sheetView zoomScaleNormal="100" workbookViewId="0">
      <selection activeCell="B1" sqref="B1"/>
    </sheetView>
  </sheetViews>
  <sheetFormatPr defaultRowHeight="12.75" x14ac:dyDescent="0.2"/>
  <cols>
    <col min="1" max="1" width="0.85546875" style="3" customWidth="1"/>
    <col min="2" max="2" width="22.140625" style="3" customWidth="1"/>
    <col min="3" max="3" width="0.85546875" style="3" customWidth="1"/>
    <col min="4" max="4" width="29.42578125" style="3" customWidth="1"/>
    <col min="5" max="5" width="22" style="3" bestFit="1" customWidth="1"/>
    <col min="6" max="6" width="0.85546875" style="3" customWidth="1"/>
    <col min="7" max="7" width="14.7109375" style="3" customWidth="1"/>
    <col min="8" max="8" width="16" style="3" customWidth="1"/>
    <col min="9" max="9" width="16.140625" style="3" customWidth="1"/>
    <col min="10" max="10" width="14.7109375" style="3" customWidth="1"/>
    <col min="11" max="11" width="16.85546875" style="3" customWidth="1"/>
    <col min="12" max="12" width="1.7109375" style="3" customWidth="1"/>
    <col min="13" max="14" width="14.7109375" style="3" customWidth="1"/>
    <col min="15" max="15" width="16.85546875" style="3" customWidth="1"/>
    <col min="16" max="16" width="14.7109375" style="3" customWidth="1"/>
    <col min="17" max="17" width="16.140625" style="3" customWidth="1"/>
    <col min="18" max="18" width="2.42578125" style="3" customWidth="1"/>
    <col min="19" max="24" width="16.140625" style="3" customWidth="1"/>
    <col min="25" max="25" width="2.7109375" style="3" customWidth="1"/>
    <col min="26" max="26" width="47" style="3" bestFit="1" customWidth="1"/>
    <col min="27" max="256" width="9.140625" style="3"/>
    <col min="257" max="257" width="0.85546875" style="3" customWidth="1"/>
    <col min="258" max="258" width="22.140625" style="3" customWidth="1"/>
    <col min="259" max="259" width="0.85546875" style="3" customWidth="1"/>
    <col min="260" max="260" width="29.42578125" style="3" customWidth="1"/>
    <col min="261" max="261" width="22" style="3" bestFit="1" customWidth="1"/>
    <col min="262" max="262" width="0.85546875" style="3" customWidth="1"/>
    <col min="263" max="263" width="14.7109375" style="3" customWidth="1"/>
    <col min="264" max="264" width="16" style="3" customWidth="1"/>
    <col min="265" max="265" width="16.140625" style="3" customWidth="1"/>
    <col min="266" max="266" width="14.7109375" style="3" customWidth="1"/>
    <col min="267" max="267" width="16.85546875" style="3" customWidth="1"/>
    <col min="268" max="268" width="1.7109375" style="3" customWidth="1"/>
    <col min="269" max="270" width="14.7109375" style="3" customWidth="1"/>
    <col min="271" max="271" width="16.85546875" style="3" customWidth="1"/>
    <col min="272" max="272" width="14.7109375" style="3" customWidth="1"/>
    <col min="273" max="273" width="16.140625" style="3" customWidth="1"/>
    <col min="274" max="274" width="2.42578125" style="3" customWidth="1"/>
    <col min="275" max="280" width="16.140625" style="3" customWidth="1"/>
    <col min="281" max="281" width="2.7109375" style="3" customWidth="1"/>
    <col min="282" max="282" width="47" style="3" bestFit="1" customWidth="1"/>
    <col min="283" max="512" width="9.140625" style="3"/>
    <col min="513" max="513" width="0.85546875" style="3" customWidth="1"/>
    <col min="514" max="514" width="22.140625" style="3" customWidth="1"/>
    <col min="515" max="515" width="0.85546875" style="3" customWidth="1"/>
    <col min="516" max="516" width="29.42578125" style="3" customWidth="1"/>
    <col min="517" max="517" width="22" style="3" bestFit="1" customWidth="1"/>
    <col min="518" max="518" width="0.85546875" style="3" customWidth="1"/>
    <col min="519" max="519" width="14.7109375" style="3" customWidth="1"/>
    <col min="520" max="520" width="16" style="3" customWidth="1"/>
    <col min="521" max="521" width="16.140625" style="3" customWidth="1"/>
    <col min="522" max="522" width="14.7109375" style="3" customWidth="1"/>
    <col min="523" max="523" width="16.85546875" style="3" customWidth="1"/>
    <col min="524" max="524" width="1.7109375" style="3" customWidth="1"/>
    <col min="525" max="526" width="14.7109375" style="3" customWidth="1"/>
    <col min="527" max="527" width="16.85546875" style="3" customWidth="1"/>
    <col min="528" max="528" width="14.7109375" style="3" customWidth="1"/>
    <col min="529" max="529" width="16.140625" style="3" customWidth="1"/>
    <col min="530" max="530" width="2.42578125" style="3" customWidth="1"/>
    <col min="531" max="536" width="16.140625" style="3" customWidth="1"/>
    <col min="537" max="537" width="2.7109375" style="3" customWidth="1"/>
    <col min="538" max="538" width="47" style="3" bestFit="1" customWidth="1"/>
    <col min="539" max="768" width="9.140625" style="3"/>
    <col min="769" max="769" width="0.85546875" style="3" customWidth="1"/>
    <col min="770" max="770" width="22.140625" style="3" customWidth="1"/>
    <col min="771" max="771" width="0.85546875" style="3" customWidth="1"/>
    <col min="772" max="772" width="29.42578125" style="3" customWidth="1"/>
    <col min="773" max="773" width="22" style="3" bestFit="1" customWidth="1"/>
    <col min="774" max="774" width="0.85546875" style="3" customWidth="1"/>
    <col min="775" max="775" width="14.7109375" style="3" customWidth="1"/>
    <col min="776" max="776" width="16" style="3" customWidth="1"/>
    <col min="777" max="777" width="16.140625" style="3" customWidth="1"/>
    <col min="778" max="778" width="14.7109375" style="3" customWidth="1"/>
    <col min="779" max="779" width="16.85546875" style="3" customWidth="1"/>
    <col min="780" max="780" width="1.7109375" style="3" customWidth="1"/>
    <col min="781" max="782" width="14.7109375" style="3" customWidth="1"/>
    <col min="783" max="783" width="16.85546875" style="3" customWidth="1"/>
    <col min="784" max="784" width="14.7109375" style="3" customWidth="1"/>
    <col min="785" max="785" width="16.140625" style="3" customWidth="1"/>
    <col min="786" max="786" width="2.42578125" style="3" customWidth="1"/>
    <col min="787" max="792" width="16.140625" style="3" customWidth="1"/>
    <col min="793" max="793" width="2.7109375" style="3" customWidth="1"/>
    <col min="794" max="794" width="47" style="3" bestFit="1" customWidth="1"/>
    <col min="795" max="1024" width="9.140625" style="3"/>
    <col min="1025" max="1025" width="0.85546875" style="3" customWidth="1"/>
    <col min="1026" max="1026" width="22.140625" style="3" customWidth="1"/>
    <col min="1027" max="1027" width="0.85546875" style="3" customWidth="1"/>
    <col min="1028" max="1028" width="29.42578125" style="3" customWidth="1"/>
    <col min="1029" max="1029" width="22" style="3" bestFit="1" customWidth="1"/>
    <col min="1030" max="1030" width="0.85546875" style="3" customWidth="1"/>
    <col min="1031" max="1031" width="14.7109375" style="3" customWidth="1"/>
    <col min="1032" max="1032" width="16" style="3" customWidth="1"/>
    <col min="1033" max="1033" width="16.140625" style="3" customWidth="1"/>
    <col min="1034" max="1034" width="14.7109375" style="3" customWidth="1"/>
    <col min="1035" max="1035" width="16.85546875" style="3" customWidth="1"/>
    <col min="1036" max="1036" width="1.7109375" style="3" customWidth="1"/>
    <col min="1037" max="1038" width="14.7109375" style="3" customWidth="1"/>
    <col min="1039" max="1039" width="16.85546875" style="3" customWidth="1"/>
    <col min="1040" max="1040" width="14.7109375" style="3" customWidth="1"/>
    <col min="1041" max="1041" width="16.140625" style="3" customWidth="1"/>
    <col min="1042" max="1042" width="2.42578125" style="3" customWidth="1"/>
    <col min="1043" max="1048" width="16.140625" style="3" customWidth="1"/>
    <col min="1049" max="1049" width="2.7109375" style="3" customWidth="1"/>
    <col min="1050" max="1050" width="47" style="3" bestFit="1" customWidth="1"/>
    <col min="1051" max="1280" width="9.140625" style="3"/>
    <col min="1281" max="1281" width="0.85546875" style="3" customWidth="1"/>
    <col min="1282" max="1282" width="22.140625" style="3" customWidth="1"/>
    <col min="1283" max="1283" width="0.85546875" style="3" customWidth="1"/>
    <col min="1284" max="1284" width="29.42578125" style="3" customWidth="1"/>
    <col min="1285" max="1285" width="22" style="3" bestFit="1" customWidth="1"/>
    <col min="1286" max="1286" width="0.85546875" style="3" customWidth="1"/>
    <col min="1287" max="1287" width="14.7109375" style="3" customWidth="1"/>
    <col min="1288" max="1288" width="16" style="3" customWidth="1"/>
    <col min="1289" max="1289" width="16.140625" style="3" customWidth="1"/>
    <col min="1290" max="1290" width="14.7109375" style="3" customWidth="1"/>
    <col min="1291" max="1291" width="16.85546875" style="3" customWidth="1"/>
    <col min="1292" max="1292" width="1.7109375" style="3" customWidth="1"/>
    <col min="1293" max="1294" width="14.7109375" style="3" customWidth="1"/>
    <col min="1295" max="1295" width="16.85546875" style="3" customWidth="1"/>
    <col min="1296" max="1296" width="14.7109375" style="3" customWidth="1"/>
    <col min="1297" max="1297" width="16.140625" style="3" customWidth="1"/>
    <col min="1298" max="1298" width="2.42578125" style="3" customWidth="1"/>
    <col min="1299" max="1304" width="16.140625" style="3" customWidth="1"/>
    <col min="1305" max="1305" width="2.7109375" style="3" customWidth="1"/>
    <col min="1306" max="1306" width="47" style="3" bestFit="1" customWidth="1"/>
    <col min="1307" max="1536" width="9.140625" style="3"/>
    <col min="1537" max="1537" width="0.85546875" style="3" customWidth="1"/>
    <col min="1538" max="1538" width="22.140625" style="3" customWidth="1"/>
    <col min="1539" max="1539" width="0.85546875" style="3" customWidth="1"/>
    <col min="1540" max="1540" width="29.42578125" style="3" customWidth="1"/>
    <col min="1541" max="1541" width="22" style="3" bestFit="1" customWidth="1"/>
    <col min="1542" max="1542" width="0.85546875" style="3" customWidth="1"/>
    <col min="1543" max="1543" width="14.7109375" style="3" customWidth="1"/>
    <col min="1544" max="1544" width="16" style="3" customWidth="1"/>
    <col min="1545" max="1545" width="16.140625" style="3" customWidth="1"/>
    <col min="1546" max="1546" width="14.7109375" style="3" customWidth="1"/>
    <col min="1547" max="1547" width="16.85546875" style="3" customWidth="1"/>
    <col min="1548" max="1548" width="1.7109375" style="3" customWidth="1"/>
    <col min="1549" max="1550" width="14.7109375" style="3" customWidth="1"/>
    <col min="1551" max="1551" width="16.85546875" style="3" customWidth="1"/>
    <col min="1552" max="1552" width="14.7109375" style="3" customWidth="1"/>
    <col min="1553" max="1553" width="16.140625" style="3" customWidth="1"/>
    <col min="1554" max="1554" width="2.42578125" style="3" customWidth="1"/>
    <col min="1555" max="1560" width="16.140625" style="3" customWidth="1"/>
    <col min="1561" max="1561" width="2.7109375" style="3" customWidth="1"/>
    <col min="1562" max="1562" width="47" style="3" bestFit="1" customWidth="1"/>
    <col min="1563" max="1792" width="9.140625" style="3"/>
    <col min="1793" max="1793" width="0.85546875" style="3" customWidth="1"/>
    <col min="1794" max="1794" width="22.140625" style="3" customWidth="1"/>
    <col min="1795" max="1795" width="0.85546875" style="3" customWidth="1"/>
    <col min="1796" max="1796" width="29.42578125" style="3" customWidth="1"/>
    <col min="1797" max="1797" width="22" style="3" bestFit="1" customWidth="1"/>
    <col min="1798" max="1798" width="0.85546875" style="3" customWidth="1"/>
    <col min="1799" max="1799" width="14.7109375" style="3" customWidth="1"/>
    <col min="1800" max="1800" width="16" style="3" customWidth="1"/>
    <col min="1801" max="1801" width="16.140625" style="3" customWidth="1"/>
    <col min="1802" max="1802" width="14.7109375" style="3" customWidth="1"/>
    <col min="1803" max="1803" width="16.85546875" style="3" customWidth="1"/>
    <col min="1804" max="1804" width="1.7109375" style="3" customWidth="1"/>
    <col min="1805" max="1806" width="14.7109375" style="3" customWidth="1"/>
    <col min="1807" max="1807" width="16.85546875" style="3" customWidth="1"/>
    <col min="1808" max="1808" width="14.7109375" style="3" customWidth="1"/>
    <col min="1809" max="1809" width="16.140625" style="3" customWidth="1"/>
    <col min="1810" max="1810" width="2.42578125" style="3" customWidth="1"/>
    <col min="1811" max="1816" width="16.140625" style="3" customWidth="1"/>
    <col min="1817" max="1817" width="2.7109375" style="3" customWidth="1"/>
    <col min="1818" max="1818" width="47" style="3" bestFit="1" customWidth="1"/>
    <col min="1819" max="2048" width="9.140625" style="3"/>
    <col min="2049" max="2049" width="0.85546875" style="3" customWidth="1"/>
    <col min="2050" max="2050" width="22.140625" style="3" customWidth="1"/>
    <col min="2051" max="2051" width="0.85546875" style="3" customWidth="1"/>
    <col min="2052" max="2052" width="29.42578125" style="3" customWidth="1"/>
    <col min="2053" max="2053" width="22" style="3" bestFit="1" customWidth="1"/>
    <col min="2054" max="2054" width="0.85546875" style="3" customWidth="1"/>
    <col min="2055" max="2055" width="14.7109375" style="3" customWidth="1"/>
    <col min="2056" max="2056" width="16" style="3" customWidth="1"/>
    <col min="2057" max="2057" width="16.140625" style="3" customWidth="1"/>
    <col min="2058" max="2058" width="14.7109375" style="3" customWidth="1"/>
    <col min="2059" max="2059" width="16.85546875" style="3" customWidth="1"/>
    <col min="2060" max="2060" width="1.7109375" style="3" customWidth="1"/>
    <col min="2061" max="2062" width="14.7109375" style="3" customWidth="1"/>
    <col min="2063" max="2063" width="16.85546875" style="3" customWidth="1"/>
    <col min="2064" max="2064" width="14.7109375" style="3" customWidth="1"/>
    <col min="2065" max="2065" width="16.140625" style="3" customWidth="1"/>
    <col min="2066" max="2066" width="2.42578125" style="3" customWidth="1"/>
    <col min="2067" max="2072" width="16.140625" style="3" customWidth="1"/>
    <col min="2073" max="2073" width="2.7109375" style="3" customWidth="1"/>
    <col min="2074" max="2074" width="47" style="3" bestFit="1" customWidth="1"/>
    <col min="2075" max="2304" width="9.140625" style="3"/>
    <col min="2305" max="2305" width="0.85546875" style="3" customWidth="1"/>
    <col min="2306" max="2306" width="22.140625" style="3" customWidth="1"/>
    <col min="2307" max="2307" width="0.85546875" style="3" customWidth="1"/>
    <col min="2308" max="2308" width="29.42578125" style="3" customWidth="1"/>
    <col min="2309" max="2309" width="22" style="3" bestFit="1" customWidth="1"/>
    <col min="2310" max="2310" width="0.85546875" style="3" customWidth="1"/>
    <col min="2311" max="2311" width="14.7109375" style="3" customWidth="1"/>
    <col min="2312" max="2312" width="16" style="3" customWidth="1"/>
    <col min="2313" max="2313" width="16.140625" style="3" customWidth="1"/>
    <col min="2314" max="2314" width="14.7109375" style="3" customWidth="1"/>
    <col min="2315" max="2315" width="16.85546875" style="3" customWidth="1"/>
    <col min="2316" max="2316" width="1.7109375" style="3" customWidth="1"/>
    <col min="2317" max="2318" width="14.7109375" style="3" customWidth="1"/>
    <col min="2319" max="2319" width="16.85546875" style="3" customWidth="1"/>
    <col min="2320" max="2320" width="14.7109375" style="3" customWidth="1"/>
    <col min="2321" max="2321" width="16.140625" style="3" customWidth="1"/>
    <col min="2322" max="2322" width="2.42578125" style="3" customWidth="1"/>
    <col min="2323" max="2328" width="16.140625" style="3" customWidth="1"/>
    <col min="2329" max="2329" width="2.7109375" style="3" customWidth="1"/>
    <col min="2330" max="2330" width="47" style="3" bestFit="1" customWidth="1"/>
    <col min="2331" max="2560" width="9.140625" style="3"/>
    <col min="2561" max="2561" width="0.85546875" style="3" customWidth="1"/>
    <col min="2562" max="2562" width="22.140625" style="3" customWidth="1"/>
    <col min="2563" max="2563" width="0.85546875" style="3" customWidth="1"/>
    <col min="2564" max="2564" width="29.42578125" style="3" customWidth="1"/>
    <col min="2565" max="2565" width="22" style="3" bestFit="1" customWidth="1"/>
    <col min="2566" max="2566" width="0.85546875" style="3" customWidth="1"/>
    <col min="2567" max="2567" width="14.7109375" style="3" customWidth="1"/>
    <col min="2568" max="2568" width="16" style="3" customWidth="1"/>
    <col min="2569" max="2569" width="16.140625" style="3" customWidth="1"/>
    <col min="2570" max="2570" width="14.7109375" style="3" customWidth="1"/>
    <col min="2571" max="2571" width="16.85546875" style="3" customWidth="1"/>
    <col min="2572" max="2572" width="1.7109375" style="3" customWidth="1"/>
    <col min="2573" max="2574" width="14.7109375" style="3" customWidth="1"/>
    <col min="2575" max="2575" width="16.85546875" style="3" customWidth="1"/>
    <col min="2576" max="2576" width="14.7109375" style="3" customWidth="1"/>
    <col min="2577" max="2577" width="16.140625" style="3" customWidth="1"/>
    <col min="2578" max="2578" width="2.42578125" style="3" customWidth="1"/>
    <col min="2579" max="2584" width="16.140625" style="3" customWidth="1"/>
    <col min="2585" max="2585" width="2.7109375" style="3" customWidth="1"/>
    <col min="2586" max="2586" width="47" style="3" bestFit="1" customWidth="1"/>
    <col min="2587" max="2816" width="9.140625" style="3"/>
    <col min="2817" max="2817" width="0.85546875" style="3" customWidth="1"/>
    <col min="2818" max="2818" width="22.140625" style="3" customWidth="1"/>
    <col min="2819" max="2819" width="0.85546875" style="3" customWidth="1"/>
    <col min="2820" max="2820" width="29.42578125" style="3" customWidth="1"/>
    <col min="2821" max="2821" width="22" style="3" bestFit="1" customWidth="1"/>
    <col min="2822" max="2822" width="0.85546875" style="3" customWidth="1"/>
    <col min="2823" max="2823" width="14.7109375" style="3" customWidth="1"/>
    <col min="2824" max="2824" width="16" style="3" customWidth="1"/>
    <col min="2825" max="2825" width="16.140625" style="3" customWidth="1"/>
    <col min="2826" max="2826" width="14.7109375" style="3" customWidth="1"/>
    <col min="2827" max="2827" width="16.85546875" style="3" customWidth="1"/>
    <col min="2828" max="2828" width="1.7109375" style="3" customWidth="1"/>
    <col min="2829" max="2830" width="14.7109375" style="3" customWidth="1"/>
    <col min="2831" max="2831" width="16.85546875" style="3" customWidth="1"/>
    <col min="2832" max="2832" width="14.7109375" style="3" customWidth="1"/>
    <col min="2833" max="2833" width="16.140625" style="3" customWidth="1"/>
    <col min="2834" max="2834" width="2.42578125" style="3" customWidth="1"/>
    <col min="2835" max="2840" width="16.140625" style="3" customWidth="1"/>
    <col min="2841" max="2841" width="2.7109375" style="3" customWidth="1"/>
    <col min="2842" max="2842" width="47" style="3" bestFit="1" customWidth="1"/>
    <col min="2843" max="3072" width="9.140625" style="3"/>
    <col min="3073" max="3073" width="0.85546875" style="3" customWidth="1"/>
    <col min="3074" max="3074" width="22.140625" style="3" customWidth="1"/>
    <col min="3075" max="3075" width="0.85546875" style="3" customWidth="1"/>
    <col min="3076" max="3076" width="29.42578125" style="3" customWidth="1"/>
    <col min="3077" max="3077" width="22" style="3" bestFit="1" customWidth="1"/>
    <col min="3078" max="3078" width="0.85546875" style="3" customWidth="1"/>
    <col min="3079" max="3079" width="14.7109375" style="3" customWidth="1"/>
    <col min="3080" max="3080" width="16" style="3" customWidth="1"/>
    <col min="3081" max="3081" width="16.140625" style="3" customWidth="1"/>
    <col min="3082" max="3082" width="14.7109375" style="3" customWidth="1"/>
    <col min="3083" max="3083" width="16.85546875" style="3" customWidth="1"/>
    <col min="3084" max="3084" width="1.7109375" style="3" customWidth="1"/>
    <col min="3085" max="3086" width="14.7109375" style="3" customWidth="1"/>
    <col min="3087" max="3087" width="16.85546875" style="3" customWidth="1"/>
    <col min="3088" max="3088" width="14.7109375" style="3" customWidth="1"/>
    <col min="3089" max="3089" width="16.140625" style="3" customWidth="1"/>
    <col min="3090" max="3090" width="2.42578125" style="3" customWidth="1"/>
    <col min="3091" max="3096" width="16.140625" style="3" customWidth="1"/>
    <col min="3097" max="3097" width="2.7109375" style="3" customWidth="1"/>
    <col min="3098" max="3098" width="47" style="3" bestFit="1" customWidth="1"/>
    <col min="3099" max="3328" width="9.140625" style="3"/>
    <col min="3329" max="3329" width="0.85546875" style="3" customWidth="1"/>
    <col min="3330" max="3330" width="22.140625" style="3" customWidth="1"/>
    <col min="3331" max="3331" width="0.85546875" style="3" customWidth="1"/>
    <col min="3332" max="3332" width="29.42578125" style="3" customWidth="1"/>
    <col min="3333" max="3333" width="22" style="3" bestFit="1" customWidth="1"/>
    <col min="3334" max="3334" width="0.85546875" style="3" customWidth="1"/>
    <col min="3335" max="3335" width="14.7109375" style="3" customWidth="1"/>
    <col min="3336" max="3336" width="16" style="3" customWidth="1"/>
    <col min="3337" max="3337" width="16.140625" style="3" customWidth="1"/>
    <col min="3338" max="3338" width="14.7109375" style="3" customWidth="1"/>
    <col min="3339" max="3339" width="16.85546875" style="3" customWidth="1"/>
    <col min="3340" max="3340" width="1.7109375" style="3" customWidth="1"/>
    <col min="3341" max="3342" width="14.7109375" style="3" customWidth="1"/>
    <col min="3343" max="3343" width="16.85546875" style="3" customWidth="1"/>
    <col min="3344" max="3344" width="14.7109375" style="3" customWidth="1"/>
    <col min="3345" max="3345" width="16.140625" style="3" customWidth="1"/>
    <col min="3346" max="3346" width="2.42578125" style="3" customWidth="1"/>
    <col min="3347" max="3352" width="16.140625" style="3" customWidth="1"/>
    <col min="3353" max="3353" width="2.7109375" style="3" customWidth="1"/>
    <col min="3354" max="3354" width="47" style="3" bestFit="1" customWidth="1"/>
    <col min="3355" max="3584" width="9.140625" style="3"/>
    <col min="3585" max="3585" width="0.85546875" style="3" customWidth="1"/>
    <col min="3586" max="3586" width="22.140625" style="3" customWidth="1"/>
    <col min="3587" max="3587" width="0.85546875" style="3" customWidth="1"/>
    <col min="3588" max="3588" width="29.42578125" style="3" customWidth="1"/>
    <col min="3589" max="3589" width="22" style="3" bestFit="1" customWidth="1"/>
    <col min="3590" max="3590" width="0.85546875" style="3" customWidth="1"/>
    <col min="3591" max="3591" width="14.7109375" style="3" customWidth="1"/>
    <col min="3592" max="3592" width="16" style="3" customWidth="1"/>
    <col min="3593" max="3593" width="16.140625" style="3" customWidth="1"/>
    <col min="3594" max="3594" width="14.7109375" style="3" customWidth="1"/>
    <col min="3595" max="3595" width="16.85546875" style="3" customWidth="1"/>
    <col min="3596" max="3596" width="1.7109375" style="3" customWidth="1"/>
    <col min="3597" max="3598" width="14.7109375" style="3" customWidth="1"/>
    <col min="3599" max="3599" width="16.85546875" style="3" customWidth="1"/>
    <col min="3600" max="3600" width="14.7109375" style="3" customWidth="1"/>
    <col min="3601" max="3601" width="16.140625" style="3" customWidth="1"/>
    <col min="3602" max="3602" width="2.42578125" style="3" customWidth="1"/>
    <col min="3603" max="3608" width="16.140625" style="3" customWidth="1"/>
    <col min="3609" max="3609" width="2.7109375" style="3" customWidth="1"/>
    <col min="3610" max="3610" width="47" style="3" bestFit="1" customWidth="1"/>
    <col min="3611" max="3840" width="9.140625" style="3"/>
    <col min="3841" max="3841" width="0.85546875" style="3" customWidth="1"/>
    <col min="3842" max="3842" width="22.140625" style="3" customWidth="1"/>
    <col min="3843" max="3843" width="0.85546875" style="3" customWidth="1"/>
    <col min="3844" max="3844" width="29.42578125" style="3" customWidth="1"/>
    <col min="3845" max="3845" width="22" style="3" bestFit="1" customWidth="1"/>
    <col min="3846" max="3846" width="0.85546875" style="3" customWidth="1"/>
    <col min="3847" max="3847" width="14.7109375" style="3" customWidth="1"/>
    <col min="3848" max="3848" width="16" style="3" customWidth="1"/>
    <col min="3849" max="3849" width="16.140625" style="3" customWidth="1"/>
    <col min="3850" max="3850" width="14.7109375" style="3" customWidth="1"/>
    <col min="3851" max="3851" width="16.85546875" style="3" customWidth="1"/>
    <col min="3852" max="3852" width="1.7109375" style="3" customWidth="1"/>
    <col min="3853" max="3854" width="14.7109375" style="3" customWidth="1"/>
    <col min="3855" max="3855" width="16.85546875" style="3" customWidth="1"/>
    <col min="3856" max="3856" width="14.7109375" style="3" customWidth="1"/>
    <col min="3857" max="3857" width="16.140625" style="3" customWidth="1"/>
    <col min="3858" max="3858" width="2.42578125" style="3" customWidth="1"/>
    <col min="3859" max="3864" width="16.140625" style="3" customWidth="1"/>
    <col min="3865" max="3865" width="2.7109375" style="3" customWidth="1"/>
    <col min="3866" max="3866" width="47" style="3" bestFit="1" customWidth="1"/>
    <col min="3867" max="4096" width="9.140625" style="3"/>
    <col min="4097" max="4097" width="0.85546875" style="3" customWidth="1"/>
    <col min="4098" max="4098" width="22.140625" style="3" customWidth="1"/>
    <col min="4099" max="4099" width="0.85546875" style="3" customWidth="1"/>
    <col min="4100" max="4100" width="29.42578125" style="3" customWidth="1"/>
    <col min="4101" max="4101" width="22" style="3" bestFit="1" customWidth="1"/>
    <col min="4102" max="4102" width="0.85546875" style="3" customWidth="1"/>
    <col min="4103" max="4103" width="14.7109375" style="3" customWidth="1"/>
    <col min="4104" max="4104" width="16" style="3" customWidth="1"/>
    <col min="4105" max="4105" width="16.140625" style="3" customWidth="1"/>
    <col min="4106" max="4106" width="14.7109375" style="3" customWidth="1"/>
    <col min="4107" max="4107" width="16.85546875" style="3" customWidth="1"/>
    <col min="4108" max="4108" width="1.7109375" style="3" customWidth="1"/>
    <col min="4109" max="4110" width="14.7109375" style="3" customWidth="1"/>
    <col min="4111" max="4111" width="16.85546875" style="3" customWidth="1"/>
    <col min="4112" max="4112" width="14.7109375" style="3" customWidth="1"/>
    <col min="4113" max="4113" width="16.140625" style="3" customWidth="1"/>
    <col min="4114" max="4114" width="2.42578125" style="3" customWidth="1"/>
    <col min="4115" max="4120" width="16.140625" style="3" customWidth="1"/>
    <col min="4121" max="4121" width="2.7109375" style="3" customWidth="1"/>
    <col min="4122" max="4122" width="47" style="3" bestFit="1" customWidth="1"/>
    <col min="4123" max="4352" width="9.140625" style="3"/>
    <col min="4353" max="4353" width="0.85546875" style="3" customWidth="1"/>
    <col min="4354" max="4354" width="22.140625" style="3" customWidth="1"/>
    <col min="4355" max="4355" width="0.85546875" style="3" customWidth="1"/>
    <col min="4356" max="4356" width="29.42578125" style="3" customWidth="1"/>
    <col min="4357" max="4357" width="22" style="3" bestFit="1" customWidth="1"/>
    <col min="4358" max="4358" width="0.85546875" style="3" customWidth="1"/>
    <col min="4359" max="4359" width="14.7109375" style="3" customWidth="1"/>
    <col min="4360" max="4360" width="16" style="3" customWidth="1"/>
    <col min="4361" max="4361" width="16.140625" style="3" customWidth="1"/>
    <col min="4362" max="4362" width="14.7109375" style="3" customWidth="1"/>
    <col min="4363" max="4363" width="16.85546875" style="3" customWidth="1"/>
    <col min="4364" max="4364" width="1.7109375" style="3" customWidth="1"/>
    <col min="4365" max="4366" width="14.7109375" style="3" customWidth="1"/>
    <col min="4367" max="4367" width="16.85546875" style="3" customWidth="1"/>
    <col min="4368" max="4368" width="14.7109375" style="3" customWidth="1"/>
    <col min="4369" max="4369" width="16.140625" style="3" customWidth="1"/>
    <col min="4370" max="4370" width="2.42578125" style="3" customWidth="1"/>
    <col min="4371" max="4376" width="16.140625" style="3" customWidth="1"/>
    <col min="4377" max="4377" width="2.7109375" style="3" customWidth="1"/>
    <col min="4378" max="4378" width="47" style="3" bestFit="1" customWidth="1"/>
    <col min="4379" max="4608" width="9.140625" style="3"/>
    <col min="4609" max="4609" width="0.85546875" style="3" customWidth="1"/>
    <col min="4610" max="4610" width="22.140625" style="3" customWidth="1"/>
    <col min="4611" max="4611" width="0.85546875" style="3" customWidth="1"/>
    <col min="4612" max="4612" width="29.42578125" style="3" customWidth="1"/>
    <col min="4613" max="4613" width="22" style="3" bestFit="1" customWidth="1"/>
    <col min="4614" max="4614" width="0.85546875" style="3" customWidth="1"/>
    <col min="4615" max="4615" width="14.7109375" style="3" customWidth="1"/>
    <col min="4616" max="4616" width="16" style="3" customWidth="1"/>
    <col min="4617" max="4617" width="16.140625" style="3" customWidth="1"/>
    <col min="4618" max="4618" width="14.7109375" style="3" customWidth="1"/>
    <col min="4619" max="4619" width="16.85546875" style="3" customWidth="1"/>
    <col min="4620" max="4620" width="1.7109375" style="3" customWidth="1"/>
    <col min="4621" max="4622" width="14.7109375" style="3" customWidth="1"/>
    <col min="4623" max="4623" width="16.85546875" style="3" customWidth="1"/>
    <col min="4624" max="4624" width="14.7109375" style="3" customWidth="1"/>
    <col min="4625" max="4625" width="16.140625" style="3" customWidth="1"/>
    <col min="4626" max="4626" width="2.42578125" style="3" customWidth="1"/>
    <col min="4627" max="4632" width="16.140625" style="3" customWidth="1"/>
    <col min="4633" max="4633" width="2.7109375" style="3" customWidth="1"/>
    <col min="4634" max="4634" width="47" style="3" bestFit="1" customWidth="1"/>
    <col min="4635" max="4864" width="9.140625" style="3"/>
    <col min="4865" max="4865" width="0.85546875" style="3" customWidth="1"/>
    <col min="4866" max="4866" width="22.140625" style="3" customWidth="1"/>
    <col min="4867" max="4867" width="0.85546875" style="3" customWidth="1"/>
    <col min="4868" max="4868" width="29.42578125" style="3" customWidth="1"/>
    <col min="4869" max="4869" width="22" style="3" bestFit="1" customWidth="1"/>
    <col min="4870" max="4870" width="0.85546875" style="3" customWidth="1"/>
    <col min="4871" max="4871" width="14.7109375" style="3" customWidth="1"/>
    <col min="4872" max="4872" width="16" style="3" customWidth="1"/>
    <col min="4873" max="4873" width="16.140625" style="3" customWidth="1"/>
    <col min="4874" max="4874" width="14.7109375" style="3" customWidth="1"/>
    <col min="4875" max="4875" width="16.85546875" style="3" customWidth="1"/>
    <col min="4876" max="4876" width="1.7109375" style="3" customWidth="1"/>
    <col min="4877" max="4878" width="14.7109375" style="3" customWidth="1"/>
    <col min="4879" max="4879" width="16.85546875" style="3" customWidth="1"/>
    <col min="4880" max="4880" width="14.7109375" style="3" customWidth="1"/>
    <col min="4881" max="4881" width="16.140625" style="3" customWidth="1"/>
    <col min="4882" max="4882" width="2.42578125" style="3" customWidth="1"/>
    <col min="4883" max="4888" width="16.140625" style="3" customWidth="1"/>
    <col min="4889" max="4889" width="2.7109375" style="3" customWidth="1"/>
    <col min="4890" max="4890" width="47" style="3" bestFit="1" customWidth="1"/>
    <col min="4891" max="5120" width="9.140625" style="3"/>
    <col min="5121" max="5121" width="0.85546875" style="3" customWidth="1"/>
    <col min="5122" max="5122" width="22.140625" style="3" customWidth="1"/>
    <col min="5123" max="5123" width="0.85546875" style="3" customWidth="1"/>
    <col min="5124" max="5124" width="29.42578125" style="3" customWidth="1"/>
    <col min="5125" max="5125" width="22" style="3" bestFit="1" customWidth="1"/>
    <col min="5126" max="5126" width="0.85546875" style="3" customWidth="1"/>
    <col min="5127" max="5127" width="14.7109375" style="3" customWidth="1"/>
    <col min="5128" max="5128" width="16" style="3" customWidth="1"/>
    <col min="5129" max="5129" width="16.140625" style="3" customWidth="1"/>
    <col min="5130" max="5130" width="14.7109375" style="3" customWidth="1"/>
    <col min="5131" max="5131" width="16.85546875" style="3" customWidth="1"/>
    <col min="5132" max="5132" width="1.7109375" style="3" customWidth="1"/>
    <col min="5133" max="5134" width="14.7109375" style="3" customWidth="1"/>
    <col min="5135" max="5135" width="16.85546875" style="3" customWidth="1"/>
    <col min="5136" max="5136" width="14.7109375" style="3" customWidth="1"/>
    <col min="5137" max="5137" width="16.140625" style="3" customWidth="1"/>
    <col min="5138" max="5138" width="2.42578125" style="3" customWidth="1"/>
    <col min="5139" max="5144" width="16.140625" style="3" customWidth="1"/>
    <col min="5145" max="5145" width="2.7109375" style="3" customWidth="1"/>
    <col min="5146" max="5146" width="47" style="3" bestFit="1" customWidth="1"/>
    <col min="5147" max="5376" width="9.140625" style="3"/>
    <col min="5377" max="5377" width="0.85546875" style="3" customWidth="1"/>
    <col min="5378" max="5378" width="22.140625" style="3" customWidth="1"/>
    <col min="5379" max="5379" width="0.85546875" style="3" customWidth="1"/>
    <col min="5380" max="5380" width="29.42578125" style="3" customWidth="1"/>
    <col min="5381" max="5381" width="22" style="3" bestFit="1" customWidth="1"/>
    <col min="5382" max="5382" width="0.85546875" style="3" customWidth="1"/>
    <col min="5383" max="5383" width="14.7109375" style="3" customWidth="1"/>
    <col min="5384" max="5384" width="16" style="3" customWidth="1"/>
    <col min="5385" max="5385" width="16.140625" style="3" customWidth="1"/>
    <col min="5386" max="5386" width="14.7109375" style="3" customWidth="1"/>
    <col min="5387" max="5387" width="16.85546875" style="3" customWidth="1"/>
    <col min="5388" max="5388" width="1.7109375" style="3" customWidth="1"/>
    <col min="5389" max="5390" width="14.7109375" style="3" customWidth="1"/>
    <col min="5391" max="5391" width="16.85546875" style="3" customWidth="1"/>
    <col min="5392" max="5392" width="14.7109375" style="3" customWidth="1"/>
    <col min="5393" max="5393" width="16.140625" style="3" customWidth="1"/>
    <col min="5394" max="5394" width="2.42578125" style="3" customWidth="1"/>
    <col min="5395" max="5400" width="16.140625" style="3" customWidth="1"/>
    <col min="5401" max="5401" width="2.7109375" style="3" customWidth="1"/>
    <col min="5402" max="5402" width="47" style="3" bestFit="1" customWidth="1"/>
    <col min="5403" max="5632" width="9.140625" style="3"/>
    <col min="5633" max="5633" width="0.85546875" style="3" customWidth="1"/>
    <col min="5634" max="5634" width="22.140625" style="3" customWidth="1"/>
    <col min="5635" max="5635" width="0.85546875" style="3" customWidth="1"/>
    <col min="5636" max="5636" width="29.42578125" style="3" customWidth="1"/>
    <col min="5637" max="5637" width="22" style="3" bestFit="1" customWidth="1"/>
    <col min="5638" max="5638" width="0.85546875" style="3" customWidth="1"/>
    <col min="5639" max="5639" width="14.7109375" style="3" customWidth="1"/>
    <col min="5640" max="5640" width="16" style="3" customWidth="1"/>
    <col min="5641" max="5641" width="16.140625" style="3" customWidth="1"/>
    <col min="5642" max="5642" width="14.7109375" style="3" customWidth="1"/>
    <col min="5643" max="5643" width="16.85546875" style="3" customWidth="1"/>
    <col min="5644" max="5644" width="1.7109375" style="3" customWidth="1"/>
    <col min="5645" max="5646" width="14.7109375" style="3" customWidth="1"/>
    <col min="5647" max="5647" width="16.85546875" style="3" customWidth="1"/>
    <col min="5648" max="5648" width="14.7109375" style="3" customWidth="1"/>
    <col min="5649" max="5649" width="16.140625" style="3" customWidth="1"/>
    <col min="5650" max="5650" width="2.42578125" style="3" customWidth="1"/>
    <col min="5651" max="5656" width="16.140625" style="3" customWidth="1"/>
    <col min="5657" max="5657" width="2.7109375" style="3" customWidth="1"/>
    <col min="5658" max="5658" width="47" style="3" bestFit="1" customWidth="1"/>
    <col min="5659" max="5888" width="9.140625" style="3"/>
    <col min="5889" max="5889" width="0.85546875" style="3" customWidth="1"/>
    <col min="5890" max="5890" width="22.140625" style="3" customWidth="1"/>
    <col min="5891" max="5891" width="0.85546875" style="3" customWidth="1"/>
    <col min="5892" max="5892" width="29.42578125" style="3" customWidth="1"/>
    <col min="5893" max="5893" width="22" style="3" bestFit="1" customWidth="1"/>
    <col min="5894" max="5894" width="0.85546875" style="3" customWidth="1"/>
    <col min="5895" max="5895" width="14.7109375" style="3" customWidth="1"/>
    <col min="5896" max="5896" width="16" style="3" customWidth="1"/>
    <col min="5897" max="5897" width="16.140625" style="3" customWidth="1"/>
    <col min="5898" max="5898" width="14.7109375" style="3" customWidth="1"/>
    <col min="5899" max="5899" width="16.85546875" style="3" customWidth="1"/>
    <col min="5900" max="5900" width="1.7109375" style="3" customWidth="1"/>
    <col min="5901" max="5902" width="14.7109375" style="3" customWidth="1"/>
    <col min="5903" max="5903" width="16.85546875" style="3" customWidth="1"/>
    <col min="5904" max="5904" width="14.7109375" style="3" customWidth="1"/>
    <col min="5905" max="5905" width="16.140625" style="3" customWidth="1"/>
    <col min="5906" max="5906" width="2.42578125" style="3" customWidth="1"/>
    <col min="5907" max="5912" width="16.140625" style="3" customWidth="1"/>
    <col min="5913" max="5913" width="2.7109375" style="3" customWidth="1"/>
    <col min="5914" max="5914" width="47" style="3" bestFit="1" customWidth="1"/>
    <col min="5915" max="6144" width="9.140625" style="3"/>
    <col min="6145" max="6145" width="0.85546875" style="3" customWidth="1"/>
    <col min="6146" max="6146" width="22.140625" style="3" customWidth="1"/>
    <col min="6147" max="6147" width="0.85546875" style="3" customWidth="1"/>
    <col min="6148" max="6148" width="29.42578125" style="3" customWidth="1"/>
    <col min="6149" max="6149" width="22" style="3" bestFit="1" customWidth="1"/>
    <col min="6150" max="6150" width="0.85546875" style="3" customWidth="1"/>
    <col min="6151" max="6151" width="14.7109375" style="3" customWidth="1"/>
    <col min="6152" max="6152" width="16" style="3" customWidth="1"/>
    <col min="6153" max="6153" width="16.140625" style="3" customWidth="1"/>
    <col min="6154" max="6154" width="14.7109375" style="3" customWidth="1"/>
    <col min="6155" max="6155" width="16.85546875" style="3" customWidth="1"/>
    <col min="6156" max="6156" width="1.7109375" style="3" customWidth="1"/>
    <col min="6157" max="6158" width="14.7109375" style="3" customWidth="1"/>
    <col min="6159" max="6159" width="16.85546875" style="3" customWidth="1"/>
    <col min="6160" max="6160" width="14.7109375" style="3" customWidth="1"/>
    <col min="6161" max="6161" width="16.140625" style="3" customWidth="1"/>
    <col min="6162" max="6162" width="2.42578125" style="3" customWidth="1"/>
    <col min="6163" max="6168" width="16.140625" style="3" customWidth="1"/>
    <col min="6169" max="6169" width="2.7109375" style="3" customWidth="1"/>
    <col min="6170" max="6170" width="47" style="3" bestFit="1" customWidth="1"/>
    <col min="6171" max="6400" width="9.140625" style="3"/>
    <col min="6401" max="6401" width="0.85546875" style="3" customWidth="1"/>
    <col min="6402" max="6402" width="22.140625" style="3" customWidth="1"/>
    <col min="6403" max="6403" width="0.85546875" style="3" customWidth="1"/>
    <col min="6404" max="6404" width="29.42578125" style="3" customWidth="1"/>
    <col min="6405" max="6405" width="22" style="3" bestFit="1" customWidth="1"/>
    <col min="6406" max="6406" width="0.85546875" style="3" customWidth="1"/>
    <col min="6407" max="6407" width="14.7109375" style="3" customWidth="1"/>
    <col min="6408" max="6408" width="16" style="3" customWidth="1"/>
    <col min="6409" max="6409" width="16.140625" style="3" customWidth="1"/>
    <col min="6410" max="6410" width="14.7109375" style="3" customWidth="1"/>
    <col min="6411" max="6411" width="16.85546875" style="3" customWidth="1"/>
    <col min="6412" max="6412" width="1.7109375" style="3" customWidth="1"/>
    <col min="6413" max="6414" width="14.7109375" style="3" customWidth="1"/>
    <col min="6415" max="6415" width="16.85546875" style="3" customWidth="1"/>
    <col min="6416" max="6416" width="14.7109375" style="3" customWidth="1"/>
    <col min="6417" max="6417" width="16.140625" style="3" customWidth="1"/>
    <col min="6418" max="6418" width="2.42578125" style="3" customWidth="1"/>
    <col min="6419" max="6424" width="16.140625" style="3" customWidth="1"/>
    <col min="6425" max="6425" width="2.7109375" style="3" customWidth="1"/>
    <col min="6426" max="6426" width="47" style="3" bestFit="1" customWidth="1"/>
    <col min="6427" max="6656" width="9.140625" style="3"/>
    <col min="6657" max="6657" width="0.85546875" style="3" customWidth="1"/>
    <col min="6658" max="6658" width="22.140625" style="3" customWidth="1"/>
    <col min="6659" max="6659" width="0.85546875" style="3" customWidth="1"/>
    <col min="6660" max="6660" width="29.42578125" style="3" customWidth="1"/>
    <col min="6661" max="6661" width="22" style="3" bestFit="1" customWidth="1"/>
    <col min="6662" max="6662" width="0.85546875" style="3" customWidth="1"/>
    <col min="6663" max="6663" width="14.7109375" style="3" customWidth="1"/>
    <col min="6664" max="6664" width="16" style="3" customWidth="1"/>
    <col min="6665" max="6665" width="16.140625" style="3" customWidth="1"/>
    <col min="6666" max="6666" width="14.7109375" style="3" customWidth="1"/>
    <col min="6667" max="6667" width="16.85546875" style="3" customWidth="1"/>
    <col min="6668" max="6668" width="1.7109375" style="3" customWidth="1"/>
    <col min="6669" max="6670" width="14.7109375" style="3" customWidth="1"/>
    <col min="6671" max="6671" width="16.85546875" style="3" customWidth="1"/>
    <col min="6672" max="6672" width="14.7109375" style="3" customWidth="1"/>
    <col min="6673" max="6673" width="16.140625" style="3" customWidth="1"/>
    <col min="6674" max="6674" width="2.42578125" style="3" customWidth="1"/>
    <col min="6675" max="6680" width="16.140625" style="3" customWidth="1"/>
    <col min="6681" max="6681" width="2.7109375" style="3" customWidth="1"/>
    <col min="6682" max="6682" width="47" style="3" bestFit="1" customWidth="1"/>
    <col min="6683" max="6912" width="9.140625" style="3"/>
    <col min="6913" max="6913" width="0.85546875" style="3" customWidth="1"/>
    <col min="6914" max="6914" width="22.140625" style="3" customWidth="1"/>
    <col min="6915" max="6915" width="0.85546875" style="3" customWidth="1"/>
    <col min="6916" max="6916" width="29.42578125" style="3" customWidth="1"/>
    <col min="6917" max="6917" width="22" style="3" bestFit="1" customWidth="1"/>
    <col min="6918" max="6918" width="0.85546875" style="3" customWidth="1"/>
    <col min="6919" max="6919" width="14.7109375" style="3" customWidth="1"/>
    <col min="6920" max="6920" width="16" style="3" customWidth="1"/>
    <col min="6921" max="6921" width="16.140625" style="3" customWidth="1"/>
    <col min="6922" max="6922" width="14.7109375" style="3" customWidth="1"/>
    <col min="6923" max="6923" width="16.85546875" style="3" customWidth="1"/>
    <col min="6924" max="6924" width="1.7109375" style="3" customWidth="1"/>
    <col min="6925" max="6926" width="14.7109375" style="3" customWidth="1"/>
    <col min="6927" max="6927" width="16.85546875" style="3" customWidth="1"/>
    <col min="6928" max="6928" width="14.7109375" style="3" customWidth="1"/>
    <col min="6929" max="6929" width="16.140625" style="3" customWidth="1"/>
    <col min="6930" max="6930" width="2.42578125" style="3" customWidth="1"/>
    <col min="6931" max="6936" width="16.140625" style="3" customWidth="1"/>
    <col min="6937" max="6937" width="2.7109375" style="3" customWidth="1"/>
    <col min="6938" max="6938" width="47" style="3" bestFit="1" customWidth="1"/>
    <col min="6939" max="7168" width="9.140625" style="3"/>
    <col min="7169" max="7169" width="0.85546875" style="3" customWidth="1"/>
    <col min="7170" max="7170" width="22.140625" style="3" customWidth="1"/>
    <col min="7171" max="7171" width="0.85546875" style="3" customWidth="1"/>
    <col min="7172" max="7172" width="29.42578125" style="3" customWidth="1"/>
    <col min="7173" max="7173" width="22" style="3" bestFit="1" customWidth="1"/>
    <col min="7174" max="7174" width="0.85546875" style="3" customWidth="1"/>
    <col min="7175" max="7175" width="14.7109375" style="3" customWidth="1"/>
    <col min="7176" max="7176" width="16" style="3" customWidth="1"/>
    <col min="7177" max="7177" width="16.140625" style="3" customWidth="1"/>
    <col min="7178" max="7178" width="14.7109375" style="3" customWidth="1"/>
    <col min="7179" max="7179" width="16.85546875" style="3" customWidth="1"/>
    <col min="7180" max="7180" width="1.7109375" style="3" customWidth="1"/>
    <col min="7181" max="7182" width="14.7109375" style="3" customWidth="1"/>
    <col min="7183" max="7183" width="16.85546875" style="3" customWidth="1"/>
    <col min="7184" max="7184" width="14.7109375" style="3" customWidth="1"/>
    <col min="7185" max="7185" width="16.140625" style="3" customWidth="1"/>
    <col min="7186" max="7186" width="2.42578125" style="3" customWidth="1"/>
    <col min="7187" max="7192" width="16.140625" style="3" customWidth="1"/>
    <col min="7193" max="7193" width="2.7109375" style="3" customWidth="1"/>
    <col min="7194" max="7194" width="47" style="3" bestFit="1" customWidth="1"/>
    <col min="7195" max="7424" width="9.140625" style="3"/>
    <col min="7425" max="7425" width="0.85546875" style="3" customWidth="1"/>
    <col min="7426" max="7426" width="22.140625" style="3" customWidth="1"/>
    <col min="7427" max="7427" width="0.85546875" style="3" customWidth="1"/>
    <col min="7428" max="7428" width="29.42578125" style="3" customWidth="1"/>
    <col min="7429" max="7429" width="22" style="3" bestFit="1" customWidth="1"/>
    <col min="7430" max="7430" width="0.85546875" style="3" customWidth="1"/>
    <col min="7431" max="7431" width="14.7109375" style="3" customWidth="1"/>
    <col min="7432" max="7432" width="16" style="3" customWidth="1"/>
    <col min="7433" max="7433" width="16.140625" style="3" customWidth="1"/>
    <col min="7434" max="7434" width="14.7109375" style="3" customWidth="1"/>
    <col min="7435" max="7435" width="16.85546875" style="3" customWidth="1"/>
    <col min="7436" max="7436" width="1.7109375" style="3" customWidth="1"/>
    <col min="7437" max="7438" width="14.7109375" style="3" customWidth="1"/>
    <col min="7439" max="7439" width="16.85546875" style="3" customWidth="1"/>
    <col min="7440" max="7440" width="14.7109375" style="3" customWidth="1"/>
    <col min="7441" max="7441" width="16.140625" style="3" customWidth="1"/>
    <col min="7442" max="7442" width="2.42578125" style="3" customWidth="1"/>
    <col min="7443" max="7448" width="16.140625" style="3" customWidth="1"/>
    <col min="7449" max="7449" width="2.7109375" style="3" customWidth="1"/>
    <col min="7450" max="7450" width="47" style="3" bestFit="1" customWidth="1"/>
    <col min="7451" max="7680" width="9.140625" style="3"/>
    <col min="7681" max="7681" width="0.85546875" style="3" customWidth="1"/>
    <col min="7682" max="7682" width="22.140625" style="3" customWidth="1"/>
    <col min="7683" max="7683" width="0.85546875" style="3" customWidth="1"/>
    <col min="7684" max="7684" width="29.42578125" style="3" customWidth="1"/>
    <col min="7685" max="7685" width="22" style="3" bestFit="1" customWidth="1"/>
    <col min="7686" max="7686" width="0.85546875" style="3" customWidth="1"/>
    <col min="7687" max="7687" width="14.7109375" style="3" customWidth="1"/>
    <col min="7688" max="7688" width="16" style="3" customWidth="1"/>
    <col min="7689" max="7689" width="16.140625" style="3" customWidth="1"/>
    <col min="7690" max="7690" width="14.7109375" style="3" customWidth="1"/>
    <col min="7691" max="7691" width="16.85546875" style="3" customWidth="1"/>
    <col min="7692" max="7692" width="1.7109375" style="3" customWidth="1"/>
    <col min="7693" max="7694" width="14.7109375" style="3" customWidth="1"/>
    <col min="7695" max="7695" width="16.85546875" style="3" customWidth="1"/>
    <col min="7696" max="7696" width="14.7109375" style="3" customWidth="1"/>
    <col min="7697" max="7697" width="16.140625" style="3" customWidth="1"/>
    <col min="7698" max="7698" width="2.42578125" style="3" customWidth="1"/>
    <col min="7699" max="7704" width="16.140625" style="3" customWidth="1"/>
    <col min="7705" max="7705" width="2.7109375" style="3" customWidth="1"/>
    <col min="7706" max="7706" width="47" style="3" bestFit="1" customWidth="1"/>
    <col min="7707" max="7936" width="9.140625" style="3"/>
    <col min="7937" max="7937" width="0.85546875" style="3" customWidth="1"/>
    <col min="7938" max="7938" width="22.140625" style="3" customWidth="1"/>
    <col min="7939" max="7939" width="0.85546875" style="3" customWidth="1"/>
    <col min="7940" max="7940" width="29.42578125" style="3" customWidth="1"/>
    <col min="7941" max="7941" width="22" style="3" bestFit="1" customWidth="1"/>
    <col min="7942" max="7942" width="0.85546875" style="3" customWidth="1"/>
    <col min="7943" max="7943" width="14.7109375" style="3" customWidth="1"/>
    <col min="7944" max="7944" width="16" style="3" customWidth="1"/>
    <col min="7945" max="7945" width="16.140625" style="3" customWidth="1"/>
    <col min="7946" max="7946" width="14.7109375" style="3" customWidth="1"/>
    <col min="7947" max="7947" width="16.85546875" style="3" customWidth="1"/>
    <col min="7948" max="7948" width="1.7109375" style="3" customWidth="1"/>
    <col min="7949" max="7950" width="14.7109375" style="3" customWidth="1"/>
    <col min="7951" max="7951" width="16.85546875" style="3" customWidth="1"/>
    <col min="7952" max="7952" width="14.7109375" style="3" customWidth="1"/>
    <col min="7953" max="7953" width="16.140625" style="3" customWidth="1"/>
    <col min="7954" max="7954" width="2.42578125" style="3" customWidth="1"/>
    <col min="7955" max="7960" width="16.140625" style="3" customWidth="1"/>
    <col min="7961" max="7961" width="2.7109375" style="3" customWidth="1"/>
    <col min="7962" max="7962" width="47" style="3" bestFit="1" customWidth="1"/>
    <col min="7963" max="8192" width="9.140625" style="3"/>
    <col min="8193" max="8193" width="0.85546875" style="3" customWidth="1"/>
    <col min="8194" max="8194" width="22.140625" style="3" customWidth="1"/>
    <col min="8195" max="8195" width="0.85546875" style="3" customWidth="1"/>
    <col min="8196" max="8196" width="29.42578125" style="3" customWidth="1"/>
    <col min="8197" max="8197" width="22" style="3" bestFit="1" customWidth="1"/>
    <col min="8198" max="8198" width="0.85546875" style="3" customWidth="1"/>
    <col min="8199" max="8199" width="14.7109375" style="3" customWidth="1"/>
    <col min="8200" max="8200" width="16" style="3" customWidth="1"/>
    <col min="8201" max="8201" width="16.140625" style="3" customWidth="1"/>
    <col min="8202" max="8202" width="14.7109375" style="3" customWidth="1"/>
    <col min="8203" max="8203" width="16.85546875" style="3" customWidth="1"/>
    <col min="8204" max="8204" width="1.7109375" style="3" customWidth="1"/>
    <col min="8205" max="8206" width="14.7109375" style="3" customWidth="1"/>
    <col min="8207" max="8207" width="16.85546875" style="3" customWidth="1"/>
    <col min="8208" max="8208" width="14.7109375" style="3" customWidth="1"/>
    <col min="8209" max="8209" width="16.140625" style="3" customWidth="1"/>
    <col min="8210" max="8210" width="2.42578125" style="3" customWidth="1"/>
    <col min="8211" max="8216" width="16.140625" style="3" customWidth="1"/>
    <col min="8217" max="8217" width="2.7109375" style="3" customWidth="1"/>
    <col min="8218" max="8218" width="47" style="3" bestFit="1" customWidth="1"/>
    <col min="8219" max="8448" width="9.140625" style="3"/>
    <col min="8449" max="8449" width="0.85546875" style="3" customWidth="1"/>
    <col min="8450" max="8450" width="22.140625" style="3" customWidth="1"/>
    <col min="8451" max="8451" width="0.85546875" style="3" customWidth="1"/>
    <col min="8452" max="8452" width="29.42578125" style="3" customWidth="1"/>
    <col min="8453" max="8453" width="22" style="3" bestFit="1" customWidth="1"/>
    <col min="8454" max="8454" width="0.85546875" style="3" customWidth="1"/>
    <col min="8455" max="8455" width="14.7109375" style="3" customWidth="1"/>
    <col min="8456" max="8456" width="16" style="3" customWidth="1"/>
    <col min="8457" max="8457" width="16.140625" style="3" customWidth="1"/>
    <col min="8458" max="8458" width="14.7109375" style="3" customWidth="1"/>
    <col min="8459" max="8459" width="16.85546875" style="3" customWidth="1"/>
    <col min="8460" max="8460" width="1.7109375" style="3" customWidth="1"/>
    <col min="8461" max="8462" width="14.7109375" style="3" customWidth="1"/>
    <col min="8463" max="8463" width="16.85546875" style="3" customWidth="1"/>
    <col min="8464" max="8464" width="14.7109375" style="3" customWidth="1"/>
    <col min="8465" max="8465" width="16.140625" style="3" customWidth="1"/>
    <col min="8466" max="8466" width="2.42578125" style="3" customWidth="1"/>
    <col min="8467" max="8472" width="16.140625" style="3" customWidth="1"/>
    <col min="8473" max="8473" width="2.7109375" style="3" customWidth="1"/>
    <col min="8474" max="8474" width="47" style="3" bestFit="1" customWidth="1"/>
    <col min="8475" max="8704" width="9.140625" style="3"/>
    <col min="8705" max="8705" width="0.85546875" style="3" customWidth="1"/>
    <col min="8706" max="8706" width="22.140625" style="3" customWidth="1"/>
    <col min="8707" max="8707" width="0.85546875" style="3" customWidth="1"/>
    <col min="8708" max="8708" width="29.42578125" style="3" customWidth="1"/>
    <col min="8709" max="8709" width="22" style="3" bestFit="1" customWidth="1"/>
    <col min="8710" max="8710" width="0.85546875" style="3" customWidth="1"/>
    <col min="8711" max="8711" width="14.7109375" style="3" customWidth="1"/>
    <col min="8712" max="8712" width="16" style="3" customWidth="1"/>
    <col min="8713" max="8713" width="16.140625" style="3" customWidth="1"/>
    <col min="8714" max="8714" width="14.7109375" style="3" customWidth="1"/>
    <col min="8715" max="8715" width="16.85546875" style="3" customWidth="1"/>
    <col min="8716" max="8716" width="1.7109375" style="3" customWidth="1"/>
    <col min="8717" max="8718" width="14.7109375" style="3" customWidth="1"/>
    <col min="8719" max="8719" width="16.85546875" style="3" customWidth="1"/>
    <col min="8720" max="8720" width="14.7109375" style="3" customWidth="1"/>
    <col min="8721" max="8721" width="16.140625" style="3" customWidth="1"/>
    <col min="8722" max="8722" width="2.42578125" style="3" customWidth="1"/>
    <col min="8723" max="8728" width="16.140625" style="3" customWidth="1"/>
    <col min="8729" max="8729" width="2.7109375" style="3" customWidth="1"/>
    <col min="8730" max="8730" width="47" style="3" bestFit="1" customWidth="1"/>
    <col min="8731" max="8960" width="9.140625" style="3"/>
    <col min="8961" max="8961" width="0.85546875" style="3" customWidth="1"/>
    <col min="8962" max="8962" width="22.140625" style="3" customWidth="1"/>
    <col min="8963" max="8963" width="0.85546875" style="3" customWidth="1"/>
    <col min="8964" max="8964" width="29.42578125" style="3" customWidth="1"/>
    <col min="8965" max="8965" width="22" style="3" bestFit="1" customWidth="1"/>
    <col min="8966" max="8966" width="0.85546875" style="3" customWidth="1"/>
    <col min="8967" max="8967" width="14.7109375" style="3" customWidth="1"/>
    <col min="8968" max="8968" width="16" style="3" customWidth="1"/>
    <col min="8969" max="8969" width="16.140625" style="3" customWidth="1"/>
    <col min="8970" max="8970" width="14.7109375" style="3" customWidth="1"/>
    <col min="8971" max="8971" width="16.85546875" style="3" customWidth="1"/>
    <col min="8972" max="8972" width="1.7109375" style="3" customWidth="1"/>
    <col min="8973" max="8974" width="14.7109375" style="3" customWidth="1"/>
    <col min="8975" max="8975" width="16.85546875" style="3" customWidth="1"/>
    <col min="8976" max="8976" width="14.7109375" style="3" customWidth="1"/>
    <col min="8977" max="8977" width="16.140625" style="3" customWidth="1"/>
    <col min="8978" max="8978" width="2.42578125" style="3" customWidth="1"/>
    <col min="8979" max="8984" width="16.140625" style="3" customWidth="1"/>
    <col min="8985" max="8985" width="2.7109375" style="3" customWidth="1"/>
    <col min="8986" max="8986" width="47" style="3" bestFit="1" customWidth="1"/>
    <col min="8987" max="9216" width="9.140625" style="3"/>
    <col min="9217" max="9217" width="0.85546875" style="3" customWidth="1"/>
    <col min="9218" max="9218" width="22.140625" style="3" customWidth="1"/>
    <col min="9219" max="9219" width="0.85546875" style="3" customWidth="1"/>
    <col min="9220" max="9220" width="29.42578125" style="3" customWidth="1"/>
    <col min="9221" max="9221" width="22" style="3" bestFit="1" customWidth="1"/>
    <col min="9222" max="9222" width="0.85546875" style="3" customWidth="1"/>
    <col min="9223" max="9223" width="14.7109375" style="3" customWidth="1"/>
    <col min="9224" max="9224" width="16" style="3" customWidth="1"/>
    <col min="9225" max="9225" width="16.140625" style="3" customWidth="1"/>
    <col min="9226" max="9226" width="14.7109375" style="3" customWidth="1"/>
    <col min="9227" max="9227" width="16.85546875" style="3" customWidth="1"/>
    <col min="9228" max="9228" width="1.7109375" style="3" customWidth="1"/>
    <col min="9229" max="9230" width="14.7109375" style="3" customWidth="1"/>
    <col min="9231" max="9231" width="16.85546875" style="3" customWidth="1"/>
    <col min="9232" max="9232" width="14.7109375" style="3" customWidth="1"/>
    <col min="9233" max="9233" width="16.140625" style="3" customWidth="1"/>
    <col min="9234" max="9234" width="2.42578125" style="3" customWidth="1"/>
    <col min="9235" max="9240" width="16.140625" style="3" customWidth="1"/>
    <col min="9241" max="9241" width="2.7109375" style="3" customWidth="1"/>
    <col min="9242" max="9242" width="47" style="3" bestFit="1" customWidth="1"/>
    <col min="9243" max="9472" width="9.140625" style="3"/>
    <col min="9473" max="9473" width="0.85546875" style="3" customWidth="1"/>
    <col min="9474" max="9474" width="22.140625" style="3" customWidth="1"/>
    <col min="9475" max="9475" width="0.85546875" style="3" customWidth="1"/>
    <col min="9476" max="9476" width="29.42578125" style="3" customWidth="1"/>
    <col min="9477" max="9477" width="22" style="3" bestFit="1" customWidth="1"/>
    <col min="9478" max="9478" width="0.85546875" style="3" customWidth="1"/>
    <col min="9479" max="9479" width="14.7109375" style="3" customWidth="1"/>
    <col min="9480" max="9480" width="16" style="3" customWidth="1"/>
    <col min="9481" max="9481" width="16.140625" style="3" customWidth="1"/>
    <col min="9482" max="9482" width="14.7109375" style="3" customWidth="1"/>
    <col min="9483" max="9483" width="16.85546875" style="3" customWidth="1"/>
    <col min="9484" max="9484" width="1.7109375" style="3" customWidth="1"/>
    <col min="9485" max="9486" width="14.7109375" style="3" customWidth="1"/>
    <col min="9487" max="9487" width="16.85546875" style="3" customWidth="1"/>
    <col min="9488" max="9488" width="14.7109375" style="3" customWidth="1"/>
    <col min="9489" max="9489" width="16.140625" style="3" customWidth="1"/>
    <col min="9490" max="9490" width="2.42578125" style="3" customWidth="1"/>
    <col min="9491" max="9496" width="16.140625" style="3" customWidth="1"/>
    <col min="9497" max="9497" width="2.7109375" style="3" customWidth="1"/>
    <col min="9498" max="9498" width="47" style="3" bestFit="1" customWidth="1"/>
    <col min="9499" max="9728" width="9.140625" style="3"/>
    <col min="9729" max="9729" width="0.85546875" style="3" customWidth="1"/>
    <col min="9730" max="9730" width="22.140625" style="3" customWidth="1"/>
    <col min="9731" max="9731" width="0.85546875" style="3" customWidth="1"/>
    <col min="9732" max="9732" width="29.42578125" style="3" customWidth="1"/>
    <col min="9733" max="9733" width="22" style="3" bestFit="1" customWidth="1"/>
    <col min="9734" max="9734" width="0.85546875" style="3" customWidth="1"/>
    <col min="9735" max="9735" width="14.7109375" style="3" customWidth="1"/>
    <col min="9736" max="9736" width="16" style="3" customWidth="1"/>
    <col min="9737" max="9737" width="16.140625" style="3" customWidth="1"/>
    <col min="9738" max="9738" width="14.7109375" style="3" customWidth="1"/>
    <col min="9739" max="9739" width="16.85546875" style="3" customWidth="1"/>
    <col min="9740" max="9740" width="1.7109375" style="3" customWidth="1"/>
    <col min="9741" max="9742" width="14.7109375" style="3" customWidth="1"/>
    <col min="9743" max="9743" width="16.85546875" style="3" customWidth="1"/>
    <col min="9744" max="9744" width="14.7109375" style="3" customWidth="1"/>
    <col min="9745" max="9745" width="16.140625" style="3" customWidth="1"/>
    <col min="9746" max="9746" width="2.42578125" style="3" customWidth="1"/>
    <col min="9747" max="9752" width="16.140625" style="3" customWidth="1"/>
    <col min="9753" max="9753" width="2.7109375" style="3" customWidth="1"/>
    <col min="9754" max="9754" width="47" style="3" bestFit="1" customWidth="1"/>
    <col min="9755" max="9984" width="9.140625" style="3"/>
    <col min="9985" max="9985" width="0.85546875" style="3" customWidth="1"/>
    <col min="9986" max="9986" width="22.140625" style="3" customWidth="1"/>
    <col min="9987" max="9987" width="0.85546875" style="3" customWidth="1"/>
    <col min="9988" max="9988" width="29.42578125" style="3" customWidth="1"/>
    <col min="9989" max="9989" width="22" style="3" bestFit="1" customWidth="1"/>
    <col min="9990" max="9990" width="0.85546875" style="3" customWidth="1"/>
    <col min="9991" max="9991" width="14.7109375" style="3" customWidth="1"/>
    <col min="9992" max="9992" width="16" style="3" customWidth="1"/>
    <col min="9993" max="9993" width="16.140625" style="3" customWidth="1"/>
    <col min="9994" max="9994" width="14.7109375" style="3" customWidth="1"/>
    <col min="9995" max="9995" width="16.85546875" style="3" customWidth="1"/>
    <col min="9996" max="9996" width="1.7109375" style="3" customWidth="1"/>
    <col min="9997" max="9998" width="14.7109375" style="3" customWidth="1"/>
    <col min="9999" max="9999" width="16.85546875" style="3" customWidth="1"/>
    <col min="10000" max="10000" width="14.7109375" style="3" customWidth="1"/>
    <col min="10001" max="10001" width="16.140625" style="3" customWidth="1"/>
    <col min="10002" max="10002" width="2.42578125" style="3" customWidth="1"/>
    <col min="10003" max="10008" width="16.140625" style="3" customWidth="1"/>
    <col min="10009" max="10009" width="2.7109375" style="3" customWidth="1"/>
    <col min="10010" max="10010" width="47" style="3" bestFit="1" customWidth="1"/>
    <col min="10011" max="10240" width="9.140625" style="3"/>
    <col min="10241" max="10241" width="0.85546875" style="3" customWidth="1"/>
    <col min="10242" max="10242" width="22.140625" style="3" customWidth="1"/>
    <col min="10243" max="10243" width="0.85546875" style="3" customWidth="1"/>
    <col min="10244" max="10244" width="29.42578125" style="3" customWidth="1"/>
    <col min="10245" max="10245" width="22" style="3" bestFit="1" customWidth="1"/>
    <col min="10246" max="10246" width="0.85546875" style="3" customWidth="1"/>
    <col min="10247" max="10247" width="14.7109375" style="3" customWidth="1"/>
    <col min="10248" max="10248" width="16" style="3" customWidth="1"/>
    <col min="10249" max="10249" width="16.140625" style="3" customWidth="1"/>
    <col min="10250" max="10250" width="14.7109375" style="3" customWidth="1"/>
    <col min="10251" max="10251" width="16.85546875" style="3" customWidth="1"/>
    <col min="10252" max="10252" width="1.7109375" style="3" customWidth="1"/>
    <col min="10253" max="10254" width="14.7109375" style="3" customWidth="1"/>
    <col min="10255" max="10255" width="16.85546875" style="3" customWidth="1"/>
    <col min="10256" max="10256" width="14.7109375" style="3" customWidth="1"/>
    <col min="10257" max="10257" width="16.140625" style="3" customWidth="1"/>
    <col min="10258" max="10258" width="2.42578125" style="3" customWidth="1"/>
    <col min="10259" max="10264" width="16.140625" style="3" customWidth="1"/>
    <col min="10265" max="10265" width="2.7109375" style="3" customWidth="1"/>
    <col min="10266" max="10266" width="47" style="3" bestFit="1" customWidth="1"/>
    <col min="10267" max="10496" width="9.140625" style="3"/>
    <col min="10497" max="10497" width="0.85546875" style="3" customWidth="1"/>
    <col min="10498" max="10498" width="22.140625" style="3" customWidth="1"/>
    <col min="10499" max="10499" width="0.85546875" style="3" customWidth="1"/>
    <col min="10500" max="10500" width="29.42578125" style="3" customWidth="1"/>
    <col min="10501" max="10501" width="22" style="3" bestFit="1" customWidth="1"/>
    <col min="10502" max="10502" width="0.85546875" style="3" customWidth="1"/>
    <col min="10503" max="10503" width="14.7109375" style="3" customWidth="1"/>
    <col min="10504" max="10504" width="16" style="3" customWidth="1"/>
    <col min="10505" max="10505" width="16.140625" style="3" customWidth="1"/>
    <col min="10506" max="10506" width="14.7109375" style="3" customWidth="1"/>
    <col min="10507" max="10507" width="16.85546875" style="3" customWidth="1"/>
    <col min="10508" max="10508" width="1.7109375" style="3" customWidth="1"/>
    <col min="10509" max="10510" width="14.7109375" style="3" customWidth="1"/>
    <col min="10511" max="10511" width="16.85546875" style="3" customWidth="1"/>
    <col min="10512" max="10512" width="14.7109375" style="3" customWidth="1"/>
    <col min="10513" max="10513" width="16.140625" style="3" customWidth="1"/>
    <col min="10514" max="10514" width="2.42578125" style="3" customWidth="1"/>
    <col min="10515" max="10520" width="16.140625" style="3" customWidth="1"/>
    <col min="10521" max="10521" width="2.7109375" style="3" customWidth="1"/>
    <col min="10522" max="10522" width="47" style="3" bestFit="1" customWidth="1"/>
    <col min="10523" max="10752" width="9.140625" style="3"/>
    <col min="10753" max="10753" width="0.85546875" style="3" customWidth="1"/>
    <col min="10754" max="10754" width="22.140625" style="3" customWidth="1"/>
    <col min="10755" max="10755" width="0.85546875" style="3" customWidth="1"/>
    <col min="10756" max="10756" width="29.42578125" style="3" customWidth="1"/>
    <col min="10757" max="10757" width="22" style="3" bestFit="1" customWidth="1"/>
    <col min="10758" max="10758" width="0.85546875" style="3" customWidth="1"/>
    <col min="10759" max="10759" width="14.7109375" style="3" customWidth="1"/>
    <col min="10760" max="10760" width="16" style="3" customWidth="1"/>
    <col min="10761" max="10761" width="16.140625" style="3" customWidth="1"/>
    <col min="10762" max="10762" width="14.7109375" style="3" customWidth="1"/>
    <col min="10763" max="10763" width="16.85546875" style="3" customWidth="1"/>
    <col min="10764" max="10764" width="1.7109375" style="3" customWidth="1"/>
    <col min="10765" max="10766" width="14.7109375" style="3" customWidth="1"/>
    <col min="10767" max="10767" width="16.85546875" style="3" customWidth="1"/>
    <col min="10768" max="10768" width="14.7109375" style="3" customWidth="1"/>
    <col min="10769" max="10769" width="16.140625" style="3" customWidth="1"/>
    <col min="10770" max="10770" width="2.42578125" style="3" customWidth="1"/>
    <col min="10771" max="10776" width="16.140625" style="3" customWidth="1"/>
    <col min="10777" max="10777" width="2.7109375" style="3" customWidth="1"/>
    <col min="10778" max="10778" width="47" style="3" bestFit="1" customWidth="1"/>
    <col min="10779" max="11008" width="9.140625" style="3"/>
    <col min="11009" max="11009" width="0.85546875" style="3" customWidth="1"/>
    <col min="11010" max="11010" width="22.140625" style="3" customWidth="1"/>
    <col min="11011" max="11011" width="0.85546875" style="3" customWidth="1"/>
    <col min="11012" max="11012" width="29.42578125" style="3" customWidth="1"/>
    <col min="11013" max="11013" width="22" style="3" bestFit="1" customWidth="1"/>
    <col min="11014" max="11014" width="0.85546875" style="3" customWidth="1"/>
    <col min="11015" max="11015" width="14.7109375" style="3" customWidth="1"/>
    <col min="11016" max="11016" width="16" style="3" customWidth="1"/>
    <col min="11017" max="11017" width="16.140625" style="3" customWidth="1"/>
    <col min="11018" max="11018" width="14.7109375" style="3" customWidth="1"/>
    <col min="11019" max="11019" width="16.85546875" style="3" customWidth="1"/>
    <col min="11020" max="11020" width="1.7109375" style="3" customWidth="1"/>
    <col min="11021" max="11022" width="14.7109375" style="3" customWidth="1"/>
    <col min="11023" max="11023" width="16.85546875" style="3" customWidth="1"/>
    <col min="11024" max="11024" width="14.7109375" style="3" customWidth="1"/>
    <col min="11025" max="11025" width="16.140625" style="3" customWidth="1"/>
    <col min="11026" max="11026" width="2.42578125" style="3" customWidth="1"/>
    <col min="11027" max="11032" width="16.140625" style="3" customWidth="1"/>
    <col min="11033" max="11033" width="2.7109375" style="3" customWidth="1"/>
    <col min="11034" max="11034" width="47" style="3" bestFit="1" customWidth="1"/>
    <col min="11035" max="11264" width="9.140625" style="3"/>
    <col min="11265" max="11265" width="0.85546875" style="3" customWidth="1"/>
    <col min="11266" max="11266" width="22.140625" style="3" customWidth="1"/>
    <col min="11267" max="11267" width="0.85546875" style="3" customWidth="1"/>
    <col min="11268" max="11268" width="29.42578125" style="3" customWidth="1"/>
    <col min="11269" max="11269" width="22" style="3" bestFit="1" customWidth="1"/>
    <col min="11270" max="11270" width="0.85546875" style="3" customWidth="1"/>
    <col min="11271" max="11271" width="14.7109375" style="3" customWidth="1"/>
    <col min="11272" max="11272" width="16" style="3" customWidth="1"/>
    <col min="11273" max="11273" width="16.140625" style="3" customWidth="1"/>
    <col min="11274" max="11274" width="14.7109375" style="3" customWidth="1"/>
    <col min="11275" max="11275" width="16.85546875" style="3" customWidth="1"/>
    <col min="11276" max="11276" width="1.7109375" style="3" customWidth="1"/>
    <col min="11277" max="11278" width="14.7109375" style="3" customWidth="1"/>
    <col min="11279" max="11279" width="16.85546875" style="3" customWidth="1"/>
    <col min="11280" max="11280" width="14.7109375" style="3" customWidth="1"/>
    <col min="11281" max="11281" width="16.140625" style="3" customWidth="1"/>
    <col min="11282" max="11282" width="2.42578125" style="3" customWidth="1"/>
    <col min="11283" max="11288" width="16.140625" style="3" customWidth="1"/>
    <col min="11289" max="11289" width="2.7109375" style="3" customWidth="1"/>
    <col min="11290" max="11290" width="47" style="3" bestFit="1" customWidth="1"/>
    <col min="11291" max="11520" width="9.140625" style="3"/>
    <col min="11521" max="11521" width="0.85546875" style="3" customWidth="1"/>
    <col min="11522" max="11522" width="22.140625" style="3" customWidth="1"/>
    <col min="11523" max="11523" width="0.85546875" style="3" customWidth="1"/>
    <col min="11524" max="11524" width="29.42578125" style="3" customWidth="1"/>
    <col min="11525" max="11525" width="22" style="3" bestFit="1" customWidth="1"/>
    <col min="11526" max="11526" width="0.85546875" style="3" customWidth="1"/>
    <col min="11527" max="11527" width="14.7109375" style="3" customWidth="1"/>
    <col min="11528" max="11528" width="16" style="3" customWidth="1"/>
    <col min="11529" max="11529" width="16.140625" style="3" customWidth="1"/>
    <col min="11530" max="11530" width="14.7109375" style="3" customWidth="1"/>
    <col min="11531" max="11531" width="16.85546875" style="3" customWidth="1"/>
    <col min="11532" max="11532" width="1.7109375" style="3" customWidth="1"/>
    <col min="11533" max="11534" width="14.7109375" style="3" customWidth="1"/>
    <col min="11535" max="11535" width="16.85546875" style="3" customWidth="1"/>
    <col min="11536" max="11536" width="14.7109375" style="3" customWidth="1"/>
    <col min="11537" max="11537" width="16.140625" style="3" customWidth="1"/>
    <col min="11538" max="11538" width="2.42578125" style="3" customWidth="1"/>
    <col min="11539" max="11544" width="16.140625" style="3" customWidth="1"/>
    <col min="11545" max="11545" width="2.7109375" style="3" customWidth="1"/>
    <col min="11546" max="11546" width="47" style="3" bestFit="1" customWidth="1"/>
    <col min="11547" max="11776" width="9.140625" style="3"/>
    <col min="11777" max="11777" width="0.85546875" style="3" customWidth="1"/>
    <col min="11778" max="11778" width="22.140625" style="3" customWidth="1"/>
    <col min="11779" max="11779" width="0.85546875" style="3" customWidth="1"/>
    <col min="11780" max="11780" width="29.42578125" style="3" customWidth="1"/>
    <col min="11781" max="11781" width="22" style="3" bestFit="1" customWidth="1"/>
    <col min="11782" max="11782" width="0.85546875" style="3" customWidth="1"/>
    <col min="11783" max="11783" width="14.7109375" style="3" customWidth="1"/>
    <col min="11784" max="11784" width="16" style="3" customWidth="1"/>
    <col min="11785" max="11785" width="16.140625" style="3" customWidth="1"/>
    <col min="11786" max="11786" width="14.7109375" style="3" customWidth="1"/>
    <col min="11787" max="11787" width="16.85546875" style="3" customWidth="1"/>
    <col min="11788" max="11788" width="1.7109375" style="3" customWidth="1"/>
    <col min="11789" max="11790" width="14.7109375" style="3" customWidth="1"/>
    <col min="11791" max="11791" width="16.85546875" style="3" customWidth="1"/>
    <col min="11792" max="11792" width="14.7109375" style="3" customWidth="1"/>
    <col min="11793" max="11793" width="16.140625" style="3" customWidth="1"/>
    <col min="11794" max="11794" width="2.42578125" style="3" customWidth="1"/>
    <col min="11795" max="11800" width="16.140625" style="3" customWidth="1"/>
    <col min="11801" max="11801" width="2.7109375" style="3" customWidth="1"/>
    <col min="11802" max="11802" width="47" style="3" bestFit="1" customWidth="1"/>
    <col min="11803" max="12032" width="9.140625" style="3"/>
    <col min="12033" max="12033" width="0.85546875" style="3" customWidth="1"/>
    <col min="12034" max="12034" width="22.140625" style="3" customWidth="1"/>
    <col min="12035" max="12035" width="0.85546875" style="3" customWidth="1"/>
    <col min="12036" max="12036" width="29.42578125" style="3" customWidth="1"/>
    <col min="12037" max="12037" width="22" style="3" bestFit="1" customWidth="1"/>
    <col min="12038" max="12038" width="0.85546875" style="3" customWidth="1"/>
    <col min="12039" max="12039" width="14.7109375" style="3" customWidth="1"/>
    <col min="12040" max="12040" width="16" style="3" customWidth="1"/>
    <col min="12041" max="12041" width="16.140625" style="3" customWidth="1"/>
    <col min="12042" max="12042" width="14.7109375" style="3" customWidth="1"/>
    <col min="12043" max="12043" width="16.85546875" style="3" customWidth="1"/>
    <col min="12044" max="12044" width="1.7109375" style="3" customWidth="1"/>
    <col min="12045" max="12046" width="14.7109375" style="3" customWidth="1"/>
    <col min="12047" max="12047" width="16.85546875" style="3" customWidth="1"/>
    <col min="12048" max="12048" width="14.7109375" style="3" customWidth="1"/>
    <col min="12049" max="12049" width="16.140625" style="3" customWidth="1"/>
    <col min="12050" max="12050" width="2.42578125" style="3" customWidth="1"/>
    <col min="12051" max="12056" width="16.140625" style="3" customWidth="1"/>
    <col min="12057" max="12057" width="2.7109375" style="3" customWidth="1"/>
    <col min="12058" max="12058" width="47" style="3" bestFit="1" customWidth="1"/>
    <col min="12059" max="12288" width="9.140625" style="3"/>
    <col min="12289" max="12289" width="0.85546875" style="3" customWidth="1"/>
    <col min="12290" max="12290" width="22.140625" style="3" customWidth="1"/>
    <col min="12291" max="12291" width="0.85546875" style="3" customWidth="1"/>
    <col min="12292" max="12292" width="29.42578125" style="3" customWidth="1"/>
    <col min="12293" max="12293" width="22" style="3" bestFit="1" customWidth="1"/>
    <col min="12294" max="12294" width="0.85546875" style="3" customWidth="1"/>
    <col min="12295" max="12295" width="14.7109375" style="3" customWidth="1"/>
    <col min="12296" max="12296" width="16" style="3" customWidth="1"/>
    <col min="12297" max="12297" width="16.140625" style="3" customWidth="1"/>
    <col min="12298" max="12298" width="14.7109375" style="3" customWidth="1"/>
    <col min="12299" max="12299" width="16.85546875" style="3" customWidth="1"/>
    <col min="12300" max="12300" width="1.7109375" style="3" customWidth="1"/>
    <col min="12301" max="12302" width="14.7109375" style="3" customWidth="1"/>
    <col min="12303" max="12303" width="16.85546875" style="3" customWidth="1"/>
    <col min="12304" max="12304" width="14.7109375" style="3" customWidth="1"/>
    <col min="12305" max="12305" width="16.140625" style="3" customWidth="1"/>
    <col min="12306" max="12306" width="2.42578125" style="3" customWidth="1"/>
    <col min="12307" max="12312" width="16.140625" style="3" customWidth="1"/>
    <col min="12313" max="12313" width="2.7109375" style="3" customWidth="1"/>
    <col min="12314" max="12314" width="47" style="3" bestFit="1" customWidth="1"/>
    <col min="12315" max="12544" width="9.140625" style="3"/>
    <col min="12545" max="12545" width="0.85546875" style="3" customWidth="1"/>
    <col min="12546" max="12546" width="22.140625" style="3" customWidth="1"/>
    <col min="12547" max="12547" width="0.85546875" style="3" customWidth="1"/>
    <col min="12548" max="12548" width="29.42578125" style="3" customWidth="1"/>
    <col min="12549" max="12549" width="22" style="3" bestFit="1" customWidth="1"/>
    <col min="12550" max="12550" width="0.85546875" style="3" customWidth="1"/>
    <col min="12551" max="12551" width="14.7109375" style="3" customWidth="1"/>
    <col min="12552" max="12552" width="16" style="3" customWidth="1"/>
    <col min="12553" max="12553" width="16.140625" style="3" customWidth="1"/>
    <col min="12554" max="12554" width="14.7109375" style="3" customWidth="1"/>
    <col min="12555" max="12555" width="16.85546875" style="3" customWidth="1"/>
    <col min="12556" max="12556" width="1.7109375" style="3" customWidth="1"/>
    <col min="12557" max="12558" width="14.7109375" style="3" customWidth="1"/>
    <col min="12559" max="12559" width="16.85546875" style="3" customWidth="1"/>
    <col min="12560" max="12560" width="14.7109375" style="3" customWidth="1"/>
    <col min="12561" max="12561" width="16.140625" style="3" customWidth="1"/>
    <col min="12562" max="12562" width="2.42578125" style="3" customWidth="1"/>
    <col min="12563" max="12568" width="16.140625" style="3" customWidth="1"/>
    <col min="12569" max="12569" width="2.7109375" style="3" customWidth="1"/>
    <col min="12570" max="12570" width="47" style="3" bestFit="1" customWidth="1"/>
    <col min="12571" max="12800" width="9.140625" style="3"/>
    <col min="12801" max="12801" width="0.85546875" style="3" customWidth="1"/>
    <col min="12802" max="12802" width="22.140625" style="3" customWidth="1"/>
    <col min="12803" max="12803" width="0.85546875" style="3" customWidth="1"/>
    <col min="12804" max="12804" width="29.42578125" style="3" customWidth="1"/>
    <col min="12805" max="12805" width="22" style="3" bestFit="1" customWidth="1"/>
    <col min="12806" max="12806" width="0.85546875" style="3" customWidth="1"/>
    <col min="12807" max="12807" width="14.7109375" style="3" customWidth="1"/>
    <col min="12808" max="12808" width="16" style="3" customWidth="1"/>
    <col min="12809" max="12809" width="16.140625" style="3" customWidth="1"/>
    <col min="12810" max="12810" width="14.7109375" style="3" customWidth="1"/>
    <col min="12811" max="12811" width="16.85546875" style="3" customWidth="1"/>
    <col min="12812" max="12812" width="1.7109375" style="3" customWidth="1"/>
    <col min="12813" max="12814" width="14.7109375" style="3" customWidth="1"/>
    <col min="12815" max="12815" width="16.85546875" style="3" customWidth="1"/>
    <col min="12816" max="12816" width="14.7109375" style="3" customWidth="1"/>
    <col min="12817" max="12817" width="16.140625" style="3" customWidth="1"/>
    <col min="12818" max="12818" width="2.42578125" style="3" customWidth="1"/>
    <col min="12819" max="12824" width="16.140625" style="3" customWidth="1"/>
    <col min="12825" max="12825" width="2.7109375" style="3" customWidth="1"/>
    <col min="12826" max="12826" width="47" style="3" bestFit="1" customWidth="1"/>
    <col min="12827" max="13056" width="9.140625" style="3"/>
    <col min="13057" max="13057" width="0.85546875" style="3" customWidth="1"/>
    <col min="13058" max="13058" width="22.140625" style="3" customWidth="1"/>
    <col min="13059" max="13059" width="0.85546875" style="3" customWidth="1"/>
    <col min="13060" max="13060" width="29.42578125" style="3" customWidth="1"/>
    <col min="13061" max="13061" width="22" style="3" bestFit="1" customWidth="1"/>
    <col min="13062" max="13062" width="0.85546875" style="3" customWidth="1"/>
    <col min="13063" max="13063" width="14.7109375" style="3" customWidth="1"/>
    <col min="13064" max="13064" width="16" style="3" customWidth="1"/>
    <col min="13065" max="13065" width="16.140625" style="3" customWidth="1"/>
    <col min="13066" max="13066" width="14.7109375" style="3" customWidth="1"/>
    <col min="13067" max="13067" width="16.85546875" style="3" customWidth="1"/>
    <col min="13068" max="13068" width="1.7109375" style="3" customWidth="1"/>
    <col min="13069" max="13070" width="14.7109375" style="3" customWidth="1"/>
    <col min="13071" max="13071" width="16.85546875" style="3" customWidth="1"/>
    <col min="13072" max="13072" width="14.7109375" style="3" customWidth="1"/>
    <col min="13073" max="13073" width="16.140625" style="3" customWidth="1"/>
    <col min="13074" max="13074" width="2.42578125" style="3" customWidth="1"/>
    <col min="13075" max="13080" width="16.140625" style="3" customWidth="1"/>
    <col min="13081" max="13081" width="2.7109375" style="3" customWidth="1"/>
    <col min="13082" max="13082" width="47" style="3" bestFit="1" customWidth="1"/>
    <col min="13083" max="13312" width="9.140625" style="3"/>
    <col min="13313" max="13313" width="0.85546875" style="3" customWidth="1"/>
    <col min="13314" max="13314" width="22.140625" style="3" customWidth="1"/>
    <col min="13315" max="13315" width="0.85546875" style="3" customWidth="1"/>
    <col min="13316" max="13316" width="29.42578125" style="3" customWidth="1"/>
    <col min="13317" max="13317" width="22" style="3" bestFit="1" customWidth="1"/>
    <col min="13318" max="13318" width="0.85546875" style="3" customWidth="1"/>
    <col min="13319" max="13319" width="14.7109375" style="3" customWidth="1"/>
    <col min="13320" max="13320" width="16" style="3" customWidth="1"/>
    <col min="13321" max="13321" width="16.140625" style="3" customWidth="1"/>
    <col min="13322" max="13322" width="14.7109375" style="3" customWidth="1"/>
    <col min="13323" max="13323" width="16.85546875" style="3" customWidth="1"/>
    <col min="13324" max="13324" width="1.7109375" style="3" customWidth="1"/>
    <col min="13325" max="13326" width="14.7109375" style="3" customWidth="1"/>
    <col min="13327" max="13327" width="16.85546875" style="3" customWidth="1"/>
    <col min="13328" max="13328" width="14.7109375" style="3" customWidth="1"/>
    <col min="13329" max="13329" width="16.140625" style="3" customWidth="1"/>
    <col min="13330" max="13330" width="2.42578125" style="3" customWidth="1"/>
    <col min="13331" max="13336" width="16.140625" style="3" customWidth="1"/>
    <col min="13337" max="13337" width="2.7109375" style="3" customWidth="1"/>
    <col min="13338" max="13338" width="47" style="3" bestFit="1" customWidth="1"/>
    <col min="13339" max="13568" width="9.140625" style="3"/>
    <col min="13569" max="13569" width="0.85546875" style="3" customWidth="1"/>
    <col min="13570" max="13570" width="22.140625" style="3" customWidth="1"/>
    <col min="13571" max="13571" width="0.85546875" style="3" customWidth="1"/>
    <col min="13572" max="13572" width="29.42578125" style="3" customWidth="1"/>
    <col min="13573" max="13573" width="22" style="3" bestFit="1" customWidth="1"/>
    <col min="13574" max="13574" width="0.85546875" style="3" customWidth="1"/>
    <col min="13575" max="13575" width="14.7109375" style="3" customWidth="1"/>
    <col min="13576" max="13576" width="16" style="3" customWidth="1"/>
    <col min="13577" max="13577" width="16.140625" style="3" customWidth="1"/>
    <col min="13578" max="13578" width="14.7109375" style="3" customWidth="1"/>
    <col min="13579" max="13579" width="16.85546875" style="3" customWidth="1"/>
    <col min="13580" max="13580" width="1.7109375" style="3" customWidth="1"/>
    <col min="13581" max="13582" width="14.7109375" style="3" customWidth="1"/>
    <col min="13583" max="13583" width="16.85546875" style="3" customWidth="1"/>
    <col min="13584" max="13584" width="14.7109375" style="3" customWidth="1"/>
    <col min="13585" max="13585" width="16.140625" style="3" customWidth="1"/>
    <col min="13586" max="13586" width="2.42578125" style="3" customWidth="1"/>
    <col min="13587" max="13592" width="16.140625" style="3" customWidth="1"/>
    <col min="13593" max="13593" width="2.7109375" style="3" customWidth="1"/>
    <col min="13594" max="13594" width="47" style="3" bestFit="1" customWidth="1"/>
    <col min="13595" max="13824" width="9.140625" style="3"/>
    <col min="13825" max="13825" width="0.85546875" style="3" customWidth="1"/>
    <col min="13826" max="13826" width="22.140625" style="3" customWidth="1"/>
    <col min="13827" max="13827" width="0.85546875" style="3" customWidth="1"/>
    <col min="13828" max="13828" width="29.42578125" style="3" customWidth="1"/>
    <col min="13829" max="13829" width="22" style="3" bestFit="1" customWidth="1"/>
    <col min="13830" max="13830" width="0.85546875" style="3" customWidth="1"/>
    <col min="13831" max="13831" width="14.7109375" style="3" customWidth="1"/>
    <col min="13832" max="13832" width="16" style="3" customWidth="1"/>
    <col min="13833" max="13833" width="16.140625" style="3" customWidth="1"/>
    <col min="13834" max="13834" width="14.7109375" style="3" customWidth="1"/>
    <col min="13835" max="13835" width="16.85546875" style="3" customWidth="1"/>
    <col min="13836" max="13836" width="1.7109375" style="3" customWidth="1"/>
    <col min="13837" max="13838" width="14.7109375" style="3" customWidth="1"/>
    <col min="13839" max="13839" width="16.85546875" style="3" customWidth="1"/>
    <col min="13840" max="13840" width="14.7109375" style="3" customWidth="1"/>
    <col min="13841" max="13841" width="16.140625" style="3" customWidth="1"/>
    <col min="13842" max="13842" width="2.42578125" style="3" customWidth="1"/>
    <col min="13843" max="13848" width="16.140625" style="3" customWidth="1"/>
    <col min="13849" max="13849" width="2.7109375" style="3" customWidth="1"/>
    <col min="13850" max="13850" width="47" style="3" bestFit="1" customWidth="1"/>
    <col min="13851" max="14080" width="9.140625" style="3"/>
    <col min="14081" max="14081" width="0.85546875" style="3" customWidth="1"/>
    <col min="14082" max="14082" width="22.140625" style="3" customWidth="1"/>
    <col min="14083" max="14083" width="0.85546875" style="3" customWidth="1"/>
    <col min="14084" max="14084" width="29.42578125" style="3" customWidth="1"/>
    <col min="14085" max="14085" width="22" style="3" bestFit="1" customWidth="1"/>
    <col min="14086" max="14086" width="0.85546875" style="3" customWidth="1"/>
    <col min="14087" max="14087" width="14.7109375" style="3" customWidth="1"/>
    <col min="14088" max="14088" width="16" style="3" customWidth="1"/>
    <col min="14089" max="14089" width="16.140625" style="3" customWidth="1"/>
    <col min="14090" max="14090" width="14.7109375" style="3" customWidth="1"/>
    <col min="14091" max="14091" width="16.85546875" style="3" customWidth="1"/>
    <col min="14092" max="14092" width="1.7109375" style="3" customWidth="1"/>
    <col min="14093" max="14094" width="14.7109375" style="3" customWidth="1"/>
    <col min="14095" max="14095" width="16.85546875" style="3" customWidth="1"/>
    <col min="14096" max="14096" width="14.7109375" style="3" customWidth="1"/>
    <col min="14097" max="14097" width="16.140625" style="3" customWidth="1"/>
    <col min="14098" max="14098" width="2.42578125" style="3" customWidth="1"/>
    <col min="14099" max="14104" width="16.140625" style="3" customWidth="1"/>
    <col min="14105" max="14105" width="2.7109375" style="3" customWidth="1"/>
    <col min="14106" max="14106" width="47" style="3" bestFit="1" customWidth="1"/>
    <col min="14107" max="14336" width="9.140625" style="3"/>
    <col min="14337" max="14337" width="0.85546875" style="3" customWidth="1"/>
    <col min="14338" max="14338" width="22.140625" style="3" customWidth="1"/>
    <col min="14339" max="14339" width="0.85546875" style="3" customWidth="1"/>
    <col min="14340" max="14340" width="29.42578125" style="3" customWidth="1"/>
    <col min="14341" max="14341" width="22" style="3" bestFit="1" customWidth="1"/>
    <col min="14342" max="14342" width="0.85546875" style="3" customWidth="1"/>
    <col min="14343" max="14343" width="14.7109375" style="3" customWidth="1"/>
    <col min="14344" max="14344" width="16" style="3" customWidth="1"/>
    <col min="14345" max="14345" width="16.140625" style="3" customWidth="1"/>
    <col min="14346" max="14346" width="14.7109375" style="3" customWidth="1"/>
    <col min="14347" max="14347" width="16.85546875" style="3" customWidth="1"/>
    <col min="14348" max="14348" width="1.7109375" style="3" customWidth="1"/>
    <col min="14349" max="14350" width="14.7109375" style="3" customWidth="1"/>
    <col min="14351" max="14351" width="16.85546875" style="3" customWidth="1"/>
    <col min="14352" max="14352" width="14.7109375" style="3" customWidth="1"/>
    <col min="14353" max="14353" width="16.140625" style="3" customWidth="1"/>
    <col min="14354" max="14354" width="2.42578125" style="3" customWidth="1"/>
    <col min="14355" max="14360" width="16.140625" style="3" customWidth="1"/>
    <col min="14361" max="14361" width="2.7109375" style="3" customWidth="1"/>
    <col min="14362" max="14362" width="47" style="3" bestFit="1" customWidth="1"/>
    <col min="14363" max="14592" width="9.140625" style="3"/>
    <col min="14593" max="14593" width="0.85546875" style="3" customWidth="1"/>
    <col min="14594" max="14594" width="22.140625" style="3" customWidth="1"/>
    <col min="14595" max="14595" width="0.85546875" style="3" customWidth="1"/>
    <col min="14596" max="14596" width="29.42578125" style="3" customWidth="1"/>
    <col min="14597" max="14597" width="22" style="3" bestFit="1" customWidth="1"/>
    <col min="14598" max="14598" width="0.85546875" style="3" customWidth="1"/>
    <col min="14599" max="14599" width="14.7109375" style="3" customWidth="1"/>
    <col min="14600" max="14600" width="16" style="3" customWidth="1"/>
    <col min="14601" max="14601" width="16.140625" style="3" customWidth="1"/>
    <col min="14602" max="14602" width="14.7109375" style="3" customWidth="1"/>
    <col min="14603" max="14603" width="16.85546875" style="3" customWidth="1"/>
    <col min="14604" max="14604" width="1.7109375" style="3" customWidth="1"/>
    <col min="14605" max="14606" width="14.7109375" style="3" customWidth="1"/>
    <col min="14607" max="14607" width="16.85546875" style="3" customWidth="1"/>
    <col min="14608" max="14608" width="14.7109375" style="3" customWidth="1"/>
    <col min="14609" max="14609" width="16.140625" style="3" customWidth="1"/>
    <col min="14610" max="14610" width="2.42578125" style="3" customWidth="1"/>
    <col min="14611" max="14616" width="16.140625" style="3" customWidth="1"/>
    <col min="14617" max="14617" width="2.7109375" style="3" customWidth="1"/>
    <col min="14618" max="14618" width="47" style="3" bestFit="1" customWidth="1"/>
    <col min="14619" max="14848" width="9.140625" style="3"/>
    <col min="14849" max="14849" width="0.85546875" style="3" customWidth="1"/>
    <col min="14850" max="14850" width="22.140625" style="3" customWidth="1"/>
    <col min="14851" max="14851" width="0.85546875" style="3" customWidth="1"/>
    <col min="14852" max="14852" width="29.42578125" style="3" customWidth="1"/>
    <col min="14853" max="14853" width="22" style="3" bestFit="1" customWidth="1"/>
    <col min="14854" max="14854" width="0.85546875" style="3" customWidth="1"/>
    <col min="14855" max="14855" width="14.7109375" style="3" customWidth="1"/>
    <col min="14856" max="14856" width="16" style="3" customWidth="1"/>
    <col min="14857" max="14857" width="16.140625" style="3" customWidth="1"/>
    <col min="14858" max="14858" width="14.7109375" style="3" customWidth="1"/>
    <col min="14859" max="14859" width="16.85546875" style="3" customWidth="1"/>
    <col min="14860" max="14860" width="1.7109375" style="3" customWidth="1"/>
    <col min="14861" max="14862" width="14.7109375" style="3" customWidth="1"/>
    <col min="14863" max="14863" width="16.85546875" style="3" customWidth="1"/>
    <col min="14864" max="14864" width="14.7109375" style="3" customWidth="1"/>
    <col min="14865" max="14865" width="16.140625" style="3" customWidth="1"/>
    <col min="14866" max="14866" width="2.42578125" style="3" customWidth="1"/>
    <col min="14867" max="14872" width="16.140625" style="3" customWidth="1"/>
    <col min="14873" max="14873" width="2.7109375" style="3" customWidth="1"/>
    <col min="14874" max="14874" width="47" style="3" bestFit="1" customWidth="1"/>
    <col min="14875" max="15104" width="9.140625" style="3"/>
    <col min="15105" max="15105" width="0.85546875" style="3" customWidth="1"/>
    <col min="15106" max="15106" width="22.140625" style="3" customWidth="1"/>
    <col min="15107" max="15107" width="0.85546875" style="3" customWidth="1"/>
    <col min="15108" max="15108" width="29.42578125" style="3" customWidth="1"/>
    <col min="15109" max="15109" width="22" style="3" bestFit="1" customWidth="1"/>
    <col min="15110" max="15110" width="0.85546875" style="3" customWidth="1"/>
    <col min="15111" max="15111" width="14.7109375" style="3" customWidth="1"/>
    <col min="15112" max="15112" width="16" style="3" customWidth="1"/>
    <col min="15113" max="15113" width="16.140625" style="3" customWidth="1"/>
    <col min="15114" max="15114" width="14.7109375" style="3" customWidth="1"/>
    <col min="15115" max="15115" width="16.85546875" style="3" customWidth="1"/>
    <col min="15116" max="15116" width="1.7109375" style="3" customWidth="1"/>
    <col min="15117" max="15118" width="14.7109375" style="3" customWidth="1"/>
    <col min="15119" max="15119" width="16.85546875" style="3" customWidth="1"/>
    <col min="15120" max="15120" width="14.7109375" style="3" customWidth="1"/>
    <col min="15121" max="15121" width="16.140625" style="3" customWidth="1"/>
    <col min="15122" max="15122" width="2.42578125" style="3" customWidth="1"/>
    <col min="15123" max="15128" width="16.140625" style="3" customWidth="1"/>
    <col min="15129" max="15129" width="2.7109375" style="3" customWidth="1"/>
    <col min="15130" max="15130" width="47" style="3" bestFit="1" customWidth="1"/>
    <col min="15131" max="15360" width="9.140625" style="3"/>
    <col min="15361" max="15361" width="0.85546875" style="3" customWidth="1"/>
    <col min="15362" max="15362" width="22.140625" style="3" customWidth="1"/>
    <col min="15363" max="15363" width="0.85546875" style="3" customWidth="1"/>
    <col min="15364" max="15364" width="29.42578125" style="3" customWidth="1"/>
    <col min="15365" max="15365" width="22" style="3" bestFit="1" customWidth="1"/>
    <col min="15366" max="15366" width="0.85546875" style="3" customWidth="1"/>
    <col min="15367" max="15367" width="14.7109375" style="3" customWidth="1"/>
    <col min="15368" max="15368" width="16" style="3" customWidth="1"/>
    <col min="15369" max="15369" width="16.140625" style="3" customWidth="1"/>
    <col min="15370" max="15370" width="14.7109375" style="3" customWidth="1"/>
    <col min="15371" max="15371" width="16.85546875" style="3" customWidth="1"/>
    <col min="15372" max="15372" width="1.7109375" style="3" customWidth="1"/>
    <col min="15373" max="15374" width="14.7109375" style="3" customWidth="1"/>
    <col min="15375" max="15375" width="16.85546875" style="3" customWidth="1"/>
    <col min="15376" max="15376" width="14.7109375" style="3" customWidth="1"/>
    <col min="15377" max="15377" width="16.140625" style="3" customWidth="1"/>
    <col min="15378" max="15378" width="2.42578125" style="3" customWidth="1"/>
    <col min="15379" max="15384" width="16.140625" style="3" customWidth="1"/>
    <col min="15385" max="15385" width="2.7109375" style="3" customWidth="1"/>
    <col min="15386" max="15386" width="47" style="3" bestFit="1" customWidth="1"/>
    <col min="15387" max="15616" width="9.140625" style="3"/>
    <col min="15617" max="15617" width="0.85546875" style="3" customWidth="1"/>
    <col min="15618" max="15618" width="22.140625" style="3" customWidth="1"/>
    <col min="15619" max="15619" width="0.85546875" style="3" customWidth="1"/>
    <col min="15620" max="15620" width="29.42578125" style="3" customWidth="1"/>
    <col min="15621" max="15621" width="22" style="3" bestFit="1" customWidth="1"/>
    <col min="15622" max="15622" width="0.85546875" style="3" customWidth="1"/>
    <col min="15623" max="15623" width="14.7109375" style="3" customWidth="1"/>
    <col min="15624" max="15624" width="16" style="3" customWidth="1"/>
    <col min="15625" max="15625" width="16.140625" style="3" customWidth="1"/>
    <col min="15626" max="15626" width="14.7109375" style="3" customWidth="1"/>
    <col min="15627" max="15627" width="16.85546875" style="3" customWidth="1"/>
    <col min="15628" max="15628" width="1.7109375" style="3" customWidth="1"/>
    <col min="15629" max="15630" width="14.7109375" style="3" customWidth="1"/>
    <col min="15631" max="15631" width="16.85546875" style="3" customWidth="1"/>
    <col min="15632" max="15632" width="14.7109375" style="3" customWidth="1"/>
    <col min="15633" max="15633" width="16.140625" style="3" customWidth="1"/>
    <col min="15634" max="15634" width="2.42578125" style="3" customWidth="1"/>
    <col min="15635" max="15640" width="16.140625" style="3" customWidth="1"/>
    <col min="15641" max="15641" width="2.7109375" style="3" customWidth="1"/>
    <col min="15642" max="15642" width="47" style="3" bestFit="1" customWidth="1"/>
    <col min="15643" max="15872" width="9.140625" style="3"/>
    <col min="15873" max="15873" width="0.85546875" style="3" customWidth="1"/>
    <col min="15874" max="15874" width="22.140625" style="3" customWidth="1"/>
    <col min="15875" max="15875" width="0.85546875" style="3" customWidth="1"/>
    <col min="15876" max="15876" width="29.42578125" style="3" customWidth="1"/>
    <col min="15877" max="15877" width="22" style="3" bestFit="1" customWidth="1"/>
    <col min="15878" max="15878" width="0.85546875" style="3" customWidth="1"/>
    <col min="15879" max="15879" width="14.7109375" style="3" customWidth="1"/>
    <col min="15880" max="15880" width="16" style="3" customWidth="1"/>
    <col min="15881" max="15881" width="16.140625" style="3" customWidth="1"/>
    <col min="15882" max="15882" width="14.7109375" style="3" customWidth="1"/>
    <col min="15883" max="15883" width="16.85546875" style="3" customWidth="1"/>
    <col min="15884" max="15884" width="1.7109375" style="3" customWidth="1"/>
    <col min="15885" max="15886" width="14.7109375" style="3" customWidth="1"/>
    <col min="15887" max="15887" width="16.85546875" style="3" customWidth="1"/>
    <col min="15888" max="15888" width="14.7109375" style="3" customWidth="1"/>
    <col min="15889" max="15889" width="16.140625" style="3" customWidth="1"/>
    <col min="15890" max="15890" width="2.42578125" style="3" customWidth="1"/>
    <col min="15891" max="15896" width="16.140625" style="3" customWidth="1"/>
    <col min="15897" max="15897" width="2.7109375" style="3" customWidth="1"/>
    <col min="15898" max="15898" width="47" style="3" bestFit="1" customWidth="1"/>
    <col min="15899" max="16128" width="9.140625" style="3"/>
    <col min="16129" max="16129" width="0.85546875" style="3" customWidth="1"/>
    <col min="16130" max="16130" width="22.140625" style="3" customWidth="1"/>
    <col min="16131" max="16131" width="0.85546875" style="3" customWidth="1"/>
    <col min="16132" max="16132" width="29.42578125" style="3" customWidth="1"/>
    <col min="16133" max="16133" width="22" style="3" bestFit="1" customWidth="1"/>
    <col min="16134" max="16134" width="0.85546875" style="3" customWidth="1"/>
    <col min="16135" max="16135" width="14.7109375" style="3" customWidth="1"/>
    <col min="16136" max="16136" width="16" style="3" customWidth="1"/>
    <col min="16137" max="16137" width="16.140625" style="3" customWidth="1"/>
    <col min="16138" max="16138" width="14.7109375" style="3" customWidth="1"/>
    <col min="16139" max="16139" width="16.85546875" style="3" customWidth="1"/>
    <col min="16140" max="16140" width="1.7109375" style="3" customWidth="1"/>
    <col min="16141" max="16142" width="14.7109375" style="3" customWidth="1"/>
    <col min="16143" max="16143" width="16.85546875" style="3" customWidth="1"/>
    <col min="16144" max="16144" width="14.7109375" style="3" customWidth="1"/>
    <col min="16145" max="16145" width="16.140625" style="3" customWidth="1"/>
    <col min="16146" max="16146" width="2.42578125" style="3" customWidth="1"/>
    <col min="16147" max="16152" width="16.140625" style="3" customWidth="1"/>
    <col min="16153" max="16153" width="2.7109375" style="3" customWidth="1"/>
    <col min="16154" max="16154" width="47" style="3" bestFit="1" customWidth="1"/>
    <col min="16155" max="16384" width="9.140625" style="3"/>
  </cols>
  <sheetData>
    <row r="1" spans="2:26" x14ac:dyDescent="0.2">
      <c r="E1" s="2"/>
      <c r="F1" s="2"/>
    </row>
    <row r="2" spans="2:26" x14ac:dyDescent="0.2">
      <c r="E2" s="2"/>
      <c r="F2" s="2"/>
    </row>
    <row r="3" spans="2:26" ht="20.25" thickBot="1" x14ac:dyDescent="0.3">
      <c r="B3" s="1" t="s">
        <v>0</v>
      </c>
      <c r="C3" s="2"/>
      <c r="D3" s="2"/>
      <c r="E3" s="2"/>
      <c r="F3" s="2"/>
      <c r="G3" s="130" t="s">
        <v>126</v>
      </c>
      <c r="H3" s="130"/>
      <c r="I3" s="130"/>
      <c r="J3" s="130"/>
      <c r="K3" s="130"/>
      <c r="L3" s="5"/>
      <c r="M3" s="130" t="s">
        <v>127</v>
      </c>
      <c r="N3" s="130"/>
      <c r="O3" s="130"/>
      <c r="P3" s="130"/>
      <c r="Q3" s="130"/>
      <c r="R3" s="83"/>
      <c r="S3" s="83"/>
      <c r="T3" s="83"/>
      <c r="U3" s="83"/>
      <c r="V3" s="83"/>
      <c r="W3" s="83"/>
      <c r="X3" s="83"/>
    </row>
    <row r="4" spans="2:26" ht="19.5" x14ac:dyDescent="0.25">
      <c r="B4" s="1" t="s">
        <v>1</v>
      </c>
      <c r="C4" s="2"/>
      <c r="D4" s="2"/>
      <c r="L4" s="5"/>
    </row>
    <row r="5" spans="2:26" x14ac:dyDescent="0.2">
      <c r="B5" s="2" t="s">
        <v>128</v>
      </c>
      <c r="C5" s="2"/>
      <c r="D5" s="2"/>
      <c r="G5" s="7" t="s">
        <v>4</v>
      </c>
      <c r="H5" s="7" t="s">
        <v>5</v>
      </c>
      <c r="I5" s="7" t="s">
        <v>6</v>
      </c>
      <c r="J5" s="7" t="s">
        <v>7</v>
      </c>
      <c r="K5" s="7" t="s">
        <v>8</v>
      </c>
      <c r="L5" s="5"/>
      <c r="M5" s="7" t="s">
        <v>4</v>
      </c>
      <c r="N5" s="7" t="s">
        <v>5</v>
      </c>
      <c r="O5" s="7" t="s">
        <v>6</v>
      </c>
      <c r="P5" s="7" t="s">
        <v>7</v>
      </c>
      <c r="Q5" s="7" t="s">
        <v>8</v>
      </c>
      <c r="R5" s="7"/>
      <c r="S5" s="7"/>
      <c r="T5" s="7"/>
      <c r="U5" s="7"/>
      <c r="V5" s="7"/>
      <c r="W5" s="7"/>
      <c r="X5" s="7"/>
    </row>
    <row r="6" spans="2:26" ht="15" x14ac:dyDescent="0.2">
      <c r="B6" s="4"/>
      <c r="C6" s="2"/>
      <c r="D6" s="4" t="s">
        <v>2</v>
      </c>
      <c r="G6" s="7" t="s">
        <v>10</v>
      </c>
      <c r="H6" s="7" t="s">
        <v>11</v>
      </c>
      <c r="I6" s="7" t="s">
        <v>12</v>
      </c>
      <c r="J6" s="7" t="s">
        <v>94</v>
      </c>
      <c r="K6" s="7" t="s">
        <v>13</v>
      </c>
      <c r="L6" s="5"/>
      <c r="M6" s="7" t="s">
        <v>10</v>
      </c>
      <c r="N6" s="7" t="s">
        <v>11</v>
      </c>
      <c r="O6" s="7" t="s">
        <v>12</v>
      </c>
      <c r="P6" s="7" t="s">
        <v>94</v>
      </c>
      <c r="Q6" s="7" t="s">
        <v>13</v>
      </c>
      <c r="R6" s="7"/>
      <c r="S6" s="7"/>
      <c r="T6" s="7"/>
      <c r="U6" s="7"/>
      <c r="V6" s="7"/>
      <c r="W6" s="7"/>
      <c r="X6" s="7"/>
    </row>
    <row r="7" spans="2:26" x14ac:dyDescent="0.2">
      <c r="D7" s="81"/>
      <c r="G7" s="7"/>
      <c r="H7" s="7" t="s">
        <v>14</v>
      </c>
      <c r="I7" s="7"/>
      <c r="J7" s="7"/>
      <c r="K7" s="7"/>
      <c r="L7" s="5"/>
      <c r="M7" s="7"/>
      <c r="N7" s="7" t="s">
        <v>14</v>
      </c>
      <c r="O7" s="7"/>
      <c r="P7" s="7"/>
      <c r="Q7" s="7"/>
      <c r="R7" s="7"/>
      <c r="S7" s="7"/>
      <c r="T7" s="7"/>
      <c r="U7" s="7"/>
      <c r="V7" s="7"/>
      <c r="W7" s="7"/>
      <c r="X7" s="7"/>
    </row>
    <row r="8" spans="2:26" ht="13.5" thickBot="1" x14ac:dyDescent="0.25">
      <c r="B8" s="2"/>
      <c r="G8" s="8" t="s">
        <v>15</v>
      </c>
      <c r="H8" s="8" t="s">
        <v>16</v>
      </c>
      <c r="I8" s="8" t="s">
        <v>17</v>
      </c>
      <c r="J8" s="8"/>
      <c r="K8" s="8" t="s">
        <v>18</v>
      </c>
      <c r="L8" s="5"/>
      <c r="M8" s="8" t="s">
        <v>15</v>
      </c>
      <c r="N8" s="8" t="s">
        <v>16</v>
      </c>
      <c r="O8" s="8" t="s">
        <v>17</v>
      </c>
      <c r="P8" s="8"/>
      <c r="Q8" s="8" t="s">
        <v>18</v>
      </c>
      <c r="R8" s="84"/>
      <c r="S8" s="84"/>
      <c r="T8" s="84"/>
      <c r="U8" s="84"/>
      <c r="V8" s="84"/>
      <c r="W8" s="84"/>
      <c r="X8" s="84"/>
    </row>
    <row r="9" spans="2:26" ht="5.0999999999999996" customHeight="1" x14ac:dyDescent="0.2">
      <c r="B9" s="2"/>
      <c r="G9" s="9"/>
      <c r="H9" s="9"/>
      <c r="I9" s="9"/>
      <c r="J9" s="9"/>
      <c r="K9" s="9"/>
      <c r="L9" s="5"/>
      <c r="M9" s="9"/>
      <c r="N9" s="9"/>
      <c r="O9" s="9"/>
      <c r="P9" s="9"/>
      <c r="Q9" s="9"/>
      <c r="R9" s="9"/>
      <c r="S9" s="9"/>
      <c r="T9" s="9"/>
      <c r="U9" s="9"/>
      <c r="V9" s="9"/>
      <c r="W9" s="9"/>
      <c r="X9" s="9"/>
    </row>
    <row r="10" spans="2:26" ht="15" thickBot="1" x14ac:dyDescent="0.25">
      <c r="B10" s="6" t="s">
        <v>3</v>
      </c>
      <c r="D10" s="3" t="s">
        <v>19</v>
      </c>
      <c r="E10" s="18" t="s">
        <v>20</v>
      </c>
      <c r="G10" s="11">
        <v>6900</v>
      </c>
      <c r="H10" s="11">
        <v>1725</v>
      </c>
      <c r="I10" s="11">
        <v>99830</v>
      </c>
      <c r="J10" s="12">
        <v>0</v>
      </c>
      <c r="K10" s="11">
        <f>SUM(G10:J10)</f>
        <v>108455</v>
      </c>
      <c r="L10" s="5"/>
      <c r="M10" s="11">
        <v>0</v>
      </c>
      <c r="N10" s="11">
        <v>0</v>
      </c>
      <c r="O10" s="11">
        <v>0</v>
      </c>
      <c r="P10" s="12">
        <v>0</v>
      </c>
      <c r="Q10" s="12">
        <f>SUM(M10:P10)</f>
        <v>0</v>
      </c>
      <c r="R10" s="12"/>
      <c r="S10" s="12"/>
      <c r="T10" s="12"/>
      <c r="U10" s="12"/>
      <c r="V10" s="12"/>
      <c r="W10" s="12"/>
      <c r="X10" s="12"/>
    </row>
    <row r="11" spans="2:26" x14ac:dyDescent="0.2">
      <c r="B11" s="2" t="s">
        <v>9</v>
      </c>
      <c r="E11" s="18" t="s">
        <v>21</v>
      </c>
      <c r="G11" s="13">
        <v>288.7</v>
      </c>
      <c r="H11" s="13">
        <v>72.2</v>
      </c>
      <c r="I11" s="13">
        <v>3773.6</v>
      </c>
      <c r="J11" s="14">
        <v>0</v>
      </c>
      <c r="K11" s="13">
        <f>SUM(G11:J11)</f>
        <v>4134.5</v>
      </c>
      <c r="L11" s="5"/>
      <c r="M11" s="13">
        <f>G11</f>
        <v>288.7</v>
      </c>
      <c r="N11" s="13">
        <f>H11</f>
        <v>72.2</v>
      </c>
      <c r="O11" s="13">
        <f>I11</f>
        <v>3773.6</v>
      </c>
      <c r="P11" s="14">
        <v>0</v>
      </c>
      <c r="Q11" s="14">
        <f>SUM(M11:P11)</f>
        <v>4134.5</v>
      </c>
      <c r="R11" s="85"/>
      <c r="S11" s="85"/>
      <c r="T11" s="85"/>
      <c r="U11" s="85"/>
      <c r="V11" s="85"/>
      <c r="W11" s="85"/>
      <c r="X11" s="85"/>
    </row>
    <row r="12" spans="2:26" x14ac:dyDescent="0.2">
      <c r="E12" s="18"/>
      <c r="G12" s="15"/>
      <c r="H12" s="15"/>
      <c r="I12" s="15"/>
      <c r="K12" s="15"/>
      <c r="L12" s="5"/>
      <c r="M12" s="15"/>
      <c r="N12" s="15"/>
      <c r="O12" s="15"/>
    </row>
    <row r="13" spans="2:26" ht="13.5" thickBot="1" x14ac:dyDescent="0.25">
      <c r="D13" s="3" t="s">
        <v>22</v>
      </c>
      <c r="E13" s="18" t="s">
        <v>20</v>
      </c>
      <c r="G13" s="11">
        <v>58537</v>
      </c>
      <c r="H13" s="11">
        <v>14822</v>
      </c>
      <c r="I13" s="11">
        <v>665997</v>
      </c>
      <c r="J13" s="12">
        <v>718</v>
      </c>
      <c r="K13" s="11">
        <f>SUM(G13:J13)</f>
        <v>740074</v>
      </c>
      <c r="L13" s="5"/>
      <c r="M13" s="11">
        <f>G13</f>
        <v>58537</v>
      </c>
      <c r="N13" s="11">
        <f>H13</f>
        <v>14822</v>
      </c>
      <c r="O13" s="11">
        <f>I13</f>
        <v>665997</v>
      </c>
      <c r="P13" s="11">
        <f>J13</f>
        <v>718</v>
      </c>
      <c r="Q13" s="12">
        <f>SUM(M13:P13)</f>
        <v>740074</v>
      </c>
      <c r="R13" s="12"/>
      <c r="S13" s="12"/>
      <c r="T13" s="12"/>
      <c r="U13" s="12"/>
      <c r="V13" s="12"/>
      <c r="W13" s="12"/>
      <c r="X13" s="12"/>
    </row>
    <row r="14" spans="2:26" ht="13.5" thickBot="1" x14ac:dyDescent="0.25">
      <c r="E14" s="18" t="s">
        <v>21</v>
      </c>
      <c r="G14" s="13">
        <v>2427.6</v>
      </c>
      <c r="H14" s="13">
        <v>612.6</v>
      </c>
      <c r="I14" s="13">
        <v>27465.5</v>
      </c>
      <c r="J14" s="14">
        <v>0</v>
      </c>
      <c r="K14" s="13">
        <f>SUM(G14:J14)</f>
        <v>30505.7</v>
      </c>
      <c r="L14" s="5"/>
      <c r="M14" s="13">
        <f>G14</f>
        <v>2427.6</v>
      </c>
      <c r="N14" s="13">
        <f>H14</f>
        <v>612.6</v>
      </c>
      <c r="O14" s="13">
        <f>I14</f>
        <v>27465.5</v>
      </c>
      <c r="P14" s="14">
        <v>0</v>
      </c>
      <c r="Q14" s="14">
        <f>SUM(M14:P14)</f>
        <v>30505.7</v>
      </c>
      <c r="R14" s="85"/>
      <c r="S14" s="85"/>
      <c r="T14" s="85"/>
      <c r="U14" s="85"/>
      <c r="V14" s="85"/>
      <c r="W14" s="85"/>
      <c r="X14" s="85"/>
    </row>
    <row r="15" spans="2:26" x14ac:dyDescent="0.2">
      <c r="E15" s="15"/>
      <c r="G15" s="15"/>
      <c r="H15" s="15"/>
      <c r="I15" s="15"/>
      <c r="K15" s="15"/>
      <c r="L15" s="5"/>
      <c r="M15" s="15"/>
      <c r="N15" s="15"/>
      <c r="O15" s="15"/>
      <c r="Z15" s="16" t="s">
        <v>87</v>
      </c>
    </row>
    <row r="16" spans="2:26" x14ac:dyDescent="0.2">
      <c r="D16" s="3" t="s">
        <v>23</v>
      </c>
      <c r="E16" s="18" t="s">
        <v>24</v>
      </c>
      <c r="G16" s="11">
        <v>3450</v>
      </c>
      <c r="H16" s="11">
        <v>1064</v>
      </c>
      <c r="I16" s="11">
        <v>7731</v>
      </c>
      <c r="J16" s="12">
        <v>0</v>
      </c>
      <c r="K16" s="11">
        <f t="shared" ref="K16:K22" si="0">SUM(G16:J16)</f>
        <v>12245</v>
      </c>
      <c r="L16" s="5"/>
      <c r="M16" s="11">
        <v>0</v>
      </c>
      <c r="N16" s="11">
        <v>0</v>
      </c>
      <c r="O16" s="11">
        <v>0</v>
      </c>
      <c r="P16" s="12">
        <v>0</v>
      </c>
      <c r="Q16" s="12">
        <f t="shared" ref="Q16:Q21" si="1">SUM(M16:P16)</f>
        <v>0</v>
      </c>
      <c r="R16" s="12"/>
      <c r="S16" s="12"/>
      <c r="T16" s="12"/>
      <c r="U16" s="12"/>
      <c r="V16" s="12"/>
      <c r="W16" s="12"/>
      <c r="X16" s="12"/>
      <c r="Z16" s="17"/>
    </row>
    <row r="17" spans="2:26" x14ac:dyDescent="0.2">
      <c r="D17" s="3" t="s">
        <v>25</v>
      </c>
      <c r="E17" s="18" t="s">
        <v>26</v>
      </c>
      <c r="G17" s="11">
        <v>6690</v>
      </c>
      <c r="H17" s="11">
        <v>1695</v>
      </c>
      <c r="I17" s="11">
        <v>38705</v>
      </c>
      <c r="J17" s="12">
        <v>0</v>
      </c>
      <c r="K17" s="11">
        <f t="shared" si="0"/>
        <v>47090</v>
      </c>
      <c r="L17" s="5"/>
      <c r="M17" s="11">
        <f>G17</f>
        <v>6690</v>
      </c>
      <c r="N17" s="11">
        <f>H17</f>
        <v>1695</v>
      </c>
      <c r="O17" s="11">
        <f>I17</f>
        <v>38705</v>
      </c>
      <c r="P17" s="11">
        <f>J17</f>
        <v>0</v>
      </c>
      <c r="Q17" s="12">
        <f t="shared" si="1"/>
        <v>47090</v>
      </c>
      <c r="R17" s="12"/>
      <c r="S17" s="12"/>
      <c r="T17" s="12"/>
      <c r="U17" s="12"/>
      <c r="V17" s="12"/>
      <c r="W17" s="12"/>
      <c r="X17" s="12"/>
      <c r="Z17" s="17" t="s">
        <v>88</v>
      </c>
    </row>
    <row r="18" spans="2:26" x14ac:dyDescent="0.2">
      <c r="E18" s="18" t="s">
        <v>27</v>
      </c>
      <c r="G18" s="11">
        <f>13+6</f>
        <v>19</v>
      </c>
      <c r="H18" s="11">
        <f>(-196)+2</f>
        <v>-194</v>
      </c>
      <c r="I18" s="11">
        <f>139+1</f>
        <v>140</v>
      </c>
      <c r="J18" s="12">
        <v>0</v>
      </c>
      <c r="K18" s="11">
        <f t="shared" si="0"/>
        <v>-35</v>
      </c>
      <c r="L18" s="5"/>
      <c r="M18" s="11">
        <v>0</v>
      </c>
      <c r="N18" s="11">
        <v>0</v>
      </c>
      <c r="O18" s="11">
        <v>0</v>
      </c>
      <c r="P18" s="12">
        <v>0</v>
      </c>
      <c r="Q18" s="12">
        <f t="shared" si="1"/>
        <v>0</v>
      </c>
      <c r="R18" s="12"/>
      <c r="S18" s="12"/>
      <c r="T18" s="12"/>
      <c r="U18" s="12"/>
      <c r="V18" s="12"/>
      <c r="W18" s="12"/>
      <c r="X18" s="12"/>
      <c r="Z18" s="19">
        <f>395196+21379</f>
        <v>416575</v>
      </c>
    </row>
    <row r="19" spans="2:26" x14ac:dyDescent="0.2">
      <c r="E19" s="18" t="s">
        <v>28</v>
      </c>
      <c r="G19" s="95">
        <v>-1486</v>
      </c>
      <c r="H19" s="11">
        <v>-353</v>
      </c>
      <c r="I19" s="11">
        <v>-19478</v>
      </c>
      <c r="J19" s="12">
        <v>0</v>
      </c>
      <c r="K19" s="11">
        <f t="shared" si="0"/>
        <v>-21317</v>
      </c>
      <c r="L19" s="5"/>
      <c r="M19" s="11">
        <v>0</v>
      </c>
      <c r="N19" s="11">
        <v>0</v>
      </c>
      <c r="O19" s="11">
        <v>0</v>
      </c>
      <c r="P19" s="12">
        <v>0</v>
      </c>
      <c r="Q19" s="12">
        <f t="shared" si="1"/>
        <v>0</v>
      </c>
      <c r="R19" s="12"/>
      <c r="S19" s="12"/>
      <c r="T19" s="12"/>
      <c r="U19" s="12"/>
      <c r="V19" s="12"/>
      <c r="W19" s="12"/>
      <c r="X19" s="12"/>
      <c r="Z19" s="17"/>
    </row>
    <row r="20" spans="2:26" x14ac:dyDescent="0.2">
      <c r="E20" s="18" t="s">
        <v>29</v>
      </c>
      <c r="G20" s="11">
        <v>36188</v>
      </c>
      <c r="H20" s="11">
        <v>10634</v>
      </c>
      <c r="I20" s="11">
        <v>0</v>
      </c>
      <c r="J20" s="12">
        <v>0</v>
      </c>
      <c r="K20" s="11">
        <f t="shared" si="0"/>
        <v>46822</v>
      </c>
      <c r="L20" s="5"/>
      <c r="M20" s="11">
        <f>G20</f>
        <v>36188</v>
      </c>
      <c r="N20" s="11">
        <f>H20</f>
        <v>10634</v>
      </c>
      <c r="O20" s="11">
        <f>I20</f>
        <v>0</v>
      </c>
      <c r="P20" s="11">
        <f>J20</f>
        <v>0</v>
      </c>
      <c r="Q20" s="12">
        <f t="shared" si="1"/>
        <v>46822</v>
      </c>
      <c r="R20" s="12"/>
      <c r="S20" s="12"/>
      <c r="T20" s="12"/>
      <c r="U20" s="12"/>
      <c r="V20" s="12"/>
      <c r="W20" s="12"/>
      <c r="X20" s="12"/>
      <c r="Z20" s="17" t="s">
        <v>89</v>
      </c>
    </row>
    <row r="21" spans="2:26" x14ac:dyDescent="0.2">
      <c r="E21" s="18" t="s">
        <v>30</v>
      </c>
      <c r="G21" s="21">
        <f>(-1112)+131</f>
        <v>-981</v>
      </c>
      <c r="H21" s="21">
        <f>(-285)+0</f>
        <v>-285</v>
      </c>
      <c r="I21" s="21">
        <f>28383+0</f>
        <v>28383</v>
      </c>
      <c r="J21" s="22">
        <v>0</v>
      </c>
      <c r="K21" s="21">
        <f t="shared" si="0"/>
        <v>27117</v>
      </c>
      <c r="L21" s="5"/>
      <c r="M21" s="11">
        <v>0</v>
      </c>
      <c r="N21" s="11">
        <v>0</v>
      </c>
      <c r="O21" s="11">
        <v>0</v>
      </c>
      <c r="P21" s="12">
        <v>0</v>
      </c>
      <c r="Q21" s="12">
        <f t="shared" si="1"/>
        <v>0</v>
      </c>
      <c r="R21" s="12"/>
      <c r="S21" s="12"/>
      <c r="T21" s="12"/>
      <c r="U21" s="12"/>
      <c r="V21" s="12"/>
      <c r="W21" s="12"/>
      <c r="X21" s="12"/>
      <c r="Z21" s="19">
        <f>31030+1679</f>
        <v>32709</v>
      </c>
    </row>
    <row r="22" spans="2:26" x14ac:dyDescent="0.2">
      <c r="D22" s="2" t="s">
        <v>31</v>
      </c>
      <c r="E22" s="18"/>
      <c r="G22" s="23">
        <f>G10+G13+SUM(G16:G21)</f>
        <v>109317</v>
      </c>
      <c r="H22" s="23">
        <f>H10+H13+SUM(H16:H21)</f>
        <v>29108</v>
      </c>
      <c r="I22" s="23">
        <f>I10+I13+SUM(I16:I21)</f>
        <v>821308</v>
      </c>
      <c r="J22" s="24">
        <f>J10+J13+SUM(J16:J21)</f>
        <v>718</v>
      </c>
      <c r="K22" s="23">
        <f t="shared" si="0"/>
        <v>960451</v>
      </c>
      <c r="L22" s="5"/>
      <c r="M22" s="25">
        <f>M10+M13+SUM(M16:M21)</f>
        <v>101415</v>
      </c>
      <c r="N22" s="25">
        <f>N10+N13+SUM(N16:N21)</f>
        <v>27151</v>
      </c>
      <c r="O22" s="25">
        <f>O10+O13+SUM(O16:O21)</f>
        <v>704702</v>
      </c>
      <c r="P22" s="26">
        <f>P10+P13+SUM(P16:P21)</f>
        <v>718</v>
      </c>
      <c r="Q22" s="26">
        <f>Q10+Q13+SUM(Q16:Q21)</f>
        <v>833986</v>
      </c>
      <c r="R22" s="86"/>
      <c r="S22" s="86"/>
      <c r="T22" s="86"/>
      <c r="U22" s="86"/>
      <c r="V22" s="86"/>
      <c r="W22" s="86"/>
      <c r="X22" s="86"/>
      <c r="Z22" s="17"/>
    </row>
    <row r="23" spans="2:26" x14ac:dyDescent="0.2">
      <c r="E23" s="18"/>
      <c r="G23" s="11"/>
      <c r="H23" s="11"/>
      <c r="I23" s="11"/>
      <c r="J23" s="12"/>
      <c r="K23" s="11"/>
      <c r="L23" s="5"/>
      <c r="M23" s="27"/>
      <c r="N23" s="11"/>
      <c r="O23" s="11"/>
      <c r="P23" s="12"/>
      <c r="Q23" s="12"/>
      <c r="R23" s="12"/>
      <c r="S23" s="12"/>
      <c r="T23" s="12"/>
      <c r="U23" s="12"/>
      <c r="V23" s="12"/>
      <c r="W23" s="12"/>
      <c r="X23" s="12"/>
      <c r="Z23" s="17" t="s">
        <v>90</v>
      </c>
    </row>
    <row r="24" spans="2:26" ht="13.5" thickBot="1" x14ac:dyDescent="0.25">
      <c r="B24" s="2" t="s">
        <v>32</v>
      </c>
      <c r="E24" s="18" t="s">
        <v>33</v>
      </c>
      <c r="G24" s="21">
        <v>22467</v>
      </c>
      <c r="H24" s="21">
        <v>4350</v>
      </c>
      <c r="I24" s="21">
        <v>263482</v>
      </c>
      <c r="J24" s="22">
        <v>0</v>
      </c>
      <c r="K24" s="21">
        <f>SUM(G24:J24)</f>
        <v>290299</v>
      </c>
      <c r="L24" s="5"/>
      <c r="M24" s="21">
        <f>$Q$24*G$132</f>
        <v>1740.971021942298</v>
      </c>
      <c r="N24" s="21">
        <f>$Q$24*H$132</f>
        <v>642.77514424550441</v>
      </c>
      <c r="O24" s="21">
        <f>$Q$24*I$132</f>
        <v>20410.204481354656</v>
      </c>
      <c r="P24" s="21">
        <v>0</v>
      </c>
      <c r="Q24" s="21">
        <f>K24*Z24</f>
        <v>22793.950647542461</v>
      </c>
      <c r="R24" s="29"/>
      <c r="S24" s="29"/>
      <c r="T24" s="29"/>
      <c r="U24" s="29"/>
      <c r="V24" s="29"/>
      <c r="W24" s="29"/>
      <c r="X24" s="29"/>
      <c r="Z24" s="28">
        <f>Z21/Z18</f>
        <v>7.8518874152313511E-2</v>
      </c>
    </row>
    <row r="25" spans="2:26" x14ac:dyDescent="0.2">
      <c r="B25" s="2"/>
      <c r="D25" s="2" t="s">
        <v>34</v>
      </c>
      <c r="E25" s="18"/>
      <c r="G25" s="23">
        <f>SUM(G24)</f>
        <v>22467</v>
      </c>
      <c r="H25" s="23">
        <f>SUM(H24)</f>
        <v>4350</v>
      </c>
      <c r="I25" s="23">
        <f>SUM(I24)</f>
        <v>263482</v>
      </c>
      <c r="J25" s="24">
        <f>SUM(J24)</f>
        <v>0</v>
      </c>
      <c r="K25" s="23">
        <f>SUM(G25:J25)</f>
        <v>290299</v>
      </c>
      <c r="L25" s="5"/>
      <c r="M25" s="23">
        <f>SUM(M24)</f>
        <v>1740.971021942298</v>
      </c>
      <c r="N25" s="23">
        <f>SUM(N24)</f>
        <v>642.77514424550441</v>
      </c>
      <c r="O25" s="23">
        <f>SUM(O24)</f>
        <v>20410.204481354656</v>
      </c>
      <c r="P25" s="24">
        <f>SUM(P24)</f>
        <v>0</v>
      </c>
      <c r="Q25" s="24">
        <f>SUM(M25:P25)</f>
        <v>22793.950647542457</v>
      </c>
      <c r="R25" s="24"/>
      <c r="S25" s="24"/>
      <c r="T25" s="24"/>
      <c r="U25" s="24"/>
      <c r="V25" s="24"/>
      <c r="W25" s="24"/>
      <c r="X25" s="24"/>
    </row>
    <row r="26" spans="2:26" x14ac:dyDescent="0.2">
      <c r="B26" s="2"/>
      <c r="E26" s="15"/>
      <c r="G26" s="15"/>
      <c r="H26" s="15"/>
      <c r="I26" s="15"/>
      <c r="K26" s="15"/>
      <c r="L26" s="5"/>
      <c r="M26" s="15"/>
      <c r="N26" s="15"/>
      <c r="O26" s="15"/>
    </row>
    <row r="27" spans="2:26" x14ac:dyDescent="0.2">
      <c r="B27" s="2" t="s">
        <v>35</v>
      </c>
      <c r="E27" s="18" t="s">
        <v>36</v>
      </c>
      <c r="F27" s="15"/>
      <c r="G27" s="11">
        <v>424</v>
      </c>
      <c r="H27" s="11">
        <v>78</v>
      </c>
      <c r="I27" s="11">
        <v>5056</v>
      </c>
      <c r="J27" s="12">
        <v>0</v>
      </c>
      <c r="K27" s="11">
        <f t="shared" ref="K27:K32" si="2">SUM(G27:J27)</f>
        <v>5558</v>
      </c>
      <c r="L27" s="5"/>
      <c r="M27" s="29">
        <v>0</v>
      </c>
      <c r="N27" s="29">
        <v>0</v>
      </c>
      <c r="O27" s="29">
        <v>0</v>
      </c>
      <c r="P27" s="12">
        <v>0</v>
      </c>
      <c r="Q27" s="12">
        <f t="shared" ref="Q27:Q32" si="3">SUM(M27:P27)</f>
        <v>0</v>
      </c>
      <c r="R27" s="12"/>
      <c r="S27" s="12"/>
      <c r="T27" s="12"/>
      <c r="U27" s="12"/>
      <c r="V27" s="12"/>
      <c r="W27" s="12"/>
      <c r="X27" s="12"/>
    </row>
    <row r="28" spans="2:26" x14ac:dyDescent="0.2">
      <c r="B28" s="2"/>
      <c r="E28" s="18" t="s">
        <v>37</v>
      </c>
      <c r="G28" s="11">
        <v>1184</v>
      </c>
      <c r="H28" s="11">
        <v>296</v>
      </c>
      <c r="I28" s="11">
        <v>13590</v>
      </c>
      <c r="J28" s="12">
        <v>0</v>
      </c>
      <c r="K28" s="11">
        <f t="shared" si="2"/>
        <v>15070</v>
      </c>
      <c r="L28" s="5"/>
      <c r="M28" s="11">
        <f>G28</f>
        <v>1184</v>
      </c>
      <c r="N28" s="11">
        <f>H28</f>
        <v>296</v>
      </c>
      <c r="O28" s="11">
        <f>I28</f>
        <v>13590</v>
      </c>
      <c r="P28" s="11">
        <f>J28</f>
        <v>0</v>
      </c>
      <c r="Q28" s="12">
        <f t="shared" si="3"/>
        <v>15070</v>
      </c>
      <c r="R28" s="12"/>
      <c r="S28" s="12"/>
      <c r="T28" s="12"/>
      <c r="U28" s="12"/>
      <c r="V28" s="12"/>
      <c r="W28" s="12"/>
      <c r="X28" s="12"/>
    </row>
    <row r="29" spans="2:26" x14ac:dyDescent="0.2">
      <c r="B29" s="2"/>
      <c r="E29" s="15" t="s">
        <v>38</v>
      </c>
      <c r="G29" s="11">
        <v>0</v>
      </c>
      <c r="H29" s="11">
        <v>0</v>
      </c>
      <c r="I29" s="11">
        <v>0</v>
      </c>
      <c r="J29" s="12">
        <v>0</v>
      </c>
      <c r="K29" s="11">
        <f t="shared" si="2"/>
        <v>0</v>
      </c>
      <c r="L29" s="5"/>
      <c r="M29" s="11">
        <v>0</v>
      </c>
      <c r="N29" s="11">
        <v>0</v>
      </c>
      <c r="O29" s="11">
        <v>0</v>
      </c>
      <c r="P29" s="12">
        <v>0</v>
      </c>
      <c r="Q29" s="12">
        <f t="shared" si="3"/>
        <v>0</v>
      </c>
      <c r="R29" s="12"/>
      <c r="S29" s="12"/>
      <c r="T29" s="12"/>
      <c r="U29" s="12"/>
      <c r="V29" s="12"/>
      <c r="W29" s="12"/>
      <c r="X29" s="12"/>
    </row>
    <row r="30" spans="2:26" x14ac:dyDescent="0.2">
      <c r="B30" s="2"/>
      <c r="E30" s="18" t="s">
        <v>39</v>
      </c>
      <c r="G30" s="11">
        <v>9538</v>
      </c>
      <c r="H30" s="11">
        <v>2387</v>
      </c>
      <c r="I30" s="11">
        <v>107334</v>
      </c>
      <c r="J30" s="12">
        <v>249</v>
      </c>
      <c r="K30" s="11">
        <f t="shared" si="2"/>
        <v>119508</v>
      </c>
      <c r="L30" s="5"/>
      <c r="M30" s="11">
        <f t="shared" ref="M30:P31" si="4">G30</f>
        <v>9538</v>
      </c>
      <c r="N30" s="11">
        <f t="shared" si="4"/>
        <v>2387</v>
      </c>
      <c r="O30" s="11">
        <f t="shared" si="4"/>
        <v>107334</v>
      </c>
      <c r="P30" s="11">
        <f t="shared" si="4"/>
        <v>249</v>
      </c>
      <c r="Q30" s="12">
        <f t="shared" si="3"/>
        <v>119508</v>
      </c>
      <c r="R30" s="12"/>
      <c r="S30" s="12"/>
      <c r="T30" s="12"/>
      <c r="U30" s="12"/>
      <c r="V30" s="12"/>
      <c r="W30" s="12"/>
      <c r="X30" s="12"/>
    </row>
    <row r="31" spans="2:26" x14ac:dyDescent="0.2">
      <c r="B31" s="2"/>
      <c r="E31" s="10" t="s">
        <v>40</v>
      </c>
      <c r="G31" s="21">
        <v>29</v>
      </c>
      <c r="H31" s="21">
        <v>7</v>
      </c>
      <c r="I31" s="21">
        <f>322</f>
        <v>322</v>
      </c>
      <c r="J31" s="22">
        <v>0</v>
      </c>
      <c r="K31" s="21">
        <f t="shared" si="2"/>
        <v>358</v>
      </c>
      <c r="L31" s="5"/>
      <c r="M31" s="21">
        <f t="shared" si="4"/>
        <v>29</v>
      </c>
      <c r="N31" s="21">
        <f t="shared" si="4"/>
        <v>7</v>
      </c>
      <c r="O31" s="21">
        <f t="shared" si="4"/>
        <v>322</v>
      </c>
      <c r="P31" s="21">
        <f t="shared" si="4"/>
        <v>0</v>
      </c>
      <c r="Q31" s="22">
        <f t="shared" si="3"/>
        <v>358</v>
      </c>
      <c r="R31" s="82"/>
      <c r="S31" s="82"/>
      <c r="T31" s="82"/>
      <c r="U31" s="82"/>
      <c r="V31" s="82"/>
      <c r="W31" s="82"/>
      <c r="X31" s="82"/>
    </row>
    <row r="32" spans="2:26" x14ac:dyDescent="0.2">
      <c r="B32" s="2"/>
      <c r="D32" s="2" t="s">
        <v>41</v>
      </c>
      <c r="G32" s="24">
        <f>SUM(G27:G31)</f>
        <v>11175</v>
      </c>
      <c r="H32" s="24">
        <f>SUM(H27:H31)</f>
        <v>2768</v>
      </c>
      <c r="I32" s="24">
        <f>SUM(I27:I31)</f>
        <v>126302</v>
      </c>
      <c r="J32" s="24">
        <f>SUM(J27:J31)</f>
        <v>249</v>
      </c>
      <c r="K32" s="23">
        <f t="shared" si="2"/>
        <v>140494</v>
      </c>
      <c r="L32" s="5"/>
      <c r="M32" s="23">
        <f>SUM(M27:M31)</f>
        <v>10751</v>
      </c>
      <c r="N32" s="23">
        <f>SUM(N27:N31)</f>
        <v>2690</v>
      </c>
      <c r="O32" s="23">
        <f>SUM(O27:O31)</f>
        <v>121246</v>
      </c>
      <c r="P32" s="24">
        <f>SUM(P27:P31)</f>
        <v>249</v>
      </c>
      <c r="Q32" s="24">
        <f t="shared" si="3"/>
        <v>134936</v>
      </c>
      <c r="R32" s="24"/>
      <c r="S32" s="24"/>
      <c r="T32" s="24"/>
      <c r="U32" s="24"/>
      <c r="V32" s="24"/>
      <c r="W32" s="24"/>
      <c r="X32" s="24"/>
    </row>
    <row r="33" spans="2:24" x14ac:dyDescent="0.2">
      <c r="B33" s="2"/>
      <c r="K33" s="15"/>
      <c r="L33" s="5"/>
    </row>
    <row r="34" spans="2:24" x14ac:dyDescent="0.2">
      <c r="B34" s="2" t="s">
        <v>42</v>
      </c>
      <c r="D34" s="2" t="s">
        <v>43</v>
      </c>
      <c r="E34" s="3" t="s">
        <v>44</v>
      </c>
      <c r="G34" s="11">
        <v>12283</v>
      </c>
      <c r="H34" s="11">
        <v>0</v>
      </c>
      <c r="I34" s="11">
        <v>0</v>
      </c>
      <c r="J34" s="11">
        <v>0</v>
      </c>
      <c r="K34" s="11">
        <f>SUM(G34:J34)</f>
        <v>12283</v>
      </c>
      <c r="L34" s="5"/>
      <c r="M34" s="12">
        <f t="shared" ref="M34:P35" si="5">G34</f>
        <v>12283</v>
      </c>
      <c r="N34" s="12">
        <f t="shared" si="5"/>
        <v>0</v>
      </c>
      <c r="O34" s="12">
        <f t="shared" si="5"/>
        <v>0</v>
      </c>
      <c r="P34" s="12">
        <f t="shared" si="5"/>
        <v>0</v>
      </c>
      <c r="Q34" s="12">
        <f>SUM(M34:P34)</f>
        <v>12283</v>
      </c>
      <c r="R34" s="12"/>
      <c r="S34" s="12"/>
      <c r="T34" s="12"/>
      <c r="U34" s="12"/>
      <c r="V34" s="12"/>
      <c r="W34" s="12"/>
      <c r="X34" s="12"/>
    </row>
    <row r="35" spans="2:24" x14ac:dyDescent="0.2">
      <c r="B35" s="2" t="s">
        <v>45</v>
      </c>
      <c r="D35" s="2" t="s">
        <v>46</v>
      </c>
      <c r="E35" s="3" t="s">
        <v>47</v>
      </c>
      <c r="G35" s="11">
        <v>3399</v>
      </c>
      <c r="H35" s="11">
        <v>0</v>
      </c>
      <c r="I35" s="11">
        <v>0</v>
      </c>
      <c r="J35" s="11">
        <v>0</v>
      </c>
      <c r="K35" s="11">
        <f>SUM(G35:J35)</f>
        <v>3399</v>
      </c>
      <c r="L35" s="5"/>
      <c r="M35" s="12">
        <f t="shared" si="5"/>
        <v>3399</v>
      </c>
      <c r="N35" s="12">
        <f t="shared" si="5"/>
        <v>0</v>
      </c>
      <c r="O35" s="12">
        <f t="shared" si="5"/>
        <v>0</v>
      </c>
      <c r="P35" s="12">
        <f t="shared" si="5"/>
        <v>0</v>
      </c>
      <c r="Q35" s="12">
        <f>SUM(M35:P35)</f>
        <v>3399</v>
      </c>
      <c r="R35" s="12"/>
      <c r="S35" s="12"/>
      <c r="T35" s="12"/>
      <c r="U35" s="12"/>
      <c r="V35" s="12"/>
      <c r="W35" s="12"/>
      <c r="X35" s="12"/>
    </row>
    <row r="36" spans="2:24" x14ac:dyDescent="0.2">
      <c r="D36" s="2"/>
      <c r="G36" s="15"/>
      <c r="H36" s="15"/>
      <c r="I36" s="15"/>
      <c r="J36" s="15"/>
      <c r="K36" s="15"/>
      <c r="L36" s="5"/>
      <c r="Q36" s="12"/>
      <c r="R36" s="12"/>
      <c r="S36" s="12"/>
      <c r="T36" s="12"/>
      <c r="U36" s="12"/>
      <c r="V36" s="12"/>
      <c r="W36" s="12"/>
      <c r="X36" s="12"/>
    </row>
    <row r="37" spans="2:24" x14ac:dyDescent="0.2">
      <c r="D37" s="2" t="s">
        <v>48</v>
      </c>
      <c r="E37" s="3" t="s">
        <v>49</v>
      </c>
      <c r="G37" s="11">
        <v>45397</v>
      </c>
      <c r="H37" s="11"/>
      <c r="I37" s="11">
        <v>0</v>
      </c>
      <c r="J37" s="11">
        <v>0</v>
      </c>
      <c r="K37" s="11">
        <f>SUM(G37:J37)</f>
        <v>45397</v>
      </c>
      <c r="L37" s="5"/>
      <c r="M37" s="12">
        <f t="shared" ref="M37:P40" si="6">G37</f>
        <v>45397</v>
      </c>
      <c r="N37" s="12">
        <f t="shared" si="6"/>
        <v>0</v>
      </c>
      <c r="O37" s="12">
        <f t="shared" si="6"/>
        <v>0</v>
      </c>
      <c r="P37" s="12">
        <f t="shared" si="6"/>
        <v>0</v>
      </c>
      <c r="Q37" s="12">
        <f>SUM(M37:P37)</f>
        <v>45397</v>
      </c>
      <c r="R37" s="12"/>
      <c r="S37" s="12"/>
      <c r="T37" s="12"/>
      <c r="U37" s="12"/>
      <c r="V37" s="12"/>
      <c r="W37" s="12"/>
      <c r="X37" s="12"/>
    </row>
    <row r="38" spans="2:24" x14ac:dyDescent="0.2">
      <c r="D38" s="2" t="s">
        <v>50</v>
      </c>
      <c r="E38" s="3" t="s">
        <v>51</v>
      </c>
      <c r="G38" s="11">
        <v>7640</v>
      </c>
      <c r="H38" s="11">
        <v>0</v>
      </c>
      <c r="I38" s="11">
        <v>0</v>
      </c>
      <c r="J38" s="11">
        <v>0</v>
      </c>
      <c r="K38" s="11">
        <f>SUM(G38:J38)</f>
        <v>7640</v>
      </c>
      <c r="L38" s="5"/>
      <c r="M38" s="12">
        <f t="shared" si="6"/>
        <v>7640</v>
      </c>
      <c r="N38" s="12">
        <f t="shared" si="6"/>
        <v>0</v>
      </c>
      <c r="O38" s="12">
        <f t="shared" si="6"/>
        <v>0</v>
      </c>
      <c r="P38" s="12">
        <f t="shared" si="6"/>
        <v>0</v>
      </c>
      <c r="Q38" s="12">
        <f>SUM(M38:P38)</f>
        <v>7640</v>
      </c>
      <c r="R38" s="12"/>
      <c r="S38" s="12"/>
      <c r="T38" s="12"/>
      <c r="U38" s="12"/>
      <c r="V38" s="12"/>
      <c r="W38" s="12"/>
      <c r="X38" s="12"/>
    </row>
    <row r="39" spans="2:24" x14ac:dyDescent="0.2">
      <c r="D39" s="2"/>
      <c r="E39" s="3" t="s">
        <v>52</v>
      </c>
      <c r="G39" s="11">
        <v>40122</v>
      </c>
      <c r="H39" s="11">
        <v>0</v>
      </c>
      <c r="I39" s="11">
        <v>0</v>
      </c>
      <c r="J39" s="11">
        <v>0</v>
      </c>
      <c r="K39" s="11">
        <f>SUM(G39:J39)</f>
        <v>40122</v>
      </c>
      <c r="L39" s="5"/>
      <c r="M39" s="12">
        <f t="shared" si="6"/>
        <v>40122</v>
      </c>
      <c r="N39" s="12">
        <f t="shared" si="6"/>
        <v>0</v>
      </c>
      <c r="O39" s="12">
        <f t="shared" si="6"/>
        <v>0</v>
      </c>
      <c r="P39" s="12">
        <f t="shared" si="6"/>
        <v>0</v>
      </c>
      <c r="Q39" s="12">
        <f>SUM(M39:P39)</f>
        <v>40122</v>
      </c>
      <c r="R39" s="12"/>
      <c r="S39" s="12"/>
      <c r="T39" s="12"/>
      <c r="U39" s="12"/>
      <c r="V39" s="12"/>
      <c r="W39" s="12"/>
      <c r="X39" s="12"/>
    </row>
    <row r="40" spans="2:24" x14ac:dyDescent="0.2">
      <c r="D40" s="2"/>
      <c r="E40" s="3" t="s">
        <v>53</v>
      </c>
      <c r="G40" s="11">
        <v>50039</v>
      </c>
      <c r="H40" s="11">
        <v>0</v>
      </c>
      <c r="I40" s="11"/>
      <c r="J40" s="11">
        <v>0</v>
      </c>
      <c r="K40" s="11">
        <f>SUM(G40:J40)</f>
        <v>50039</v>
      </c>
      <c r="L40" s="5"/>
      <c r="M40" s="12">
        <f t="shared" si="6"/>
        <v>50039</v>
      </c>
      <c r="N40" s="12">
        <f t="shared" si="6"/>
        <v>0</v>
      </c>
      <c r="O40" s="12">
        <f t="shared" si="6"/>
        <v>0</v>
      </c>
      <c r="P40" s="12">
        <f t="shared" si="6"/>
        <v>0</v>
      </c>
      <c r="Q40" s="12">
        <f>SUM(M40:P40)</f>
        <v>50039</v>
      </c>
      <c r="R40" s="12"/>
      <c r="S40" s="12"/>
      <c r="T40" s="12"/>
      <c r="U40" s="12"/>
      <c r="V40" s="12"/>
      <c r="W40" s="12"/>
      <c r="X40" s="12"/>
    </row>
    <row r="41" spans="2:24" x14ac:dyDescent="0.2">
      <c r="D41" s="2"/>
      <c r="G41" s="15"/>
      <c r="H41" s="15"/>
      <c r="I41" s="15"/>
      <c r="J41" s="15"/>
      <c r="K41" s="15"/>
      <c r="L41" s="5"/>
      <c r="Q41" s="12"/>
      <c r="R41" s="12"/>
      <c r="S41" s="12"/>
      <c r="T41" s="12"/>
      <c r="U41" s="12"/>
      <c r="V41" s="12"/>
      <c r="W41" s="12"/>
      <c r="X41" s="12"/>
    </row>
    <row r="42" spans="2:24" x14ac:dyDescent="0.2">
      <c r="D42" s="2" t="s">
        <v>54</v>
      </c>
      <c r="G42" s="11">
        <v>57641</v>
      </c>
      <c r="H42" s="11"/>
      <c r="I42" s="11">
        <v>0</v>
      </c>
      <c r="J42" s="11">
        <v>0</v>
      </c>
      <c r="K42" s="11">
        <f>SUM(G42:J42)</f>
        <v>57641</v>
      </c>
      <c r="L42" s="5"/>
      <c r="M42" s="12">
        <f>G42</f>
        <v>57641</v>
      </c>
      <c r="N42" s="12">
        <f>H42</f>
        <v>0</v>
      </c>
      <c r="O42" s="12">
        <f>I42</f>
        <v>0</v>
      </c>
      <c r="P42" s="12">
        <f>J42</f>
        <v>0</v>
      </c>
      <c r="Q42" s="12">
        <f>SUM(M42:P42)</f>
        <v>57641</v>
      </c>
      <c r="R42" s="12"/>
      <c r="S42" s="12"/>
      <c r="T42" s="12"/>
      <c r="U42" s="12"/>
      <c r="V42" s="12"/>
      <c r="W42" s="12"/>
      <c r="X42" s="12"/>
    </row>
    <row r="43" spans="2:24" x14ac:dyDescent="0.2">
      <c r="D43" s="2"/>
      <c r="G43" s="15"/>
      <c r="H43" s="15"/>
      <c r="I43" s="15"/>
      <c r="J43" s="15"/>
      <c r="L43" s="5"/>
    </row>
    <row r="44" spans="2:24" x14ac:dyDescent="0.2">
      <c r="D44" s="2" t="s">
        <v>55</v>
      </c>
      <c r="G44" s="11">
        <v>0</v>
      </c>
      <c r="H44" s="11">
        <v>0</v>
      </c>
      <c r="I44" s="11">
        <v>0</v>
      </c>
      <c r="J44" s="11">
        <v>0</v>
      </c>
      <c r="K44" s="12">
        <f>SUM(G44:J44)</f>
        <v>0</v>
      </c>
      <c r="L44" s="5"/>
      <c r="M44" s="12">
        <f>G44</f>
        <v>0</v>
      </c>
      <c r="N44" s="12">
        <f>H44</f>
        <v>0</v>
      </c>
      <c r="O44" s="12">
        <f>I44</f>
        <v>0</v>
      </c>
      <c r="P44" s="12">
        <f>J44</f>
        <v>0</v>
      </c>
      <c r="Q44" s="12">
        <f>SUM(M44:P44)</f>
        <v>0</v>
      </c>
      <c r="R44" s="12"/>
      <c r="S44" s="12"/>
      <c r="T44" s="12"/>
      <c r="U44" s="12"/>
      <c r="V44" s="12"/>
      <c r="W44" s="12"/>
      <c r="X44" s="12"/>
    </row>
    <row r="45" spans="2:24" x14ac:dyDescent="0.2">
      <c r="D45" s="2"/>
      <c r="G45" s="15"/>
      <c r="H45" s="15"/>
      <c r="I45" s="15"/>
      <c r="J45" s="15"/>
      <c r="L45" s="5"/>
    </row>
    <row r="46" spans="2:24" x14ac:dyDescent="0.2">
      <c r="D46" s="2" t="s">
        <v>56</v>
      </c>
      <c r="G46" s="11">
        <v>0</v>
      </c>
      <c r="H46" s="11">
        <v>0</v>
      </c>
      <c r="I46" s="11">
        <v>0</v>
      </c>
      <c r="J46" s="11">
        <v>0</v>
      </c>
      <c r="K46" s="12">
        <f>SUM(G46:J46)</f>
        <v>0</v>
      </c>
      <c r="L46" s="5"/>
      <c r="M46" s="12">
        <f>G46</f>
        <v>0</v>
      </c>
      <c r="N46" s="12">
        <f>H46</f>
        <v>0</v>
      </c>
      <c r="O46" s="12">
        <f>I46</f>
        <v>0</v>
      </c>
      <c r="P46" s="12">
        <f>J46</f>
        <v>0</v>
      </c>
      <c r="Q46" s="12">
        <f>SUM(M46:P46)</f>
        <v>0</v>
      </c>
      <c r="R46" s="12"/>
      <c r="S46" s="12"/>
      <c r="T46" s="12"/>
      <c r="U46" s="12"/>
      <c r="V46" s="12"/>
      <c r="W46" s="12"/>
      <c r="X46" s="12"/>
    </row>
    <row r="47" spans="2:24" x14ac:dyDescent="0.2">
      <c r="D47" s="2"/>
      <c r="G47" s="15"/>
      <c r="H47" s="15"/>
      <c r="I47" s="15"/>
      <c r="J47" s="15"/>
      <c r="L47" s="5"/>
    </row>
    <row r="48" spans="2:24" x14ac:dyDescent="0.2">
      <c r="D48" s="2" t="s">
        <v>57</v>
      </c>
      <c r="G48" s="11">
        <v>0</v>
      </c>
      <c r="H48" s="11">
        <v>0</v>
      </c>
      <c r="I48" s="11">
        <v>0</v>
      </c>
      <c r="J48" s="11">
        <v>0</v>
      </c>
      <c r="K48" s="12">
        <f>SUM(G48:J48)</f>
        <v>0</v>
      </c>
      <c r="L48" s="5"/>
      <c r="M48" s="12">
        <f>G48</f>
        <v>0</v>
      </c>
      <c r="N48" s="12">
        <f>H48</f>
        <v>0</v>
      </c>
      <c r="O48" s="12">
        <f>I48</f>
        <v>0</v>
      </c>
      <c r="P48" s="12">
        <f>J48</f>
        <v>0</v>
      </c>
      <c r="Q48" s="12">
        <f>SUM(M48:P48)</f>
        <v>0</v>
      </c>
      <c r="R48" s="12"/>
      <c r="S48" s="12"/>
      <c r="T48" s="12"/>
      <c r="U48" s="12"/>
      <c r="V48" s="12"/>
      <c r="W48" s="12"/>
      <c r="X48" s="12"/>
    </row>
    <row r="49" spans="2:26" x14ac:dyDescent="0.2">
      <c r="D49" s="2" t="s">
        <v>58</v>
      </c>
      <c r="G49" s="15"/>
      <c r="H49" s="15"/>
      <c r="I49" s="15"/>
      <c r="J49" s="15"/>
      <c r="L49" s="5"/>
    </row>
    <row r="50" spans="2:26" x14ac:dyDescent="0.2">
      <c r="D50" s="2"/>
      <c r="G50" s="15"/>
      <c r="H50" s="15"/>
      <c r="I50" s="15"/>
      <c r="J50" s="15"/>
      <c r="L50" s="5"/>
    </row>
    <row r="51" spans="2:26" x14ac:dyDescent="0.2">
      <c r="B51" s="2"/>
      <c r="D51" s="2" t="s">
        <v>53</v>
      </c>
      <c r="G51" s="21">
        <v>-64099</v>
      </c>
      <c r="H51" s="21">
        <v>-274</v>
      </c>
      <c r="I51" s="21">
        <v>106924</v>
      </c>
      <c r="J51" s="21">
        <v>-718</v>
      </c>
      <c r="K51" s="21">
        <f>SUM(G51:J51)</f>
        <v>41833</v>
      </c>
      <c r="L51" s="5"/>
      <c r="M51" s="22">
        <f>G51</f>
        <v>-64099</v>
      </c>
      <c r="N51" s="22">
        <f>H51</f>
        <v>-274</v>
      </c>
      <c r="O51" s="22">
        <f>I51</f>
        <v>106924</v>
      </c>
      <c r="P51" s="22">
        <f>J51</f>
        <v>-718</v>
      </c>
      <c r="Q51" s="22">
        <f>SUM(M51:P51)</f>
        <v>41833</v>
      </c>
      <c r="R51" s="82"/>
      <c r="S51" s="82"/>
      <c r="T51" s="82"/>
      <c r="U51" s="82"/>
      <c r="V51" s="82"/>
      <c r="W51" s="82"/>
      <c r="X51" s="82"/>
    </row>
    <row r="52" spans="2:26" x14ac:dyDescent="0.2">
      <c r="D52" s="2" t="s">
        <v>59</v>
      </c>
      <c r="G52" s="24">
        <f>SUM(G34:G51)</f>
        <v>152422</v>
      </c>
      <c r="H52" s="24">
        <f>SUM(H34:H51)</f>
        <v>-274</v>
      </c>
      <c r="I52" s="24">
        <f>SUM(I34:I51)</f>
        <v>106924</v>
      </c>
      <c r="J52" s="24">
        <f>SUM(J34:J51)</f>
        <v>-718</v>
      </c>
      <c r="K52" s="24">
        <f>SUM(G52:J52)</f>
        <v>258354</v>
      </c>
      <c r="L52" s="5"/>
      <c r="M52" s="24">
        <f>SUM(M34:M51)</f>
        <v>152422</v>
      </c>
      <c r="N52" s="24">
        <f>SUM(N34:N51)</f>
        <v>-274</v>
      </c>
      <c r="O52" s="24">
        <f>SUM(O34:O51)</f>
        <v>106924</v>
      </c>
      <c r="P52" s="24">
        <f>SUM(P34:P51)</f>
        <v>-718</v>
      </c>
      <c r="Q52" s="24">
        <f>SUM(M52:P52)</f>
        <v>258354</v>
      </c>
      <c r="R52" s="24"/>
      <c r="S52" s="24"/>
      <c r="T52" s="24"/>
      <c r="U52" s="24"/>
      <c r="V52" s="24"/>
      <c r="W52" s="24"/>
      <c r="X52" s="24"/>
    </row>
    <row r="53" spans="2:26" x14ac:dyDescent="0.2">
      <c r="B53" s="2"/>
      <c r="L53" s="5"/>
    </row>
    <row r="54" spans="2:26" x14ac:dyDescent="0.2">
      <c r="B54" s="2" t="s">
        <v>60</v>
      </c>
      <c r="G54" s="12">
        <v>0</v>
      </c>
      <c r="H54" s="12">
        <v>0</v>
      </c>
      <c r="I54" s="12">
        <v>0</v>
      </c>
      <c r="J54" s="12">
        <v>0</v>
      </c>
      <c r="K54" s="12">
        <f>SUM(G54:J54)</f>
        <v>0</v>
      </c>
      <c r="L54" s="5"/>
      <c r="M54" s="12">
        <v>0</v>
      </c>
      <c r="N54" s="12">
        <v>0</v>
      </c>
      <c r="O54" s="12">
        <v>0</v>
      </c>
      <c r="P54" s="12">
        <v>0</v>
      </c>
      <c r="Q54" s="12">
        <f>SUM(M54:P54)</f>
        <v>0</v>
      </c>
      <c r="R54" s="12"/>
      <c r="S54" s="12"/>
      <c r="T54" s="12"/>
      <c r="U54" s="12"/>
      <c r="V54" s="12"/>
      <c r="W54" s="12"/>
      <c r="X54" s="12"/>
    </row>
    <row r="55" spans="2:26" x14ac:dyDescent="0.2">
      <c r="B55" s="2" t="s">
        <v>61</v>
      </c>
      <c r="L55" s="5"/>
    </row>
    <row r="56" spans="2:26" ht="13.5" thickBot="1" x14ac:dyDescent="0.25">
      <c r="K56" s="12"/>
      <c r="L56" s="5"/>
      <c r="Q56" s="30"/>
      <c r="R56" s="40"/>
      <c r="S56" s="40"/>
      <c r="T56" s="40"/>
      <c r="U56" s="40"/>
      <c r="V56" s="40"/>
      <c r="W56" s="40"/>
      <c r="X56" s="40"/>
    </row>
    <row r="57" spans="2:26" x14ac:dyDescent="0.2">
      <c r="B57" s="2" t="s">
        <v>62</v>
      </c>
      <c r="G57" s="31">
        <f>G22+G25+G32+G52+G54</f>
        <v>295381</v>
      </c>
      <c r="H57" s="31">
        <f>H22+H25+H32+H52+H54</f>
        <v>35952</v>
      </c>
      <c r="I57" s="31">
        <f>I22+I25+I32+I52+I54</f>
        <v>1318016</v>
      </c>
      <c r="J57" s="31">
        <f>J22+J25+J32+J52+J54</f>
        <v>249</v>
      </c>
      <c r="K57" s="31">
        <f>SUM(G57:J57)</f>
        <v>1649598</v>
      </c>
      <c r="L57" s="32"/>
      <c r="M57" s="31">
        <f>M22+M25+M32+M52+M54</f>
        <v>266328.97102194233</v>
      </c>
      <c r="N57" s="31">
        <f>N22+N25+N32+N52+N54</f>
        <v>30209.775144245505</v>
      </c>
      <c r="O57" s="31">
        <f>O22+O25+O32+O52+O54</f>
        <v>953282.20448135468</v>
      </c>
      <c r="P57" s="31">
        <f>P22+P25+P32+P52+P54</f>
        <v>249</v>
      </c>
      <c r="Q57" s="31">
        <f>SUM(M57:P57)</f>
        <v>1250069.9506475425</v>
      </c>
      <c r="R57" s="86"/>
      <c r="S57" s="86"/>
      <c r="T57" s="86"/>
      <c r="U57" s="86"/>
      <c r="V57" s="86"/>
      <c r="W57" s="86"/>
      <c r="X57" s="86"/>
    </row>
    <row r="58" spans="2:26" x14ac:dyDescent="0.2">
      <c r="L58" s="5"/>
    </row>
    <row r="59" spans="2:26" x14ac:dyDescent="0.2">
      <c r="L59" s="5"/>
    </row>
    <row r="60" spans="2:26" ht="14.25" x14ac:dyDescent="0.2">
      <c r="B60" s="6" t="s">
        <v>63</v>
      </c>
      <c r="K60" s="15"/>
      <c r="L60" s="5"/>
    </row>
    <row r="61" spans="2:26" x14ac:dyDescent="0.2">
      <c r="D61" s="15" t="s">
        <v>64</v>
      </c>
      <c r="E61" s="10" t="s">
        <v>20</v>
      </c>
      <c r="G61" s="12">
        <v>0</v>
      </c>
      <c r="H61" s="12">
        <v>0</v>
      </c>
      <c r="I61" s="12">
        <f>K61</f>
        <v>458263</v>
      </c>
      <c r="J61" s="11">
        <v>0</v>
      </c>
      <c r="K61" s="11">
        <v>458263</v>
      </c>
      <c r="L61" s="5"/>
      <c r="M61" s="12">
        <f>G61</f>
        <v>0</v>
      </c>
      <c r="N61" s="12">
        <f>H61</f>
        <v>0</v>
      </c>
      <c r="O61" s="12">
        <f>Q61</f>
        <v>458263</v>
      </c>
      <c r="P61" s="11">
        <f>J61</f>
        <v>0</v>
      </c>
      <c r="Q61" s="11">
        <f>$K$61</f>
        <v>458263</v>
      </c>
      <c r="R61" s="11"/>
      <c r="S61" s="11"/>
      <c r="T61" s="11"/>
      <c r="U61" s="11"/>
      <c r="V61" s="11"/>
      <c r="W61" s="11"/>
      <c r="X61" s="11"/>
      <c r="Z61" s="3" t="s">
        <v>93</v>
      </c>
    </row>
    <row r="62" spans="2:26" x14ac:dyDescent="0.2">
      <c r="D62" s="15"/>
      <c r="E62" s="10" t="s">
        <v>21</v>
      </c>
      <c r="G62" s="33">
        <v>0</v>
      </c>
      <c r="H62" s="33">
        <v>0</v>
      </c>
      <c r="I62" s="33">
        <f>K62</f>
        <v>0</v>
      </c>
      <c r="J62" s="34">
        <v>0</v>
      </c>
      <c r="K62" s="34">
        <v>0</v>
      </c>
      <c r="L62" s="5"/>
      <c r="M62" s="33">
        <f>G62</f>
        <v>0</v>
      </c>
      <c r="N62" s="33">
        <f>H62</f>
        <v>0</v>
      </c>
      <c r="O62" s="33">
        <f>I62</f>
        <v>0</v>
      </c>
      <c r="P62" s="34">
        <f>J62</f>
        <v>0</v>
      </c>
      <c r="Q62" s="33">
        <f>K62</f>
        <v>0</v>
      </c>
      <c r="R62" s="33"/>
      <c r="S62" s="33"/>
      <c r="T62" s="33"/>
      <c r="U62" s="33"/>
      <c r="V62" s="33"/>
      <c r="W62" s="33"/>
      <c r="X62" s="33"/>
      <c r="Z62" s="35">
        <f>$K$61-(1081*25.09*8)</f>
        <v>241284.68</v>
      </c>
    </row>
    <row r="63" spans="2:26" x14ac:dyDescent="0.2">
      <c r="D63" s="15"/>
      <c r="E63" s="10"/>
      <c r="J63" s="15"/>
      <c r="K63" s="15"/>
      <c r="L63" s="5"/>
      <c r="P63" s="15"/>
    </row>
    <row r="64" spans="2:26" x14ac:dyDescent="0.2">
      <c r="D64" s="15" t="s">
        <v>129</v>
      </c>
      <c r="E64" s="10" t="s">
        <v>20</v>
      </c>
      <c r="G64" s="12">
        <f>$G$120*K64</f>
        <v>84022.464972860136</v>
      </c>
      <c r="H64" s="12">
        <f>$H$120*K64</f>
        <v>31021.511192380447</v>
      </c>
      <c r="I64" s="12">
        <f>$I$120*K64</f>
        <v>985034.02383475937</v>
      </c>
      <c r="J64" s="11">
        <v>0</v>
      </c>
      <c r="K64" s="11">
        <v>1100078</v>
      </c>
      <c r="L64" s="5"/>
      <c r="M64" s="12">
        <f>$G$120*Q64</f>
        <v>73371.79925495699</v>
      </c>
      <c r="N64" s="12">
        <f>$H$120*Q64</f>
        <v>27089.232534750528</v>
      </c>
      <c r="O64" s="12">
        <f>$I$120*Q64</f>
        <v>860171.36821029254</v>
      </c>
      <c r="P64" s="11">
        <f>J64</f>
        <v>0</v>
      </c>
      <c r="Q64" s="11">
        <f>K64-(259*67.3*8)</f>
        <v>960632.4</v>
      </c>
      <c r="R64" s="11"/>
      <c r="S64" s="11"/>
      <c r="T64" s="11"/>
      <c r="U64" s="11"/>
      <c r="V64" s="11"/>
      <c r="W64" s="11"/>
      <c r="X64" s="11"/>
    </row>
    <row r="65" spans="4:24" x14ac:dyDescent="0.2">
      <c r="D65" s="15"/>
      <c r="E65" s="10" t="s">
        <v>21</v>
      </c>
      <c r="G65" s="36">
        <f>$G$120*K65</f>
        <v>0</v>
      </c>
      <c r="H65" s="36">
        <f>$H$120*K65</f>
        <v>0</v>
      </c>
      <c r="I65" s="36">
        <f>$I$120*K65</f>
        <v>0</v>
      </c>
      <c r="J65" s="37">
        <v>0</v>
      </c>
      <c r="K65" s="34">
        <v>0</v>
      </c>
      <c r="L65" s="5"/>
      <c r="M65" s="33">
        <f>G65</f>
        <v>0</v>
      </c>
      <c r="N65" s="33">
        <f>H65</f>
        <v>0</v>
      </c>
      <c r="O65" s="33">
        <f>I65</f>
        <v>0</v>
      </c>
      <c r="P65" s="34">
        <f>J65</f>
        <v>0</v>
      </c>
      <c r="Q65" s="33">
        <f>K65</f>
        <v>0</v>
      </c>
      <c r="R65" s="33"/>
      <c r="S65" s="33"/>
      <c r="T65" s="33"/>
      <c r="U65" s="33"/>
      <c r="V65" s="33"/>
      <c r="W65" s="33"/>
      <c r="X65" s="33"/>
    </row>
    <row r="66" spans="4:24" x14ac:dyDescent="0.2">
      <c r="D66" s="15"/>
      <c r="E66" s="10"/>
      <c r="J66" s="15"/>
      <c r="K66" s="15"/>
      <c r="L66" s="5"/>
      <c r="P66" s="15"/>
    </row>
    <row r="67" spans="4:24" x14ac:dyDescent="0.2">
      <c r="D67" s="15" t="s">
        <v>80</v>
      </c>
      <c r="E67" s="10" t="s">
        <v>20</v>
      </c>
      <c r="G67" s="12">
        <f>$G$120*K67</f>
        <v>574.97842545318713</v>
      </c>
      <c r="H67" s="12">
        <f>$H$120*K67</f>
        <v>212.28488912262586</v>
      </c>
      <c r="I67" s="12">
        <f>$I$120*K67</f>
        <v>6740.7366854241873</v>
      </c>
      <c r="J67" s="11">
        <v>0</v>
      </c>
      <c r="K67" s="11">
        <v>7528</v>
      </c>
      <c r="L67" s="5"/>
      <c r="M67" s="12">
        <f t="shared" ref="M67:Q68" si="7">G67</f>
        <v>574.97842545318713</v>
      </c>
      <c r="N67" s="12">
        <f t="shared" si="7"/>
        <v>212.28488912262586</v>
      </c>
      <c r="O67" s="12">
        <f t="shared" si="7"/>
        <v>6740.7366854241873</v>
      </c>
      <c r="P67" s="11">
        <f t="shared" si="7"/>
        <v>0</v>
      </c>
      <c r="Q67" s="12">
        <f t="shared" si="7"/>
        <v>7528</v>
      </c>
      <c r="R67" s="12"/>
      <c r="S67" s="12"/>
      <c r="T67" s="12"/>
      <c r="U67" s="12"/>
      <c r="V67" s="12"/>
      <c r="W67" s="12"/>
      <c r="X67" s="12"/>
    </row>
    <row r="68" spans="4:24" x14ac:dyDescent="0.2">
      <c r="D68" s="15"/>
      <c r="E68" s="10" t="s">
        <v>21</v>
      </c>
      <c r="G68" s="36">
        <f>$G$120*K68</f>
        <v>0</v>
      </c>
      <c r="H68" s="36">
        <f>$H$120*K68</f>
        <v>0</v>
      </c>
      <c r="I68" s="36">
        <f>$I$120*K68</f>
        <v>0</v>
      </c>
      <c r="J68" s="34">
        <v>0</v>
      </c>
      <c r="K68" s="34">
        <v>0</v>
      </c>
      <c r="L68" s="5"/>
      <c r="M68" s="33">
        <f t="shared" si="7"/>
        <v>0</v>
      </c>
      <c r="N68" s="33">
        <f t="shared" si="7"/>
        <v>0</v>
      </c>
      <c r="O68" s="33">
        <f t="shared" si="7"/>
        <v>0</v>
      </c>
      <c r="P68" s="34">
        <f t="shared" si="7"/>
        <v>0</v>
      </c>
      <c r="Q68" s="33">
        <f t="shared" si="7"/>
        <v>0</v>
      </c>
      <c r="R68" s="33"/>
      <c r="S68" s="33"/>
      <c r="T68" s="33"/>
      <c r="U68" s="33"/>
      <c r="V68" s="33"/>
      <c r="W68" s="33"/>
      <c r="X68" s="33"/>
    </row>
    <row r="69" spans="4:24" x14ac:dyDescent="0.2">
      <c r="D69" s="15"/>
      <c r="E69" s="10"/>
      <c r="J69" s="15"/>
      <c r="K69" s="15"/>
      <c r="L69" s="5"/>
      <c r="P69" s="15"/>
    </row>
    <row r="70" spans="4:24" x14ac:dyDescent="0.2">
      <c r="D70" s="15" t="s">
        <v>65</v>
      </c>
      <c r="E70" s="10" t="s">
        <v>20</v>
      </c>
      <c r="G70" s="12">
        <f>$G$120*K70</f>
        <v>3975.0501028541007</v>
      </c>
      <c r="H70" s="12">
        <f>$H$120*K70</f>
        <v>1467.6082318674203</v>
      </c>
      <c r="I70" s="12">
        <f>$I$120*K70</f>
        <v>46601.34166527848</v>
      </c>
      <c r="J70" s="11">
        <v>0</v>
      </c>
      <c r="K70" s="11">
        <v>52044</v>
      </c>
      <c r="L70" s="5"/>
      <c r="M70" s="12">
        <f>$G$120*Q$70</f>
        <v>3975.0501028541007</v>
      </c>
      <c r="N70" s="12">
        <f>$H$120*Q$70</f>
        <v>1467.6082318674203</v>
      </c>
      <c r="O70" s="12">
        <f>$I$120*Q$70</f>
        <v>46601.34166527848</v>
      </c>
      <c r="P70" s="11">
        <f>J70</f>
        <v>0</v>
      </c>
      <c r="Q70" s="11">
        <f>K70</f>
        <v>52044</v>
      </c>
      <c r="R70" s="11"/>
      <c r="S70" s="11"/>
      <c r="T70" s="11"/>
      <c r="U70" s="11"/>
      <c r="V70" s="11"/>
      <c r="W70" s="11"/>
      <c r="X70" s="11"/>
    </row>
    <row r="71" spans="4:24" x14ac:dyDescent="0.2">
      <c r="D71" s="15"/>
      <c r="E71" s="10" t="s">
        <v>21</v>
      </c>
      <c r="G71" s="36">
        <f>$G$120*K71</f>
        <v>0</v>
      </c>
      <c r="H71" s="36">
        <f>$H$120*K71</f>
        <v>0</v>
      </c>
      <c r="I71" s="36">
        <f>$I$120*K71</f>
        <v>0</v>
      </c>
      <c r="J71" s="34">
        <v>0</v>
      </c>
      <c r="K71" s="34">
        <v>0</v>
      </c>
      <c r="L71" s="5"/>
      <c r="M71" s="33">
        <f>G71</f>
        <v>0</v>
      </c>
      <c r="N71" s="33">
        <f>H71</f>
        <v>0</v>
      </c>
      <c r="O71" s="33">
        <f>I71</f>
        <v>0</v>
      </c>
      <c r="P71" s="34">
        <f>J71</f>
        <v>0</v>
      </c>
      <c r="Q71" s="33">
        <f>K71</f>
        <v>0</v>
      </c>
      <c r="R71" s="33"/>
      <c r="S71" s="33"/>
      <c r="T71" s="33"/>
      <c r="U71" s="33"/>
      <c r="V71" s="33"/>
      <c r="W71" s="33"/>
      <c r="X71" s="33"/>
    </row>
    <row r="72" spans="4:24" x14ac:dyDescent="0.2">
      <c r="D72" s="15"/>
      <c r="E72" s="10"/>
      <c r="G72" s="33"/>
      <c r="H72" s="33"/>
      <c r="I72" s="33"/>
      <c r="J72" s="34"/>
      <c r="K72" s="34"/>
      <c r="L72" s="5"/>
      <c r="M72" s="33"/>
      <c r="N72" s="33"/>
      <c r="O72" s="33"/>
      <c r="P72" s="34"/>
      <c r="Q72" s="34"/>
      <c r="R72" s="34"/>
      <c r="S72" s="34"/>
      <c r="T72" s="34"/>
      <c r="U72" s="34"/>
      <c r="V72" s="34"/>
      <c r="W72" s="34"/>
      <c r="X72" s="34"/>
    </row>
    <row r="73" spans="4:24" x14ac:dyDescent="0.2">
      <c r="D73" s="15" t="s">
        <v>105</v>
      </c>
      <c r="E73" s="10" t="s">
        <v>20</v>
      </c>
      <c r="G73" s="12">
        <f>$G$120*K73</f>
        <v>1641.682555352126</v>
      </c>
      <c r="H73" s="12">
        <f>$H$120*K73</f>
        <v>606.11734946887884</v>
      </c>
      <c r="I73" s="12">
        <f>$I$120*K73</f>
        <v>19246.200095178996</v>
      </c>
      <c r="J73" s="11">
        <v>0</v>
      </c>
      <c r="K73" s="11">
        <v>21494</v>
      </c>
      <c r="L73" s="5"/>
      <c r="M73" s="12">
        <f t="shared" ref="M73:Q74" si="8">G73</f>
        <v>1641.682555352126</v>
      </c>
      <c r="N73" s="12">
        <f t="shared" si="8"/>
        <v>606.11734946887884</v>
      </c>
      <c r="O73" s="12">
        <f t="shared" si="8"/>
        <v>19246.200095178996</v>
      </c>
      <c r="P73" s="11">
        <f t="shared" si="8"/>
        <v>0</v>
      </c>
      <c r="Q73" s="11">
        <f t="shared" si="8"/>
        <v>21494</v>
      </c>
      <c r="R73" s="11"/>
      <c r="S73" s="11"/>
      <c r="T73" s="11"/>
      <c r="U73" s="11"/>
      <c r="V73" s="11"/>
      <c r="W73" s="11"/>
      <c r="X73" s="11"/>
    </row>
    <row r="74" spans="4:24" x14ac:dyDescent="0.2">
      <c r="D74" s="15"/>
      <c r="E74" s="10" t="s">
        <v>21</v>
      </c>
      <c r="G74" s="36">
        <f>$G$120*K74</f>
        <v>0</v>
      </c>
      <c r="H74" s="36">
        <f>$H$120*K74</f>
        <v>0</v>
      </c>
      <c r="I74" s="36">
        <f>$I$120*K74</f>
        <v>0</v>
      </c>
      <c r="J74" s="34">
        <v>0</v>
      </c>
      <c r="K74" s="34">
        <v>0</v>
      </c>
      <c r="L74" s="5"/>
      <c r="M74" s="33">
        <f t="shared" si="8"/>
        <v>0</v>
      </c>
      <c r="N74" s="33">
        <f t="shared" si="8"/>
        <v>0</v>
      </c>
      <c r="O74" s="33">
        <f t="shared" si="8"/>
        <v>0</v>
      </c>
      <c r="P74" s="34">
        <f t="shared" si="8"/>
        <v>0</v>
      </c>
      <c r="Q74" s="33">
        <f t="shared" si="8"/>
        <v>0</v>
      </c>
      <c r="R74" s="33"/>
      <c r="S74" s="33"/>
      <c r="T74" s="33"/>
      <c r="U74" s="33"/>
      <c r="V74" s="33"/>
      <c r="W74" s="33"/>
      <c r="X74" s="33"/>
    </row>
    <row r="75" spans="4:24" x14ac:dyDescent="0.2">
      <c r="D75" s="15"/>
      <c r="E75" s="10"/>
      <c r="J75" s="15"/>
      <c r="K75" s="15"/>
      <c r="L75" s="5"/>
      <c r="P75" s="15"/>
    </row>
    <row r="76" spans="4:24" x14ac:dyDescent="0.2">
      <c r="D76" s="15" t="s">
        <v>130</v>
      </c>
      <c r="E76" s="10" t="s">
        <v>20</v>
      </c>
      <c r="G76" s="12">
        <f>$G$120*K76</f>
        <v>19195.480590448326</v>
      </c>
      <c r="H76" s="12">
        <f>$H$120*K76</f>
        <v>7087.066728785644</v>
      </c>
      <c r="I76" s="12">
        <f>$I$120*K76</f>
        <v>225037.45268076603</v>
      </c>
      <c r="J76" s="11">
        <v>0</v>
      </c>
      <c r="K76" s="11">
        <v>251320</v>
      </c>
      <c r="L76" s="5"/>
      <c r="M76" s="12">
        <f t="shared" ref="M76:Q77" si="9">G76</f>
        <v>19195.480590448326</v>
      </c>
      <c r="N76" s="12">
        <f t="shared" si="9"/>
        <v>7087.066728785644</v>
      </c>
      <c r="O76" s="12">
        <f t="shared" si="9"/>
        <v>225037.45268076603</v>
      </c>
      <c r="P76" s="11">
        <f t="shared" si="9"/>
        <v>0</v>
      </c>
      <c r="Q76" s="12">
        <f t="shared" si="9"/>
        <v>251320</v>
      </c>
      <c r="R76" s="12"/>
      <c r="S76" s="12"/>
      <c r="T76" s="12"/>
      <c r="U76" s="12"/>
      <c r="V76" s="12"/>
      <c r="W76" s="12"/>
      <c r="X76" s="12"/>
    </row>
    <row r="77" spans="4:24" x14ac:dyDescent="0.2">
      <c r="E77" s="10" t="s">
        <v>21</v>
      </c>
      <c r="G77" s="36">
        <f>$G$120*K77</f>
        <v>0</v>
      </c>
      <c r="H77" s="36">
        <f>$H$120*K77</f>
        <v>0</v>
      </c>
      <c r="I77" s="36">
        <f>$I$120*K77</f>
        <v>0</v>
      </c>
      <c r="J77" s="34">
        <v>0</v>
      </c>
      <c r="K77" s="34">
        <v>0</v>
      </c>
      <c r="L77" s="5"/>
      <c r="M77" s="33">
        <f t="shared" si="9"/>
        <v>0</v>
      </c>
      <c r="N77" s="33">
        <f t="shared" si="9"/>
        <v>0</v>
      </c>
      <c r="O77" s="33">
        <f t="shared" si="9"/>
        <v>0</v>
      </c>
      <c r="P77" s="34">
        <f t="shared" si="9"/>
        <v>0</v>
      </c>
      <c r="Q77" s="33">
        <f t="shared" si="9"/>
        <v>0</v>
      </c>
      <c r="R77" s="33"/>
      <c r="S77" s="33"/>
      <c r="T77" s="33"/>
      <c r="U77" s="33"/>
      <c r="V77" s="33"/>
      <c r="W77" s="33"/>
      <c r="X77" s="33"/>
    </row>
    <row r="78" spans="4:24" x14ac:dyDescent="0.2">
      <c r="E78" s="10"/>
      <c r="G78" s="36"/>
      <c r="H78" s="36"/>
      <c r="I78" s="36"/>
      <c r="J78" s="34"/>
      <c r="K78" s="34"/>
      <c r="L78" s="5"/>
      <c r="M78" s="33"/>
      <c r="N78" s="33"/>
      <c r="O78" s="33"/>
      <c r="P78" s="34"/>
      <c r="Q78" s="33"/>
      <c r="R78" s="33"/>
      <c r="S78" s="33"/>
      <c r="T78" s="33"/>
      <c r="U78" s="33"/>
      <c r="V78" s="33"/>
      <c r="W78" s="33"/>
      <c r="X78" s="33"/>
    </row>
    <row r="79" spans="4:24" x14ac:dyDescent="0.2">
      <c r="D79" s="3" t="s">
        <v>131</v>
      </c>
      <c r="E79" s="10" t="s">
        <v>20</v>
      </c>
      <c r="G79" s="12">
        <f>$G$120*K79</f>
        <v>3818.473884445621</v>
      </c>
      <c r="H79" s="12">
        <f>$H$120*K79</f>
        <v>1409.7995147179274</v>
      </c>
      <c r="I79" s="12">
        <f>$I$120*K79</f>
        <v>44765.726600836453</v>
      </c>
      <c r="J79" s="11">
        <v>0</v>
      </c>
      <c r="K79" s="11">
        <v>49994</v>
      </c>
      <c r="L79" s="5"/>
      <c r="M79" s="12">
        <f t="shared" ref="M79:Q80" si="10">G79</f>
        <v>3818.473884445621</v>
      </c>
      <c r="N79" s="12">
        <f t="shared" si="10"/>
        <v>1409.7995147179274</v>
      </c>
      <c r="O79" s="12">
        <f t="shared" si="10"/>
        <v>44765.726600836453</v>
      </c>
      <c r="P79" s="11">
        <f t="shared" si="10"/>
        <v>0</v>
      </c>
      <c r="Q79" s="12">
        <f t="shared" si="10"/>
        <v>49994</v>
      </c>
      <c r="R79" s="12"/>
      <c r="S79" s="12"/>
      <c r="T79" s="12"/>
      <c r="U79" s="12"/>
      <c r="V79" s="12"/>
      <c r="W79" s="12"/>
      <c r="X79" s="12"/>
    </row>
    <row r="80" spans="4:24" x14ac:dyDescent="0.2">
      <c r="E80" s="10" t="s">
        <v>21</v>
      </c>
      <c r="G80" s="36">
        <f>$G$120*K80</f>
        <v>0</v>
      </c>
      <c r="H80" s="36">
        <f>$H$120*K80</f>
        <v>0</v>
      </c>
      <c r="I80" s="36">
        <f>$I$120*K80</f>
        <v>0</v>
      </c>
      <c r="J80" s="34">
        <v>0</v>
      </c>
      <c r="K80" s="34">
        <v>0</v>
      </c>
      <c r="L80" s="5"/>
      <c r="M80" s="33">
        <f t="shared" si="10"/>
        <v>0</v>
      </c>
      <c r="N80" s="33">
        <f t="shared" si="10"/>
        <v>0</v>
      </c>
      <c r="O80" s="33">
        <f t="shared" si="10"/>
        <v>0</v>
      </c>
      <c r="P80" s="34">
        <f t="shared" si="10"/>
        <v>0</v>
      </c>
      <c r="Q80" s="33">
        <f t="shared" si="10"/>
        <v>0</v>
      </c>
      <c r="R80" s="33"/>
      <c r="S80" s="33"/>
      <c r="T80" s="33"/>
      <c r="U80" s="33"/>
      <c r="V80" s="33"/>
      <c r="W80" s="33"/>
      <c r="X80" s="33"/>
    </row>
    <row r="81" spans="2:25" x14ac:dyDescent="0.2">
      <c r="E81" s="10"/>
      <c r="J81" s="15"/>
      <c r="K81" s="15"/>
      <c r="L81" s="5"/>
      <c r="P81" s="15"/>
    </row>
    <row r="82" spans="2:25" x14ac:dyDescent="0.2">
      <c r="D82" s="3" t="s">
        <v>132</v>
      </c>
      <c r="E82" s="10" t="s">
        <v>20</v>
      </c>
      <c r="G82" s="12">
        <f>$G$120*K82</f>
        <v>5568.461355750539</v>
      </c>
      <c r="H82" s="12">
        <f>$H$120*K82</f>
        <v>2055.903576829724</v>
      </c>
      <c r="I82" s="12">
        <f>$I$120*K82</f>
        <v>65281.635067419738</v>
      </c>
      <c r="J82" s="11">
        <v>0</v>
      </c>
      <c r="K82" s="11">
        <v>72906</v>
      </c>
      <c r="L82" s="5"/>
      <c r="M82" s="12">
        <f t="shared" ref="M82:Q83" si="11">G82</f>
        <v>5568.461355750539</v>
      </c>
      <c r="N82" s="12">
        <f t="shared" si="11"/>
        <v>2055.903576829724</v>
      </c>
      <c r="O82" s="12">
        <f t="shared" si="11"/>
        <v>65281.635067419738</v>
      </c>
      <c r="P82" s="11">
        <f t="shared" si="11"/>
        <v>0</v>
      </c>
      <c r="Q82" s="12">
        <f t="shared" si="11"/>
        <v>72906</v>
      </c>
      <c r="R82" s="12"/>
      <c r="S82" s="12"/>
      <c r="T82" s="12"/>
      <c r="U82" s="12"/>
      <c r="V82" s="12"/>
      <c r="W82" s="12"/>
      <c r="X82" s="12"/>
    </row>
    <row r="83" spans="2:25" x14ac:dyDescent="0.2">
      <c r="E83" s="10" t="s">
        <v>21</v>
      </c>
      <c r="G83" s="36">
        <f>$G$120*K83</f>
        <v>0</v>
      </c>
      <c r="H83" s="36">
        <f>$H$120*K83</f>
        <v>0</v>
      </c>
      <c r="I83" s="36">
        <f>$I$120*K83</f>
        <v>0</v>
      </c>
      <c r="J83" s="34">
        <v>0</v>
      </c>
      <c r="K83" s="34">
        <v>0</v>
      </c>
      <c r="L83" s="5"/>
      <c r="M83" s="33">
        <f t="shared" si="11"/>
        <v>0</v>
      </c>
      <c r="N83" s="33">
        <f t="shared" si="11"/>
        <v>0</v>
      </c>
      <c r="O83" s="33">
        <f t="shared" si="11"/>
        <v>0</v>
      </c>
      <c r="P83" s="34">
        <f t="shared" si="11"/>
        <v>0</v>
      </c>
      <c r="Q83" s="33">
        <f t="shared" si="11"/>
        <v>0</v>
      </c>
      <c r="R83" s="33"/>
      <c r="S83" s="33"/>
      <c r="T83" s="33"/>
      <c r="U83" s="33"/>
      <c r="V83" s="33"/>
      <c r="W83" s="33"/>
      <c r="X83" s="33"/>
    </row>
    <row r="84" spans="2:25" x14ac:dyDescent="0.2">
      <c r="E84" s="10"/>
      <c r="J84" s="15"/>
      <c r="K84" s="15"/>
      <c r="L84" s="5"/>
      <c r="P84" s="15"/>
    </row>
    <row r="85" spans="2:25" x14ac:dyDescent="0.2">
      <c r="D85" s="3" t="s">
        <v>86</v>
      </c>
      <c r="E85" s="10" t="s">
        <v>20</v>
      </c>
      <c r="G85" s="12">
        <f>$G$120*K85</f>
        <v>63833.832885843301</v>
      </c>
      <c r="H85" s="12">
        <f>$H$120*K85</f>
        <v>23567.768000621702</v>
      </c>
      <c r="I85" s="12">
        <f>$I$120*K85</f>
        <v>748353.39911353495</v>
      </c>
      <c r="J85" s="11">
        <v>0</v>
      </c>
      <c r="K85" s="11">
        <v>835755</v>
      </c>
      <c r="L85" s="5"/>
      <c r="M85" s="12">
        <f t="shared" ref="M85:Q86" si="12">G85</f>
        <v>63833.832885843301</v>
      </c>
      <c r="N85" s="12">
        <f t="shared" si="12"/>
        <v>23567.768000621702</v>
      </c>
      <c r="O85" s="12">
        <f t="shared" si="12"/>
        <v>748353.39911353495</v>
      </c>
      <c r="P85" s="11">
        <f t="shared" si="12"/>
        <v>0</v>
      </c>
      <c r="Q85" s="12">
        <f t="shared" si="12"/>
        <v>835755</v>
      </c>
      <c r="R85" s="12"/>
      <c r="S85" s="12"/>
      <c r="T85" s="12"/>
      <c r="U85" s="12"/>
      <c r="V85" s="12"/>
      <c r="W85" s="12"/>
      <c r="X85" s="12"/>
    </row>
    <row r="86" spans="2:25" x14ac:dyDescent="0.2">
      <c r="E86" s="10" t="s">
        <v>21</v>
      </c>
      <c r="G86" s="36">
        <f>$G$120*K86</f>
        <v>0</v>
      </c>
      <c r="H86" s="36">
        <f>$H$120*K86</f>
        <v>0</v>
      </c>
      <c r="I86" s="36">
        <f>$I$120*K86</f>
        <v>0</v>
      </c>
      <c r="J86" s="34">
        <v>0</v>
      </c>
      <c r="K86" s="34">
        <v>0</v>
      </c>
      <c r="L86" s="5"/>
      <c r="M86" s="33">
        <f t="shared" si="12"/>
        <v>0</v>
      </c>
      <c r="N86" s="33">
        <f t="shared" si="12"/>
        <v>0</v>
      </c>
      <c r="O86" s="33">
        <f t="shared" si="12"/>
        <v>0</v>
      </c>
      <c r="P86" s="34">
        <f t="shared" si="12"/>
        <v>0</v>
      </c>
      <c r="Q86" s="33">
        <f t="shared" si="12"/>
        <v>0</v>
      </c>
      <c r="R86" s="33"/>
      <c r="S86" s="33"/>
      <c r="T86" s="33"/>
      <c r="U86" s="33"/>
      <c r="V86" s="33"/>
      <c r="W86" s="33"/>
      <c r="X86" s="33"/>
    </row>
    <row r="87" spans="2:25" x14ac:dyDescent="0.2">
      <c r="D87" s="15"/>
      <c r="E87" s="10"/>
      <c r="J87" s="15"/>
      <c r="K87" s="15"/>
      <c r="L87" s="5"/>
      <c r="P87" s="15"/>
    </row>
    <row r="88" spans="2:25" x14ac:dyDescent="0.2">
      <c r="D88" s="15" t="s">
        <v>133</v>
      </c>
      <c r="E88" s="10" t="s">
        <v>20</v>
      </c>
      <c r="G88" s="12">
        <f>$G$120*K88</f>
        <v>5551.1234037609174</v>
      </c>
      <c r="H88" s="12">
        <f>$H$120*K88</f>
        <v>2049.5023188819505</v>
      </c>
      <c r="I88" s="12">
        <f>$I$120*K88</f>
        <v>65078.374277357128</v>
      </c>
      <c r="J88" s="11">
        <v>0</v>
      </c>
      <c r="K88" s="11">
        <v>72679</v>
      </c>
      <c r="L88" s="5"/>
      <c r="M88" s="12">
        <f t="shared" ref="M88:Q89" si="13">G88</f>
        <v>5551.1234037609174</v>
      </c>
      <c r="N88" s="12">
        <f t="shared" si="13"/>
        <v>2049.5023188819505</v>
      </c>
      <c r="O88" s="12">
        <f t="shared" si="13"/>
        <v>65078.374277357128</v>
      </c>
      <c r="P88" s="11">
        <f t="shared" si="13"/>
        <v>0</v>
      </c>
      <c r="Q88" s="12">
        <f t="shared" si="13"/>
        <v>72679</v>
      </c>
      <c r="R88" s="12"/>
      <c r="S88" s="12"/>
      <c r="T88" s="12"/>
      <c r="U88" s="12"/>
      <c r="V88" s="12"/>
      <c r="W88" s="12"/>
      <c r="X88" s="12"/>
    </row>
    <row r="89" spans="2:25" x14ac:dyDescent="0.2">
      <c r="D89" s="15"/>
      <c r="E89" s="10" t="s">
        <v>21</v>
      </c>
      <c r="G89" s="36">
        <f>$G$120*K89</f>
        <v>0</v>
      </c>
      <c r="H89" s="36">
        <f>$H$120*K89</f>
        <v>0</v>
      </c>
      <c r="I89" s="36">
        <f>$I$120*K89</f>
        <v>0</v>
      </c>
      <c r="J89" s="34">
        <v>0</v>
      </c>
      <c r="K89" s="34">
        <v>0</v>
      </c>
      <c r="L89" s="5"/>
      <c r="M89" s="33">
        <f t="shared" si="13"/>
        <v>0</v>
      </c>
      <c r="N89" s="33">
        <f t="shared" si="13"/>
        <v>0</v>
      </c>
      <c r="O89" s="33">
        <f t="shared" si="13"/>
        <v>0</v>
      </c>
      <c r="P89" s="34">
        <f t="shared" si="13"/>
        <v>0</v>
      </c>
      <c r="Q89" s="33">
        <f t="shared" si="13"/>
        <v>0</v>
      </c>
      <c r="R89" s="33"/>
      <c r="S89" s="33"/>
      <c r="T89" s="33"/>
      <c r="U89" s="33"/>
      <c r="V89" s="33"/>
      <c r="W89" s="33"/>
      <c r="X89" s="33"/>
    </row>
    <row r="90" spans="2:25" x14ac:dyDescent="0.2">
      <c r="D90" s="15"/>
      <c r="J90" s="15"/>
      <c r="K90" s="15"/>
      <c r="L90" s="5"/>
    </row>
    <row r="91" spans="2:25" x14ac:dyDescent="0.2">
      <c r="D91" s="15" t="s">
        <v>134</v>
      </c>
      <c r="E91" s="10" t="s">
        <v>20</v>
      </c>
      <c r="G91" s="12">
        <f>$G$120*K91</f>
        <v>8888.8701083709439</v>
      </c>
      <c r="H91" s="12">
        <f>$H$120*K91</f>
        <v>3281.814972263825</v>
      </c>
      <c r="I91" s="12">
        <f>$I$120*K91</f>
        <v>104208.31491936524</v>
      </c>
      <c r="J91" s="11">
        <v>0</v>
      </c>
      <c r="K91" s="11">
        <v>116379</v>
      </c>
      <c r="L91" s="5"/>
      <c r="M91" s="12">
        <f t="shared" ref="M91:Q92" si="14">G91</f>
        <v>8888.8701083709439</v>
      </c>
      <c r="N91" s="12">
        <f t="shared" si="14"/>
        <v>3281.814972263825</v>
      </c>
      <c r="O91" s="12">
        <f t="shared" si="14"/>
        <v>104208.31491936524</v>
      </c>
      <c r="P91" s="11">
        <f t="shared" si="14"/>
        <v>0</v>
      </c>
      <c r="Q91" s="12">
        <f t="shared" si="14"/>
        <v>116379</v>
      </c>
      <c r="R91" s="12"/>
      <c r="S91" s="12"/>
      <c r="T91" s="12"/>
      <c r="U91" s="12"/>
      <c r="V91" s="12"/>
      <c r="W91" s="12"/>
      <c r="X91" s="12"/>
    </row>
    <row r="92" spans="2:25" x14ac:dyDescent="0.2">
      <c r="D92" s="15"/>
      <c r="E92" s="10" t="s">
        <v>21</v>
      </c>
      <c r="G92" s="36">
        <f>$G$120*K92</f>
        <v>0</v>
      </c>
      <c r="H92" s="36">
        <f>$H$120*K92</f>
        <v>0</v>
      </c>
      <c r="I92" s="36">
        <f>$I$120*K92</f>
        <v>0</v>
      </c>
      <c r="J92" s="34">
        <v>0</v>
      </c>
      <c r="K92" s="34">
        <v>0</v>
      </c>
      <c r="L92" s="5"/>
      <c r="M92" s="33">
        <f t="shared" si="14"/>
        <v>0</v>
      </c>
      <c r="N92" s="33">
        <f t="shared" si="14"/>
        <v>0</v>
      </c>
      <c r="O92" s="33">
        <f t="shared" si="14"/>
        <v>0</v>
      </c>
      <c r="P92" s="34">
        <f t="shared" si="14"/>
        <v>0</v>
      </c>
      <c r="Q92" s="33">
        <f t="shared" si="14"/>
        <v>0</v>
      </c>
      <c r="R92" s="33"/>
      <c r="S92" s="33"/>
      <c r="T92" s="33"/>
      <c r="U92" s="33"/>
      <c r="V92" s="33"/>
      <c r="W92" s="33"/>
      <c r="X92" s="33"/>
    </row>
    <row r="93" spans="2:25" x14ac:dyDescent="0.2">
      <c r="D93" s="15"/>
      <c r="J93" s="15"/>
      <c r="K93" s="15"/>
      <c r="L93" s="5"/>
    </row>
    <row r="94" spans="2:25" x14ac:dyDescent="0.2">
      <c r="D94" s="15" t="s">
        <v>66</v>
      </c>
      <c r="E94" s="10" t="s">
        <v>20</v>
      </c>
      <c r="G94" s="12">
        <f>$G$120*K94</f>
        <v>1461.5817148608114</v>
      </c>
      <c r="H94" s="12">
        <f>$H$120*K94</f>
        <v>539.6232250598523</v>
      </c>
      <c r="I94" s="12">
        <f>$I$120*K94</f>
        <v>17134.795060079337</v>
      </c>
      <c r="J94" s="11">
        <v>0</v>
      </c>
      <c r="K94" s="11">
        <v>19136</v>
      </c>
      <c r="L94" s="5"/>
      <c r="M94" s="12">
        <f>G94</f>
        <v>1461.5817148608114</v>
      </c>
      <c r="N94" s="12">
        <f>H94</f>
        <v>539.6232250598523</v>
      </c>
      <c r="O94" s="12">
        <f>I94</f>
        <v>17134.795060079337</v>
      </c>
      <c r="P94" s="11">
        <f>J94</f>
        <v>0</v>
      </c>
      <c r="Q94" s="12">
        <f>K94</f>
        <v>19136</v>
      </c>
      <c r="R94" s="12"/>
      <c r="S94" s="12"/>
      <c r="T94" s="12"/>
      <c r="U94" s="12"/>
      <c r="V94" s="12"/>
      <c r="W94" s="12"/>
      <c r="X94" s="12"/>
    </row>
    <row r="95" spans="2:25" ht="13.5" thickBot="1" x14ac:dyDescent="0.25">
      <c r="D95" s="15"/>
      <c r="J95" s="15"/>
      <c r="L95" s="5"/>
      <c r="Y95" s="38"/>
    </row>
    <row r="96" spans="2:25" ht="13.5" thickBot="1" x14ac:dyDescent="0.25">
      <c r="B96" s="2" t="s">
        <v>67</v>
      </c>
      <c r="E96" s="10" t="s">
        <v>20</v>
      </c>
      <c r="G96" s="31">
        <f>G61+G64+G67+G70+G73+G76+G79+G82+G85+G88+G91+G94</f>
        <v>198531.99999999997</v>
      </c>
      <c r="H96" s="31">
        <f>H61+H64+H67+H70+H73+H76+H79+H82+H85+H88+H91+H94</f>
        <v>73298.999999999985</v>
      </c>
      <c r="I96" s="31">
        <f>I61+I64+I67+I70+I73+I76+I79+I82+I85+I88+I91+I94</f>
        <v>2785745</v>
      </c>
      <c r="J96" s="31">
        <f>J61+J64+J67+J70+J73+J76+J79+J82+J85+J88+J91+J94</f>
        <v>0</v>
      </c>
      <c r="K96" s="39">
        <f>SUM(G96:J96)</f>
        <v>3057576</v>
      </c>
      <c r="L96" s="32"/>
      <c r="M96" s="31">
        <f>M61+M64+M67+M70+M73+M76+M79+M82+M85+M88+M91+M94</f>
        <v>187881.33428209682</v>
      </c>
      <c r="N96" s="31">
        <f>N61+N64+N67+N70+N73+N76+N79+N82+N85+N88+N91+N94</f>
        <v>69366.721342370074</v>
      </c>
      <c r="O96" s="31">
        <f>O61+O64+O67+O70+O73+O76+O79+O82+O85+O88+O91+O94</f>
        <v>2660882.3443755331</v>
      </c>
      <c r="P96" s="31">
        <f>P61+P64+P67+P70+P73+P76+P79+P82+P85+P88+P91+P94</f>
        <v>0</v>
      </c>
      <c r="Q96" s="31">
        <f>SUM(M96:P96)</f>
        <v>2918130.4</v>
      </c>
      <c r="R96" s="86"/>
      <c r="S96" s="86"/>
      <c r="T96" s="86"/>
      <c r="U96" s="86"/>
      <c r="V96" s="86"/>
      <c r="W96" s="86"/>
      <c r="X96" s="86"/>
      <c r="Y96" s="40"/>
    </row>
    <row r="97" spans="2:25" x14ac:dyDescent="0.2">
      <c r="B97" s="2"/>
      <c r="E97" s="10" t="s">
        <v>21</v>
      </c>
      <c r="G97" s="41">
        <f>G62+G65+G68+G71+G74+G77+G80+G83+G86+G89+G92</f>
        <v>0</v>
      </c>
      <c r="H97" s="41">
        <f>H62+H65+H68+H71+H74+H77+H80+H83+H86+H89+H92</f>
        <v>0</v>
      </c>
      <c r="I97" s="41">
        <f>I62+I65+I68+I71+I74+I77+I80+I83+I86+I89+I92</f>
        <v>0</v>
      </c>
      <c r="J97" s="41">
        <f>J62+J65+J68+J71+J74+J77+J80+J83+J86+J89+J92</f>
        <v>0</v>
      </c>
      <c r="K97" s="42">
        <f>SUM(G97:J97)</f>
        <v>0</v>
      </c>
      <c r="L97" s="43"/>
      <c r="M97" s="41">
        <f>M62+M65+M68+M71+M74+M77+M80+M83+M86+M89+M92</f>
        <v>0</v>
      </c>
      <c r="N97" s="41">
        <f>N62+N65+N68+N71+N74+N77+N80+N83+N86+N89+N92</f>
        <v>0</v>
      </c>
      <c r="O97" s="41">
        <f>O62+O65+O68+O71+O74+O77+O80+O83+O86+O89+O92</f>
        <v>0</v>
      </c>
      <c r="P97" s="41">
        <f>P62+P65+P68+P71+P74+P77+P80+P83+P86+P89+P92</f>
        <v>0</v>
      </c>
      <c r="Q97" s="44">
        <f>SUM(M97:P97)</f>
        <v>0</v>
      </c>
      <c r="R97" s="42"/>
      <c r="S97" s="42"/>
      <c r="T97" s="42"/>
      <c r="U97" s="42"/>
      <c r="V97" s="42"/>
      <c r="W97" s="42"/>
      <c r="X97" s="42"/>
    </row>
    <row r="98" spans="2:25" x14ac:dyDescent="0.2">
      <c r="K98" s="12"/>
      <c r="L98" s="5"/>
      <c r="Y98" s="12"/>
    </row>
    <row r="99" spans="2:25" ht="13.5" thickBot="1" x14ac:dyDescent="0.25">
      <c r="L99" s="5"/>
    </row>
    <row r="100" spans="2:25" ht="15" thickBot="1" x14ac:dyDescent="0.25">
      <c r="B100" s="6" t="s">
        <v>68</v>
      </c>
      <c r="G100" s="45">
        <f t="shared" ref="G100:Q100" si="15">G57+G96</f>
        <v>493913</v>
      </c>
      <c r="H100" s="45">
        <f t="shared" si="15"/>
        <v>109250.99999999999</v>
      </c>
      <c r="I100" s="45">
        <f t="shared" si="15"/>
        <v>4103761</v>
      </c>
      <c r="J100" s="45">
        <f t="shared" si="15"/>
        <v>249</v>
      </c>
      <c r="K100" s="45">
        <f t="shared" si="15"/>
        <v>4707174</v>
      </c>
      <c r="L100" s="46">
        <f t="shared" si="15"/>
        <v>0</v>
      </c>
      <c r="M100" s="45">
        <f t="shared" si="15"/>
        <v>454210.30530403915</v>
      </c>
      <c r="N100" s="45">
        <f t="shared" si="15"/>
        <v>99576.496486615579</v>
      </c>
      <c r="O100" s="79">
        <f t="shared" si="15"/>
        <v>3614164.548856888</v>
      </c>
      <c r="P100" s="45">
        <f t="shared" si="15"/>
        <v>249</v>
      </c>
      <c r="Q100" s="45">
        <f t="shared" si="15"/>
        <v>4168200.3506475426</v>
      </c>
      <c r="R100" s="86"/>
      <c r="S100" s="86"/>
      <c r="T100" s="86"/>
      <c r="U100" s="86"/>
      <c r="V100" s="86"/>
      <c r="W100" s="86"/>
      <c r="X100" s="86"/>
    </row>
    <row r="101" spans="2:25" ht="13.5" thickTop="1" x14ac:dyDescent="0.2">
      <c r="I101" s="77"/>
      <c r="L101" s="5"/>
      <c r="O101" s="80"/>
    </row>
    <row r="102" spans="2:25" x14ac:dyDescent="0.2">
      <c r="I102" s="77"/>
      <c r="L102" s="5"/>
      <c r="O102" s="80"/>
    </row>
    <row r="103" spans="2:25" x14ac:dyDescent="0.2">
      <c r="I103" s="77"/>
      <c r="L103" s="5"/>
      <c r="O103" s="80"/>
    </row>
    <row r="104" spans="2:25" x14ac:dyDescent="0.2">
      <c r="I104" s="77"/>
      <c r="L104" s="5"/>
      <c r="O104" s="80"/>
    </row>
    <row r="105" spans="2:25" x14ac:dyDescent="0.2">
      <c r="I105" s="77"/>
      <c r="L105" s="5"/>
      <c r="O105" s="80"/>
    </row>
    <row r="106" spans="2:25" x14ac:dyDescent="0.2">
      <c r="I106" s="77"/>
      <c r="L106" s="5"/>
      <c r="O106" s="80"/>
    </row>
    <row r="107" spans="2:25" x14ac:dyDescent="0.2">
      <c r="I107" s="77"/>
      <c r="L107" s="5"/>
      <c r="O107" s="80"/>
    </row>
    <row r="108" spans="2:25" x14ac:dyDescent="0.2">
      <c r="I108" s="77"/>
      <c r="L108" s="5"/>
      <c r="O108" s="80"/>
    </row>
    <row r="109" spans="2:25" x14ac:dyDescent="0.2">
      <c r="I109" s="77"/>
      <c r="L109" s="5"/>
      <c r="O109" s="80"/>
    </row>
    <row r="110" spans="2:25" x14ac:dyDescent="0.2">
      <c r="I110" s="77"/>
      <c r="L110" s="5"/>
      <c r="O110" s="80"/>
    </row>
    <row r="111" spans="2:25" x14ac:dyDescent="0.2">
      <c r="I111" s="77"/>
      <c r="L111" s="5"/>
      <c r="O111" s="80"/>
    </row>
    <row r="112" spans="2:25" x14ac:dyDescent="0.2">
      <c r="I112" s="77"/>
      <c r="L112" s="5"/>
      <c r="O112" s="80"/>
    </row>
    <row r="113" spans="5:15" x14ac:dyDescent="0.2">
      <c r="I113" s="77"/>
      <c r="L113" s="5"/>
      <c r="O113" s="80"/>
    </row>
    <row r="114" spans="5:15" x14ac:dyDescent="0.2">
      <c r="I114" s="77"/>
      <c r="L114" s="5"/>
      <c r="O114" s="80"/>
    </row>
    <row r="115" spans="5:15" x14ac:dyDescent="0.2">
      <c r="I115" s="77"/>
      <c r="L115" s="5"/>
      <c r="O115" s="80"/>
    </row>
    <row r="116" spans="5:15" x14ac:dyDescent="0.2">
      <c r="I116" s="77"/>
      <c r="L116" s="5"/>
      <c r="O116" s="80"/>
    </row>
    <row r="117" spans="5:15" x14ac:dyDescent="0.2">
      <c r="I117" s="77"/>
      <c r="L117" s="5"/>
      <c r="O117" s="80"/>
    </row>
    <row r="118" spans="5:15" x14ac:dyDescent="0.2">
      <c r="I118" s="77"/>
      <c r="L118" s="5"/>
      <c r="O118" s="80"/>
    </row>
    <row r="119" spans="5:15" ht="13.5" thickBot="1" x14ac:dyDescent="0.25">
      <c r="L119" s="5"/>
    </row>
    <row r="120" spans="5:15" x14ac:dyDescent="0.2">
      <c r="E120" s="50"/>
      <c r="F120" s="51"/>
      <c r="G120" s="52">
        <f>G132</f>
        <v>7.6378643126087553E-2</v>
      </c>
      <c r="H120" s="52">
        <f>H132</f>
        <v>2.8199374219264859E-2</v>
      </c>
      <c r="I120" s="52">
        <f>I132</f>
        <v>0.89542198265464756</v>
      </c>
      <c r="J120" s="51"/>
      <c r="K120" s="53"/>
      <c r="L120" s="5"/>
      <c r="M120" s="47"/>
      <c r="N120" s="47"/>
      <c r="O120" s="47"/>
    </row>
    <row r="121" spans="5:15" x14ac:dyDescent="0.2">
      <c r="E121" s="54"/>
      <c r="F121" s="38"/>
      <c r="G121" s="38"/>
      <c r="H121" s="38"/>
      <c r="I121" s="38"/>
      <c r="J121" s="38"/>
      <c r="K121" s="55"/>
      <c r="L121" s="5"/>
      <c r="M121" s="48"/>
    </row>
    <row r="122" spans="5:15" x14ac:dyDescent="0.2">
      <c r="E122" s="54" t="s">
        <v>69</v>
      </c>
      <c r="F122" s="38"/>
      <c r="G122" s="38"/>
      <c r="H122" s="38"/>
      <c r="I122" s="38"/>
      <c r="J122" s="38"/>
      <c r="K122" s="56">
        <v>3057576</v>
      </c>
      <c r="L122" s="5"/>
      <c r="M122" s="49"/>
    </row>
    <row r="123" spans="5:15" x14ac:dyDescent="0.2">
      <c r="E123" s="54" t="s">
        <v>91</v>
      </c>
      <c r="F123" s="38"/>
      <c r="G123" s="38"/>
      <c r="H123" s="38"/>
      <c r="I123" s="38"/>
      <c r="J123" s="38"/>
      <c r="K123" s="56">
        <v>0</v>
      </c>
      <c r="L123" s="5"/>
      <c r="M123" s="49"/>
    </row>
    <row r="124" spans="5:15" x14ac:dyDescent="0.2">
      <c r="E124" s="54"/>
      <c r="F124" s="38"/>
      <c r="G124" s="38"/>
      <c r="H124" s="38"/>
      <c r="I124" s="38"/>
      <c r="J124" s="38"/>
      <c r="K124" s="56"/>
      <c r="L124" s="5"/>
      <c r="M124" s="49"/>
    </row>
    <row r="125" spans="5:15" x14ac:dyDescent="0.2">
      <c r="E125" s="54" t="s">
        <v>70</v>
      </c>
      <c r="F125" s="38"/>
      <c r="G125" s="38"/>
      <c r="H125" s="38"/>
      <c r="I125" s="38"/>
      <c r="J125" s="38"/>
      <c r="K125" s="72">
        <f>SUM(K122:K124)</f>
        <v>3057576</v>
      </c>
      <c r="L125" s="5"/>
      <c r="M125" s="49"/>
    </row>
    <row r="126" spans="5:15" x14ac:dyDescent="0.2">
      <c r="E126" s="54" t="s">
        <v>71</v>
      </c>
      <c r="F126" s="38"/>
      <c r="G126" s="38"/>
      <c r="H126" s="38"/>
      <c r="I126" s="38"/>
      <c r="J126" s="38"/>
      <c r="K126" s="56">
        <f>-K61</f>
        <v>-458263</v>
      </c>
      <c r="L126" s="5"/>
      <c r="M126" s="49"/>
    </row>
    <row r="127" spans="5:15" ht="13.5" thickBot="1" x14ac:dyDescent="0.25">
      <c r="E127" s="54" t="s">
        <v>72</v>
      </c>
      <c r="F127" s="38"/>
      <c r="G127" s="38"/>
      <c r="H127" s="38"/>
      <c r="I127" s="38"/>
      <c r="J127" s="38"/>
      <c r="K127" s="73">
        <f>SUM(K125:K126)</f>
        <v>2599313</v>
      </c>
      <c r="L127" s="5"/>
      <c r="M127" s="49"/>
    </row>
    <row r="128" spans="5:15" ht="13.5" thickTop="1" x14ac:dyDescent="0.2">
      <c r="E128" s="54"/>
      <c r="F128" s="38"/>
      <c r="G128" s="38"/>
      <c r="H128" s="38"/>
      <c r="I128" s="38"/>
      <c r="J128" s="38"/>
      <c r="K128" s="56"/>
      <c r="L128" s="5"/>
      <c r="M128" s="49"/>
    </row>
    <row r="129" spans="2:13" ht="13.5" thickBot="1" x14ac:dyDescent="0.25">
      <c r="E129" s="57" t="s">
        <v>73</v>
      </c>
      <c r="F129" s="38"/>
      <c r="G129" s="58">
        <v>198532</v>
      </c>
      <c r="H129" s="59">
        <v>73299</v>
      </c>
      <c r="I129" s="59">
        <v>2785745</v>
      </c>
      <c r="J129" s="38"/>
      <c r="K129" s="56"/>
      <c r="L129" s="5"/>
      <c r="M129" s="49"/>
    </row>
    <row r="130" spans="2:13" ht="13.5" thickTop="1" x14ac:dyDescent="0.2">
      <c r="E130" s="54" t="s">
        <v>74</v>
      </c>
      <c r="F130" s="38"/>
      <c r="G130" s="60"/>
      <c r="H130" s="61"/>
      <c r="I130" s="61">
        <f>-K61</f>
        <v>-458263</v>
      </c>
      <c r="K130" s="55"/>
      <c r="L130" s="5"/>
    </row>
    <row r="131" spans="2:13" ht="13.5" thickBot="1" x14ac:dyDescent="0.25">
      <c r="E131" s="54" t="s">
        <v>75</v>
      </c>
      <c r="F131" s="38"/>
      <c r="G131" s="63"/>
      <c r="H131" s="64">
        <f>SUM(H129:H130)</f>
        <v>73299</v>
      </c>
      <c r="I131" s="64">
        <f>SUM(I129:I130)</f>
        <v>2327482</v>
      </c>
      <c r="J131" s="65"/>
      <c r="K131" s="56"/>
      <c r="L131" s="5"/>
    </row>
    <row r="132" spans="2:13" ht="14.25" thickTop="1" thickBot="1" x14ac:dyDescent="0.25">
      <c r="E132" s="54" t="s">
        <v>76</v>
      </c>
      <c r="F132" s="38"/>
      <c r="G132" s="66">
        <f>1-(H132+I132)</f>
        <v>7.6378643126087553E-2</v>
      </c>
      <c r="H132" s="66">
        <f>H$131/$K$127</f>
        <v>2.8199374219264859E-2</v>
      </c>
      <c r="I132" s="66">
        <f>I$131/$K$127</f>
        <v>0.89542198265464756</v>
      </c>
      <c r="J132" s="49"/>
      <c r="K132" s="56"/>
      <c r="L132" s="5"/>
    </row>
    <row r="133" spans="2:13" ht="14.25" thickTop="1" thickBot="1" x14ac:dyDescent="0.25">
      <c r="E133" s="67"/>
      <c r="F133" s="68"/>
      <c r="G133" s="69" t="s">
        <v>77</v>
      </c>
      <c r="H133" s="69" t="s">
        <v>78</v>
      </c>
      <c r="I133" s="69" t="s">
        <v>79</v>
      </c>
      <c r="J133" s="68"/>
      <c r="K133" s="70"/>
      <c r="L133" s="5"/>
    </row>
    <row r="134" spans="2:13" x14ac:dyDescent="0.2">
      <c r="J134" s="51"/>
      <c r="K134" s="74"/>
      <c r="L134" s="15"/>
    </row>
    <row r="135" spans="2:13" x14ac:dyDescent="0.2">
      <c r="J135" s="38"/>
      <c r="K135" s="63"/>
      <c r="L135" s="15"/>
    </row>
    <row r="136" spans="2:13" x14ac:dyDescent="0.2">
      <c r="B136" s="2" t="s">
        <v>84</v>
      </c>
      <c r="C136" s="2"/>
      <c r="D136" s="2" t="s">
        <v>135</v>
      </c>
      <c r="E136" s="78"/>
      <c r="F136" s="71"/>
      <c r="G136" s="49"/>
      <c r="H136" s="49"/>
      <c r="I136" s="49"/>
      <c r="J136" s="38"/>
      <c r="K136" s="63"/>
      <c r="L136" s="15"/>
    </row>
    <row r="137" spans="2:13" x14ac:dyDescent="0.2">
      <c r="B137" s="2" t="s">
        <v>85</v>
      </c>
      <c r="C137" s="2"/>
      <c r="D137" s="2"/>
      <c r="E137" s="71"/>
      <c r="F137" s="71"/>
      <c r="G137" s="71"/>
      <c r="H137" s="71"/>
      <c r="I137" s="49"/>
      <c r="J137" s="38"/>
      <c r="K137" s="38"/>
      <c r="M137" s="62"/>
    </row>
    <row r="138" spans="2:13" x14ac:dyDescent="0.2">
      <c r="B138" s="2" t="s">
        <v>81</v>
      </c>
      <c r="C138" s="2"/>
      <c r="D138" s="2" t="s">
        <v>136</v>
      </c>
      <c r="E138" s="71"/>
      <c r="F138" s="71"/>
      <c r="G138" s="71"/>
      <c r="H138" s="49"/>
      <c r="I138" s="49"/>
      <c r="J138" s="38"/>
      <c r="K138" s="38"/>
    </row>
    <row r="139" spans="2:13" x14ac:dyDescent="0.2">
      <c r="B139" s="2" t="s">
        <v>83</v>
      </c>
      <c r="C139" s="2"/>
      <c r="D139" s="2" t="s">
        <v>137</v>
      </c>
      <c r="E139" s="71"/>
      <c r="F139" s="71"/>
      <c r="G139" s="75"/>
      <c r="H139" s="75"/>
      <c r="I139" s="75"/>
    </row>
    <row r="140" spans="2:13" x14ac:dyDescent="0.2">
      <c r="B140" s="2" t="s">
        <v>82</v>
      </c>
      <c r="C140" s="2"/>
      <c r="D140" s="2" t="s">
        <v>138</v>
      </c>
      <c r="E140" s="71"/>
      <c r="F140" s="71"/>
      <c r="G140" s="49"/>
      <c r="H140" s="49"/>
      <c r="I140" s="49"/>
    </row>
    <row r="141" spans="2:13" x14ac:dyDescent="0.2">
      <c r="E141" s="71"/>
      <c r="F141" s="71"/>
      <c r="G141" s="75"/>
      <c r="H141" s="75"/>
      <c r="I141" s="75"/>
    </row>
    <row r="142" spans="2:13" x14ac:dyDescent="0.2">
      <c r="B142" s="2" t="s">
        <v>92</v>
      </c>
      <c r="D142" s="2" t="s">
        <v>139</v>
      </c>
      <c r="E142" s="71"/>
      <c r="F142" s="71"/>
      <c r="G142" s="76"/>
      <c r="H142" s="76"/>
      <c r="I142" s="76"/>
      <c r="J142" s="38"/>
    </row>
    <row r="143" spans="2:13" x14ac:dyDescent="0.2">
      <c r="G143" s="63"/>
      <c r="H143" s="63"/>
      <c r="I143" s="63"/>
      <c r="J143" s="38"/>
    </row>
    <row r="144" spans="2:13" x14ac:dyDescent="0.2">
      <c r="G144" s="38"/>
      <c r="H144" s="38"/>
      <c r="I144" s="38"/>
      <c r="J144" s="38"/>
    </row>
  </sheetData>
  <mergeCells count="2">
    <mergeCell ref="G3:K3"/>
    <mergeCell ref="M3:Q3"/>
  </mergeCells>
  <printOptions horizontalCentered="1"/>
  <pageMargins left="0.25" right="0.25" top="0.5" bottom="0.25" header="0.25" footer="0"/>
  <pageSetup scale="58" fitToHeight="0" orientation="landscape" copies="2" r:id="rId1"/>
  <headerFooter alignWithMargins="0"/>
  <rowBreaks count="1" manualBreakCount="1">
    <brk id="58"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2014 Wind Storm #7</vt:lpstr>
      <vt:lpstr>2014 Wind Storm #3</vt:lpstr>
      <vt:lpstr>2013 Thunderstorm #1</vt:lpstr>
      <vt:lpstr>2012 Hurricane Sandy #7</vt:lpstr>
      <vt:lpstr>2012 Thunderstorm #4</vt:lpstr>
      <vt:lpstr>2012 Derecho #3</vt:lpstr>
      <vt:lpstr>2012 Tornado #2</vt:lpstr>
      <vt:lpstr>2012 Snow Storm #1</vt:lpstr>
      <vt:lpstr>'2012 Derecho #3'!Print_Area</vt:lpstr>
      <vt:lpstr>'2012 Hurricane Sandy #7'!Print_Area</vt:lpstr>
      <vt:lpstr>'2012 Snow Storm #1'!Print_Area</vt:lpstr>
      <vt:lpstr>'2012 Thunderstorm #4'!Print_Area</vt:lpstr>
      <vt:lpstr>'2012 Tornado #2'!Print_Area</vt:lpstr>
      <vt:lpstr>'2013 Thunderstorm #1'!Print_Area</vt:lpstr>
      <vt:lpstr>'2014 Wind Storm #3'!Print_Area</vt:lpstr>
      <vt:lpstr>'2014 Wind Storm #7'!Print_Area</vt:lpstr>
      <vt:lpstr>'2012 Derecho #3'!Print_Titles</vt:lpstr>
      <vt:lpstr>'2012 Hurricane Sandy #7'!Print_Titles</vt:lpstr>
      <vt:lpstr>'2012 Snow Storm #1'!Print_Titles</vt:lpstr>
      <vt:lpstr>'2012 Thunderstorm #4'!Print_Titles</vt:lpstr>
      <vt:lpstr>'2012 Tornado #2'!Print_Titles</vt:lpstr>
      <vt:lpstr>'2013 Thunderstorm #1'!Print_Titles</vt:lpstr>
      <vt:lpstr>'2014 Wind Storm #3'!Print_Titles</vt:lpstr>
      <vt:lpstr>'2014 Wind Storm #7'!Print_Titles</vt:lpstr>
      <vt:lpstr>'2012 Derecho #3'!TotalOTHours</vt:lpstr>
      <vt:lpstr>'2012 Hurricane Sandy #7'!TotalOTHours</vt:lpstr>
      <vt:lpstr>'2012 Snow Storm #1'!TotalOTHours</vt:lpstr>
      <vt:lpstr>'2012 Thunderstorm #4'!TotalOTHours</vt:lpstr>
      <vt:lpstr>'2012 Tornado #2'!TotalOTHours</vt:lpstr>
      <vt:lpstr>'2013 Thunderstorm #1'!TotalOTHours</vt:lpstr>
      <vt:lpstr>'2014 Wind Storm #3'!TotalOTHours</vt:lpstr>
      <vt:lpstr>'2014 Wind Storm #7'!TotalOTHours</vt:lpstr>
    </vt:vector>
  </TitlesOfParts>
  <Company>AEP-IT-CPS 4/30/3-(8-835-3050)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E. Keyser</dc:creator>
  <cp:lastModifiedBy>Lloyd E. Keyser</cp:lastModifiedBy>
  <cp:lastPrinted>2014-10-16T19:26:55Z</cp:lastPrinted>
  <dcterms:created xsi:type="dcterms:W3CDTF">2010-12-06T19:46:44Z</dcterms:created>
  <dcterms:modified xsi:type="dcterms:W3CDTF">2014-11-04T13:21:23Z</dcterms:modified>
</cp:coreProperties>
</file>