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725" tabRatio="826"/>
  </bookViews>
  <sheets>
    <sheet name="Rev Req" sheetId="21" r:id="rId1"/>
    <sheet name=" Exhibit AEV 4" sheetId="16" r:id="rId2"/>
    <sheet name="CP and kWh" sheetId="20" r:id="rId3"/>
  </sheets>
  <definedNames>
    <definedName name="_xlnm.Print_Area" localSheetId="1">' Exhibit AEV 4'!$A$1:$N$36</definedName>
    <definedName name="_xlnm.Print_Area" localSheetId="2">'CP and kWh'!$A$1:$D$22</definedName>
  </definedNames>
  <calcPr calcId="145621"/>
  <customWorkbookViews>
    <customWorkbookView name="AEP - Personal View" guid="{1A71DBA7-455A-42A6-8E67-76585C9C5BEF}" mergeInterval="0" personalView="1" maximized="1" windowWidth="1020" windowHeight="553" tabRatio="826" activeSheetId="11"/>
  </customWorkbookViews>
</workbook>
</file>

<file path=xl/calcChain.xml><?xml version="1.0" encoding="utf-8"?>
<calcChain xmlns="http://schemas.openxmlformats.org/spreadsheetml/2006/main">
  <c r="B14" i="21" l="1"/>
  <c r="B8" i="21"/>
  <c r="B9" i="21" s="1"/>
  <c r="B10" i="21" l="1"/>
  <c r="B12" i="21" s="1"/>
  <c r="B15" i="21"/>
  <c r="B16" i="21" s="1"/>
  <c r="K22" i="16" l="1"/>
  <c r="K20" i="16"/>
  <c r="D26" i="16"/>
  <c r="D22" i="16"/>
  <c r="K21" i="16" l="1"/>
  <c r="I22" i="16"/>
  <c r="K24" i="16"/>
  <c r="K26" i="16"/>
  <c r="G20" i="16" l="1"/>
  <c r="H20" i="16"/>
  <c r="F23" i="16" l="1"/>
  <c r="I29" i="16" l="1"/>
  <c r="I28" i="16"/>
  <c r="I27" i="16"/>
  <c r="I25" i="16"/>
  <c r="I23" i="16"/>
  <c r="I21" i="16"/>
  <c r="I20" i="16"/>
  <c r="D24" i="16" l="1"/>
  <c r="C25" i="16"/>
  <c r="C23" i="16"/>
  <c r="C19" i="20"/>
  <c r="D31" i="16" l="1"/>
  <c r="E20" i="16"/>
  <c r="E29" i="16" l="1"/>
  <c r="E21" i="16" l="1"/>
  <c r="E22" i="16"/>
  <c r="E23" i="16" s="1"/>
  <c r="E24" i="16"/>
  <c r="E25" i="16" s="1"/>
  <c r="F25" i="16" s="1"/>
  <c r="E26" i="16"/>
  <c r="E27" i="16"/>
  <c r="E28" i="16"/>
  <c r="C21" i="16"/>
  <c r="C22" i="16"/>
  <c r="C24" i="16"/>
  <c r="C26" i="16"/>
  <c r="C27" i="16"/>
  <c r="C28" i="16"/>
  <c r="C29" i="16"/>
  <c r="C20" i="16"/>
  <c r="D19" i="20"/>
  <c r="F20" i="16" l="1"/>
  <c r="C31" i="16"/>
  <c r="F21" i="16"/>
  <c r="F22" i="16"/>
  <c r="F24" i="16"/>
  <c r="F26" i="16"/>
  <c r="F27" i="16"/>
  <c r="F28" i="16"/>
  <c r="F29" i="16"/>
  <c r="H29" i="16" l="1"/>
  <c r="H22" i="16"/>
  <c r="H28" i="16"/>
  <c r="H25" i="16"/>
  <c r="H27" i="16"/>
  <c r="H24" i="16"/>
  <c r="H23" i="16"/>
  <c r="H26" i="16"/>
  <c r="F31" i="16"/>
  <c r="M20" i="16" l="1"/>
  <c r="N20" i="16" s="1"/>
  <c r="G26" i="16"/>
  <c r="I26" i="16" s="1"/>
  <c r="G27" i="16"/>
  <c r="K27" i="16" s="1"/>
  <c r="G24" i="16"/>
  <c r="I24" i="16" s="1"/>
  <c r="G29" i="16"/>
  <c r="K29" i="16" s="1"/>
  <c r="G22" i="16"/>
  <c r="G28" i="16"/>
  <c r="K28" i="16" s="1"/>
  <c r="G25" i="16"/>
  <c r="K25" i="16" s="1"/>
  <c r="M25" i="16" s="1"/>
  <c r="N25" i="16" s="1"/>
  <c r="G23" i="16"/>
  <c r="K23" i="16" s="1"/>
  <c r="H21" i="16"/>
  <c r="G21" i="16" l="1"/>
  <c r="M21" i="16" s="1"/>
  <c r="N21" i="16" s="1"/>
  <c r="I9" i="16"/>
  <c r="M29" i="16" l="1"/>
  <c r="N29" i="16" s="1"/>
  <c r="M27" i="16"/>
  <c r="N27" i="16" s="1"/>
  <c r="M26" i="16"/>
  <c r="N26" i="16" s="1"/>
  <c r="M28" i="16"/>
  <c r="N28" i="16" s="1"/>
  <c r="M24" i="16" l="1"/>
  <c r="N24" i="16" s="1"/>
  <c r="G31" i="16"/>
  <c r="H31" i="16"/>
  <c r="M23" i="16"/>
  <c r="N23" i="16" s="1"/>
  <c r="M22" i="16"/>
  <c r="N22" i="16" s="1"/>
  <c r="N31" i="16" s="1"/>
  <c r="M31" i="16" l="1"/>
</calcChain>
</file>

<file path=xl/sharedStrings.xml><?xml version="1.0" encoding="utf-8"?>
<sst xmlns="http://schemas.openxmlformats.org/spreadsheetml/2006/main" count="98" uniqueCount="75">
  <si>
    <t>Demand</t>
  </si>
  <si>
    <t>Total</t>
  </si>
  <si>
    <t>Energy</t>
  </si>
  <si>
    <t>Factor</t>
  </si>
  <si>
    <t>SL</t>
  </si>
  <si>
    <t>OL</t>
  </si>
  <si>
    <t>Revenue</t>
  </si>
  <si>
    <t>Class</t>
  </si>
  <si>
    <t>SGS</t>
  </si>
  <si>
    <t>MGS</t>
  </si>
  <si>
    <t>LGS</t>
  </si>
  <si>
    <t>Test Year</t>
  </si>
  <si>
    <t>CP</t>
  </si>
  <si>
    <t>Billing</t>
  </si>
  <si>
    <t>CP / kWh</t>
  </si>
  <si>
    <t>Allocation</t>
  </si>
  <si>
    <t>Allocated</t>
  </si>
  <si>
    <t>$ / kWh</t>
  </si>
  <si>
    <t>Ratio</t>
  </si>
  <si>
    <t>Costs</t>
  </si>
  <si>
    <t>Rate</t>
  </si>
  <si>
    <t>Verification</t>
  </si>
  <si>
    <t>Related</t>
  </si>
  <si>
    <t>on (2)</t>
  </si>
  <si>
    <t>RES</t>
  </si>
  <si>
    <t>MW</t>
  </si>
  <si>
    <t>kWh Energy</t>
  </si>
  <si>
    <t>kW 12 CP</t>
  </si>
  <si>
    <t>Historic Period</t>
  </si>
  <si>
    <t>Kentucky Power Company</t>
  </si>
  <si>
    <t xml:space="preserve">KPCo KY Retail PSC Jurisdiction </t>
  </si>
  <si>
    <t>Class Billing Determinants</t>
  </si>
  <si>
    <t>(5) = (2) x (4)</t>
  </si>
  <si>
    <t>on (5)</t>
  </si>
  <si>
    <t>$ / kW</t>
  </si>
  <si>
    <t>(8) = (6) / (3)</t>
  </si>
  <si>
    <t>(9) = (7) / (2)</t>
  </si>
  <si>
    <t>Non Demand MGS Sec</t>
  </si>
  <si>
    <t>LGS  LMTOD</t>
  </si>
  <si>
    <t>LGS LMTOD</t>
  </si>
  <si>
    <t>12 Months Ended Sept 2014</t>
  </si>
  <si>
    <t>KY Retail Jurisdiction</t>
  </si>
  <si>
    <t>Revenue Requirement</t>
  </si>
  <si>
    <t>Notes:</t>
  </si>
  <si>
    <t>Non Demand MGS Sec includes MGS RL, MGS LMTOD and MGS TOD</t>
  </si>
  <si>
    <t>QP/CIP</t>
  </si>
  <si>
    <t>Revised after Revenue Verification</t>
  </si>
  <si>
    <t>Difference</t>
  </si>
  <si>
    <t>(11) =</t>
  </si>
  <si>
    <t>(10) - (6) - (7)</t>
  </si>
  <si>
    <t>Exhibit AEV 4</t>
  </si>
  <si>
    <r>
      <t xml:space="preserve">Non Demand MGS Sec </t>
    </r>
    <r>
      <rPr>
        <vertAlign val="superscript"/>
        <sz val="14"/>
        <rFont val="Arial"/>
        <family val="2"/>
      </rPr>
      <t>1</t>
    </r>
  </si>
  <si>
    <t>IGS (QP / CIP-TOD)</t>
  </si>
  <si>
    <t>Big Sandy 1 Operation Rider Rate Design</t>
  </si>
  <si>
    <t>Big Sandy 1 Operations Rider (BS1OR)</t>
  </si>
  <si>
    <t>Big Sandy 1 Coal Operations</t>
  </si>
  <si>
    <t>KY Retail</t>
  </si>
  <si>
    <t>Non Fuel Plant O&amp;M - Demand</t>
  </si>
  <si>
    <t>a</t>
  </si>
  <si>
    <t>Non Fuel Plant O&amp;M - Energy</t>
  </si>
  <si>
    <t>b</t>
  </si>
  <si>
    <t>Jan- Sept 14 PJM Charges and Credits</t>
  </si>
  <si>
    <t>c</t>
  </si>
  <si>
    <t>Annualize PJM Charges and Credits</t>
  </si>
  <si>
    <t>d = c/9*12</t>
  </si>
  <si>
    <t xml:space="preserve">Total BS1 Operational Expense </t>
  </si>
  <si>
    <t>e = a+b+d</t>
  </si>
  <si>
    <t>gross up factor</t>
  </si>
  <si>
    <t>f</t>
  </si>
  <si>
    <t>KY Retail Total</t>
  </si>
  <si>
    <t>g = e*f</t>
  </si>
  <si>
    <t>Demand Total</t>
  </si>
  <si>
    <t>h = a*f</t>
  </si>
  <si>
    <t>Energy Total</t>
  </si>
  <si>
    <t>i= (b+d)*f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</si>
</sst>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0000%"/>
    <numFmt numFmtId="167" formatCode="0.000000_);\(0.000000\)"/>
    <numFmt numFmtId="168" formatCode="_(&quot;$&quot;* #,##0_);_(&quot;$&quot;* \(#,##0\);_(&quot;$&quot;* &quot;-&quot;??_);_(@_)"/>
    <numFmt numFmtId="169" formatCode="&quot;$&quot;#,##0.00000"/>
    <numFmt numFmtId="170" formatCode="&quot;$&quot;#,##0"/>
  </numFmts>
  <fonts count="3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7" fillId="0" borderId="9">
      <alignment horizontal="center"/>
    </xf>
    <xf numFmtId="3" fontId="2" fillId="0" borderId="0" applyFont="0" applyFill="0" applyBorder="0" applyAlignment="0" applyProtection="0"/>
    <xf numFmtId="0" fontId="2" fillId="24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65">
    <xf numFmtId="0" fontId="0" fillId="0" borderId="0" xfId="0"/>
    <xf numFmtId="0" fontId="0" fillId="25" borderId="0" xfId="0" applyFill="1"/>
    <xf numFmtId="0" fontId="0" fillId="25" borderId="0" xfId="0" applyFill="1" applyAlignment="1"/>
    <xf numFmtId="0" fontId="1" fillId="25" borderId="0" xfId="0" applyFont="1" applyFill="1"/>
    <xf numFmtId="0" fontId="21" fillId="25" borderId="0" xfId="0" applyFont="1" applyFill="1"/>
    <xf numFmtId="165" fontId="21" fillId="25" borderId="0" xfId="0" applyNumberFormat="1" applyFont="1" applyFill="1"/>
    <xf numFmtId="0" fontId="23" fillId="25" borderId="0" xfId="0" applyFont="1" applyFill="1" applyAlignment="1"/>
    <xf numFmtId="0" fontId="23" fillId="25" borderId="0" xfId="0" applyFont="1" applyFill="1"/>
    <xf numFmtId="0" fontId="23" fillId="25" borderId="0" xfId="0" applyFont="1" applyFill="1" applyBorder="1"/>
    <xf numFmtId="0" fontId="24" fillId="25" borderId="0" xfId="0" applyFont="1" applyFill="1" applyAlignment="1">
      <alignment horizontal="center"/>
    </xf>
    <xf numFmtId="165" fontId="23" fillId="25" borderId="0" xfId="0" applyNumberFormat="1" applyFont="1" applyFill="1" applyAlignment="1">
      <alignment horizontal="center"/>
    </xf>
    <xf numFmtId="3" fontId="23" fillId="25" borderId="0" xfId="0" applyNumberFormat="1" applyFont="1" applyFill="1"/>
    <xf numFmtId="164" fontId="23" fillId="25" borderId="0" xfId="28" applyNumberFormat="1" applyFont="1" applyFill="1"/>
    <xf numFmtId="37" fontId="23" fillId="25" borderId="0" xfId="0" applyNumberFormat="1" applyFont="1" applyFill="1"/>
    <xf numFmtId="168" fontId="23" fillId="25" borderId="0" xfId="29" applyNumberFormat="1" applyFont="1" applyFill="1" applyAlignment="1">
      <alignment horizontal="right"/>
    </xf>
    <xf numFmtId="0" fontId="25" fillId="25" borderId="0" xfId="0" applyFont="1" applyFill="1" applyAlignment="1"/>
    <xf numFmtId="0" fontId="25" fillId="25" borderId="12" xfId="0" applyFont="1" applyFill="1" applyBorder="1" applyAlignment="1"/>
    <xf numFmtId="0" fontId="25" fillId="25" borderId="13" xfId="0" applyFont="1" applyFill="1" applyBorder="1"/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5" fillId="25" borderId="0" xfId="0" applyFont="1" applyFill="1"/>
    <xf numFmtId="0" fontId="25" fillId="25" borderId="15" xfId="0" applyFont="1" applyFill="1" applyBorder="1" applyAlignment="1"/>
    <xf numFmtId="0" fontId="25" fillId="25" borderId="0" xfId="0" applyFont="1" applyFill="1" applyBorder="1"/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5" fillId="25" borderId="17" xfId="0" applyFont="1" applyFill="1" applyBorder="1" applyAlignment="1"/>
    <xf numFmtId="0" fontId="25" fillId="25" borderId="9" xfId="0" applyFont="1" applyFill="1" applyBorder="1"/>
    <xf numFmtId="5" fontId="25" fillId="25" borderId="9" xfId="0" applyNumberFormat="1" applyFont="1" applyFill="1" applyBorder="1"/>
    <xf numFmtId="5" fontId="25" fillId="25" borderId="18" xfId="0" applyNumberFormat="1" applyFont="1" applyFill="1" applyBorder="1" applyAlignment="1"/>
    <xf numFmtId="37" fontId="25" fillId="25" borderId="0" xfId="0" applyNumberFormat="1" applyFont="1" applyFill="1" applyAlignment="1"/>
    <xf numFmtId="0" fontId="25" fillId="25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65" fontId="25" fillId="25" borderId="0" xfId="0" applyNumberFormat="1" applyFont="1" applyFill="1" applyAlignment="1">
      <alignment horizontal="center"/>
    </xf>
    <xf numFmtId="165" fontId="25" fillId="25" borderId="0" xfId="0" quotePrefix="1" applyNumberFormat="1" applyFont="1" applyFill="1" applyAlignment="1">
      <alignment horizontal="center"/>
    </xf>
    <xf numFmtId="38" fontId="25" fillId="25" borderId="0" xfId="0" applyNumberFormat="1" applyFont="1" applyFill="1"/>
    <xf numFmtId="166" fontId="25" fillId="25" borderId="0" xfId="0" applyNumberFormat="1" applyFont="1" applyFill="1"/>
    <xf numFmtId="6" fontId="25" fillId="25" borderId="0" xfId="29" applyNumberFormat="1" applyFont="1" applyFill="1"/>
    <xf numFmtId="44" fontId="25" fillId="25" borderId="0" xfId="29" applyNumberFormat="1" applyFont="1" applyFill="1"/>
    <xf numFmtId="169" fontId="25" fillId="25" borderId="0" xfId="29" applyNumberFormat="1" applyFont="1" applyFill="1"/>
    <xf numFmtId="165" fontId="27" fillId="25" borderId="0" xfId="0" applyNumberFormat="1" applyFont="1" applyFill="1"/>
    <xf numFmtId="170" fontId="25" fillId="25" borderId="0" xfId="29" applyNumberFormat="1" applyFont="1" applyFill="1"/>
    <xf numFmtId="38" fontId="25" fillId="25" borderId="0" xfId="29" applyNumberFormat="1" applyFont="1" applyFill="1"/>
    <xf numFmtId="167" fontId="25" fillId="25" borderId="0" xfId="0" applyNumberFormat="1" applyFont="1" applyFill="1"/>
    <xf numFmtId="3" fontId="25" fillId="25" borderId="0" xfId="0" applyNumberFormat="1" applyFont="1" applyFill="1"/>
    <xf numFmtId="0" fontId="25" fillId="25" borderId="11" xfId="0" applyFont="1" applyFill="1" applyBorder="1"/>
    <xf numFmtId="38" fontId="25" fillId="25" borderId="11" xfId="0" applyNumberFormat="1" applyFont="1" applyFill="1" applyBorder="1"/>
    <xf numFmtId="3" fontId="25" fillId="25" borderId="11" xfId="0" applyNumberFormat="1" applyFont="1" applyFill="1" applyBorder="1"/>
    <xf numFmtId="6" fontId="25" fillId="25" borderId="11" xfId="0" applyNumberFormat="1" applyFont="1" applyFill="1" applyBorder="1"/>
    <xf numFmtId="38" fontId="1" fillId="25" borderId="0" xfId="0" applyNumberFormat="1" applyFont="1" applyFill="1"/>
    <xf numFmtId="0" fontId="22" fillId="25" borderId="0" xfId="0" applyFont="1" applyFill="1"/>
    <xf numFmtId="164" fontId="23" fillId="25" borderId="0" xfId="0" applyNumberFormat="1" applyFont="1" applyFill="1"/>
    <xf numFmtId="3" fontId="23" fillId="25" borderId="0" xfId="0" applyNumberFormat="1" applyFont="1" applyFill="1" applyBorder="1"/>
    <xf numFmtId="0" fontId="28" fillId="25" borderId="0" xfId="0" applyFont="1" applyFill="1" applyAlignment="1">
      <alignment horizontal="center"/>
    </xf>
    <xf numFmtId="0" fontId="30" fillId="0" borderId="0" xfId="0" applyFont="1"/>
    <xf numFmtId="0" fontId="0" fillId="0" borderId="0" xfId="0" applyAlignment="1">
      <alignment horizontal="center"/>
    </xf>
    <xf numFmtId="168" fontId="0" fillId="0" borderId="0" xfId="29" applyNumberFormat="1" applyFont="1"/>
    <xf numFmtId="0" fontId="0" fillId="0" borderId="19" xfId="0" applyBorder="1"/>
    <xf numFmtId="168" fontId="0" fillId="0" borderId="19" xfId="29" applyNumberFormat="1" applyFont="1" applyBorder="1"/>
    <xf numFmtId="0" fontId="0" fillId="0" borderId="0" xfId="0" quotePrefix="1"/>
    <xf numFmtId="168" fontId="0" fillId="0" borderId="0" xfId="0" applyNumberFormat="1"/>
    <xf numFmtId="0" fontId="0" fillId="0" borderId="11" xfId="0" applyBorder="1"/>
    <xf numFmtId="168" fontId="0" fillId="0" borderId="11" xfId="0" applyNumberFormat="1" applyBorder="1"/>
    <xf numFmtId="9" fontId="0" fillId="0" borderId="0" xfId="50" applyFont="1"/>
    <xf numFmtId="168" fontId="0" fillId="0" borderId="19" xfId="0" applyNumberFormat="1" applyBorder="1"/>
    <xf numFmtId="0" fontId="0" fillId="0" borderId="0" xfId="0" applyFill="1" applyBorder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50" builtinId="5"/>
    <cellStyle name="PSChar" xfId="41"/>
    <cellStyle name="PSDate" xfId="42"/>
    <cellStyle name="PSDec" xfId="43"/>
    <cellStyle name="PSHeading" xfId="44"/>
    <cellStyle name="PSInt" xfId="45"/>
    <cellStyle name="PSSpacer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D22" sqref="D22"/>
    </sheetView>
  </sheetViews>
  <sheetFormatPr defaultRowHeight="12.75" x14ac:dyDescent="0.2"/>
  <cols>
    <col min="1" max="1" width="34.7109375" bestFit="1" customWidth="1"/>
    <col min="2" max="2" width="12.28515625" bestFit="1" customWidth="1"/>
  </cols>
  <sheetData>
    <row r="1" spans="1:3" ht="15" x14ac:dyDescent="0.25">
      <c r="A1" s="53" t="s">
        <v>54</v>
      </c>
    </row>
    <row r="2" spans="1:3" x14ac:dyDescent="0.2">
      <c r="A2" t="s">
        <v>55</v>
      </c>
    </row>
    <row r="3" spans="1:3" x14ac:dyDescent="0.2">
      <c r="A3" t="s">
        <v>42</v>
      </c>
    </row>
    <row r="5" spans="1:3" x14ac:dyDescent="0.2">
      <c r="B5" s="54" t="s">
        <v>56</v>
      </c>
    </row>
    <row r="6" spans="1:3" x14ac:dyDescent="0.2">
      <c r="A6" t="s">
        <v>57</v>
      </c>
      <c r="B6" s="55">
        <v>9150077</v>
      </c>
      <c r="C6" t="s">
        <v>58</v>
      </c>
    </row>
    <row r="7" spans="1:3" x14ac:dyDescent="0.2">
      <c r="A7" t="s">
        <v>59</v>
      </c>
      <c r="B7" s="55">
        <v>3351767</v>
      </c>
      <c r="C7" t="s">
        <v>60</v>
      </c>
    </row>
    <row r="8" spans="1:3" x14ac:dyDescent="0.2">
      <c r="A8" t="s">
        <v>61</v>
      </c>
      <c r="B8" s="55">
        <f>4300110*0.986</f>
        <v>4239908.46</v>
      </c>
      <c r="C8" t="s">
        <v>62</v>
      </c>
    </row>
    <row r="9" spans="1:3" x14ac:dyDescent="0.2">
      <c r="A9" s="56" t="s">
        <v>63</v>
      </c>
      <c r="B9" s="57">
        <f>B8/9*12</f>
        <v>5653211.2800000003</v>
      </c>
      <c r="C9" s="58" t="s">
        <v>64</v>
      </c>
    </row>
    <row r="10" spans="1:3" x14ac:dyDescent="0.2">
      <c r="A10" t="s">
        <v>65</v>
      </c>
      <c r="B10" s="59">
        <f>B9+B6+B7</f>
        <v>18155055.280000001</v>
      </c>
      <c r="C10" t="s">
        <v>66</v>
      </c>
    </row>
    <row r="11" spans="1:3" x14ac:dyDescent="0.2">
      <c r="A11" t="s">
        <v>67</v>
      </c>
      <c r="B11">
        <v>1.004977</v>
      </c>
      <c r="C11" t="s">
        <v>68</v>
      </c>
    </row>
    <row r="12" spans="1:3" x14ac:dyDescent="0.2">
      <c r="A12" s="60" t="s">
        <v>69</v>
      </c>
      <c r="B12" s="61">
        <f>B11*B10</f>
        <v>18245412.990128562</v>
      </c>
      <c r="C12" t="s">
        <v>70</v>
      </c>
    </row>
    <row r="14" spans="1:3" x14ac:dyDescent="0.2">
      <c r="A14" t="s">
        <v>71</v>
      </c>
      <c r="B14" s="59">
        <f>B6*B11</f>
        <v>9195616.9332289994</v>
      </c>
      <c r="C14" s="62" t="s">
        <v>72</v>
      </c>
    </row>
    <row r="15" spans="1:3" x14ac:dyDescent="0.2">
      <c r="A15" s="56" t="s">
        <v>73</v>
      </c>
      <c r="B15" s="63">
        <f>(B9+B7)*B11</f>
        <v>9049796.0568995606</v>
      </c>
      <c r="C15" s="62" t="s">
        <v>74</v>
      </c>
    </row>
    <row r="16" spans="1:3" x14ac:dyDescent="0.2">
      <c r="A16" s="64" t="s">
        <v>1</v>
      </c>
      <c r="B16" s="59">
        <f>B15+B14</f>
        <v>18245412.990128562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9"/>
  <sheetViews>
    <sheetView zoomScale="85" zoomScaleNormal="85" workbookViewId="0">
      <selection activeCell="F35" sqref="F35"/>
    </sheetView>
  </sheetViews>
  <sheetFormatPr defaultRowHeight="12.75" x14ac:dyDescent="0.2"/>
  <cols>
    <col min="1" max="1" width="2.5703125" style="1" customWidth="1"/>
    <col min="2" max="2" width="30.5703125" style="1" customWidth="1"/>
    <col min="3" max="3" width="20.28515625" style="1" bestFit="1" customWidth="1"/>
    <col min="4" max="4" width="14.7109375" style="1" bestFit="1" customWidth="1"/>
    <col min="5" max="5" width="17.140625" style="1" bestFit="1" customWidth="1"/>
    <col min="6" max="6" width="14.7109375" style="1" bestFit="1" customWidth="1"/>
    <col min="7" max="8" width="16.28515625" style="1" bestFit="1" customWidth="1"/>
    <col min="9" max="9" width="18" style="1" bestFit="1" customWidth="1"/>
    <col min="10" max="10" width="1.7109375" style="1" customWidth="1"/>
    <col min="11" max="11" width="13" style="1" bestFit="1" customWidth="1"/>
    <col min="12" max="12" width="2.5703125" style="1" bestFit="1" customWidth="1"/>
    <col min="13" max="13" width="18" style="1" bestFit="1" customWidth="1"/>
    <col min="14" max="14" width="12.2851562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2:14" ht="18" x14ac:dyDescent="0.25"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18" x14ac:dyDescent="0.25">
      <c r="B2" s="52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18" x14ac:dyDescent="0.25">
      <c r="B3" s="52" t="s">
        <v>53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s="7" customFormat="1" ht="15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4" s="7" customFormat="1" ht="15.75" thickBo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s="20" customFormat="1" ht="18" x14ac:dyDescent="0.25">
      <c r="B7" s="15"/>
      <c r="C7" s="15"/>
      <c r="D7" s="15"/>
      <c r="E7" s="16"/>
      <c r="F7" s="17"/>
      <c r="G7" s="18" t="s">
        <v>0</v>
      </c>
      <c r="H7" s="18" t="s">
        <v>2</v>
      </c>
      <c r="I7" s="18" t="s">
        <v>1</v>
      </c>
      <c r="J7" s="19"/>
      <c r="K7" s="15"/>
      <c r="L7" s="15"/>
      <c r="M7" s="15"/>
    </row>
    <row r="8" spans="2:14" s="20" customFormat="1" ht="18" x14ac:dyDescent="0.25">
      <c r="B8" s="15"/>
      <c r="C8" s="15"/>
      <c r="D8" s="15"/>
      <c r="E8" s="21" t="s">
        <v>41</v>
      </c>
      <c r="F8" s="22"/>
      <c r="G8" s="23"/>
      <c r="H8" s="23"/>
      <c r="I8" s="23"/>
      <c r="J8" s="24"/>
      <c r="K8" s="15"/>
      <c r="L8" s="15"/>
      <c r="M8" s="15"/>
    </row>
    <row r="9" spans="2:14" s="20" customFormat="1" ht="18.75" thickBot="1" x14ac:dyDescent="0.3">
      <c r="C9" s="15"/>
      <c r="D9" s="15"/>
      <c r="E9" s="25" t="s">
        <v>42</v>
      </c>
      <c r="F9" s="26"/>
      <c r="G9" s="27">
        <v>9195616.9332289994</v>
      </c>
      <c r="H9" s="27">
        <v>9049796.0568995606</v>
      </c>
      <c r="I9" s="27">
        <f>G9+H9</f>
        <v>18245412.990128562</v>
      </c>
      <c r="J9" s="28"/>
      <c r="K9" s="15"/>
      <c r="L9" s="15"/>
      <c r="M9" s="15"/>
    </row>
    <row r="10" spans="2:14" s="20" customFormat="1" ht="18" x14ac:dyDescent="0.25">
      <c r="B10" s="15"/>
      <c r="C10" s="15"/>
      <c r="D10" s="15"/>
      <c r="E10" s="15"/>
      <c r="F10" s="29"/>
      <c r="G10" s="29"/>
      <c r="H10" s="29"/>
      <c r="I10" s="15"/>
      <c r="J10" s="15"/>
      <c r="K10" s="15"/>
      <c r="L10" s="15"/>
      <c r="M10" s="15"/>
    </row>
    <row r="11" spans="2:14" s="20" customFormat="1" ht="18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4" s="20" customFormat="1" ht="18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4" s="20" customFormat="1" ht="18" x14ac:dyDescent="0.25">
      <c r="B13" s="30"/>
      <c r="E13" s="30"/>
      <c r="F13" s="30" t="s">
        <v>12</v>
      </c>
      <c r="G13" s="30" t="s">
        <v>16</v>
      </c>
      <c r="H13" s="30" t="s">
        <v>16</v>
      </c>
      <c r="K13" s="30"/>
      <c r="L13" s="30"/>
    </row>
    <row r="14" spans="2:14" s="20" customFormat="1" ht="18" x14ac:dyDescent="0.25">
      <c r="B14" s="30"/>
      <c r="C14" s="30" t="s">
        <v>28</v>
      </c>
      <c r="D14" s="30" t="s">
        <v>28</v>
      </c>
      <c r="E14" s="30" t="s">
        <v>11</v>
      </c>
      <c r="F14" s="30" t="s">
        <v>0</v>
      </c>
      <c r="G14" s="30" t="s">
        <v>0</v>
      </c>
      <c r="H14" s="30" t="s">
        <v>2</v>
      </c>
      <c r="K14" s="30"/>
      <c r="L14" s="30"/>
    </row>
    <row r="15" spans="2:14" s="20" customFormat="1" ht="18" x14ac:dyDescent="0.25">
      <c r="B15" s="30"/>
      <c r="C15" s="30" t="s">
        <v>13</v>
      </c>
      <c r="D15" s="30" t="s">
        <v>13</v>
      </c>
      <c r="E15" s="30" t="s">
        <v>14</v>
      </c>
      <c r="F15" s="30" t="s">
        <v>15</v>
      </c>
      <c r="G15" s="30" t="s">
        <v>22</v>
      </c>
      <c r="H15" s="30" t="s">
        <v>22</v>
      </c>
      <c r="I15" s="30" t="s">
        <v>34</v>
      </c>
      <c r="J15" s="30"/>
      <c r="K15" s="30" t="s">
        <v>17</v>
      </c>
      <c r="L15" s="30"/>
      <c r="M15" s="30" t="s">
        <v>6</v>
      </c>
    </row>
    <row r="16" spans="2:14" s="20" customFormat="1" ht="18" x14ac:dyDescent="0.25">
      <c r="B16" s="31" t="s">
        <v>7</v>
      </c>
      <c r="C16" s="31" t="s">
        <v>2</v>
      </c>
      <c r="D16" s="31" t="s">
        <v>0</v>
      </c>
      <c r="E16" s="31" t="s">
        <v>18</v>
      </c>
      <c r="F16" s="31" t="s">
        <v>3</v>
      </c>
      <c r="G16" s="31" t="s">
        <v>19</v>
      </c>
      <c r="H16" s="31" t="s">
        <v>19</v>
      </c>
      <c r="I16" s="31" t="s">
        <v>20</v>
      </c>
      <c r="J16" s="31"/>
      <c r="K16" s="31" t="s">
        <v>20</v>
      </c>
      <c r="L16" s="31"/>
      <c r="M16" s="31" t="s">
        <v>21</v>
      </c>
      <c r="N16" s="31" t="s">
        <v>47</v>
      </c>
    </row>
    <row r="17" spans="2:14" s="20" customFormat="1" ht="18" x14ac:dyDescent="0.25">
      <c r="B17" s="32">
        <v>-1</v>
      </c>
      <c r="C17" s="32">
        <v>-2</v>
      </c>
      <c r="D17" s="32">
        <v>-3</v>
      </c>
      <c r="E17" s="33">
        <v>-4</v>
      </c>
      <c r="F17" s="33" t="s">
        <v>32</v>
      </c>
      <c r="G17" s="32">
        <v>-6</v>
      </c>
      <c r="H17" s="32">
        <v>-7</v>
      </c>
      <c r="I17" s="33" t="s">
        <v>35</v>
      </c>
      <c r="J17" s="33"/>
      <c r="K17" s="33" t="s">
        <v>36</v>
      </c>
      <c r="L17" s="32"/>
      <c r="M17" s="32">
        <v>-10</v>
      </c>
      <c r="N17" s="33" t="s">
        <v>48</v>
      </c>
    </row>
    <row r="18" spans="2:14" s="20" customFormat="1" ht="18" x14ac:dyDescent="0.25">
      <c r="C18" s="32"/>
      <c r="D18" s="32"/>
      <c r="E18" s="33"/>
      <c r="G18" s="32" t="s">
        <v>33</v>
      </c>
      <c r="H18" s="32" t="s">
        <v>23</v>
      </c>
      <c r="K18" s="32"/>
      <c r="L18" s="32"/>
      <c r="N18" s="33" t="s">
        <v>49</v>
      </c>
    </row>
    <row r="19" spans="2:14" s="20" customFormat="1" ht="9" customHeight="1" x14ac:dyDescent="0.25"/>
    <row r="20" spans="2:14" s="20" customFormat="1" ht="21" x14ac:dyDescent="0.25">
      <c r="B20" s="20" t="s">
        <v>24</v>
      </c>
      <c r="C20" s="34">
        <f>'CP and kWh'!C8</f>
        <v>2260149747</v>
      </c>
      <c r="D20" s="34"/>
      <c r="E20" s="35">
        <f>'CP and kWh'!D8/'CP and kWh'!C8</f>
        <v>2.3606002244239792E-4</v>
      </c>
      <c r="F20" s="34">
        <f>ROUND(C20*E20,0)</f>
        <v>533531</v>
      </c>
      <c r="G20" s="36">
        <f>ROUND(G$9*(F20/F$31),0)</f>
        <v>4315835</v>
      </c>
      <c r="H20" s="36">
        <f>ROUND(H$9*(C20/C$31),0)-1</f>
        <v>3150585</v>
      </c>
      <c r="I20" s="37">
        <f>ROUND(IF(D20&gt;0,G20/D20,0),2)</f>
        <v>0</v>
      </c>
      <c r="J20" s="34"/>
      <c r="K20" s="38">
        <f>ROUND(IF(D20&gt;0,H20/C20,(G20+H20)/C20),5)</f>
        <v>3.3E-3</v>
      </c>
      <c r="L20" s="39"/>
      <c r="M20" s="36">
        <f t="shared" ref="M20:M21" si="0">(C20*K20)+(D20*I20)</f>
        <v>7458494.1650999999</v>
      </c>
      <c r="N20" s="40">
        <f>M20-H20-G20</f>
        <v>-7925.8349000001326</v>
      </c>
    </row>
    <row r="21" spans="2:14" s="20" customFormat="1" ht="18" x14ac:dyDescent="0.25">
      <c r="B21" s="20" t="s">
        <v>8</v>
      </c>
      <c r="C21" s="34">
        <f>'CP and kWh'!C9</f>
        <v>142560729</v>
      </c>
      <c r="D21" s="34"/>
      <c r="E21" s="35">
        <f>'CP and kWh'!D9/'CP and kWh'!C9</f>
        <v>1.6393715270633893E-4</v>
      </c>
      <c r="F21" s="34">
        <f>ROUND(C21*E21,0)</f>
        <v>23371</v>
      </c>
      <c r="G21" s="41">
        <f t="shared" ref="G21:G29" si="1">ROUND(G$9*(F21/F$31),0)</f>
        <v>189053</v>
      </c>
      <c r="H21" s="41">
        <f t="shared" ref="H21:H29" si="2">ROUND(H$9*(C21/C$31),0)</f>
        <v>198726</v>
      </c>
      <c r="I21" s="37">
        <f t="shared" ref="I21:I29" si="3">ROUND(IF(D21&gt;0,G21/D21,0),2)</f>
        <v>0</v>
      </c>
      <c r="J21" s="34"/>
      <c r="K21" s="38">
        <f>ROUND(IF(D21&gt;0,H21/C21,(G21+H21)/C21),5)</f>
        <v>2.7200000000000002E-3</v>
      </c>
      <c r="L21" s="42"/>
      <c r="M21" s="41">
        <f t="shared" si="0"/>
        <v>387765.18288000004</v>
      </c>
      <c r="N21" s="40">
        <f t="shared" ref="N21:N29" si="4">M21-H21-G21</f>
        <v>-13.817119999963325</v>
      </c>
    </row>
    <row r="22" spans="2:14" s="20" customFormat="1" ht="21" x14ac:dyDescent="0.25">
      <c r="B22" s="20" t="s">
        <v>9</v>
      </c>
      <c r="C22" s="34">
        <f>'CP and kWh'!C10</f>
        <v>507158704</v>
      </c>
      <c r="D22" s="34">
        <f>2076023+0+38082+2671+2508+314</f>
        <v>2119598</v>
      </c>
      <c r="E22" s="35">
        <f>'CP and kWh'!D10/'CP and kWh'!C10</f>
        <v>1.7700179311129401E-4</v>
      </c>
      <c r="F22" s="34">
        <f t="shared" ref="F22:F29" si="5">ROUND(C22*E22,0)</f>
        <v>89768</v>
      </c>
      <c r="G22" s="41">
        <f t="shared" si="1"/>
        <v>726151</v>
      </c>
      <c r="H22" s="41">
        <f t="shared" si="2"/>
        <v>706965</v>
      </c>
      <c r="I22" s="37">
        <f>ROUND(IF(D22&gt;0,G22/D22,0),2)</f>
        <v>0.34</v>
      </c>
      <c r="J22" s="34"/>
      <c r="K22" s="38">
        <f>ROUND(IF(D22&gt;0,H22/C22,(G22+H22)/C22),5)+0.00002</f>
        <v>1.41E-3</v>
      </c>
      <c r="L22" s="39">
        <v>2</v>
      </c>
      <c r="M22" s="41">
        <f>(C22*K22)+(D22*I22)</f>
        <v>1435757.0926399999</v>
      </c>
      <c r="N22" s="40">
        <f t="shared" si="4"/>
        <v>2641.0926399999298</v>
      </c>
    </row>
    <row r="23" spans="2:14" s="20" customFormat="1" ht="21" x14ac:dyDescent="0.25">
      <c r="B23" s="20" t="s">
        <v>51</v>
      </c>
      <c r="C23" s="34">
        <f>'CP and kWh'!C11</f>
        <v>6484718</v>
      </c>
      <c r="D23" s="34"/>
      <c r="E23" s="35">
        <f>E22</f>
        <v>1.7700179311129401E-4</v>
      </c>
      <c r="F23" s="34">
        <f>ROUND(C23*E23,0)</f>
        <v>1148</v>
      </c>
      <c r="G23" s="41">
        <f t="shared" si="1"/>
        <v>9286</v>
      </c>
      <c r="H23" s="41">
        <f t="shared" si="2"/>
        <v>9040</v>
      </c>
      <c r="I23" s="37">
        <f t="shared" si="3"/>
        <v>0</v>
      </c>
      <c r="J23" s="34"/>
      <c r="K23" s="38">
        <f t="shared" ref="K23:K29" si="6">ROUND(IF(D23&gt;0,H23/C23,(G23+H23)/C23),5)</f>
        <v>2.8300000000000001E-3</v>
      </c>
      <c r="L23" s="42"/>
      <c r="M23" s="41">
        <f t="shared" ref="M23:M29" si="7">(C23*K23)+(D23*I23)</f>
        <v>18351.751940000002</v>
      </c>
      <c r="N23" s="40">
        <f t="shared" si="4"/>
        <v>25.751940000001923</v>
      </c>
    </row>
    <row r="24" spans="2:14" s="20" customFormat="1" ht="21" x14ac:dyDescent="0.25">
      <c r="B24" s="20" t="s">
        <v>10</v>
      </c>
      <c r="C24" s="34">
        <f>'CP and kWh'!C12</f>
        <v>705405060</v>
      </c>
      <c r="D24" s="34">
        <f>1666281+386863+110848+5277</f>
        <v>2169269</v>
      </c>
      <c r="E24" s="35">
        <f>'CP and kWh'!D12/'CP and kWh'!C12</f>
        <v>1.6938069596495381E-4</v>
      </c>
      <c r="F24" s="34">
        <f t="shared" si="5"/>
        <v>119482</v>
      </c>
      <c r="G24" s="41">
        <f t="shared" si="1"/>
        <v>966513</v>
      </c>
      <c r="H24" s="41">
        <f t="shared" si="2"/>
        <v>983315</v>
      </c>
      <c r="I24" s="37">
        <f t="shared" si="3"/>
        <v>0.45</v>
      </c>
      <c r="J24" s="34"/>
      <c r="K24" s="38">
        <f>ROUND(IF(D24&gt;0,H24/C24,(G24+H24)/C24),5)</f>
        <v>1.39E-3</v>
      </c>
      <c r="L24" s="39"/>
      <c r="M24" s="41">
        <f t="shared" si="7"/>
        <v>1956684.0833999999</v>
      </c>
      <c r="N24" s="40">
        <f t="shared" si="4"/>
        <v>6856.0833999998868</v>
      </c>
    </row>
    <row r="25" spans="2:14" s="20" customFormat="1" ht="18" x14ac:dyDescent="0.25">
      <c r="B25" s="20" t="s">
        <v>38</v>
      </c>
      <c r="C25" s="34">
        <f>'CP and kWh'!C13</f>
        <v>1959939</v>
      </c>
      <c r="D25" s="34"/>
      <c r="E25" s="35">
        <f>E24</f>
        <v>1.6938069596495381E-4</v>
      </c>
      <c r="F25" s="34">
        <f t="shared" si="5"/>
        <v>332</v>
      </c>
      <c r="G25" s="41">
        <f t="shared" si="1"/>
        <v>2686</v>
      </c>
      <c r="H25" s="41">
        <f t="shared" si="2"/>
        <v>2732</v>
      </c>
      <c r="I25" s="37">
        <f t="shared" si="3"/>
        <v>0</v>
      </c>
      <c r="J25" s="34"/>
      <c r="K25" s="38">
        <f t="shared" si="6"/>
        <v>2.7599999999999999E-3</v>
      </c>
      <c r="L25" s="42"/>
      <c r="M25" s="41">
        <f t="shared" si="7"/>
        <v>5409.4316399999998</v>
      </c>
      <c r="N25" s="40">
        <f t="shared" si="4"/>
        <v>-8.5683600000002116</v>
      </c>
    </row>
    <row r="26" spans="2:14" s="20" customFormat="1" ht="21" x14ac:dyDescent="0.25">
      <c r="B26" s="20" t="s">
        <v>52</v>
      </c>
      <c r="C26" s="34">
        <f>'CP and kWh'!C14</f>
        <v>2818677591</v>
      </c>
      <c r="D26" s="34">
        <f>52430+747347+3842719+87948+574709+124559</f>
        <v>5429712</v>
      </c>
      <c r="E26" s="35">
        <f>'CP and kWh'!D14/'CP and kWh'!C14</f>
        <v>1.3062579458382616E-4</v>
      </c>
      <c r="F26" s="34">
        <f t="shared" si="5"/>
        <v>368192</v>
      </c>
      <c r="G26" s="41">
        <f t="shared" si="1"/>
        <v>2978376</v>
      </c>
      <c r="H26" s="41">
        <f t="shared" si="2"/>
        <v>3929159</v>
      </c>
      <c r="I26" s="37">
        <f t="shared" si="3"/>
        <v>0.55000000000000004</v>
      </c>
      <c r="J26" s="34"/>
      <c r="K26" s="38">
        <f>ROUND(IF(D26&gt;0,H26/C26,(G26+H26)/C26),5)</f>
        <v>1.39E-3</v>
      </c>
      <c r="L26" s="39"/>
      <c r="M26" s="41">
        <f t="shared" si="7"/>
        <v>6904303.4514899999</v>
      </c>
      <c r="N26" s="40">
        <f t="shared" si="4"/>
        <v>-3231.5485100001097</v>
      </c>
    </row>
    <row r="27" spans="2:14" s="20" customFormat="1" ht="18" x14ac:dyDescent="0.25">
      <c r="B27" s="20" t="s">
        <v>25</v>
      </c>
      <c r="C27" s="34">
        <f>'CP and kWh'!C15</f>
        <v>3864039</v>
      </c>
      <c r="D27" s="34"/>
      <c r="E27" s="35">
        <f>'CP and kWh'!D15/'CP and kWh'!C15</f>
        <v>1.3405661795856615E-4</v>
      </c>
      <c r="F27" s="34">
        <f t="shared" si="5"/>
        <v>518</v>
      </c>
      <c r="G27" s="41">
        <f t="shared" si="1"/>
        <v>4190</v>
      </c>
      <c r="H27" s="41">
        <f t="shared" si="2"/>
        <v>5386</v>
      </c>
      <c r="I27" s="37">
        <f t="shared" si="3"/>
        <v>0</v>
      </c>
      <c r="J27" s="34"/>
      <c r="K27" s="38">
        <f t="shared" si="6"/>
        <v>2.48E-3</v>
      </c>
      <c r="L27" s="42"/>
      <c r="M27" s="41">
        <f t="shared" si="7"/>
        <v>9582.8167200000007</v>
      </c>
      <c r="N27" s="40">
        <f t="shared" si="4"/>
        <v>6.8167200000007142</v>
      </c>
    </row>
    <row r="28" spans="2:14" s="20" customFormat="1" ht="18" x14ac:dyDescent="0.25">
      <c r="B28" s="20" t="s">
        <v>5</v>
      </c>
      <c r="C28" s="34">
        <f>'CP and kWh'!C16</f>
        <v>37640598</v>
      </c>
      <c r="D28" s="34"/>
      <c r="E28" s="35">
        <f>'CP and kWh'!D16/'CP and kWh'!C16</f>
        <v>9.4313060594839649E-6</v>
      </c>
      <c r="F28" s="34">
        <f t="shared" si="5"/>
        <v>355</v>
      </c>
      <c r="G28" s="41">
        <f t="shared" si="1"/>
        <v>2872</v>
      </c>
      <c r="H28" s="41">
        <f t="shared" si="2"/>
        <v>52470</v>
      </c>
      <c r="I28" s="37">
        <f t="shared" si="3"/>
        <v>0</v>
      </c>
      <c r="J28" s="34"/>
      <c r="K28" s="38">
        <f t="shared" si="6"/>
        <v>1.47E-3</v>
      </c>
      <c r="L28" s="42"/>
      <c r="M28" s="41">
        <f t="shared" si="7"/>
        <v>55331.679059999995</v>
      </c>
      <c r="N28" s="40">
        <f t="shared" si="4"/>
        <v>-10.320940000005066</v>
      </c>
    </row>
    <row r="29" spans="2:14" s="20" customFormat="1" ht="18" x14ac:dyDescent="0.25">
      <c r="B29" s="20" t="s">
        <v>4</v>
      </c>
      <c r="C29" s="34">
        <f>'CP and kWh'!C17</f>
        <v>8190082</v>
      </c>
      <c r="D29" s="34"/>
      <c r="E29" s="35">
        <f>'CP and kWh'!D17/'CP and kWh'!C17</f>
        <v>9.8900108692440443E-6</v>
      </c>
      <c r="F29" s="34">
        <f t="shared" si="5"/>
        <v>81</v>
      </c>
      <c r="G29" s="41">
        <f t="shared" si="1"/>
        <v>655</v>
      </c>
      <c r="H29" s="41">
        <f t="shared" si="2"/>
        <v>11417</v>
      </c>
      <c r="I29" s="37">
        <f t="shared" si="3"/>
        <v>0</v>
      </c>
      <c r="J29" s="34"/>
      <c r="K29" s="38">
        <f t="shared" si="6"/>
        <v>1.47E-3</v>
      </c>
      <c r="L29" s="42"/>
      <c r="M29" s="41">
        <f t="shared" si="7"/>
        <v>12039.420539999999</v>
      </c>
      <c r="N29" s="40">
        <f t="shared" si="4"/>
        <v>-32.579460000000836</v>
      </c>
    </row>
    <row r="30" spans="2:14" s="20" customFormat="1" ht="18" x14ac:dyDescent="0.25">
      <c r="C30" s="34"/>
      <c r="D30" s="34"/>
      <c r="E30" s="43"/>
      <c r="F30" s="34"/>
      <c r="G30" s="34"/>
      <c r="H30" s="34"/>
      <c r="I30" s="34"/>
      <c r="J30" s="34"/>
      <c r="M30" s="34"/>
      <c r="N30" s="34"/>
    </row>
    <row r="31" spans="2:14" s="20" customFormat="1" ht="18" x14ac:dyDescent="0.25">
      <c r="B31" s="44" t="s">
        <v>1</v>
      </c>
      <c r="C31" s="45">
        <f>SUM(C20:C29)</f>
        <v>6492091207</v>
      </c>
      <c r="D31" s="45">
        <f>SUM(D20:D29)</f>
        <v>9718579</v>
      </c>
      <c r="E31" s="46"/>
      <c r="F31" s="45">
        <f>SUM(F20:F29)</f>
        <v>1136778</v>
      </c>
      <c r="G31" s="47">
        <f>SUM(G20:G29)</f>
        <v>9195617</v>
      </c>
      <c r="H31" s="47">
        <f>SUM(H20:H29)</f>
        <v>9049795</v>
      </c>
      <c r="I31" s="47"/>
      <c r="J31" s="47"/>
      <c r="K31" s="44"/>
      <c r="L31" s="44"/>
      <c r="M31" s="47">
        <f>SUM(M20:M29)</f>
        <v>18243719.075410001</v>
      </c>
      <c r="N31" s="47">
        <f>SUM(N20:N29)</f>
        <v>-1692.9245900003925</v>
      </c>
    </row>
    <row r="32" spans="2:14" s="7" customFormat="1" ht="15" x14ac:dyDescent="0.2">
      <c r="C32" s="12"/>
      <c r="D32" s="12"/>
      <c r="M32" s="13"/>
      <c r="N32" s="13"/>
    </row>
    <row r="33" spans="1:13" s="7" customFormat="1" ht="15" x14ac:dyDescent="0.2">
      <c r="M33" s="14"/>
    </row>
    <row r="34" spans="1:13" s="3" customFormat="1" x14ac:dyDescent="0.2">
      <c r="A34" s="3" t="s">
        <v>43</v>
      </c>
    </row>
    <row r="35" spans="1:13" s="3" customFormat="1" ht="14.25" x14ac:dyDescent="0.2">
      <c r="A35" s="4">
        <v>1</v>
      </c>
      <c r="B35" s="3" t="s">
        <v>44</v>
      </c>
      <c r="H35" s="48"/>
    </row>
    <row r="36" spans="1:13" s="3" customFormat="1" ht="14.25" x14ac:dyDescent="0.2">
      <c r="A36" s="5">
        <v>2</v>
      </c>
      <c r="B36" s="3" t="s">
        <v>46</v>
      </c>
    </row>
    <row r="37" spans="1:13" s="7" customFormat="1" ht="15" x14ac:dyDescent="0.2"/>
    <row r="38" spans="1:13" s="7" customFormat="1" ht="15" x14ac:dyDescent="0.2"/>
    <row r="39" spans="1:13" s="7" customFormat="1" ht="15" x14ac:dyDescent="0.2"/>
  </sheetData>
  <mergeCells count="3">
    <mergeCell ref="B1:N1"/>
    <mergeCell ref="B2:N2"/>
    <mergeCell ref="B3:N3"/>
  </mergeCells>
  <phoneticPr fontId="0" type="noConversion"/>
  <printOptions horizontalCentered="1"/>
  <pageMargins left="0.75" right="0.75" top="1" bottom="1" header="0.5" footer="0.5"/>
  <pageSetup scale="46" orientation="portrait" r:id="rId1"/>
  <headerFooter alignWithMargins="0">
    <oddHeader>&amp;R&amp;14Exhibit AEV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G11" sqref="G11"/>
    </sheetView>
  </sheetViews>
  <sheetFormatPr defaultRowHeight="15" x14ac:dyDescent="0.2"/>
  <cols>
    <col min="1" max="1" width="21.42578125" style="7" customWidth="1"/>
    <col min="2" max="2" width="1.5703125" style="7" customWidth="1"/>
    <col min="3" max="3" width="21.140625" style="7" bestFit="1" customWidth="1"/>
    <col min="4" max="4" width="15.5703125" style="7" bestFit="1" customWidth="1"/>
    <col min="5" max="5" width="15" style="7" bestFit="1" customWidth="1"/>
    <col min="6" max="6" width="12.28515625" style="7" bestFit="1" customWidth="1"/>
    <col min="7" max="7" width="9.140625" style="7"/>
    <col min="8" max="8" width="12.28515625" style="7" bestFit="1" customWidth="1"/>
    <col min="9" max="16384" width="9.140625" style="7"/>
  </cols>
  <sheetData>
    <row r="1" spans="1:4" ht="15.75" x14ac:dyDescent="0.25">
      <c r="A1" s="49" t="s">
        <v>30</v>
      </c>
    </row>
    <row r="2" spans="1:4" ht="15.75" x14ac:dyDescent="0.25">
      <c r="A2" s="49" t="s">
        <v>31</v>
      </c>
    </row>
    <row r="3" spans="1:4" ht="15.75" x14ac:dyDescent="0.25">
      <c r="A3" s="49" t="s">
        <v>40</v>
      </c>
    </row>
    <row r="5" spans="1:4" x14ac:dyDescent="0.2">
      <c r="A5" s="9" t="s">
        <v>7</v>
      </c>
      <c r="B5" s="9"/>
      <c r="C5" s="9" t="s">
        <v>26</v>
      </c>
      <c r="D5" s="9" t="s">
        <v>27</v>
      </c>
    </row>
    <row r="6" spans="1:4" x14ac:dyDescent="0.2">
      <c r="A6" s="10">
        <v>-1</v>
      </c>
    </row>
    <row r="8" spans="1:4" x14ac:dyDescent="0.2">
      <c r="A8" s="7" t="s">
        <v>24</v>
      </c>
      <c r="C8" s="12">
        <v>2260149747</v>
      </c>
      <c r="D8" s="12">
        <v>533531</v>
      </c>
    </row>
    <row r="9" spans="1:4" x14ac:dyDescent="0.2">
      <c r="A9" s="7" t="s">
        <v>8</v>
      </c>
      <c r="C9" s="12">
        <v>142560729</v>
      </c>
      <c r="D9" s="12">
        <v>23371</v>
      </c>
    </row>
    <row r="10" spans="1:4" x14ac:dyDescent="0.2">
      <c r="A10" s="7" t="s">
        <v>9</v>
      </c>
      <c r="C10" s="12">
        <v>507158704</v>
      </c>
      <c r="D10" s="12">
        <v>89768</v>
      </c>
    </row>
    <row r="11" spans="1:4" x14ac:dyDescent="0.2">
      <c r="A11" s="7" t="s">
        <v>37</v>
      </c>
      <c r="C11" s="12">
        <v>6484718</v>
      </c>
      <c r="D11" s="12"/>
    </row>
    <row r="12" spans="1:4" x14ac:dyDescent="0.2">
      <c r="A12" s="7" t="s">
        <v>10</v>
      </c>
      <c r="C12" s="12">
        <v>705405060</v>
      </c>
      <c r="D12" s="12">
        <v>119482</v>
      </c>
    </row>
    <row r="13" spans="1:4" x14ac:dyDescent="0.2">
      <c r="A13" s="7" t="s">
        <v>39</v>
      </c>
      <c r="C13" s="12">
        <v>1959939</v>
      </c>
      <c r="D13" s="12"/>
    </row>
    <row r="14" spans="1:4" x14ac:dyDescent="0.2">
      <c r="A14" s="7" t="s">
        <v>45</v>
      </c>
      <c r="C14" s="12">
        <v>2818677591</v>
      </c>
      <c r="D14" s="12">
        <v>368192</v>
      </c>
    </row>
    <row r="15" spans="1:4" x14ac:dyDescent="0.2">
      <c r="A15" s="7" t="s">
        <v>25</v>
      </c>
      <c r="C15" s="12">
        <v>3864039</v>
      </c>
      <c r="D15" s="12">
        <v>518</v>
      </c>
    </row>
    <row r="16" spans="1:4" x14ac:dyDescent="0.2">
      <c r="A16" s="7" t="s">
        <v>5</v>
      </c>
      <c r="C16" s="12">
        <v>37640598</v>
      </c>
      <c r="D16" s="12">
        <v>355</v>
      </c>
    </row>
    <row r="17" spans="1:4" x14ac:dyDescent="0.2">
      <c r="A17" s="7" t="s">
        <v>4</v>
      </c>
      <c r="C17" s="12">
        <v>8190082</v>
      </c>
      <c r="D17" s="12">
        <v>81</v>
      </c>
    </row>
    <row r="18" spans="1:4" ht="9" customHeight="1" x14ac:dyDescent="0.2">
      <c r="C18" s="12"/>
      <c r="D18" s="12"/>
    </row>
    <row r="19" spans="1:4" x14ac:dyDescent="0.2">
      <c r="A19" s="7" t="s">
        <v>1</v>
      </c>
      <c r="C19" s="50">
        <f>SUM(C8:C17)</f>
        <v>6492091207</v>
      </c>
      <c r="D19" s="50">
        <f>SUM(D8:D17)</f>
        <v>1135298</v>
      </c>
    </row>
    <row r="24" spans="1:4" x14ac:dyDescent="0.2">
      <c r="C24" s="11"/>
    </row>
    <row r="25" spans="1:4" x14ac:dyDescent="0.2">
      <c r="C25" s="11"/>
    </row>
    <row r="26" spans="1:4" x14ac:dyDescent="0.2">
      <c r="C26" s="11"/>
    </row>
    <row r="27" spans="1:4" x14ac:dyDescent="0.2">
      <c r="A27" s="8"/>
      <c r="B27" s="8"/>
      <c r="C27" s="51"/>
    </row>
    <row r="28" spans="1:4" x14ac:dyDescent="0.2">
      <c r="A28" s="8"/>
      <c r="B28" s="8"/>
      <c r="C28" s="51"/>
    </row>
    <row r="29" spans="1:4" x14ac:dyDescent="0.2">
      <c r="A29" s="8"/>
      <c r="B29" s="8"/>
      <c r="C29" s="8"/>
    </row>
  </sheetData>
  <pageMargins left="0.7" right="0.7" top="0.75" bottom="0.75" header="0.3" footer="0.3"/>
  <pageSetup orientation="portrait" r:id="rId1"/>
  <headerFooter>
    <oddHeader>&amp;RExhibit AEV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 Req</vt:lpstr>
      <vt:lpstr> Exhibit AEV 4</vt:lpstr>
      <vt:lpstr>CP and kWh</vt:lpstr>
      <vt:lpstr>' Exhibit AEV 4'!Print_Area</vt:lpstr>
      <vt:lpstr>'CP and kWh'!Print_Area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Alex Vaughan</cp:lastModifiedBy>
  <cp:lastPrinted>2014-12-11T12:56:27Z</cp:lastPrinted>
  <dcterms:created xsi:type="dcterms:W3CDTF">2006-01-09T16:03:13Z</dcterms:created>
  <dcterms:modified xsi:type="dcterms:W3CDTF">2015-02-03T12:02:56Z</dcterms:modified>
</cp:coreProperties>
</file>