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200" windowHeight="3210" tabRatio="972"/>
  </bookViews>
  <sheets>
    <sheet name="RS" sheetId="1" r:id="rId1"/>
    <sheet name="RS TOD2" sheetId="4" r:id="rId2"/>
    <sheet name="RS-TOD2 Capacity Charge" sheetId="3" r:id="rId3"/>
    <sheet name="SGS" sheetId="7" r:id="rId4"/>
    <sheet name="SGS TOD" sheetId="6" r:id="rId5"/>
    <sheet name="SGS-TOD Capacity Charge" sheetId="5" r:id="rId6"/>
    <sheet name="MGS" sheetId="8" r:id="rId7"/>
    <sheet name="LGS" sheetId="10" r:id="rId8"/>
    <sheet name="LGS-TOD" sheetId="9" r:id="rId9"/>
    <sheet name="IGS" sheetId="11" r:id="rId10"/>
    <sheet name="Equip Cr Demand Basis" sheetId="15" r:id="rId11"/>
    <sheet name="Equip Cr Energy Basis" sheetId="14" r:id="rId12"/>
    <sheet name="off peak" sheetId="13" r:id="rId13"/>
    <sheet name="Off Peak xcs" sheetId="12" r:id="rId14"/>
    <sheet name="AFS Rate" sheetId="16" r:id="rId15"/>
    <sheet name="MW" sheetId="17" r:id="rId16"/>
    <sheet name="OL 1" sheetId="18" r:id="rId17"/>
    <sheet name="OL 2" sheetId="19" r:id="rId18"/>
    <sheet name="OL Detail" sheetId="20" r:id="rId19"/>
    <sheet name="SL 1" sheetId="21" r:id="rId20"/>
    <sheet name="SL 2" sheetId="22" r:id="rId21"/>
    <sheet name="Cogen" sheetId="23" r:id="rId22"/>
  </sheets>
  <calcPr calcId="145621" iterateCount="200" iterateDelta="0.01"/>
</workbook>
</file>

<file path=xl/calcChain.xml><?xml version="1.0" encoding="utf-8"?>
<calcChain xmlns="http://schemas.openxmlformats.org/spreadsheetml/2006/main">
  <c r="K17" i="18" l="1"/>
  <c r="F191" i="10" l="1"/>
  <c r="F193" i="10"/>
  <c r="F192" i="10"/>
  <c r="E160" i="8" l="1"/>
  <c r="E151" i="8"/>
  <c r="E161" i="8"/>
  <c r="E144" i="8"/>
  <c r="E257" i="8"/>
  <c r="I22" i="21" l="1"/>
  <c r="I14" i="21"/>
  <c r="I15" i="21"/>
  <c r="I21" i="21"/>
  <c r="K11" i="18"/>
  <c r="K31" i="18"/>
  <c r="K21" i="18"/>
  <c r="K30" i="18"/>
  <c r="K23" i="18"/>
  <c r="F270" i="11" l="1"/>
  <c r="F266" i="11"/>
  <c r="F280" i="11"/>
  <c r="F286" i="11"/>
  <c r="F276" i="11"/>
  <c r="F290" i="11"/>
  <c r="J5" i="11"/>
  <c r="E67" i="7" l="1"/>
  <c r="E111" i="7"/>
  <c r="I10" i="7"/>
  <c r="J163" i="23" l="1"/>
  <c r="I23" i="21"/>
  <c r="I16" i="21"/>
  <c r="D56" i="17" l="1"/>
  <c r="C12" i="17"/>
  <c r="J7" i="11"/>
  <c r="J6" i="11"/>
  <c r="F241" i="10"/>
  <c r="F183" i="10"/>
  <c r="J68" i="10"/>
  <c r="H9" i="10"/>
  <c r="F22" i="10"/>
  <c r="F5" i="10"/>
  <c r="E252" i="8"/>
  <c r="E149" i="8"/>
  <c r="E23" i="8"/>
  <c r="E5" i="8"/>
  <c r="E11" i="6" l="1"/>
  <c r="C7" i="7"/>
  <c r="E11" i="4" l="1"/>
  <c r="F122" i="1"/>
  <c r="D6" i="1" l="1"/>
  <c r="E251" i="8" l="1"/>
  <c r="F32" i="23"/>
  <c r="F34" i="23"/>
  <c r="H118" i="23"/>
  <c r="H120" i="23" s="1"/>
  <c r="H138" i="23" s="1"/>
  <c r="H119" i="23"/>
  <c r="H127" i="23"/>
  <c r="H128" i="23"/>
  <c r="H131" i="23" s="1"/>
  <c r="H129" i="23"/>
  <c r="H130" i="23" s="1"/>
  <c r="H132" i="23" s="1"/>
  <c r="H139" i="23" s="1"/>
  <c r="J145" i="23"/>
  <c r="J151" i="23"/>
  <c r="H156" i="23"/>
  <c r="J157" i="23" s="1"/>
  <c r="E180" i="23" s="1"/>
  <c r="J166" i="23"/>
  <c r="G195" i="23"/>
  <c r="H195" i="23"/>
  <c r="I205" i="23"/>
  <c r="F225" i="23"/>
  <c r="J13" i="23" s="1"/>
  <c r="H225" i="23"/>
  <c r="I188" i="23" s="1"/>
  <c r="I190" i="23" s="1"/>
  <c r="G196" i="23" s="1"/>
  <c r="H243" i="23"/>
  <c r="H247" i="23"/>
  <c r="H379" i="23"/>
  <c r="D380" i="23"/>
  <c r="H380" i="23"/>
  <c r="H381" i="23" s="1"/>
  <c r="H382" i="23" s="1"/>
  <c r="H383" i="23" s="1"/>
  <c r="H384" i="23" s="1"/>
  <c r="H385" i="23" s="1"/>
  <c r="H386" i="23" s="1"/>
  <c r="H387" i="23" s="1"/>
  <c r="H388" i="23" s="1"/>
  <c r="H389" i="23" s="1"/>
  <c r="H390" i="23" s="1"/>
  <c r="H391" i="23" s="1"/>
  <c r="H392" i="23" s="1"/>
  <c r="H393" i="23" s="1"/>
  <c r="H394" i="23" s="1"/>
  <c r="H395" i="23" s="1"/>
  <c r="H396" i="23" s="1"/>
  <c r="H397" i="23" s="1"/>
  <c r="H398" i="23" s="1"/>
  <c r="H399" i="23" s="1"/>
  <c r="H400" i="23" s="1"/>
  <c r="H401" i="23" s="1"/>
  <c r="H402" i="23" s="1"/>
  <c r="H403" i="23" s="1"/>
  <c r="G406" i="23" s="1"/>
  <c r="D381" i="23"/>
  <c r="D382" i="23" s="1"/>
  <c r="D383" i="23" s="1"/>
  <c r="D384" i="23" s="1"/>
  <c r="D385" i="23" s="1"/>
  <c r="D386" i="23" s="1"/>
  <c r="D387" i="23" s="1"/>
  <c r="D388" i="23" s="1"/>
  <c r="D389" i="23" s="1"/>
  <c r="D390" i="23" s="1"/>
  <c r="D391" i="23" s="1"/>
  <c r="D392" i="23" s="1"/>
  <c r="D393" i="23" s="1"/>
  <c r="D394" i="23" s="1"/>
  <c r="D395" i="23" s="1"/>
  <c r="D396" i="23" s="1"/>
  <c r="D397" i="23" s="1"/>
  <c r="D398" i="23" s="1"/>
  <c r="D399" i="23" s="1"/>
  <c r="D400" i="23" s="1"/>
  <c r="D401" i="23" s="1"/>
  <c r="D402" i="23" s="1"/>
  <c r="D403" i="23" s="1"/>
  <c r="F391" i="23"/>
  <c r="F392" i="23"/>
  <c r="F393" i="23" s="1"/>
  <c r="F394" i="23" s="1"/>
  <c r="F395" i="23" s="1"/>
  <c r="F396" i="23" s="1"/>
  <c r="F397" i="23" s="1"/>
  <c r="F398" i="23" s="1"/>
  <c r="F399" i="23" s="1"/>
  <c r="F400" i="23" s="1"/>
  <c r="F401" i="23" s="1"/>
  <c r="F402" i="23" s="1"/>
  <c r="F403" i="23" s="1"/>
  <c r="F420" i="23"/>
  <c r="F422" i="23"/>
  <c r="H234" i="23" s="1"/>
  <c r="B4" i="22"/>
  <c r="E4" i="22"/>
  <c r="F4" i="22"/>
  <c r="D7" i="22"/>
  <c r="H7" i="22" s="1"/>
  <c r="F7" i="22"/>
  <c r="D8" i="22"/>
  <c r="G23" i="22" s="1"/>
  <c r="F8" i="22"/>
  <c r="D9" i="22"/>
  <c r="H9" i="22" s="1"/>
  <c r="F9" i="22"/>
  <c r="D10" i="22"/>
  <c r="G25" i="22" s="1"/>
  <c r="F10" i="22"/>
  <c r="H19" i="22"/>
  <c r="I19" i="22" s="1"/>
  <c r="B22" i="22"/>
  <c r="E22" i="22" s="1"/>
  <c r="H22" i="22"/>
  <c r="I22" i="22" s="1"/>
  <c r="B23" i="22"/>
  <c r="E23" i="22" s="1"/>
  <c r="D23" i="22"/>
  <c r="H23" i="22"/>
  <c r="H29" i="22" s="1"/>
  <c r="I29" i="22" s="1"/>
  <c r="B24" i="22"/>
  <c r="D24" i="22"/>
  <c r="E24" i="22" s="1"/>
  <c r="H24" i="22"/>
  <c r="I24" i="22" s="1"/>
  <c r="B25" i="22"/>
  <c r="E25" i="22" s="1"/>
  <c r="D25" i="22"/>
  <c r="H25" i="22"/>
  <c r="H31" i="22" s="1"/>
  <c r="I31" i="22" s="1"/>
  <c r="B28" i="22"/>
  <c r="E28" i="22"/>
  <c r="B29" i="22"/>
  <c r="D29" i="22"/>
  <c r="D30" i="22" s="1"/>
  <c r="D31" i="22" s="1"/>
  <c r="E31" i="22" s="1"/>
  <c r="E29" i="22"/>
  <c r="F29" i="22" s="1"/>
  <c r="B30" i="22"/>
  <c r="E30" i="22" s="1"/>
  <c r="F30" i="22" s="1"/>
  <c r="B31" i="22"/>
  <c r="C45" i="22"/>
  <c r="C47" i="22" s="1"/>
  <c r="I48" i="22"/>
  <c r="I50" i="22" s="1"/>
  <c r="D7" i="21"/>
  <c r="I7" i="21"/>
  <c r="K7" i="21"/>
  <c r="M7" i="21" s="1"/>
  <c r="N7" i="21"/>
  <c r="D8" i="21"/>
  <c r="F8" i="21"/>
  <c r="I8" i="21"/>
  <c r="K8" i="21"/>
  <c r="M8" i="21" s="1"/>
  <c r="N8" i="21"/>
  <c r="D9" i="21"/>
  <c r="F9" i="21"/>
  <c r="I9" i="21"/>
  <c r="K9" i="21"/>
  <c r="M9" i="21" s="1"/>
  <c r="N9" i="21"/>
  <c r="D10" i="21"/>
  <c r="F10" i="21"/>
  <c r="I10" i="21"/>
  <c r="K10" i="21"/>
  <c r="M10" i="21" s="1"/>
  <c r="N10" i="21"/>
  <c r="D11" i="21"/>
  <c r="F11" i="21"/>
  <c r="I11" i="21"/>
  <c r="K11" i="21"/>
  <c r="M11" i="21" s="1"/>
  <c r="N11" i="21"/>
  <c r="D12" i="21"/>
  <c r="F12" i="21"/>
  <c r="I12" i="21"/>
  <c r="K12" i="21"/>
  <c r="M12" i="21" s="1"/>
  <c r="N12" i="21"/>
  <c r="D13" i="21"/>
  <c r="D14" i="21"/>
  <c r="D15" i="21"/>
  <c r="D16" i="21"/>
  <c r="D21" i="21"/>
  <c r="D22" i="21"/>
  <c r="D23" i="21"/>
  <c r="D24" i="21"/>
  <c r="D29" i="21"/>
  <c r="D30" i="21"/>
  <c r="D31" i="21"/>
  <c r="D32" i="21"/>
  <c r="C11" i="20"/>
  <c r="D11" i="20" s="1"/>
  <c r="I35" i="18" s="1"/>
  <c r="K35" i="18" s="1"/>
  <c r="G8" i="19"/>
  <c r="O8" i="19" s="1"/>
  <c r="K8" i="19"/>
  <c r="G9" i="19"/>
  <c r="O9" i="19" s="1"/>
  <c r="K9" i="19"/>
  <c r="G10" i="19"/>
  <c r="O10" i="19" s="1"/>
  <c r="K10" i="19"/>
  <c r="G11" i="19"/>
  <c r="O11" i="19" s="1"/>
  <c r="K11" i="19"/>
  <c r="G12" i="19"/>
  <c r="O12" i="19" s="1"/>
  <c r="K12" i="19"/>
  <c r="G14" i="19"/>
  <c r="O14" i="19" s="1"/>
  <c r="K14" i="19"/>
  <c r="G15" i="19"/>
  <c r="O15" i="19" s="1"/>
  <c r="K15" i="19"/>
  <c r="G17" i="19"/>
  <c r="O17" i="19" s="1"/>
  <c r="K17" i="19"/>
  <c r="G18" i="19"/>
  <c r="O18" i="19" s="1"/>
  <c r="K18" i="19"/>
  <c r="G20" i="19"/>
  <c r="O20" i="19" s="1"/>
  <c r="K20" i="19"/>
  <c r="G21" i="19"/>
  <c r="O21" i="19" s="1"/>
  <c r="K21" i="19"/>
  <c r="G22" i="19"/>
  <c r="O22" i="19" s="1"/>
  <c r="K22" i="19"/>
  <c r="G27" i="19"/>
  <c r="O27" i="19" s="1"/>
  <c r="K27" i="19"/>
  <c r="G28" i="19"/>
  <c r="K28" i="19"/>
  <c r="G29" i="19"/>
  <c r="O29" i="19" s="1"/>
  <c r="K29" i="19"/>
  <c r="G31" i="19"/>
  <c r="O31" i="19" s="1"/>
  <c r="K31" i="19"/>
  <c r="K32" i="19"/>
  <c r="C43" i="19"/>
  <c r="C45" i="19"/>
  <c r="O46" i="19"/>
  <c r="O49" i="19"/>
  <c r="M9" i="19" s="1"/>
  <c r="G7" i="18"/>
  <c r="G8" i="18"/>
  <c r="G9" i="18"/>
  <c r="G11" i="18"/>
  <c r="G12" i="18"/>
  <c r="G13" i="18"/>
  <c r="G14" i="18"/>
  <c r="G15" i="18"/>
  <c r="G16" i="18"/>
  <c r="G17" i="18"/>
  <c r="G18" i="18"/>
  <c r="G21" i="18"/>
  <c r="G22" i="18"/>
  <c r="G23" i="18"/>
  <c r="G24" i="18"/>
  <c r="G25" i="18"/>
  <c r="G29" i="18"/>
  <c r="K29" i="18"/>
  <c r="M29" i="18" s="1"/>
  <c r="O29" i="18" s="1"/>
  <c r="G30" i="18"/>
  <c r="G31" i="18"/>
  <c r="M31" i="18"/>
  <c r="O31" i="18" s="1"/>
  <c r="G34" i="18"/>
  <c r="G35" i="18"/>
  <c r="G36" i="18"/>
  <c r="D13" i="17"/>
  <c r="F13" i="17" s="1"/>
  <c r="F14" i="17"/>
  <c r="C15" i="17"/>
  <c r="C20" i="17"/>
  <c r="I20" i="17" s="1"/>
  <c r="C24" i="17"/>
  <c r="I24" i="17" s="1"/>
  <c r="C44" i="17" s="1"/>
  <c r="F24" i="17"/>
  <c r="C34" i="17"/>
  <c r="C38" i="17" s="1"/>
  <c r="C45" i="17" s="1"/>
  <c r="C56" i="17"/>
  <c r="C57" i="17"/>
  <c r="C58" i="17"/>
  <c r="D58" i="17"/>
  <c r="F58" i="17"/>
  <c r="F17" i="16"/>
  <c r="F23" i="16" s="1"/>
  <c r="F36" i="16"/>
  <c r="C10" i="15"/>
  <c r="D10" i="15"/>
  <c r="B11" i="15"/>
  <c r="C14" i="15"/>
  <c r="D14" i="15"/>
  <c r="E14" i="15"/>
  <c r="E18" i="15" s="1"/>
  <c r="C18" i="15"/>
  <c r="D18" i="15"/>
  <c r="C19" i="15"/>
  <c r="C20" i="15"/>
  <c r="D20" i="15"/>
  <c r="F45" i="15"/>
  <c r="B10" i="15" s="1"/>
  <c r="B14" i="15" s="1"/>
  <c r="B18" i="15" s="1"/>
  <c r="F46" i="15"/>
  <c r="F47" i="15"/>
  <c r="F50" i="15"/>
  <c r="A3" i="14"/>
  <c r="C14" i="14"/>
  <c r="D14" i="14"/>
  <c r="E14" i="14"/>
  <c r="C18" i="14"/>
  <c r="D18" i="14"/>
  <c r="E18" i="14"/>
  <c r="B19" i="14"/>
  <c r="C19" i="14" s="1"/>
  <c r="C20" i="14" s="1"/>
  <c r="D20" i="14"/>
  <c r="B23" i="14"/>
  <c r="C23" i="14"/>
  <c r="D23" i="14"/>
  <c r="E23" i="14"/>
  <c r="F23" i="14"/>
  <c r="B43" i="14"/>
  <c r="B44" i="14"/>
  <c r="B45" i="14"/>
  <c r="B48" i="14" s="1"/>
  <c r="B10" i="14" s="1"/>
  <c r="B46" i="14"/>
  <c r="B50" i="14"/>
  <c r="B51" i="14"/>
  <c r="B53" i="14"/>
  <c r="B11" i="14" s="1"/>
  <c r="A1" i="13"/>
  <c r="A3" i="13"/>
  <c r="B18" i="13"/>
  <c r="B20" i="13"/>
  <c r="B22" i="13"/>
  <c r="B24" i="13"/>
  <c r="A1" i="12"/>
  <c r="A3" i="12"/>
  <c r="F14" i="12"/>
  <c r="G14" i="12" s="1"/>
  <c r="B18" i="12"/>
  <c r="B20" i="12"/>
  <c r="B22" i="12"/>
  <c r="B24" i="12"/>
  <c r="J9" i="11"/>
  <c r="D220" i="11" s="1"/>
  <c r="D19" i="11"/>
  <c r="F19" i="11"/>
  <c r="H19" i="11"/>
  <c r="J19" i="11"/>
  <c r="M20" i="11"/>
  <c r="N20" i="11"/>
  <c r="O20" i="11"/>
  <c r="P20" i="11"/>
  <c r="O33" i="11"/>
  <c r="H30" i="11" s="1"/>
  <c r="P33" i="11"/>
  <c r="J30" i="11" s="1"/>
  <c r="D41" i="11"/>
  <c r="F41" i="11"/>
  <c r="H41" i="11"/>
  <c r="D203" i="11" s="1"/>
  <c r="J41" i="11"/>
  <c r="D204" i="11" s="1"/>
  <c r="D249" i="11" s="1"/>
  <c r="D42" i="11"/>
  <c r="F42" i="11"/>
  <c r="H42" i="11"/>
  <c r="D287" i="11" s="1"/>
  <c r="D98" i="11" s="1"/>
  <c r="H98" i="11" s="1"/>
  <c r="J42" i="11"/>
  <c r="D297" i="11" s="1"/>
  <c r="D43" i="11"/>
  <c r="F43" i="11"/>
  <c r="D44" i="11"/>
  <c r="F44" i="11"/>
  <c r="H44" i="11"/>
  <c r="D288" i="11" s="1"/>
  <c r="J44" i="11"/>
  <c r="D191" i="11" s="1"/>
  <c r="D45" i="11"/>
  <c r="F45" i="11"/>
  <c r="D46" i="11"/>
  <c r="F46" i="11"/>
  <c r="H46" i="11"/>
  <c r="J46" i="11"/>
  <c r="D299" i="11" s="1"/>
  <c r="F86" i="11" s="1"/>
  <c r="D47" i="11"/>
  <c r="D108" i="11" s="1"/>
  <c r="F47" i="11"/>
  <c r="H47" i="11"/>
  <c r="J47" i="11"/>
  <c r="M47" i="11"/>
  <c r="N47" i="11"/>
  <c r="D48" i="11"/>
  <c r="F48" i="11"/>
  <c r="H48" i="11"/>
  <c r="J48" i="11"/>
  <c r="D49" i="11"/>
  <c r="F49" i="11"/>
  <c r="H49" i="11"/>
  <c r="J49" i="11"/>
  <c r="D50" i="11"/>
  <c r="F50" i="11"/>
  <c r="H50" i="11"/>
  <c r="F62" i="11" s="1"/>
  <c r="J50" i="11"/>
  <c r="F60" i="11"/>
  <c r="H60" i="11" s="1"/>
  <c r="F61" i="11"/>
  <c r="H61" i="11"/>
  <c r="D62" i="11"/>
  <c r="D63" i="11"/>
  <c r="B70" i="11"/>
  <c r="F70" i="11"/>
  <c r="H70" i="11"/>
  <c r="J70" i="11"/>
  <c r="B71" i="11"/>
  <c r="F71" i="11"/>
  <c r="H71" i="11"/>
  <c r="J71" i="11"/>
  <c r="B72" i="11"/>
  <c r="F72" i="11"/>
  <c r="B73" i="11"/>
  <c r="F73" i="11"/>
  <c r="B75" i="11"/>
  <c r="B83" i="11"/>
  <c r="B84" i="11"/>
  <c r="D84" i="11"/>
  <c r="B85" i="11"/>
  <c r="D85" i="11"/>
  <c r="B86" i="11"/>
  <c r="B88" i="11"/>
  <c r="B96" i="11"/>
  <c r="B97" i="11"/>
  <c r="B98" i="11"/>
  <c r="B110" i="11" s="1"/>
  <c r="B99" i="11"/>
  <c r="B111" i="11" s="1"/>
  <c r="B101" i="11"/>
  <c r="B108" i="11"/>
  <c r="B109" i="11"/>
  <c r="D109" i="11"/>
  <c r="H109" i="11" s="1"/>
  <c r="D110" i="11"/>
  <c r="H110" i="11" s="1"/>
  <c r="D116" i="11"/>
  <c r="B125" i="11"/>
  <c r="D125" i="11"/>
  <c r="B126" i="11"/>
  <c r="D126" i="11"/>
  <c r="B127" i="11"/>
  <c r="D127" i="11"/>
  <c r="B128" i="11"/>
  <c r="D128" i="11"/>
  <c r="B136" i="11"/>
  <c r="D136" i="11"/>
  <c r="B137" i="11"/>
  <c r="D137" i="11"/>
  <c r="B138" i="11"/>
  <c r="D138" i="11"/>
  <c r="B139" i="11"/>
  <c r="D139" i="11"/>
  <c r="B141" i="11"/>
  <c r="D141" i="11"/>
  <c r="B149" i="11"/>
  <c r="D149" i="11"/>
  <c r="H149" i="11"/>
  <c r="B150" i="11"/>
  <c r="D150" i="11"/>
  <c r="H150" i="11" s="1"/>
  <c r="B151" i="11"/>
  <c r="B152" i="11"/>
  <c r="B154" i="11"/>
  <c r="B160" i="11"/>
  <c r="D160" i="11"/>
  <c r="F160" i="11"/>
  <c r="H160" i="11"/>
  <c r="B161" i="11"/>
  <c r="D161" i="11"/>
  <c r="H161" i="11" s="1"/>
  <c r="B162" i="11"/>
  <c r="B163" i="11"/>
  <c r="D168" i="11"/>
  <c r="B179" i="11"/>
  <c r="F179" i="11"/>
  <c r="J179" i="11"/>
  <c r="B180" i="11"/>
  <c r="F180" i="11"/>
  <c r="J180" i="11"/>
  <c r="B181" i="11"/>
  <c r="F181" i="11"/>
  <c r="J181" i="11"/>
  <c r="B182" i="11"/>
  <c r="F182" i="11"/>
  <c r="J182" i="11"/>
  <c r="B188" i="11"/>
  <c r="D188" i="11"/>
  <c r="B189" i="11"/>
  <c r="D189" i="11"/>
  <c r="B190" i="11"/>
  <c r="B191" i="11"/>
  <c r="B193" i="11"/>
  <c r="B201" i="11"/>
  <c r="D201" i="11"/>
  <c r="D246" i="11" s="1"/>
  <c r="F201" i="11"/>
  <c r="H201" i="11"/>
  <c r="B202" i="11"/>
  <c r="D202" i="11"/>
  <c r="D247" i="11" s="1"/>
  <c r="F202" i="11"/>
  <c r="H202" i="11"/>
  <c r="B203" i="11"/>
  <c r="F203" i="11"/>
  <c r="B204" i="11"/>
  <c r="F204" i="11"/>
  <c r="H204" i="11"/>
  <c r="B206" i="11"/>
  <c r="B165" i="11" s="1"/>
  <c r="B212" i="11"/>
  <c r="D212" i="11"/>
  <c r="H212" i="11" s="1"/>
  <c r="F212" i="11"/>
  <c r="B213" i="11"/>
  <c r="D213" i="11"/>
  <c r="H213" i="11" s="1"/>
  <c r="F213" i="11"/>
  <c r="B214" i="11"/>
  <c r="F214" i="11"/>
  <c r="B215" i="11"/>
  <c r="D215" i="11"/>
  <c r="F215" i="11"/>
  <c r="B237" i="11"/>
  <c r="F237" i="11"/>
  <c r="J237" i="11"/>
  <c r="B238" i="11"/>
  <c r="F238" i="11"/>
  <c r="J238" i="11"/>
  <c r="B239" i="11"/>
  <c r="F239" i="11"/>
  <c r="J239" i="11"/>
  <c r="B240" i="11"/>
  <c r="F240" i="11"/>
  <c r="J240" i="11"/>
  <c r="B246" i="11"/>
  <c r="B247" i="11"/>
  <c r="B248" i="11"/>
  <c r="B249" i="11"/>
  <c r="B251" i="11"/>
  <c r="D266" i="11"/>
  <c r="D267" i="11"/>
  <c r="F267" i="11"/>
  <c r="D268" i="11"/>
  <c r="D269" i="11"/>
  <c r="F83" i="11" s="1"/>
  <c r="H83" i="11" s="1"/>
  <c r="F269" i="11"/>
  <c r="H269" i="11"/>
  <c r="D270" i="11"/>
  <c r="D271" i="11"/>
  <c r="H271" i="11" s="1"/>
  <c r="F271" i="11"/>
  <c r="D276" i="11"/>
  <c r="D277" i="11"/>
  <c r="D97" i="11" s="1"/>
  <c r="H97" i="11" s="1"/>
  <c r="F277" i="11"/>
  <c r="H277" i="11" s="1"/>
  <c r="D278" i="11"/>
  <c r="D279" i="11"/>
  <c r="D280" i="11"/>
  <c r="D281" i="11"/>
  <c r="F281" i="11"/>
  <c r="H281" i="11" s="1"/>
  <c r="E286" i="11"/>
  <c r="E296" i="11" s="1"/>
  <c r="F287" i="11"/>
  <c r="D289" i="11"/>
  <c r="D290" i="11"/>
  <c r="E290" i="11"/>
  <c r="E300" i="11" s="1"/>
  <c r="D291" i="11"/>
  <c r="H291" i="11" s="1"/>
  <c r="E291" i="11"/>
  <c r="E301" i="11" s="1"/>
  <c r="F291" i="11"/>
  <c r="F297" i="11"/>
  <c r="D298" i="11"/>
  <c r="F301" i="11"/>
  <c r="J7" i="10"/>
  <c r="D6" i="9" s="1"/>
  <c r="D13" i="9" s="1"/>
  <c r="D16" i="9" s="1"/>
  <c r="F9" i="10"/>
  <c r="H18" i="10"/>
  <c r="B14" i="10"/>
  <c r="B15" i="10"/>
  <c r="B16" i="10"/>
  <c r="B18" i="10"/>
  <c r="B22" i="10"/>
  <c r="F26" i="10"/>
  <c r="B23" i="10"/>
  <c r="H23" i="10"/>
  <c r="H22" i="10" s="1"/>
  <c r="B24" i="10"/>
  <c r="J24" i="10"/>
  <c r="F6" i="9" s="1"/>
  <c r="F13" i="9" s="1"/>
  <c r="F16" i="9" s="1"/>
  <c r="B26" i="10"/>
  <c r="B29" i="10"/>
  <c r="H29" i="10"/>
  <c r="J29" i="10" s="1"/>
  <c r="B30" i="10"/>
  <c r="H30" i="10"/>
  <c r="J30" i="10"/>
  <c r="H5" i="9" s="1"/>
  <c r="B31" i="10"/>
  <c r="J31" i="10"/>
  <c r="D68" i="10" s="1"/>
  <c r="H68" i="10" s="1"/>
  <c r="B33" i="10"/>
  <c r="F33" i="10"/>
  <c r="B36" i="10"/>
  <c r="J36" i="10"/>
  <c r="B37" i="10"/>
  <c r="H37" i="10"/>
  <c r="J37" i="10" s="1"/>
  <c r="B38" i="10"/>
  <c r="J38" i="10"/>
  <c r="J6" i="9" s="1"/>
  <c r="J13" i="9" s="1"/>
  <c r="J16" i="9" s="1"/>
  <c r="B40" i="10"/>
  <c r="F40" i="10"/>
  <c r="B43" i="10"/>
  <c r="B44" i="10"/>
  <c r="B45" i="10"/>
  <c r="H45" i="10"/>
  <c r="B47" i="10"/>
  <c r="F66" i="10"/>
  <c r="F76" i="10" s="1"/>
  <c r="D67" i="10"/>
  <c r="H67" i="10" s="1"/>
  <c r="F67" i="10"/>
  <c r="F77" i="10" s="1"/>
  <c r="H77" i="10" s="1"/>
  <c r="F68" i="10"/>
  <c r="F78" i="10" s="1"/>
  <c r="F69" i="10"/>
  <c r="F79" i="10" s="1"/>
  <c r="B76" i="10"/>
  <c r="D76" i="10"/>
  <c r="B77" i="10"/>
  <c r="D77" i="10"/>
  <c r="B78" i="10"/>
  <c r="B79" i="10"/>
  <c r="B81" i="10"/>
  <c r="B90" i="10"/>
  <c r="F90" i="10"/>
  <c r="B91" i="10"/>
  <c r="D91" i="10"/>
  <c r="H91" i="10" s="1"/>
  <c r="F91" i="10"/>
  <c r="B92" i="10"/>
  <c r="D92" i="10"/>
  <c r="F92" i="10"/>
  <c r="B93" i="10"/>
  <c r="D93" i="10"/>
  <c r="H93" i="10" s="1"/>
  <c r="F93" i="10"/>
  <c r="B95" i="10"/>
  <c r="J100" i="10"/>
  <c r="D107" i="10" s="1"/>
  <c r="H107" i="10" s="1"/>
  <c r="F115" i="10" s="1"/>
  <c r="F175" i="10" s="1"/>
  <c r="H175" i="10" s="1"/>
  <c r="B106" i="10"/>
  <c r="D106" i="10"/>
  <c r="H106" i="10"/>
  <c r="B107" i="10"/>
  <c r="B108" i="10"/>
  <c r="D108" i="10"/>
  <c r="H108" i="10" s="1"/>
  <c r="F116" i="10" s="1"/>
  <c r="H183" i="10" s="1"/>
  <c r="B109" i="10"/>
  <c r="D109" i="10"/>
  <c r="H109" i="10" s="1"/>
  <c r="B114" i="10"/>
  <c r="D114" i="10"/>
  <c r="H114" i="10" s="1"/>
  <c r="F114" i="10"/>
  <c r="F167" i="10" s="1"/>
  <c r="H167" i="10" s="1"/>
  <c r="B115" i="10"/>
  <c r="D115" i="10"/>
  <c r="B116" i="10"/>
  <c r="D116" i="10"/>
  <c r="B117" i="10"/>
  <c r="D117" i="10"/>
  <c r="F117" i="10"/>
  <c r="B119" i="10"/>
  <c r="D119" i="10"/>
  <c r="B125" i="10"/>
  <c r="D125" i="10"/>
  <c r="H125" i="10"/>
  <c r="B126" i="10"/>
  <c r="D126" i="10"/>
  <c r="H126" i="10" s="1"/>
  <c r="B127" i="10"/>
  <c r="D127" i="10"/>
  <c r="B128" i="10"/>
  <c r="D128" i="10"/>
  <c r="D139" i="10" s="1"/>
  <c r="H139" i="10" s="1"/>
  <c r="H128" i="10"/>
  <c r="B130" i="10"/>
  <c r="B136" i="10"/>
  <c r="D136" i="10"/>
  <c r="B137" i="10"/>
  <c r="D137" i="10"/>
  <c r="H137" i="10"/>
  <c r="B138" i="10"/>
  <c r="B139" i="10"/>
  <c r="B141" i="10"/>
  <c r="B159" i="10"/>
  <c r="D159" i="10"/>
  <c r="B160" i="10"/>
  <c r="D160" i="10"/>
  <c r="H160" i="10"/>
  <c r="B161" i="10"/>
  <c r="D161" i="10"/>
  <c r="H161" i="10"/>
  <c r="B162" i="10"/>
  <c r="D162" i="10"/>
  <c r="H162" i="10"/>
  <c r="D167" i="10"/>
  <c r="D168" i="10"/>
  <c r="H168" i="10" s="1"/>
  <c r="F168" i="10"/>
  <c r="D169" i="10"/>
  <c r="D170" i="10"/>
  <c r="F170" i="10"/>
  <c r="H170" i="10"/>
  <c r="D175" i="10"/>
  <c r="E175" i="10"/>
  <c r="D176" i="10"/>
  <c r="F176" i="10"/>
  <c r="H176" i="10"/>
  <c r="D177" i="10"/>
  <c r="E177" i="10"/>
  <c r="D178" i="10"/>
  <c r="E178" i="10"/>
  <c r="F178" i="10"/>
  <c r="H178" i="10"/>
  <c r="D183" i="10"/>
  <c r="E183" i="10"/>
  <c r="E191" i="10" s="1"/>
  <c r="D184" i="10"/>
  <c r="F184" i="10"/>
  <c r="H184" i="10"/>
  <c r="D185" i="10"/>
  <c r="E185" i="10"/>
  <c r="D186" i="10"/>
  <c r="E186" i="10"/>
  <c r="D191" i="10"/>
  <c r="H191" i="10"/>
  <c r="D192" i="10"/>
  <c r="H192" i="10"/>
  <c r="D193" i="10"/>
  <c r="E193" i="10"/>
  <c r="D194" i="10"/>
  <c r="E194" i="10"/>
  <c r="F210" i="10"/>
  <c r="H219" i="10"/>
  <c r="F232" i="10"/>
  <c r="D240" i="10"/>
  <c r="D241" i="10"/>
  <c r="D242" i="10"/>
  <c r="F242" i="10"/>
  <c r="H242" i="10"/>
  <c r="D243" i="10"/>
  <c r="H243" i="10" s="1"/>
  <c r="F257" i="10"/>
  <c r="F243" i="10" s="1"/>
  <c r="J4" i="9"/>
  <c r="H6" i="9"/>
  <c r="H13" i="9"/>
  <c r="H16" i="9" s="1"/>
  <c r="D14" i="9"/>
  <c r="F14" i="9"/>
  <c r="H14" i="9"/>
  <c r="J14" i="9"/>
  <c r="D18" i="9"/>
  <c r="F18" i="9"/>
  <c r="F22" i="9" s="1"/>
  <c r="F66" i="9" s="1"/>
  <c r="D20" i="9"/>
  <c r="F20" i="9"/>
  <c r="H20" i="9"/>
  <c r="J20" i="9"/>
  <c r="D22" i="9"/>
  <c r="D66" i="9" s="1"/>
  <c r="D29" i="9"/>
  <c r="F29" i="9"/>
  <c r="F41" i="9" s="1"/>
  <c r="H29" i="9"/>
  <c r="H41" i="9" s="1"/>
  <c r="J29" i="9"/>
  <c r="D30" i="9"/>
  <c r="F30" i="9"/>
  <c r="H30" i="9"/>
  <c r="H72" i="9" s="1"/>
  <c r="J30" i="9"/>
  <c r="J72" i="9" s="1"/>
  <c r="D31" i="9"/>
  <c r="F31" i="9"/>
  <c r="J31" i="9"/>
  <c r="F34" i="9"/>
  <c r="H34" i="9" s="1"/>
  <c r="D40" i="9"/>
  <c r="D41" i="9"/>
  <c r="D71" i="9" s="1"/>
  <c r="J41" i="9"/>
  <c r="J71" i="9" s="1"/>
  <c r="D52" i="9"/>
  <c r="H52" i="9" s="1"/>
  <c r="D53" i="9"/>
  <c r="H53" i="9"/>
  <c r="F67" i="9" s="1"/>
  <c r="D54" i="9"/>
  <c r="H54" i="9" s="1"/>
  <c r="H67" i="9" s="1"/>
  <c r="D55" i="9"/>
  <c r="H55" i="9" s="1"/>
  <c r="J67" i="9"/>
  <c r="D72" i="9"/>
  <c r="F72" i="9"/>
  <c r="I7" i="8"/>
  <c r="E8" i="8"/>
  <c r="G8" i="8"/>
  <c r="G6" i="8" s="1"/>
  <c r="I23" i="8"/>
  <c r="G23" i="8"/>
  <c r="G24" i="8"/>
  <c r="I24" i="8"/>
  <c r="I25" i="8"/>
  <c r="C57" i="8" s="1"/>
  <c r="G57" i="8" s="1"/>
  <c r="G29" i="8"/>
  <c r="I29" i="8"/>
  <c r="G30" i="8"/>
  <c r="I30" i="8" s="1"/>
  <c r="I31" i="8"/>
  <c r="C58" i="8" s="1"/>
  <c r="G58" i="8" s="1"/>
  <c r="E32" i="8"/>
  <c r="E56" i="8"/>
  <c r="E60" i="8" s="1"/>
  <c r="E57" i="8"/>
  <c r="K57" i="8"/>
  <c r="C68" i="8" s="1"/>
  <c r="E58" i="8"/>
  <c r="K58" i="8"/>
  <c r="C69" i="8" s="1"/>
  <c r="C67" i="8"/>
  <c r="G67" i="8" s="1"/>
  <c r="E67" i="8"/>
  <c r="E68" i="8"/>
  <c r="E69" i="8"/>
  <c r="E71" i="8"/>
  <c r="E82" i="8"/>
  <c r="G82" i="8"/>
  <c r="C89" i="8" s="1"/>
  <c r="G89" i="8" s="1"/>
  <c r="E83" i="8"/>
  <c r="G83" i="8" s="1"/>
  <c r="C90" i="8"/>
  <c r="G90" i="8" s="1"/>
  <c r="E99" i="8"/>
  <c r="E100" i="8"/>
  <c r="E102" i="8"/>
  <c r="E103" i="8"/>
  <c r="E105" i="8"/>
  <c r="E106" i="8"/>
  <c r="C123" i="8"/>
  <c r="G123" i="8"/>
  <c r="C124" i="8"/>
  <c r="G124" i="8"/>
  <c r="C127" i="8"/>
  <c r="G127" i="8"/>
  <c r="C128" i="8"/>
  <c r="G128" i="8"/>
  <c r="C131" i="8"/>
  <c r="G131" i="8"/>
  <c r="C132" i="8"/>
  <c r="G132" i="8"/>
  <c r="C141" i="8"/>
  <c r="C142" i="8"/>
  <c r="C143" i="8"/>
  <c r="C144" i="8"/>
  <c r="C145" i="8"/>
  <c r="C149" i="8"/>
  <c r="C150" i="8"/>
  <c r="C151" i="8"/>
  <c r="C152" i="8"/>
  <c r="C153" i="8"/>
  <c r="C158" i="8"/>
  <c r="C159" i="8"/>
  <c r="C160" i="8"/>
  <c r="C161" i="8"/>
  <c r="C162" i="8"/>
  <c r="E172" i="8"/>
  <c r="G180" i="8"/>
  <c r="G181" i="8"/>
  <c r="E196" i="8" s="1"/>
  <c r="C204" i="8" s="1"/>
  <c r="E192" i="8"/>
  <c r="C205" i="8"/>
  <c r="C206" i="8"/>
  <c r="G206" i="8" s="1"/>
  <c r="E206" i="8"/>
  <c r="E208" i="8"/>
  <c r="G208" i="8" s="1"/>
  <c r="E220" i="8"/>
  <c r="G220" i="8" s="1"/>
  <c r="E191" i="8" s="1"/>
  <c r="G222" i="8"/>
  <c r="E241" i="8"/>
  <c r="G241" i="8"/>
  <c r="G248" i="8"/>
  <c r="E258" i="8"/>
  <c r="G258" i="8"/>
  <c r="G9" i="7"/>
  <c r="C10" i="7"/>
  <c r="E10" i="7"/>
  <c r="C18" i="7"/>
  <c r="C20" i="7" s="1"/>
  <c r="C22" i="7" s="1"/>
  <c r="K17" i="7" s="1"/>
  <c r="K21" i="7"/>
  <c r="K24" i="7"/>
  <c r="E30" i="7"/>
  <c r="I34" i="7"/>
  <c r="C37" i="7" s="1"/>
  <c r="C38" i="7"/>
  <c r="G64" i="6" s="1"/>
  <c r="I64" i="6" s="1"/>
  <c r="E28" i="6" s="1"/>
  <c r="I38" i="7"/>
  <c r="C56" i="7" s="1"/>
  <c r="C46" i="7"/>
  <c r="C47" i="7" s="1"/>
  <c r="C49" i="7" s="1"/>
  <c r="G61" i="7" s="1"/>
  <c r="C48" i="7"/>
  <c r="C67" i="7"/>
  <c r="C50" i="7" s="1"/>
  <c r="C68" i="7"/>
  <c r="E60" i="7" s="1"/>
  <c r="C69" i="7"/>
  <c r="C70" i="7"/>
  <c r="E70" i="7"/>
  <c r="G70" i="7"/>
  <c r="E78" i="7"/>
  <c r="G87" i="7" s="1"/>
  <c r="E112" i="7"/>
  <c r="E128" i="7" s="1"/>
  <c r="G128" i="7" s="1"/>
  <c r="C113" i="7"/>
  <c r="C114" i="7"/>
  <c r="E114" i="7"/>
  <c r="G114" i="7"/>
  <c r="C115" i="7"/>
  <c r="I11" i="6"/>
  <c r="I12" i="6"/>
  <c r="I13" i="6"/>
  <c r="G14" i="6"/>
  <c r="I19" i="6"/>
  <c r="E41" i="6"/>
  <c r="G41" i="6"/>
  <c r="E42" i="6"/>
  <c r="G42" i="6"/>
  <c r="E43" i="6"/>
  <c r="G43" i="6"/>
  <c r="C44" i="6"/>
  <c r="E44" i="6"/>
  <c r="K44" i="6"/>
  <c r="I54" i="6"/>
  <c r="I55" i="6"/>
  <c r="E65" i="6"/>
  <c r="E66" i="6"/>
  <c r="E67" i="6"/>
  <c r="E68" i="6"/>
  <c r="G68" i="6"/>
  <c r="I68" i="6"/>
  <c r="D13" i="5"/>
  <c r="D14" i="5" s="1"/>
  <c r="F24" i="5"/>
  <c r="F25" i="5"/>
  <c r="F26" i="5"/>
  <c r="F28" i="5" s="1"/>
  <c r="F30" i="5" s="1"/>
  <c r="D16" i="5" s="1"/>
  <c r="F27" i="5"/>
  <c r="D28" i="5"/>
  <c r="E28" i="5"/>
  <c r="E37" i="5"/>
  <c r="E49" i="5" s="1"/>
  <c r="E50" i="5" s="1"/>
  <c r="D38" i="5"/>
  <c r="D39" i="5"/>
  <c r="D49" i="5" s="1"/>
  <c r="D50" i="5" s="1"/>
  <c r="D40" i="5"/>
  <c r="D41" i="5"/>
  <c r="D42" i="5"/>
  <c r="E43" i="5"/>
  <c r="C44" i="5"/>
  <c r="E44" i="5"/>
  <c r="C45" i="5"/>
  <c r="C46" i="5"/>
  <c r="C47" i="5"/>
  <c r="C48" i="5"/>
  <c r="E48" i="5"/>
  <c r="B49" i="5"/>
  <c r="C49" i="5"/>
  <c r="C50" i="5" s="1"/>
  <c r="B50" i="5"/>
  <c r="I66" i="4"/>
  <c r="F30" i="3"/>
  <c r="D16" i="3"/>
  <c r="I11" i="4"/>
  <c r="I12" i="4"/>
  <c r="I13" i="4"/>
  <c r="G14" i="4"/>
  <c r="I37" i="4" s="1"/>
  <c r="E27" i="4"/>
  <c r="E64" i="4"/>
  <c r="E37" i="4"/>
  <c r="G37" i="4"/>
  <c r="E38" i="4"/>
  <c r="G38" i="4"/>
  <c r="E39" i="4"/>
  <c r="G39" i="4"/>
  <c r="K39" i="4"/>
  <c r="E63" i="4"/>
  <c r="C40" i="4"/>
  <c r="E40" i="4"/>
  <c r="I50" i="4"/>
  <c r="I51" i="4"/>
  <c r="G64" i="4"/>
  <c r="E61" i="4"/>
  <c r="E62" i="4"/>
  <c r="I65" i="4"/>
  <c r="D13" i="3"/>
  <c r="D14" i="3"/>
  <c r="D17" i="3"/>
  <c r="F24" i="3"/>
  <c r="F28" i="3"/>
  <c r="F25" i="3"/>
  <c r="F26" i="3"/>
  <c r="F27" i="3"/>
  <c r="D28" i="3"/>
  <c r="E28" i="3"/>
  <c r="E35" i="3"/>
  <c r="E47" i="3"/>
  <c r="E48" i="3"/>
  <c r="D36" i="3"/>
  <c r="D37" i="3"/>
  <c r="D38" i="3"/>
  <c r="D47" i="3"/>
  <c r="D48" i="3"/>
  <c r="D39" i="3"/>
  <c r="D40" i="3"/>
  <c r="E41" i="3"/>
  <c r="C42" i="3"/>
  <c r="E42" i="3"/>
  <c r="C43" i="3"/>
  <c r="C44" i="3"/>
  <c r="C45" i="3"/>
  <c r="C46" i="3"/>
  <c r="E46" i="3"/>
  <c r="B47" i="3"/>
  <c r="C47" i="3"/>
  <c r="B48" i="3"/>
  <c r="C48" i="3"/>
  <c r="F69" i="1"/>
  <c r="F71" i="1" s="1"/>
  <c r="F75" i="1" s="1"/>
  <c r="F77" i="1" s="1"/>
  <c r="F84" i="1" s="1"/>
  <c r="E14" i="4"/>
  <c r="K67" i="4" s="1"/>
  <c r="I64" i="4"/>
  <c r="G40" i="4"/>
  <c r="B50" i="3"/>
  <c r="C50" i="3"/>
  <c r="E50" i="3"/>
  <c r="D50" i="3"/>
  <c r="D153" i="1"/>
  <c r="D154" i="1"/>
  <c r="F144" i="1"/>
  <c r="F145" i="1"/>
  <c r="F143" i="1"/>
  <c r="E143" i="1"/>
  <c r="F175" i="1" s="1"/>
  <c r="H175" i="1" s="1"/>
  <c r="D92" i="1"/>
  <c r="D203" i="1" s="1"/>
  <c r="D91" i="1"/>
  <c r="D90" i="1"/>
  <c r="E16" i="1"/>
  <c r="D9" i="1"/>
  <c r="F6" i="1"/>
  <c r="E7" i="1"/>
  <c r="F7" i="1" s="1"/>
  <c r="D67" i="1"/>
  <c r="H204" i="1"/>
  <c r="D71" i="1"/>
  <c r="D75" i="1" s="1"/>
  <c r="D77" i="1" s="1"/>
  <c r="D179" i="1"/>
  <c r="D152" i="1"/>
  <c r="D122" i="1"/>
  <c r="D155" i="1"/>
  <c r="D161" i="1"/>
  <c r="D162" i="1"/>
  <c r="D163" i="1"/>
  <c r="D187" i="1"/>
  <c r="D123" i="1"/>
  <c r="G101" i="1"/>
  <c r="F124" i="1"/>
  <c r="G16" i="1"/>
  <c r="G58" i="4" s="1"/>
  <c r="I58" i="4" s="1"/>
  <c r="F56" i="1"/>
  <c r="E8" i="1"/>
  <c r="F8" i="1" s="1"/>
  <c r="F176" i="1"/>
  <c r="H176" i="1" s="1"/>
  <c r="D56" i="1"/>
  <c r="H56" i="1" s="1"/>
  <c r="J305" i="11" l="1"/>
  <c r="J22" i="22"/>
  <c r="M32" i="19"/>
  <c r="M29" i="19"/>
  <c r="M15" i="19"/>
  <c r="M27" i="19"/>
  <c r="M12" i="19"/>
  <c r="M21" i="19"/>
  <c r="M10" i="19"/>
  <c r="M2" i="19"/>
  <c r="M18" i="19"/>
  <c r="M8" i="19"/>
  <c r="Q29" i="18"/>
  <c r="Q31" i="18"/>
  <c r="H215" i="11"/>
  <c r="I26" i="8"/>
  <c r="I38" i="4"/>
  <c r="M38" i="4" s="1"/>
  <c r="E50" i="4" s="1"/>
  <c r="I14" i="4"/>
  <c r="E19" i="4" s="1"/>
  <c r="M37" i="4"/>
  <c r="E49" i="4" s="1"/>
  <c r="I39" i="4"/>
  <c r="M39" i="4" s="1"/>
  <c r="E51" i="4" s="1"/>
  <c r="E101" i="1"/>
  <c r="D124" i="1" s="1"/>
  <c r="H124" i="1" s="1"/>
  <c r="D95" i="1"/>
  <c r="F203" i="1" s="1"/>
  <c r="D126" i="1"/>
  <c r="F202" i="1" s="1"/>
  <c r="D165" i="1"/>
  <c r="G143" i="1"/>
  <c r="F153" i="1" s="1"/>
  <c r="I16" i="1"/>
  <c r="E38" i="1" s="1"/>
  <c r="G144" i="1"/>
  <c r="F154" i="1" s="1"/>
  <c r="H154" i="1" s="1"/>
  <c r="F9" i="1"/>
  <c r="H6" i="1" s="1"/>
  <c r="F93" i="1"/>
  <c r="H93" i="1" s="1"/>
  <c r="G60" i="4"/>
  <c r="I60" i="4" s="1"/>
  <c r="D202" i="1"/>
  <c r="D207" i="1" s="1"/>
  <c r="G59" i="4"/>
  <c r="I59" i="4" s="1"/>
  <c r="F92" i="1"/>
  <c r="E145" i="1" s="1"/>
  <c r="H153" i="1"/>
  <c r="D157" i="1"/>
  <c r="E22" i="1"/>
  <c r="E21" i="4"/>
  <c r="J9" i="23"/>
  <c r="D33" i="23" s="1"/>
  <c r="H33" i="23" s="1"/>
  <c r="J17" i="23" s="1"/>
  <c r="H233" i="23"/>
  <c r="H235" i="23" s="1"/>
  <c r="E269" i="23" s="1"/>
  <c r="I274" i="23" s="1"/>
  <c r="H196" i="23"/>
  <c r="H197" i="23" s="1"/>
  <c r="H202" i="23" s="1"/>
  <c r="H204" i="23" s="1"/>
  <c r="G197" i="23"/>
  <c r="G202" i="23" s="1"/>
  <c r="G204" i="23" s="1"/>
  <c r="F97" i="23"/>
  <c r="F72" i="23"/>
  <c r="F88" i="23"/>
  <c r="G408" i="23"/>
  <c r="G410" i="23" s="1"/>
  <c r="J19" i="23" s="1"/>
  <c r="F406" i="23"/>
  <c r="H140" i="23"/>
  <c r="J11" i="23" s="1"/>
  <c r="G2" i="22"/>
  <c r="J17" i="22"/>
  <c r="G8" i="22"/>
  <c r="G10" i="22"/>
  <c r="G7" i="22"/>
  <c r="G9" i="22"/>
  <c r="J24" i="22"/>
  <c r="C7" i="22"/>
  <c r="I7" i="22" s="1"/>
  <c r="F13" i="21" s="1"/>
  <c r="C9" i="22"/>
  <c r="C8" i="22"/>
  <c r="C10" i="22"/>
  <c r="F31" i="22"/>
  <c r="L31" i="22" s="1"/>
  <c r="G32" i="21" s="1"/>
  <c r="I32" i="21" s="1"/>
  <c r="J31" i="22"/>
  <c r="F24" i="22"/>
  <c r="F23" i="22"/>
  <c r="K25" i="22"/>
  <c r="G31" i="22"/>
  <c r="K31" i="22" s="1"/>
  <c r="K23" i="22"/>
  <c r="G29" i="22"/>
  <c r="K29" i="22" s="1"/>
  <c r="F28" i="22"/>
  <c r="F25" i="22"/>
  <c r="J29" i="22"/>
  <c r="L29" i="22" s="1"/>
  <c r="G30" i="21" s="1"/>
  <c r="I30" i="21" s="1"/>
  <c r="F22" i="22"/>
  <c r="H30" i="22"/>
  <c r="I30" i="22" s="1"/>
  <c r="J30" i="22" s="1"/>
  <c r="H28" i="22"/>
  <c r="I28" i="22" s="1"/>
  <c r="J28" i="22" s="1"/>
  <c r="I25" i="22"/>
  <c r="J25" i="22" s="1"/>
  <c r="G24" i="22"/>
  <c r="I23" i="22"/>
  <c r="J23" i="22" s="1"/>
  <c r="G22" i="22"/>
  <c r="H10" i="22"/>
  <c r="H8" i="22"/>
  <c r="M35" i="18"/>
  <c r="O35" i="18" s="1"/>
  <c r="Q35" i="18"/>
  <c r="C6" i="20"/>
  <c r="D6" i="20" s="1"/>
  <c r="D8" i="20" s="1"/>
  <c r="I34" i="18" s="1"/>
  <c r="K34" i="18" s="1"/>
  <c r="E9" i="19"/>
  <c r="Q9" i="19" s="1"/>
  <c r="I8" i="18" s="1"/>
  <c r="K8" i="18" s="1"/>
  <c r="E11" i="19"/>
  <c r="E14" i="19"/>
  <c r="E17" i="19"/>
  <c r="E20" i="19"/>
  <c r="E22" i="19"/>
  <c r="E28" i="19"/>
  <c r="E31" i="19"/>
  <c r="C7" i="20"/>
  <c r="D7" i="20" s="1"/>
  <c r="E8" i="19"/>
  <c r="Q8" i="19" s="1"/>
  <c r="I7" i="18" s="1"/>
  <c r="K7" i="18" s="1"/>
  <c r="E10" i="19"/>
  <c r="E12" i="19"/>
  <c r="E15" i="19"/>
  <c r="E18" i="19"/>
  <c r="Q18" i="19" s="1"/>
  <c r="I15" i="18" s="1"/>
  <c r="K15" i="18" s="1"/>
  <c r="E21" i="19"/>
  <c r="Q21" i="19" s="1"/>
  <c r="I17" i="18" s="1"/>
  <c r="E27" i="19"/>
  <c r="Q27" i="19" s="1"/>
  <c r="I21" i="18" s="1"/>
  <c r="E29" i="19"/>
  <c r="Q29" i="19" s="1"/>
  <c r="I23" i="18" s="1"/>
  <c r="E32" i="19"/>
  <c r="Q32" i="19" s="1"/>
  <c r="I25" i="18" s="1"/>
  <c r="K25" i="18" s="1"/>
  <c r="C14" i="20"/>
  <c r="D14" i="20" s="1"/>
  <c r="I36" i="18" s="1"/>
  <c r="K36" i="18" s="1"/>
  <c r="O28" i="19"/>
  <c r="G32" i="19"/>
  <c r="O32" i="19" s="1"/>
  <c r="M30" i="18"/>
  <c r="O30" i="18" s="1"/>
  <c r="Q30" i="18"/>
  <c r="M31" i="19"/>
  <c r="M28" i="19"/>
  <c r="M22" i="19"/>
  <c r="M20" i="19"/>
  <c r="M17" i="19"/>
  <c r="M14" i="19"/>
  <c r="M11" i="19"/>
  <c r="D57" i="17"/>
  <c r="F57" i="17" s="1"/>
  <c r="D12" i="17"/>
  <c r="F12" i="17" s="1"/>
  <c r="B25" i="15"/>
  <c r="B20" i="15"/>
  <c r="D25" i="15" s="1"/>
  <c r="D27" i="15" s="1"/>
  <c r="E25" i="15"/>
  <c r="B14" i="14"/>
  <c r="B18" i="14" s="1"/>
  <c r="B20" i="14"/>
  <c r="D25" i="14" s="1"/>
  <c r="D27" i="14" s="1"/>
  <c r="D35" i="14" s="1"/>
  <c r="H297" i="11"/>
  <c r="D99" i="11"/>
  <c r="H99" i="11" s="1"/>
  <c r="J32" i="11"/>
  <c r="J45" i="11"/>
  <c r="J43" i="11"/>
  <c r="D251" i="11"/>
  <c r="H62" i="11"/>
  <c r="H72" i="11"/>
  <c r="J72" i="11" s="1"/>
  <c r="J75" i="11" s="1"/>
  <c r="D221" i="11" s="1"/>
  <c r="D296" i="11"/>
  <c r="H267" i="11"/>
  <c r="D96" i="11"/>
  <c r="F289" i="11"/>
  <c r="H85" i="11"/>
  <c r="F65" i="11"/>
  <c r="D113" i="11"/>
  <c r="H108" i="11"/>
  <c r="H113" i="11" s="1"/>
  <c r="D117" i="11" s="1"/>
  <c r="D119" i="11" s="1"/>
  <c r="C125" i="11" s="1"/>
  <c r="D206" i="11"/>
  <c r="D248" i="11"/>
  <c r="H32" i="11"/>
  <c r="H43" i="11"/>
  <c r="H45" i="11"/>
  <c r="H287" i="11"/>
  <c r="B217" i="11"/>
  <c r="H63" i="11"/>
  <c r="D65" i="11"/>
  <c r="D300" i="11"/>
  <c r="D111" i="11"/>
  <c r="H111" i="11" s="1"/>
  <c r="F85" i="11"/>
  <c r="F88" i="11" s="1"/>
  <c r="H289" i="11"/>
  <c r="F84" i="11"/>
  <c r="D214" i="11"/>
  <c r="H203" i="11"/>
  <c r="H206" i="11" s="1"/>
  <c r="D229" i="11" s="1"/>
  <c r="D86" i="11"/>
  <c r="F279" i="11"/>
  <c r="H279" i="11" s="1"/>
  <c r="H84" i="11"/>
  <c r="F63" i="11"/>
  <c r="H73" i="11" s="1"/>
  <c r="J73" i="11" s="1"/>
  <c r="D301" i="11"/>
  <c r="H301" i="11" s="1"/>
  <c r="D286" i="11"/>
  <c r="D190" i="11"/>
  <c r="D193" i="11" s="1"/>
  <c r="H116" i="10"/>
  <c r="H90" i="10"/>
  <c r="H95" i="10" s="1"/>
  <c r="D146" i="10" s="1"/>
  <c r="F95" i="10"/>
  <c r="F81" i="10"/>
  <c r="H76" i="10"/>
  <c r="H127" i="10"/>
  <c r="H130" i="10" s="1"/>
  <c r="D151" i="10" s="1"/>
  <c r="D138" i="10"/>
  <c r="J40" i="10"/>
  <c r="J5" i="9"/>
  <c r="J28" i="9" s="1"/>
  <c r="H115" i="10"/>
  <c r="H92" i="10"/>
  <c r="J69" i="10"/>
  <c r="D78" i="10"/>
  <c r="H18" i="9"/>
  <c r="H22" i="9" s="1"/>
  <c r="H66" i="9" s="1"/>
  <c r="H117" i="10"/>
  <c r="H119" i="10" s="1"/>
  <c r="D147" i="10" s="1"/>
  <c r="J33" i="10"/>
  <c r="H4" i="9"/>
  <c r="H8" i="9" s="1"/>
  <c r="H65" i="9" s="1"/>
  <c r="H6" i="10"/>
  <c r="H5" i="10" s="1"/>
  <c r="J5" i="10" s="1"/>
  <c r="F71" i="10"/>
  <c r="H257" i="10"/>
  <c r="F228" i="10" s="1"/>
  <c r="D130" i="10"/>
  <c r="D69" i="10"/>
  <c r="H69" i="10" s="1"/>
  <c r="J22" i="10"/>
  <c r="J23" i="10"/>
  <c r="F5" i="9" s="1"/>
  <c r="F28" i="9" s="1"/>
  <c r="F71" i="9"/>
  <c r="D67" i="9"/>
  <c r="H57" i="9"/>
  <c r="J34" i="9"/>
  <c r="D73" i="9"/>
  <c r="D78" i="9"/>
  <c r="J73" i="9"/>
  <c r="J78" i="9"/>
  <c r="H71" i="9"/>
  <c r="H28" i="9"/>
  <c r="H31" i="9"/>
  <c r="K31" i="9" s="1"/>
  <c r="G149" i="8"/>
  <c r="C102" i="8"/>
  <c r="G102" i="8" s="1"/>
  <c r="E190" i="8"/>
  <c r="I6" i="8"/>
  <c r="C172" i="8" s="1"/>
  <c r="G172" i="8" s="1"/>
  <c r="G176" i="8" s="1"/>
  <c r="G178" i="8" s="1"/>
  <c r="G18" i="8"/>
  <c r="G36" i="8" s="1"/>
  <c r="C103" i="8"/>
  <c r="G103" i="8" s="1"/>
  <c r="E142" i="8"/>
  <c r="G142" i="8" s="1"/>
  <c r="E159" i="8"/>
  <c r="G159" i="8" s="1"/>
  <c r="C100" i="8"/>
  <c r="G100" i="8" s="1"/>
  <c r="C106" i="8"/>
  <c r="G106" i="8" s="1"/>
  <c r="E150" i="8"/>
  <c r="G69" i="8"/>
  <c r="E162" i="8"/>
  <c r="I32" i="8"/>
  <c r="E141" i="8"/>
  <c r="G141" i="8" s="1"/>
  <c r="C99" i="8"/>
  <c r="G99" i="8" s="1"/>
  <c r="G162" i="8"/>
  <c r="G150" i="8"/>
  <c r="E153" i="8"/>
  <c r="G153" i="8" s="1"/>
  <c r="G68" i="8"/>
  <c r="G71" i="8" s="1"/>
  <c r="C113" i="8" s="1"/>
  <c r="E233" i="8"/>
  <c r="G233" i="8" s="1"/>
  <c r="G134" i="8"/>
  <c r="E207" i="8"/>
  <c r="G207" i="8" s="1"/>
  <c r="E145" i="8"/>
  <c r="G145" i="8" s="1"/>
  <c r="C91" i="8"/>
  <c r="G91" i="8" s="1"/>
  <c r="G5" i="8"/>
  <c r="E26" i="8"/>
  <c r="G89" i="7"/>
  <c r="E99" i="7" s="1"/>
  <c r="C112" i="7"/>
  <c r="G112" i="7" s="1"/>
  <c r="G113" i="7"/>
  <c r="C51" i="7"/>
  <c r="C57" i="7" s="1"/>
  <c r="E69" i="7"/>
  <c r="G69" i="7" s="1"/>
  <c r="E113" i="7"/>
  <c r="I37" i="7"/>
  <c r="C29" i="7"/>
  <c r="G62" i="6"/>
  <c r="E102" i="7"/>
  <c r="C111" i="7" s="1"/>
  <c r="E97" i="7"/>
  <c r="E129" i="7"/>
  <c r="E8" i="7"/>
  <c r="G8" i="7" s="1"/>
  <c r="E14" i="6"/>
  <c r="K69" i="6" s="1"/>
  <c r="I41" i="6"/>
  <c r="I14" i="6"/>
  <c r="E24" i="6" s="1"/>
  <c r="G44" i="6"/>
  <c r="I42" i="6" s="1"/>
  <c r="M42" i="6" s="1"/>
  <c r="E54" i="6" s="1"/>
  <c r="D17" i="5"/>
  <c r="Q15" i="19" l="1"/>
  <c r="I13" i="18" s="1"/>
  <c r="K13" i="18" s="1"/>
  <c r="M13" i="18" s="1"/>
  <c r="O13" i="18" s="1"/>
  <c r="Q12" i="19"/>
  <c r="I11" i="18" s="1"/>
  <c r="Q11" i="18" s="1"/>
  <c r="Q10" i="19"/>
  <c r="I9" i="18" s="1"/>
  <c r="K9" i="18" s="1"/>
  <c r="M9" i="18" s="1"/>
  <c r="O9" i="18" s="1"/>
  <c r="Q14" i="19"/>
  <c r="I12" i="18" s="1"/>
  <c r="K12" i="18" s="1"/>
  <c r="Q12" i="18" s="1"/>
  <c r="J8" i="9"/>
  <c r="J65" i="9" s="1"/>
  <c r="I40" i="4"/>
  <c r="I42" i="4" s="1"/>
  <c r="H7" i="1"/>
  <c r="H8" i="1" s="1"/>
  <c r="E22" i="4"/>
  <c r="E25" i="4" s="1"/>
  <c r="E28" i="4" s="1"/>
  <c r="C49" i="4" s="1"/>
  <c r="G49" i="4" s="1"/>
  <c r="K49" i="4" s="1"/>
  <c r="G61" i="4" s="1"/>
  <c r="I61" i="4" s="1"/>
  <c r="G6" i="1"/>
  <c r="I6" i="1" s="1"/>
  <c r="G7" i="1"/>
  <c r="G8" i="1"/>
  <c r="F207" i="1"/>
  <c r="I101" i="1"/>
  <c r="E110" i="1" s="1"/>
  <c r="F185" i="1"/>
  <c r="H185" i="1" s="1"/>
  <c r="G145" i="1"/>
  <c r="F163" i="1" s="1"/>
  <c r="H163" i="1" s="1"/>
  <c r="H92" i="1"/>
  <c r="E43" i="1"/>
  <c r="E30" i="1"/>
  <c r="E45" i="1" s="1"/>
  <c r="D54" i="1" s="1"/>
  <c r="F87" i="23"/>
  <c r="J21" i="23"/>
  <c r="F71" i="23"/>
  <c r="F96" i="23"/>
  <c r="F95" i="23"/>
  <c r="F70" i="23"/>
  <c r="F86" i="23"/>
  <c r="I277" i="23"/>
  <c r="I281" i="23"/>
  <c r="I286" i="23"/>
  <c r="I290" i="23"/>
  <c r="I297" i="23"/>
  <c r="I301" i="23"/>
  <c r="I306" i="23"/>
  <c r="I310" i="23"/>
  <c r="I280" i="23"/>
  <c r="I289" i="23"/>
  <c r="I278" i="23"/>
  <c r="I287" i="23"/>
  <c r="I298" i="23"/>
  <c r="I307" i="23"/>
  <c r="I300" i="23"/>
  <c r="I309" i="23"/>
  <c r="I279" i="23"/>
  <c r="I288" i="23"/>
  <c r="I299" i="23"/>
  <c r="I308" i="23"/>
  <c r="I204" i="23"/>
  <c r="I206" i="23" s="1"/>
  <c r="N30" i="21"/>
  <c r="K30" i="21"/>
  <c r="M30" i="21" s="1"/>
  <c r="K32" i="21"/>
  <c r="M32" i="21" s="1"/>
  <c r="N32" i="21"/>
  <c r="G28" i="22"/>
  <c r="K28" i="22" s="1"/>
  <c r="K22" i="22"/>
  <c r="L25" i="22"/>
  <c r="G24" i="21" s="1"/>
  <c r="I24" i="21" s="1"/>
  <c r="L24" i="22"/>
  <c r="G23" i="21" s="1"/>
  <c r="I8" i="22"/>
  <c r="F14" i="21" s="1"/>
  <c r="L28" i="22"/>
  <c r="G29" i="21" s="1"/>
  <c r="I29" i="21" s="1"/>
  <c r="I9" i="22"/>
  <c r="F15" i="21" s="1"/>
  <c r="G30" i="22"/>
  <c r="K30" i="22" s="1"/>
  <c r="L30" i="22" s="1"/>
  <c r="G31" i="21" s="1"/>
  <c r="I31" i="21" s="1"/>
  <c r="K24" i="22"/>
  <c r="L22" i="22"/>
  <c r="G21" i="21" s="1"/>
  <c r="F21" i="21"/>
  <c r="F29" i="21"/>
  <c r="I13" i="21"/>
  <c r="L23" i="22"/>
  <c r="G22" i="21" s="1"/>
  <c r="I10" i="22"/>
  <c r="F16" i="21" s="1"/>
  <c r="Q21" i="18"/>
  <c r="M21" i="18"/>
  <c r="O21" i="18" s="1"/>
  <c r="Q31" i="19"/>
  <c r="I24" i="18" s="1"/>
  <c r="K24" i="18" s="1"/>
  <c r="Q17" i="19"/>
  <c r="I14" i="18" s="1"/>
  <c r="K14" i="18" s="1"/>
  <c r="M34" i="18"/>
  <c r="O34" i="18" s="1"/>
  <c r="Q34" i="18"/>
  <c r="M36" i="18"/>
  <c r="O36" i="18" s="1"/>
  <c r="Q36" i="18"/>
  <c r="Q17" i="18"/>
  <c r="M17" i="18"/>
  <c r="O17" i="18" s="1"/>
  <c r="Q28" i="19"/>
  <c r="I22" i="18" s="1"/>
  <c r="K22" i="18" s="1"/>
  <c r="Q25" i="18"/>
  <c r="M25" i="18"/>
  <c r="O25" i="18" s="1"/>
  <c r="Q15" i="18"/>
  <c r="M15" i="18"/>
  <c r="O15" i="18" s="1"/>
  <c r="M7" i="18"/>
  <c r="Q7" i="18"/>
  <c r="Q22" i="19"/>
  <c r="I18" i="18" s="1"/>
  <c r="K18" i="18" s="1"/>
  <c r="Q11" i="19"/>
  <c r="I10" i="18" s="1"/>
  <c r="K10" i="18" s="1"/>
  <c r="Q23" i="18"/>
  <c r="M23" i="18"/>
  <c r="O23" i="18" s="1"/>
  <c r="Q20" i="19"/>
  <c r="I16" i="18" s="1"/>
  <c r="K16" i="18" s="1"/>
  <c r="Q8" i="18"/>
  <c r="M8" i="18"/>
  <c r="O8" i="18" s="1"/>
  <c r="F15" i="17"/>
  <c r="C29" i="17"/>
  <c r="C31" i="17" s="1"/>
  <c r="F25" i="15"/>
  <c r="F27" i="15" s="1"/>
  <c r="E27" i="15"/>
  <c r="F12" i="12" s="1"/>
  <c r="F16" i="12" s="1"/>
  <c r="E12" i="12"/>
  <c r="E16" i="12" s="1"/>
  <c r="D35" i="15"/>
  <c r="C25" i="15"/>
  <c r="C27" i="15" s="1"/>
  <c r="B27" i="15"/>
  <c r="E25" i="14"/>
  <c r="B25" i="14"/>
  <c r="F125" i="11"/>
  <c r="F136" i="11" s="1"/>
  <c r="C126" i="11"/>
  <c r="F126" i="11" s="1"/>
  <c r="F137" i="11" s="1"/>
  <c r="C127" i="11"/>
  <c r="F127" i="11" s="1"/>
  <c r="F138" i="11" s="1"/>
  <c r="C128" i="11"/>
  <c r="F128" i="11" s="1"/>
  <c r="F139" i="11" s="1"/>
  <c r="H214" i="11"/>
  <c r="H217" i="11" s="1"/>
  <c r="D226" i="11" s="1"/>
  <c r="D217" i="11"/>
  <c r="D101" i="11"/>
  <c r="H96" i="11"/>
  <c r="H101" i="11" s="1"/>
  <c r="D223" i="11" s="1"/>
  <c r="P47" i="11"/>
  <c r="D152" i="11"/>
  <c r="H86" i="11"/>
  <c r="H88" i="11" s="1"/>
  <c r="D222" i="11" s="1"/>
  <c r="F299" i="11"/>
  <c r="H299" i="11" s="1"/>
  <c r="H75" i="11"/>
  <c r="O47" i="11"/>
  <c r="D151" i="11"/>
  <c r="D4" i="9"/>
  <c r="H78" i="10"/>
  <c r="F186" i="10"/>
  <c r="H186" i="10" s="1"/>
  <c r="F4" i="9"/>
  <c r="F8" i="9" s="1"/>
  <c r="F65" i="9" s="1"/>
  <c r="J26" i="10"/>
  <c r="H138" i="10"/>
  <c r="H141" i="10" s="1"/>
  <c r="D148" i="10" s="1"/>
  <c r="D141" i="10"/>
  <c r="J6" i="10"/>
  <c r="H15" i="10"/>
  <c r="D79" i="10"/>
  <c r="J18" i="9"/>
  <c r="J22" i="9" s="1"/>
  <c r="J66" i="9" s="1"/>
  <c r="F227" i="10"/>
  <c r="F78" i="9"/>
  <c r="F73" i="9"/>
  <c r="H73" i="9"/>
  <c r="H78" i="9"/>
  <c r="E158" i="8"/>
  <c r="G158" i="8" s="1"/>
  <c r="C105" i="8"/>
  <c r="G105" i="8" s="1"/>
  <c r="G17" i="8"/>
  <c r="I5" i="8"/>
  <c r="G108" i="8"/>
  <c r="C114" i="8" s="1"/>
  <c r="E205" i="8"/>
  <c r="G183" i="8"/>
  <c r="E193" i="8" s="1"/>
  <c r="E96" i="7"/>
  <c r="C55" i="7"/>
  <c r="E7" i="7"/>
  <c r="G7" i="7" s="1"/>
  <c r="K19" i="6"/>
  <c r="M19" i="6" s="1"/>
  <c r="I62" i="6"/>
  <c r="E26" i="6" s="1"/>
  <c r="E115" i="7"/>
  <c r="G115" i="7" s="1"/>
  <c r="G129" i="7"/>
  <c r="E98" i="7" s="1"/>
  <c r="M41" i="6"/>
  <c r="E53" i="6" s="1"/>
  <c r="I43" i="6"/>
  <c r="M43" i="6" s="1"/>
  <c r="E55" i="6" s="1"/>
  <c r="B52" i="5"/>
  <c r="M12" i="18" l="1"/>
  <c r="O12" i="18" s="1"/>
  <c r="M11" i="18"/>
  <c r="O11" i="18" s="1"/>
  <c r="Q13" i="18"/>
  <c r="Q9" i="18"/>
  <c r="I8" i="8"/>
  <c r="E189" i="8" s="1"/>
  <c r="E195" i="8" s="1"/>
  <c r="E198" i="8" s="1"/>
  <c r="E204" i="8" s="1"/>
  <c r="E239" i="8" s="1"/>
  <c r="G239" i="8" s="1"/>
  <c r="G243" i="8" s="1"/>
  <c r="E12" i="8" s="1"/>
  <c r="I12" i="8" s="1"/>
  <c r="E250" i="8"/>
  <c r="I44" i="6"/>
  <c r="I46" i="6" s="1"/>
  <c r="I7" i="1"/>
  <c r="E21" i="1" s="1"/>
  <c r="E24" i="1" s="1"/>
  <c r="E27" i="1" s="1"/>
  <c r="G32" i="1" s="1"/>
  <c r="I8" i="1"/>
  <c r="I9" i="1" s="1"/>
  <c r="C50" i="4"/>
  <c r="G50" i="4" s="1"/>
  <c r="K50" i="4" s="1"/>
  <c r="G62" i="4" s="1"/>
  <c r="I62" i="4" s="1"/>
  <c r="C51" i="4"/>
  <c r="G51" i="4" s="1"/>
  <c r="K51" i="4" s="1"/>
  <c r="G63" i="4" s="1"/>
  <c r="I63" i="4" s="1"/>
  <c r="E32" i="1"/>
  <c r="E44" i="1"/>
  <c r="D55" i="1" s="1"/>
  <c r="D58" i="1" s="1"/>
  <c r="I302" i="23"/>
  <c r="K302" i="23" s="1"/>
  <c r="K303" i="23" s="1"/>
  <c r="I282" i="23"/>
  <c r="K282" i="23" s="1"/>
  <c r="K283" i="23" s="1"/>
  <c r="I311" i="23"/>
  <c r="K311" i="23" s="1"/>
  <c r="K312" i="23" s="1"/>
  <c r="I291" i="23"/>
  <c r="K291" i="23" s="1"/>
  <c r="K292" i="23" s="1"/>
  <c r="D71" i="23"/>
  <c r="D95" i="23"/>
  <c r="D97" i="23"/>
  <c r="D86" i="23"/>
  <c r="D90" i="23" s="1"/>
  <c r="D88" i="23"/>
  <c r="D70" i="23"/>
  <c r="D81" i="23" s="1"/>
  <c r="D72" i="23"/>
  <c r="D96" i="23"/>
  <c r="D87" i="23"/>
  <c r="N22" i="21"/>
  <c r="K22" i="21"/>
  <c r="M22" i="21" s="1"/>
  <c r="N31" i="21"/>
  <c r="K31" i="21"/>
  <c r="M31" i="21" s="1"/>
  <c r="N23" i="21"/>
  <c r="K23" i="21"/>
  <c r="M23" i="21" s="1"/>
  <c r="F24" i="21"/>
  <c r="F32" i="21"/>
  <c r="F23" i="21"/>
  <c r="F31" i="21"/>
  <c r="K24" i="21"/>
  <c r="M24" i="21" s="1"/>
  <c r="N24" i="21"/>
  <c r="K21" i="21"/>
  <c r="M21" i="21" s="1"/>
  <c r="N21" i="21"/>
  <c r="K29" i="21"/>
  <c r="M29" i="21" s="1"/>
  <c r="N29" i="21"/>
  <c r="N13" i="21"/>
  <c r="K13" i="21"/>
  <c r="F22" i="21"/>
  <c r="F30" i="21"/>
  <c r="M18" i="18"/>
  <c r="O18" i="18" s="1"/>
  <c r="Q18" i="18"/>
  <c r="M22" i="18"/>
  <c r="O22" i="18" s="1"/>
  <c r="Q22" i="18"/>
  <c r="M16" i="18"/>
  <c r="O16" i="18" s="1"/>
  <c r="Q16" i="18"/>
  <c r="O7" i="18"/>
  <c r="M14" i="18"/>
  <c r="O14" i="18" s="1"/>
  <c r="Q14" i="18"/>
  <c r="M10" i="18"/>
  <c r="O10" i="18" s="1"/>
  <c r="Q10" i="18"/>
  <c r="M24" i="18"/>
  <c r="O24" i="18" s="1"/>
  <c r="Q24" i="18"/>
  <c r="H60" i="17"/>
  <c r="C43" i="17"/>
  <c r="C46" i="17" s="1"/>
  <c r="C50" i="17" s="1"/>
  <c r="F56" i="17" s="1"/>
  <c r="F60" i="17" s="1"/>
  <c r="E22" i="12"/>
  <c r="E18" i="12"/>
  <c r="E20" i="12"/>
  <c r="B33" i="15"/>
  <c r="C12" i="12"/>
  <c r="C16" i="12" s="1"/>
  <c r="C18" i="12" s="1"/>
  <c r="F20" i="12"/>
  <c r="F24" i="12"/>
  <c r="F18" i="12"/>
  <c r="F22" i="12"/>
  <c r="C34" i="15"/>
  <c r="C35" i="15" s="1"/>
  <c r="D12" i="12"/>
  <c r="D16" i="12" s="1"/>
  <c r="C12" i="13"/>
  <c r="C16" i="13" s="1"/>
  <c r="G12" i="12"/>
  <c r="G16" i="12" s="1"/>
  <c r="C25" i="14"/>
  <c r="C27" i="14" s="1"/>
  <c r="C34" i="14" s="1"/>
  <c r="C35" i="14" s="1"/>
  <c r="B27" i="14"/>
  <c r="B33" i="14" s="1"/>
  <c r="F25" i="14"/>
  <c r="F27" i="14" s="1"/>
  <c r="E27" i="14"/>
  <c r="H136" i="11"/>
  <c r="H141" i="11" s="1"/>
  <c r="D224" i="11" s="1"/>
  <c r="H270" i="11"/>
  <c r="H139" i="11"/>
  <c r="F300" i="11"/>
  <c r="H300" i="11" s="1"/>
  <c r="H151" i="11"/>
  <c r="H154" i="11" s="1"/>
  <c r="D172" i="11" s="1"/>
  <c r="D162" i="11"/>
  <c r="D154" i="11"/>
  <c r="H138" i="11"/>
  <c r="H290" i="11"/>
  <c r="H152" i="11"/>
  <c r="D163" i="11"/>
  <c r="H163" i="11" s="1"/>
  <c r="H137" i="11"/>
  <c r="H280" i="11"/>
  <c r="H79" i="10"/>
  <c r="H81" i="10" s="1"/>
  <c r="D145" i="10" s="1"/>
  <c r="F194" i="10"/>
  <c r="H194" i="10" s="1"/>
  <c r="K73" i="9"/>
  <c r="H44" i="10"/>
  <c r="H14" i="10"/>
  <c r="H43" i="10" s="1"/>
  <c r="D210" i="10"/>
  <c r="H210" i="10" s="1"/>
  <c r="H214" i="10" s="1"/>
  <c r="H216" i="10" s="1"/>
  <c r="D5" i="9"/>
  <c r="D28" i="9" s="1"/>
  <c r="K28" i="9" s="1"/>
  <c r="K33" i="9" s="1"/>
  <c r="F33" i="9" s="1"/>
  <c r="F36" i="9" s="1"/>
  <c r="F38" i="9" s="1"/>
  <c r="F42" i="9" s="1"/>
  <c r="F44" i="9" s="1"/>
  <c r="F68" i="9" s="1"/>
  <c r="F70" i="9" s="1"/>
  <c r="J9" i="10"/>
  <c r="F226" i="10" s="1"/>
  <c r="E232" i="8"/>
  <c r="G232" i="8" s="1"/>
  <c r="E240" i="8"/>
  <c r="G240" i="8" s="1"/>
  <c r="G205" i="8"/>
  <c r="G19" i="8"/>
  <c r="G37" i="8" s="1"/>
  <c r="G35" i="8"/>
  <c r="G38" i="8" s="1"/>
  <c r="G63" i="6"/>
  <c r="I63" i="6" s="1"/>
  <c r="E27" i="6" s="1"/>
  <c r="E29" i="6" s="1"/>
  <c r="E32" i="6" s="1"/>
  <c r="C55" i="6" s="1"/>
  <c r="G55" i="6" s="1"/>
  <c r="K55" i="6" s="1"/>
  <c r="G80" i="6"/>
  <c r="I80" i="6" s="1"/>
  <c r="G10" i="7"/>
  <c r="C52" i="5"/>
  <c r="D52" i="5"/>
  <c r="E52" i="5"/>
  <c r="I60" i="17" l="1"/>
  <c r="H47" i="10"/>
  <c r="H33" i="9"/>
  <c r="H36" i="9" s="1"/>
  <c r="H38" i="9" s="1"/>
  <c r="H42" i="9" s="1"/>
  <c r="H44" i="9" s="1"/>
  <c r="H68" i="9" s="1"/>
  <c r="H70" i="9" s="1"/>
  <c r="D33" i="9"/>
  <c r="D36" i="9" s="1"/>
  <c r="D38" i="9" s="1"/>
  <c r="D42" i="9" s="1"/>
  <c r="D44" i="9" s="1"/>
  <c r="D68" i="9" s="1"/>
  <c r="J33" i="9"/>
  <c r="J36" i="9" s="1"/>
  <c r="J38" i="9" s="1"/>
  <c r="J42" i="9" s="1"/>
  <c r="J44" i="9" s="1"/>
  <c r="J68" i="9" s="1"/>
  <c r="J70" i="9" s="1"/>
  <c r="D8" i="9"/>
  <c r="D65" i="9" s="1"/>
  <c r="G204" i="8"/>
  <c r="G210" i="8" s="1"/>
  <c r="I210" i="8" s="1"/>
  <c r="E231" i="8"/>
  <c r="G231" i="8" s="1"/>
  <c r="G235" i="8" s="1"/>
  <c r="E10" i="8" s="1"/>
  <c r="C54" i="6"/>
  <c r="G54" i="6" s="1"/>
  <c r="K54" i="6" s="1"/>
  <c r="G66" i="6" s="1"/>
  <c r="I66" i="6" s="1"/>
  <c r="C53" i="6"/>
  <c r="G53" i="6" s="1"/>
  <c r="K53" i="6" s="1"/>
  <c r="G65" i="6" s="1"/>
  <c r="I65" i="6" s="1"/>
  <c r="I32" i="1"/>
  <c r="E39" i="1" s="1"/>
  <c r="F55" i="1"/>
  <c r="G106" i="1" s="1"/>
  <c r="F123" i="1" s="1"/>
  <c r="H123" i="1" s="1"/>
  <c r="F91" i="1"/>
  <c r="H91" i="1" s="1"/>
  <c r="E37" i="1"/>
  <c r="E108" i="1"/>
  <c r="F184" i="1"/>
  <c r="H184" i="1" s="1"/>
  <c r="F162" i="1"/>
  <c r="H162" i="1" s="1"/>
  <c r="I67" i="4"/>
  <c r="M67" i="4" s="1"/>
  <c r="E40" i="1"/>
  <c r="E48" i="1" s="1"/>
  <c r="F54" i="1" s="1"/>
  <c r="H54" i="1" s="1"/>
  <c r="D99" i="23"/>
  <c r="F102" i="23" s="1"/>
  <c r="F105" i="23" s="1"/>
  <c r="N15" i="21"/>
  <c r="K15" i="21"/>
  <c r="M15" i="21" s="1"/>
  <c r="M13" i="21"/>
  <c r="K16" i="21"/>
  <c r="M16" i="21" s="1"/>
  <c r="N16" i="21"/>
  <c r="K14" i="21"/>
  <c r="M14" i="21" s="1"/>
  <c r="N14" i="21"/>
  <c r="O40" i="18"/>
  <c r="M40" i="18"/>
  <c r="M42" i="18" s="1"/>
  <c r="M46" i="18" s="1"/>
  <c r="C20" i="13"/>
  <c r="E20" i="13" s="1"/>
  <c r="C22" i="13"/>
  <c r="E22" i="13" s="1"/>
  <c r="C24" i="13"/>
  <c r="E24" i="13" s="1"/>
  <c r="C18" i="13"/>
  <c r="E18" i="13" s="1"/>
  <c r="B34" i="15"/>
  <c r="E34" i="15" s="1"/>
  <c r="B35" i="15"/>
  <c r="E35" i="15" s="1"/>
  <c r="E33" i="15"/>
  <c r="D18" i="12"/>
  <c r="D20" i="12"/>
  <c r="G24" i="12"/>
  <c r="I24" i="12" s="1"/>
  <c r="G18" i="12"/>
  <c r="G20" i="12"/>
  <c r="G22" i="12"/>
  <c r="I22" i="12"/>
  <c r="E33" i="14"/>
  <c r="B35" i="14"/>
  <c r="E35" i="14" s="1"/>
  <c r="B34" i="14"/>
  <c r="E34" i="14" s="1"/>
  <c r="H162" i="11"/>
  <c r="H165" i="11" s="1"/>
  <c r="D169" i="11" s="1"/>
  <c r="D171" i="11" s="1"/>
  <c r="D174" i="11" s="1"/>
  <c r="D179" i="11" s="1"/>
  <c r="D165" i="11"/>
  <c r="H221" i="10"/>
  <c r="F229" i="10" s="1"/>
  <c r="F231" i="10" s="1"/>
  <c r="F234" i="10" s="1"/>
  <c r="F240" i="10" s="1"/>
  <c r="G67" i="6"/>
  <c r="I67" i="6" s="1"/>
  <c r="G79" i="6"/>
  <c r="I79" i="6" s="1"/>
  <c r="D70" i="9" l="1"/>
  <c r="K70" i="9"/>
  <c r="K75" i="9" s="1"/>
  <c r="D75" i="9" s="1"/>
  <c r="D77" i="9" s="1"/>
  <c r="D80" i="9" s="1"/>
  <c r="G77" i="6"/>
  <c r="I77" i="6" s="1"/>
  <c r="G78" i="6"/>
  <c r="I78" i="6" s="1"/>
  <c r="H55" i="1"/>
  <c r="H58" i="1" s="1"/>
  <c r="I58" i="1" s="1"/>
  <c r="F155" i="1"/>
  <c r="H155" i="1" s="1"/>
  <c r="F177" i="1"/>
  <c r="H177" i="1" s="1"/>
  <c r="I106" i="1"/>
  <c r="E111" i="1" s="1"/>
  <c r="F90" i="1"/>
  <c r="F161" i="1" s="1"/>
  <c r="H161" i="1" s="1"/>
  <c r="H165" i="1" s="1"/>
  <c r="F167" i="1" s="1"/>
  <c r="K34" i="21"/>
  <c r="K38" i="21" s="1"/>
  <c r="K42" i="21" s="1"/>
  <c r="M34" i="21"/>
  <c r="I18" i="12"/>
  <c r="I20" i="12"/>
  <c r="D180" i="11"/>
  <c r="H179" i="11"/>
  <c r="L179" i="11" s="1"/>
  <c r="F188" i="11" s="1"/>
  <c r="F255" i="10"/>
  <c r="H255" i="10" s="1"/>
  <c r="H240" i="10"/>
  <c r="F256" i="10"/>
  <c r="H256" i="10" s="1"/>
  <c r="H241" i="10"/>
  <c r="I10" i="8"/>
  <c r="I69" i="6"/>
  <c r="M69" i="6" s="1"/>
  <c r="H245" i="10" l="1"/>
  <c r="J245" i="10" s="1"/>
  <c r="J75" i="9"/>
  <c r="F75" i="9"/>
  <c r="F77" i="9" s="1"/>
  <c r="F80" i="9" s="1"/>
  <c r="H75" i="9"/>
  <c r="H77" i="9" s="1"/>
  <c r="H80" i="9" s="1"/>
  <c r="H259" i="10"/>
  <c r="F11" i="10" s="1"/>
  <c r="I82" i="6"/>
  <c r="I9" i="7" s="1"/>
  <c r="K9" i="7" s="1"/>
  <c r="K16" i="7" s="1"/>
  <c r="K20" i="7" s="1"/>
  <c r="K22" i="7" s="1"/>
  <c r="H90" i="1"/>
  <c r="H95" i="1" s="1"/>
  <c r="H203" i="1" s="1"/>
  <c r="F183" i="1"/>
  <c r="H183" i="1" s="1"/>
  <c r="H187" i="1" s="1"/>
  <c r="F189" i="1" s="1"/>
  <c r="H188" i="11"/>
  <c r="F268" i="11"/>
  <c r="H268" i="11" s="1"/>
  <c r="H180" i="11"/>
  <c r="L180" i="11" s="1"/>
  <c r="F189" i="11" s="1"/>
  <c r="D181" i="11"/>
  <c r="J11" i="10"/>
  <c r="F18" i="10"/>
  <c r="J77" i="9" l="1"/>
  <c r="J80" i="9" s="1"/>
  <c r="I8" i="7"/>
  <c r="K8" i="7" s="1"/>
  <c r="C78" i="7" s="1"/>
  <c r="G78" i="7" s="1"/>
  <c r="G82" i="7" s="1"/>
  <c r="C28" i="7"/>
  <c r="C30" i="7" s="1"/>
  <c r="I30" i="7" s="1"/>
  <c r="I7" i="7"/>
  <c r="K7" i="7" s="1"/>
  <c r="E109" i="1"/>
  <c r="E113" i="1" s="1"/>
  <c r="E116" i="1" s="1"/>
  <c r="F174" i="1" s="1"/>
  <c r="H174" i="1" s="1"/>
  <c r="H179" i="1" s="1"/>
  <c r="D189" i="1" s="1"/>
  <c r="H189" i="1" s="1"/>
  <c r="D193" i="1" s="1"/>
  <c r="D182" i="11"/>
  <c r="H182" i="11" s="1"/>
  <c r="L182" i="11" s="1"/>
  <c r="F191" i="11" s="1"/>
  <c r="H181" i="11"/>
  <c r="L181" i="11" s="1"/>
  <c r="F190" i="11" s="1"/>
  <c r="F278" i="11"/>
  <c r="H278" i="11" s="1"/>
  <c r="H189" i="11"/>
  <c r="F15" i="10"/>
  <c r="F16" i="10"/>
  <c r="K10" i="7" l="1"/>
  <c r="C54" i="7" s="1"/>
  <c r="C58" i="7" s="1"/>
  <c r="C60" i="7" s="1"/>
  <c r="G60" i="7" s="1"/>
  <c r="E68" i="7" s="1"/>
  <c r="F152" i="1"/>
  <c r="H152" i="1" s="1"/>
  <c r="H157" i="1" s="1"/>
  <c r="D167" i="1" s="1"/>
  <c r="H167" i="1" s="1"/>
  <c r="F193" i="1" s="1"/>
  <c r="H193" i="1" s="1"/>
  <c r="H205" i="1" s="1"/>
  <c r="H122" i="1"/>
  <c r="H126" i="1" s="1"/>
  <c r="H202" i="1" s="1"/>
  <c r="F298" i="11"/>
  <c r="H298" i="11" s="1"/>
  <c r="H191" i="11"/>
  <c r="F288" i="11"/>
  <c r="H288" i="11" s="1"/>
  <c r="H190" i="11"/>
  <c r="F44" i="10"/>
  <c r="J44" i="10" s="1"/>
  <c r="J15" i="10"/>
  <c r="F14" i="10"/>
  <c r="F45" i="10"/>
  <c r="J45" i="10" s="1"/>
  <c r="J16" i="10"/>
  <c r="D66" i="10"/>
  <c r="H193" i="11" l="1"/>
  <c r="D225" i="11" s="1"/>
  <c r="D228" i="11" s="1"/>
  <c r="D231" i="11" s="1"/>
  <c r="D232" i="11" s="1"/>
  <c r="D237" i="11" s="1"/>
  <c r="D238" i="11" s="1"/>
  <c r="E95" i="7"/>
  <c r="E101" i="7" s="1"/>
  <c r="E104" i="7" s="1"/>
  <c r="G68" i="7"/>
  <c r="G62" i="7"/>
  <c r="G67" i="7" s="1"/>
  <c r="I126" i="1"/>
  <c r="H207" i="1"/>
  <c r="I207" i="1" s="1"/>
  <c r="H66" i="10"/>
  <c r="D71" i="10"/>
  <c r="F43" i="10"/>
  <c r="J14" i="10"/>
  <c r="J18" i="10" s="1"/>
  <c r="G111" i="7" l="1"/>
  <c r="G117" i="7" s="1"/>
  <c r="I117" i="7" s="1"/>
  <c r="H237" i="11"/>
  <c r="L237" i="11" s="1"/>
  <c r="E127" i="7"/>
  <c r="G127" i="7" s="1"/>
  <c r="G131" i="7" s="1"/>
  <c r="G72" i="7"/>
  <c r="I72" i="7" s="1"/>
  <c r="H238" i="11"/>
  <c r="L238" i="11" s="1"/>
  <c r="D239" i="11"/>
  <c r="F47" i="10"/>
  <c r="J43" i="10"/>
  <c r="J47" i="10" s="1"/>
  <c r="H266" i="11" l="1"/>
  <c r="H273" i="11" s="1"/>
  <c r="F246" i="11"/>
  <c r="H246" i="11" s="1"/>
  <c r="H239" i="11"/>
  <c r="L239" i="11" s="1"/>
  <c r="D240" i="11"/>
  <c r="H240" i="11" s="1"/>
  <c r="L240" i="11" s="1"/>
  <c r="H276" i="11"/>
  <c r="H283" i="11" s="1"/>
  <c r="F247" i="11"/>
  <c r="H247" i="11" s="1"/>
  <c r="H200" i="10"/>
  <c r="D144" i="10"/>
  <c r="D150" i="10" s="1"/>
  <c r="D153" i="10" s="1"/>
  <c r="C159" i="10" s="1"/>
  <c r="F296" i="11" l="1"/>
  <c r="H296" i="11" s="1"/>
  <c r="H303" i="11" s="1"/>
  <c r="F249" i="11"/>
  <c r="H249" i="11" s="1"/>
  <c r="F248" i="11"/>
  <c r="H248" i="11" s="1"/>
  <c r="H286" i="11"/>
  <c r="H293" i="11" s="1"/>
  <c r="F159" i="10"/>
  <c r="J159" i="10" s="1"/>
  <c r="F169" i="10" s="1"/>
  <c r="H169" i="10" s="1"/>
  <c r="H172" i="10" s="1"/>
  <c r="C161" i="10"/>
  <c r="F161" i="10" s="1"/>
  <c r="J161" i="10" s="1"/>
  <c r="F185" i="10" s="1"/>
  <c r="H185" i="10" s="1"/>
  <c r="H188" i="10" s="1"/>
  <c r="C160" i="10"/>
  <c r="F160" i="10" s="1"/>
  <c r="J160" i="10" s="1"/>
  <c r="C162" i="10"/>
  <c r="F162" i="10" s="1"/>
  <c r="J162" i="10" s="1"/>
  <c r="H193" i="10" s="1"/>
  <c r="H196" i="10" s="1"/>
  <c r="H251" i="11" l="1"/>
  <c r="H177" i="10"/>
  <c r="H180" i="10" s="1"/>
  <c r="H198" i="10" s="1"/>
  <c r="H202" i="10" s="1"/>
  <c r="F177" i="10"/>
  <c r="H305" i="11"/>
  <c r="L305" i="11" s="1"/>
  <c r="G257" i="8"/>
  <c r="G260" i="8" s="1"/>
  <c r="E14" i="8" s="1"/>
  <c r="I14" i="8" l="1"/>
  <c r="E20" i="8"/>
  <c r="E17" i="8" l="1"/>
  <c r="E18" i="8"/>
  <c r="I17" i="8" l="1"/>
  <c r="E35" i="8"/>
  <c r="E19" i="8"/>
  <c r="I18" i="8"/>
  <c r="E36" i="8"/>
  <c r="I36" i="8" s="1"/>
  <c r="I20" i="8" l="1"/>
  <c r="E37" i="8"/>
  <c r="I37" i="8" s="1"/>
  <c r="I19" i="8"/>
  <c r="C56" i="8" s="1"/>
  <c r="I35" i="8"/>
  <c r="E38" i="8" l="1"/>
  <c r="I38" i="8"/>
  <c r="I165" i="8" s="1"/>
  <c r="G56" i="8"/>
  <c r="C60" i="8"/>
  <c r="C112" i="8" l="1"/>
  <c r="C116" i="8" s="1"/>
  <c r="I134" i="8" s="1"/>
  <c r="I124" i="8" s="1"/>
  <c r="K124" i="8" s="1"/>
  <c r="G144" i="8" l="1"/>
  <c r="I127" i="8"/>
  <c r="K127" i="8" s="1"/>
  <c r="G151" i="8" s="1"/>
  <c r="I128" i="8"/>
  <c r="K128" i="8" s="1"/>
  <c r="E152" i="8" s="1"/>
  <c r="G152" i="8" s="1"/>
  <c r="I131" i="8"/>
  <c r="K131" i="8" s="1"/>
  <c r="G160" i="8" s="1"/>
  <c r="I123" i="8"/>
  <c r="K123" i="8" s="1"/>
  <c r="E143" i="8" s="1"/>
  <c r="G143" i="8" s="1"/>
  <c r="I132" i="8" l="1"/>
  <c r="K132" i="8" s="1"/>
  <c r="G161" i="8" l="1"/>
  <c r="G165" i="8" s="1"/>
  <c r="K165" i="8" s="1"/>
</calcChain>
</file>

<file path=xl/sharedStrings.xml><?xml version="1.0" encoding="utf-8"?>
<sst xmlns="http://schemas.openxmlformats.org/spreadsheetml/2006/main" count="2436" uniqueCount="963">
  <si>
    <t xml:space="preserve"> I.</t>
  </si>
  <si>
    <t>Revenue</t>
  </si>
  <si>
    <t>Billed &amp;</t>
  </si>
  <si>
    <t>Accrued</t>
  </si>
  <si>
    <t xml:space="preserve">      Revenue</t>
  </si>
  <si>
    <t>Total RS Revenue Requirement</t>
  </si>
  <si>
    <t>Demand</t>
  </si>
  <si>
    <t>Energy</t>
  </si>
  <si>
    <t>Customer</t>
  </si>
  <si>
    <t>Total</t>
  </si>
  <si>
    <t xml:space="preserve">  Base</t>
  </si>
  <si>
    <t xml:space="preserve">  Revenue</t>
  </si>
  <si>
    <t>II.</t>
  </si>
  <si>
    <t>Customer Charge</t>
  </si>
  <si>
    <t>/mo.</t>
  </si>
  <si>
    <t>=</t>
  </si>
  <si>
    <t>Proposed Customer Charge</t>
  </si>
  <si>
    <t>Customer Revenue</t>
  </si>
  <si>
    <t>III.</t>
  </si>
  <si>
    <t>Off-Peak Energy Charge</t>
  </si>
  <si>
    <t>Energy Revenue Requirement</t>
  </si>
  <si>
    <t>Total Energy (kWh)</t>
  </si>
  <si>
    <t>Total Secondary Energy Charge</t>
  </si>
  <si>
    <t>/kWh</t>
  </si>
  <si>
    <t>Fixed Cost Adder</t>
  </si>
  <si>
    <t>Proposed Off-Peak Energy Charge</t>
  </si>
  <si>
    <t>Off-Peak % Usage</t>
  </si>
  <si>
    <t>Off-Peak kWh Energy</t>
  </si>
  <si>
    <t>Off-Peak Revenue</t>
  </si>
  <si>
    <t>IV.</t>
  </si>
  <si>
    <t>On-Peak Energy Charge</t>
  </si>
  <si>
    <t>Total RS Base Revenue</t>
  </si>
  <si>
    <t>Less:  Customer Revenue</t>
  </si>
  <si>
    <t>Less:  Off-Peak Energy Revenue</t>
  </si>
  <si>
    <t>On-Peak Revenue</t>
  </si>
  <si>
    <t>Total RS Energy</t>
  </si>
  <si>
    <t>Less:  Off-Peak kWh Energy</t>
  </si>
  <si>
    <t>On-Peak kWh Energy</t>
  </si>
  <si>
    <t>Proposed On-Peak Energy Charge</t>
  </si>
  <si>
    <t>Revenue Verification</t>
  </si>
  <si>
    <t>Units</t>
  </si>
  <si>
    <t xml:space="preserve">        Rate</t>
  </si>
  <si>
    <t>Difference</t>
  </si>
  <si>
    <t>On-Peak</t>
  </si>
  <si>
    <t>kWh</t>
  </si>
  <si>
    <t>Off-Peak</t>
  </si>
  <si>
    <t>Bills</t>
  </si>
  <si>
    <t>/Mo.</t>
  </si>
  <si>
    <t>Time-of-Day Customer Charges</t>
  </si>
  <si>
    <t xml:space="preserve">    Units</t>
  </si>
  <si>
    <t xml:space="preserve">    Revenue</t>
  </si>
  <si>
    <t xml:space="preserve">  On-Peak</t>
  </si>
  <si>
    <t xml:space="preserve">  Off-Peak</t>
  </si>
  <si>
    <t xml:space="preserve">  Customer</t>
  </si>
  <si>
    <t xml:space="preserve">  Total</t>
  </si>
  <si>
    <t>Customer Charge Revenue</t>
  </si>
  <si>
    <t>Standard Energy Rates</t>
  </si>
  <si>
    <t>Storage Water Heating Revenue</t>
  </si>
  <si>
    <t>Energy Charge Revenue - All Blocks</t>
  </si>
  <si>
    <t>All kWh</t>
  </si>
  <si>
    <t>RS Revenue Verification</t>
  </si>
  <si>
    <t xml:space="preserve">        Units</t>
  </si>
  <si>
    <t xml:space="preserve">         Rate</t>
  </si>
  <si>
    <t xml:space="preserve">  Difference</t>
  </si>
  <si>
    <t xml:space="preserve">  Storage Water Heating</t>
  </si>
  <si>
    <t>Revenue Verification - Employee</t>
  </si>
  <si>
    <t xml:space="preserve">   Units</t>
  </si>
  <si>
    <t>All Standard kWh</t>
  </si>
  <si>
    <t>Storage Water Heating</t>
  </si>
  <si>
    <t>Revenue Verification - Employee Discount</t>
  </si>
  <si>
    <t>Total Employee Discount:</t>
  </si>
  <si>
    <t xml:space="preserve"> -</t>
  </si>
  <si>
    <t xml:space="preserve">    =</t>
  </si>
  <si>
    <t>Residential Summary</t>
  </si>
  <si>
    <t>Schedule</t>
  </si>
  <si>
    <t xml:space="preserve">        Bills</t>
  </si>
  <si>
    <t xml:space="preserve">   kWh</t>
  </si>
  <si>
    <t xml:space="preserve">    Difference</t>
  </si>
  <si>
    <t>RS</t>
  </si>
  <si>
    <t>Total Billed</t>
  </si>
  <si>
    <t xml:space="preserve"> </t>
  </si>
  <si>
    <t>*Revised after revenue verification</t>
  </si>
  <si>
    <t>Fuel</t>
  </si>
  <si>
    <t>Base</t>
  </si>
  <si>
    <t>Adjusted</t>
  </si>
  <si>
    <t xml:space="preserve"> Discount</t>
  </si>
  <si>
    <t>On-Peak kWh</t>
  </si>
  <si>
    <t>Off-Peak kWh</t>
  </si>
  <si>
    <t>Time of Day:</t>
  </si>
  <si>
    <t>Total Employee</t>
  </si>
  <si>
    <t>+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</si>
  <si>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</si>
  <si>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</si>
  <si>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</si>
  <si>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</si>
  <si>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</si>
  <si>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</si>
  <si>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</si>
  <si>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</si>
  <si>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</si>
  <si>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</si>
  <si>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Proposed Revenue</t>
  </si>
  <si>
    <t>Proposed Standard Charge</t>
  </si>
  <si>
    <t>x</t>
  </si>
  <si>
    <t>Employee Discount</t>
  </si>
  <si>
    <t>Billed on Employee Rates:</t>
  </si>
  <si>
    <t>Billed on Standard Rates:</t>
  </si>
  <si>
    <t xml:space="preserve">  kWh     x</t>
  </si>
  <si>
    <t xml:space="preserve">  Bills      x</t>
  </si>
  <si>
    <t>Less:  Storage Water Htg Revenue</t>
  </si>
  <si>
    <t>Standard Energy Rate - All kWh</t>
  </si>
  <si>
    <t xml:space="preserve">  All Standard kWh</t>
  </si>
  <si>
    <t>Separate Meter Customer Charge:</t>
  </si>
  <si>
    <t>Current</t>
  </si>
  <si>
    <t xml:space="preserve">  Customer - Std TOD</t>
  </si>
  <si>
    <t xml:space="preserve">  Customer - Sep Meter</t>
  </si>
  <si>
    <t>HEAP</t>
  </si>
  <si>
    <t>Employee</t>
  </si>
  <si>
    <t>Less:</t>
  </si>
  <si>
    <t>Plus:</t>
  </si>
  <si>
    <t>Actual Differential:</t>
  </si>
  <si>
    <t xml:space="preserve">    TOD Meter Cost</t>
  </si>
  <si>
    <t xml:space="preserve">    Standard Meter Cost</t>
  </si>
  <si>
    <t xml:space="preserve">    Cost Differential</t>
  </si>
  <si>
    <t xml:space="preserve">    Over 12 Months</t>
  </si>
  <si>
    <t xml:space="preserve">    Differential</t>
  </si>
  <si>
    <t>Less RS-TOD/RS-LM-TOD Revenue</t>
  </si>
  <si>
    <t>HEAP Revenue</t>
  </si>
  <si>
    <t xml:space="preserve">    Carrying Cost</t>
  </si>
  <si>
    <t>Current TOD Charge</t>
  </si>
  <si>
    <t xml:space="preserve">Use: </t>
  </si>
  <si>
    <t>30 Year Annual Investment CC</t>
  </si>
  <si>
    <t>RS-TOD / RS-LM-TOD Proposed Revenue</t>
  </si>
  <si>
    <t>Proposed Customer Charge Revenue</t>
  </si>
  <si>
    <t>Employee Customer Charges</t>
  </si>
  <si>
    <t>Standard Employee - 1/2 Discount</t>
  </si>
  <si>
    <t>Time-of-Day Employee</t>
  </si>
  <si>
    <t xml:space="preserve">Non-Employee </t>
  </si>
  <si>
    <t>Charge</t>
  </si>
  <si>
    <t>Discount</t>
  </si>
  <si>
    <t>Amount</t>
  </si>
  <si>
    <t>Proposed</t>
  </si>
  <si>
    <t>Standard Employee - Full Discount</t>
  </si>
  <si>
    <t>Customer - Full</t>
  </si>
  <si>
    <t>Customer - Half</t>
  </si>
  <si>
    <t xml:space="preserve">     Use: Current level  of Employee Discount</t>
  </si>
  <si>
    <t>Separate Meter</t>
  </si>
  <si>
    <t>Adjusted Base Revenue</t>
  </si>
  <si>
    <t xml:space="preserve">Employee </t>
  </si>
  <si>
    <t>RS-TOD / RS LMTOD</t>
  </si>
  <si>
    <t>I.</t>
  </si>
  <si>
    <t>Production</t>
  </si>
  <si>
    <t>All Other</t>
  </si>
  <si>
    <t>(1)</t>
  </si>
  <si>
    <t>(2)</t>
  </si>
  <si>
    <t>(3) = (1) - (2)</t>
  </si>
  <si>
    <t>Basic Energy Charge Rate Design</t>
  </si>
  <si>
    <t>All Other Revenue</t>
  </si>
  <si>
    <t>Less: Customer Charge Revenue - STD</t>
  </si>
  <si>
    <t xml:space="preserve">         Customer Charge Revenue - TOD</t>
  </si>
  <si>
    <t xml:space="preserve">         HEAP Revenue</t>
  </si>
  <si>
    <t>Add:  Employee Discount Revenue</t>
  </si>
  <si>
    <t>Basic Energy Revenue</t>
  </si>
  <si>
    <t>Total kWh</t>
  </si>
  <si>
    <t>Basic Energy Charge</t>
  </si>
  <si>
    <t>Variable Energy Charge Rate Design</t>
  </si>
  <si>
    <t>Market Generation (Excluding Losses)</t>
  </si>
  <si>
    <t>RT LMP</t>
  </si>
  <si>
    <t>Capacity</t>
  </si>
  <si>
    <t>Production Charge</t>
  </si>
  <si>
    <r>
      <t xml:space="preserve">Variable Energy </t>
    </r>
    <r>
      <rPr>
        <u/>
        <sz val="12"/>
        <rFont val="Arial"/>
        <family val="2"/>
      </rPr>
      <t>Charge</t>
    </r>
  </si>
  <si>
    <t>(3) = (1) + (2)</t>
  </si>
  <si>
    <t>(4) on (3)</t>
  </si>
  <si>
    <t>(5)</t>
  </si>
  <si>
    <t>(6) = (4) / (5)</t>
  </si>
  <si>
    <t>Summer</t>
  </si>
  <si>
    <t>Winter</t>
  </si>
  <si>
    <t>Other</t>
  </si>
  <si>
    <t>Percentage:</t>
  </si>
  <si>
    <t>Energy Base Rate Total</t>
  </si>
  <si>
    <r>
      <t xml:space="preserve">Basic Energy 
</t>
    </r>
    <r>
      <rPr>
        <u/>
        <sz val="12"/>
        <rFont val="Arial"/>
        <family val="2"/>
      </rPr>
      <t>Charge</t>
    </r>
  </si>
  <si>
    <r>
      <t xml:space="preserve">Variable Energy 
</t>
    </r>
    <r>
      <rPr>
        <u/>
        <sz val="12"/>
        <rFont val="Arial"/>
        <family val="2"/>
      </rPr>
      <t>Charge</t>
    </r>
  </si>
  <si>
    <t>Subtotal</t>
  </si>
  <si>
    <t>Fuel Adjustment</t>
  </si>
  <si>
    <t>Base Rate</t>
  </si>
  <si>
    <t>(4)</t>
  </si>
  <si>
    <t>(5) = (3) - (4)</t>
  </si>
  <si>
    <t xml:space="preserve">Winter </t>
  </si>
  <si>
    <t>Rate</t>
  </si>
  <si>
    <t xml:space="preserve">(3) = (1) x (2) </t>
  </si>
  <si>
    <t>Customer Charge - STD</t>
  </si>
  <si>
    <t>Customer Charge - TOD</t>
  </si>
  <si>
    <t>Customer Charge - TOD - Sep Meter</t>
  </si>
  <si>
    <t>* Revised after revenue verification</t>
  </si>
  <si>
    <t xml:space="preserve">    * 50% in Summer, 50% in Other</t>
  </si>
  <si>
    <t>*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</si>
  <si>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</si>
  <si>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</si>
  <si>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</si>
  <si>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</si>
  <si>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</si>
  <si>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</si>
  <si>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</si>
  <si>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</si>
  <si>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</si>
  <si>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</si>
  <si>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</si>
  <si>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</si>
  <si>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Monthly Peak</t>
  </si>
  <si>
    <t>(Load Research RS NCP)</t>
  </si>
  <si>
    <t>Allocation of Capacity Charge between Summer Peak and All Other Hours</t>
  </si>
  <si>
    <t>Average</t>
  </si>
  <si>
    <t>2017/2018</t>
  </si>
  <si>
    <t>2016/2017</t>
  </si>
  <si>
    <t>2015/2016</t>
  </si>
  <si>
    <t>2014/2015</t>
  </si>
  <si>
    <t>(d)</t>
  </si>
  <si>
    <t>(c)</t>
  </si>
  <si>
    <t>(b)</t>
  </si>
  <si>
    <t>(a)</t>
  </si>
  <si>
    <t>($/MW-day)</t>
  </si>
  <si>
    <t>(%)</t>
  </si>
  <si>
    <t>Clearing Price</t>
  </si>
  <si>
    <t>Clearing</t>
  </si>
  <si>
    <t>Margin Cleared</t>
  </si>
  <si>
    <t>PY</t>
  </si>
  <si>
    <t>Weighted Avg</t>
  </si>
  <si>
    <t xml:space="preserve">RPM BRA </t>
  </si>
  <si>
    <t xml:space="preserve">RPM Reserve </t>
  </si>
  <si>
    <t>PJM</t>
  </si>
  <si>
    <t>Total Capacity</t>
  </si>
  <si>
    <t>Average RPM Clearing Price</t>
  </si>
  <si>
    <t>365 Days</t>
  </si>
  <si>
    <t>Average MW</t>
  </si>
  <si>
    <t>kW</t>
  </si>
  <si>
    <t>Hour</t>
  </si>
  <si>
    <t>Date</t>
  </si>
  <si>
    <t>(Load Research RS Expanded kW)</t>
  </si>
  <si>
    <t>Summer 2014 RTO 5CP</t>
  </si>
  <si>
    <t>Proposed RS-TOD/RS-LM-TOD/ RS TOD 2</t>
  </si>
  <si>
    <t>(Load Research SGS NCP)</t>
  </si>
  <si>
    <t>(Load Research SGS Expanded kW)</t>
  </si>
  <si>
    <t>Summer 2012 RTO 5CP</t>
  </si>
  <si>
    <t>SGS-TOD</t>
  </si>
  <si>
    <t>Billing</t>
  </si>
  <si>
    <t>Revenue From Exisiting SGS-TOD Customers</t>
  </si>
  <si>
    <t>Customer Charge - NM</t>
  </si>
  <si>
    <t>Market Generation (Excl. Losses)</t>
  </si>
  <si>
    <t xml:space="preserve">         Customer Charge Revenue - NM</t>
  </si>
  <si>
    <t>/</t>
  </si>
  <si>
    <r>
      <t xml:space="preserve">Proposed Customer </t>
    </r>
    <r>
      <rPr>
        <u/>
        <sz val="12"/>
        <rFont val="Arial"/>
        <family val="2"/>
      </rPr>
      <t>Charge</t>
    </r>
  </si>
  <si>
    <r>
      <t xml:space="preserve">Plus </t>
    </r>
    <r>
      <rPr>
        <u/>
        <sz val="12"/>
        <rFont val="Arial"/>
        <family val="2"/>
      </rPr>
      <t>Standard</t>
    </r>
  </si>
  <si>
    <r>
      <t xml:space="preserve">Incremental </t>
    </r>
    <r>
      <rPr>
        <u/>
        <sz val="12"/>
        <rFont val="Arial"/>
        <family val="2"/>
      </rPr>
      <t>Customer Charge</t>
    </r>
  </si>
  <si>
    <t>Carrying Charge</t>
  </si>
  <si>
    <t>Months</t>
  </si>
  <si>
    <r>
      <t>Annual Incremental</t>
    </r>
    <r>
      <rPr>
        <u/>
        <sz val="12"/>
        <rFont val="Arial"/>
        <family val="2"/>
      </rPr>
      <t xml:space="preserve"> Meter Charge</t>
    </r>
  </si>
  <si>
    <t>Incremental Meter Charge Rate Design</t>
  </si>
  <si>
    <t xml:space="preserve">    Total</t>
  </si>
  <si>
    <t xml:space="preserve">        Customer</t>
  </si>
  <si>
    <t xml:space="preserve">        Off-Peak Energy</t>
  </si>
  <si>
    <t xml:space="preserve">        On-Peak Energy</t>
  </si>
  <si>
    <t xml:space="preserve">    SGS-LM TOD</t>
  </si>
  <si>
    <t>Revenue From Existing TOD Customers</t>
  </si>
  <si>
    <t xml:space="preserve">  IX.</t>
  </si>
  <si>
    <t>*Revised after revenue verification.</t>
  </si>
  <si>
    <t>Total Base Revenue</t>
  </si>
  <si>
    <t>Time-of-Day Customer Charge</t>
  </si>
  <si>
    <t>Non-Metered Customer</t>
  </si>
  <si>
    <t>Standard Customer</t>
  </si>
  <si>
    <t xml:space="preserve">          Time-of-Day Off-Peak Revenue</t>
  </si>
  <si>
    <t xml:space="preserve">          Time-of-Day Customer Revenue</t>
  </si>
  <si>
    <t xml:space="preserve">           Non-Metered Customer Revenue</t>
  </si>
  <si>
    <t>Less:  Standard Customer Revenue</t>
  </si>
  <si>
    <t>Total SGS Base Revenue</t>
  </si>
  <si>
    <t xml:space="preserve"> VII.</t>
  </si>
  <si>
    <t xml:space="preserve">  Off-Peak Revenue</t>
  </si>
  <si>
    <t xml:space="preserve">  Off-Peak kWh</t>
  </si>
  <si>
    <t xml:space="preserve">  Off-Peak % Usage</t>
  </si>
  <si>
    <t xml:space="preserve">  Use:  Proposed Residential Off-Peak Energy Charge</t>
  </si>
  <si>
    <t xml:space="preserve">  Calculated Off-Peak Energy Charge</t>
  </si>
  <si>
    <t xml:space="preserve">  Fixed Cost Adder</t>
  </si>
  <si>
    <t>kwh    =</t>
  </si>
  <si>
    <t xml:space="preserve">  Energy Revenue Requirement</t>
  </si>
  <si>
    <t xml:space="preserve">  VI.</t>
  </si>
  <si>
    <t xml:space="preserve">   Total Base Revenue</t>
  </si>
  <si>
    <t>/mo</t>
  </si>
  <si>
    <t xml:space="preserve">   Non-Metered Customer</t>
  </si>
  <si>
    <t xml:space="preserve">   Standard Customer</t>
  </si>
  <si>
    <t>/kWh*</t>
  </si>
  <si>
    <t xml:space="preserve">               - Over 500 kWh</t>
  </si>
  <si>
    <t xml:space="preserve">   Energy - First 500 kWh</t>
  </si>
  <si>
    <t xml:space="preserve">  V.</t>
  </si>
  <si>
    <t xml:space="preserve">  First 500 kWh Charge</t>
  </si>
  <si>
    <t>Block Differential</t>
  </si>
  <si>
    <t>Over 500 kWh Charge</t>
  </si>
  <si>
    <t xml:space="preserve">   Less: Block Differential Revenue</t>
  </si>
  <si>
    <t xml:space="preserve">   Less: Non-Metered Customer Revenue</t>
  </si>
  <si>
    <t xml:space="preserve">   Less: Standard Customer Revenue</t>
  </si>
  <si>
    <t xml:space="preserve">   Revenue Requirement</t>
  </si>
  <si>
    <t>Block Differential Revenue</t>
  </si>
  <si>
    <t xml:space="preserve">  First 500 kWh </t>
  </si>
  <si>
    <t>Proposed Differential</t>
  </si>
  <si>
    <t>Less Customer Charge Increase</t>
  </si>
  <si>
    <t xml:space="preserve">   Over 500 kWh Charge</t>
  </si>
  <si>
    <t>Energy Charges</t>
  </si>
  <si>
    <t xml:space="preserve">  IV.</t>
  </si>
  <si>
    <t xml:space="preserve"> Bills</t>
  </si>
  <si>
    <t xml:space="preserve">    Non-Metered</t>
  </si>
  <si>
    <t xml:space="preserve">    Standard</t>
  </si>
  <si>
    <t>USE: +8.00 RS Adder</t>
  </si>
  <si>
    <t>Use:</t>
  </si>
  <si>
    <t xml:space="preserve">  /</t>
  </si>
  <si>
    <t>Residual Customer Revenue</t>
  </si>
  <si>
    <t>Less:  Non-Metered Customer Rev.</t>
  </si>
  <si>
    <t>Standard Customer Charge</t>
  </si>
  <si>
    <t xml:space="preserve">  III.</t>
  </si>
  <si>
    <t xml:space="preserve">        Use:</t>
  </si>
  <si>
    <t>Proposed Non-Metered Customer Charge</t>
  </si>
  <si>
    <t>Meter Plant Revenue</t>
  </si>
  <si>
    <t>/ Bills</t>
  </si>
  <si>
    <t>GRCF</t>
  </si>
  <si>
    <t>Adj. Customer Revenue</t>
  </si>
  <si>
    <t>Income</t>
  </si>
  <si>
    <t xml:space="preserve">           Meter Reading Expense (902)</t>
  </si>
  <si>
    <t>Return on Rate Base</t>
  </si>
  <si>
    <t xml:space="preserve">           Meter O&amp;M Expense (586 &amp; 597)</t>
  </si>
  <si>
    <t>Depreciated Meter Plant</t>
  </si>
  <si>
    <t>Less:  Meter Plant Revenue</t>
  </si>
  <si>
    <t>Net Plant/Gross Plant Percentage</t>
  </si>
  <si>
    <t>Customer Base Revenue</t>
  </si>
  <si>
    <t>Meter Plant  (370)</t>
  </si>
  <si>
    <t>Non-Metered Customer Charge</t>
  </si>
  <si>
    <t xml:space="preserve"> II.</t>
  </si>
  <si>
    <t xml:space="preserve">  Energy</t>
  </si>
  <si>
    <t xml:space="preserve">  Demand</t>
  </si>
  <si>
    <t>TOD/LMTOD</t>
  </si>
  <si>
    <t>Revenue Excld Fuel</t>
  </si>
  <si>
    <t>SGS</t>
  </si>
  <si>
    <t xml:space="preserve">   I.</t>
  </si>
  <si>
    <t xml:space="preserve">   Customer</t>
  </si>
  <si>
    <t xml:space="preserve">   Energy</t>
  </si>
  <si>
    <t>Revenue from Recreational Lighting</t>
  </si>
  <si>
    <t xml:space="preserve">    Proposed Energy Charge</t>
  </si>
  <si>
    <t xml:space="preserve">         Use:  Proposed MGS Secondary</t>
  </si>
  <si>
    <t xml:space="preserve">    Customer Charge</t>
  </si>
  <si>
    <t>Recreational Lighting</t>
  </si>
  <si>
    <t xml:space="preserve">      Total</t>
  </si>
  <si>
    <t xml:space="preserve">      Customer</t>
  </si>
  <si>
    <t xml:space="preserve">      Off-Peak Energy</t>
  </si>
  <si>
    <t xml:space="preserve">      On-Peak Energy</t>
  </si>
  <si>
    <t xml:space="preserve">  MGS-LM-TOD</t>
  </si>
  <si>
    <t xml:space="preserve">  MGS-TOD</t>
  </si>
  <si>
    <t xml:space="preserve">  XI.</t>
  </si>
  <si>
    <t xml:space="preserve">* Use Proposed Standard Charge.       ** Use Proposed RES </t>
  </si>
  <si>
    <t>**</t>
  </si>
  <si>
    <t xml:space="preserve">MGS-LM-TOD </t>
  </si>
  <si>
    <t>MGS-TOD</t>
  </si>
  <si>
    <t xml:space="preserve">  X.</t>
  </si>
  <si>
    <t>LM-TOD</t>
  </si>
  <si>
    <t>TOD</t>
  </si>
  <si>
    <t xml:space="preserve"> IX.</t>
  </si>
  <si>
    <t xml:space="preserve">          Off-Peak Energy Revenue</t>
  </si>
  <si>
    <t xml:space="preserve">          LM-TOD Customer Revenue</t>
  </si>
  <si>
    <t xml:space="preserve">          TOD Customer Revenue</t>
  </si>
  <si>
    <t>Total MGS Secondary Base Revenue</t>
  </si>
  <si>
    <t xml:space="preserve"> VIII.</t>
  </si>
  <si>
    <t xml:space="preserve">  Off-Peak % Usage  -  secondary</t>
  </si>
  <si>
    <t xml:space="preserve">  Use:  </t>
  </si>
  <si>
    <t xml:space="preserve">  VII.</t>
  </si>
  <si>
    <t xml:space="preserve">  Total Standard MGS Revenue</t>
  </si>
  <si>
    <t>/bill</t>
  </si>
  <si>
    <t>bills</t>
  </si>
  <si>
    <t xml:space="preserve">              -   &gt; 200 x Demand</t>
  </si>
  <si>
    <t xml:space="preserve">  Energy - &lt;= 200 x Demand</t>
  </si>
  <si>
    <t>/kW</t>
  </si>
  <si>
    <t xml:space="preserve">                - Minimum</t>
  </si>
  <si>
    <t xml:space="preserve">  Demand - Standard</t>
  </si>
  <si>
    <t>Subtransmission</t>
  </si>
  <si>
    <t>/kW*</t>
  </si>
  <si>
    <t>Primary</t>
  </si>
  <si>
    <t>Secondary</t>
  </si>
  <si>
    <t>Target</t>
  </si>
  <si>
    <t xml:space="preserve">     Total Energy Revenue</t>
  </si>
  <si>
    <t xml:space="preserve">     &gt;  200 x Demand</t>
  </si>
  <si>
    <t xml:space="preserve">    &lt;= 200 x Demand</t>
  </si>
  <si>
    <t>Charges</t>
  </si>
  <si>
    <t xml:space="preserve">  Proposed Energy Charges</t>
  </si>
  <si>
    <t xml:space="preserve">  Proposed Energy Revenue</t>
  </si>
  <si>
    <t xml:space="preserve">             Demand Revenue</t>
  </si>
  <si>
    <t xml:space="preserve">  Less:  Customer Revenue</t>
  </si>
  <si>
    <t xml:space="preserve">  Total Base Revenue</t>
  </si>
  <si>
    <t>Proposed Energy Charges and Revenue</t>
  </si>
  <si>
    <t xml:space="preserve">        Mining Minimum Demand</t>
  </si>
  <si>
    <t xml:space="preserve">        Standard Demand</t>
  </si>
  <si>
    <t xml:space="preserve">    Subtransmission</t>
  </si>
  <si>
    <t xml:space="preserve">    Primary</t>
  </si>
  <si>
    <t xml:space="preserve">    Secondary</t>
  </si>
  <si>
    <t>Revised</t>
  </si>
  <si>
    <t xml:space="preserve">  Proposed Demand Revenue</t>
  </si>
  <si>
    <t>Standard Demand</t>
  </si>
  <si>
    <t>Factor</t>
  </si>
  <si>
    <t>Loss</t>
  </si>
  <si>
    <t xml:space="preserve">    Mining Minimum Demand</t>
  </si>
  <si>
    <t xml:space="preserve">    Standard Demand</t>
  </si>
  <si>
    <t>Increase</t>
  </si>
  <si>
    <t xml:space="preserve">  Proposed Demand Charge</t>
  </si>
  <si>
    <t>Proposed Demand Charges and Revenue</t>
  </si>
  <si>
    <t xml:space="preserve">  Proposed Customer Revenue</t>
  </si>
  <si>
    <t>*Secondary same as SGS Standard.  Primary and SubTran two times current.</t>
  </si>
  <si>
    <t>Rate*</t>
  </si>
  <si>
    <t xml:space="preserve">  Proposed Customer Charge</t>
  </si>
  <si>
    <t>Full Cost</t>
  </si>
  <si>
    <t>Proposed Customer Charges and Revenue</t>
  </si>
  <si>
    <t xml:space="preserve">  Bills</t>
  </si>
  <si>
    <t xml:space="preserve">  Over 200 kWh per kW</t>
  </si>
  <si>
    <t xml:space="preserve">  First 200 kWh per kW</t>
  </si>
  <si>
    <t xml:space="preserve">  Mining Minimum Billing Demand</t>
  </si>
  <si>
    <t xml:space="preserve">  Standard Billing Demand</t>
  </si>
  <si>
    <t>Billing Determinant Summary</t>
  </si>
  <si>
    <t xml:space="preserve">  II.</t>
  </si>
  <si>
    <t>Total MGS - Excl. TOD,  LM-TOD, RL</t>
  </si>
  <si>
    <t xml:space="preserve">    Customer</t>
  </si>
  <si>
    <t xml:space="preserve">    Energy</t>
  </si>
  <si>
    <t xml:space="preserve">    Demand</t>
  </si>
  <si>
    <t xml:space="preserve">  Secondary - Excl. TOD, LM-TOD, and RL</t>
  </si>
  <si>
    <t xml:space="preserve">  Secondary RL</t>
  </si>
  <si>
    <t xml:space="preserve">  Secondary LM-TOD</t>
  </si>
  <si>
    <t xml:space="preserve">  Secondary TOD</t>
  </si>
  <si>
    <t>Calculated On-Peak Energy Charge</t>
  </si>
  <si>
    <t>Loss Adjusted Energy</t>
  </si>
  <si>
    <t>Loss Factor</t>
  </si>
  <si>
    <t xml:space="preserve">          Demand Revenue</t>
  </si>
  <si>
    <t>Less: Customer Revenue</t>
  </si>
  <si>
    <t>Total Revenue</t>
  </si>
  <si>
    <t>Trans</t>
  </si>
  <si>
    <t>Subtran</t>
  </si>
  <si>
    <t xml:space="preserve">Full cost off-peak rates </t>
  </si>
  <si>
    <t xml:space="preserve">         - Transmission</t>
  </si>
  <si>
    <t xml:space="preserve">         - Subtransmission</t>
  </si>
  <si>
    <t xml:space="preserve">         - Primary</t>
  </si>
  <si>
    <t>LGS - Secondary</t>
  </si>
  <si>
    <t>Rate *</t>
  </si>
  <si>
    <t xml:space="preserve">Demand </t>
  </si>
  <si>
    <t xml:space="preserve">Proposed </t>
  </si>
  <si>
    <t xml:space="preserve">Billing </t>
  </si>
  <si>
    <t>Demand Charge</t>
  </si>
  <si>
    <t>Proposed Off-Peak Charge</t>
  </si>
  <si>
    <t>From Load Research</t>
  </si>
  <si>
    <t>Calculated Off-Peak Energy Charge</t>
  </si>
  <si>
    <t>Total Energy Charge</t>
  </si>
  <si>
    <t>Total Billing kWh</t>
  </si>
  <si>
    <t>Proposed Customer Revenue</t>
  </si>
  <si>
    <t>All Bills</t>
  </si>
  <si>
    <t>Calculated Customer Charge</t>
  </si>
  <si>
    <t>Full Cost Customer Revenue</t>
  </si>
  <si>
    <t>Proposed Base Revenue</t>
  </si>
  <si>
    <t>*Use same as standard</t>
  </si>
  <si>
    <t>/Mo *</t>
  </si>
  <si>
    <t xml:space="preserve">  LGS-LM-TOD</t>
  </si>
  <si>
    <t>/Mo</t>
  </si>
  <si>
    <t xml:space="preserve">                 - Time-of-Day</t>
  </si>
  <si>
    <t>Customer - Standard</t>
  </si>
  <si>
    <t xml:space="preserve">/kWh </t>
  </si>
  <si>
    <t xml:space="preserve">             Off-Peak Energy Revenue</t>
  </si>
  <si>
    <t xml:space="preserve">            Time-of-Day Customer Revenue</t>
  </si>
  <si>
    <t>Total LGS Secondary Base Revenue</t>
  </si>
  <si>
    <t xml:space="preserve">  Use: </t>
  </si>
  <si>
    <t xml:space="preserve">  Secondary Energy Revenue Reqt</t>
  </si>
  <si>
    <t>Off-Peak Energy Charge For LM-TOD</t>
  </si>
  <si>
    <t>Total Tariff LGS</t>
  </si>
  <si>
    <t>/KVA</t>
  </si>
  <si>
    <t>KVA</t>
  </si>
  <si>
    <t>Excess KVA</t>
  </si>
  <si>
    <t>Tran</t>
  </si>
  <si>
    <t>/kWh *</t>
  </si>
  <si>
    <t>Credit</t>
  </si>
  <si>
    <t xml:space="preserve">Equipment </t>
  </si>
  <si>
    <t xml:space="preserve">  Secondary Energy Charge</t>
  </si>
  <si>
    <t xml:space="preserve">  Loss Adjusted Billing Energy</t>
  </si>
  <si>
    <t xml:space="preserve">  Energy Revenue</t>
  </si>
  <si>
    <t xml:space="preserve">             Equipment Credit Revenue</t>
  </si>
  <si>
    <t xml:space="preserve">             Excess KVA Revenue</t>
  </si>
  <si>
    <t xml:space="preserve">  Total Revenue</t>
  </si>
  <si>
    <t>--</t>
  </si>
  <si>
    <t>Equipment Credit Revenue</t>
  </si>
  <si>
    <t>Equipment</t>
  </si>
  <si>
    <t>Loss Adj</t>
  </si>
  <si>
    <t>Proposed Demand Revenue</t>
  </si>
  <si>
    <t>Demand Charges</t>
  </si>
  <si>
    <t>proposed increase</t>
  </si>
  <si>
    <t>Current Secondary Charge:</t>
  </si>
  <si>
    <t>Proposed KVA Revenue</t>
  </si>
  <si>
    <t>Excess</t>
  </si>
  <si>
    <t>Proposed/Current</t>
  </si>
  <si>
    <t>Proposed Excess KVA Charges &amp; Revenue</t>
  </si>
  <si>
    <t>*** Equal to Subtrans</t>
  </si>
  <si>
    <t>** Full cost.</t>
  </si>
  <si>
    <t>* Use Current.</t>
  </si>
  <si>
    <t>***</t>
  </si>
  <si>
    <t xml:space="preserve">  Transmission</t>
  </si>
  <si>
    <t xml:space="preserve">  Subtransmission</t>
  </si>
  <si>
    <t xml:space="preserve">  Primary</t>
  </si>
  <si>
    <t xml:space="preserve">  Secondary</t>
  </si>
  <si>
    <t>Proposed Customer Charges &amp; Revenue</t>
  </si>
  <si>
    <t>Billing kWh</t>
  </si>
  <si>
    <t>Billing Reactive</t>
  </si>
  <si>
    <t>Billing Demand</t>
  </si>
  <si>
    <t>Transmission</t>
  </si>
  <si>
    <t>Total LGS Excld LMTOD</t>
  </si>
  <si>
    <t xml:space="preserve">Primary </t>
  </si>
  <si>
    <t>Secondary Excl. LM-TOD</t>
  </si>
  <si>
    <t>Secondary LM-TOD</t>
  </si>
  <si>
    <t xml:space="preserve">   Demand</t>
  </si>
  <si>
    <t xml:space="preserve">Secondary </t>
  </si>
  <si>
    <t>Billed and</t>
  </si>
  <si>
    <t>Total Tariff IGS</t>
  </si>
  <si>
    <t>/KVAR</t>
  </si>
  <si>
    <t>KVAR</t>
  </si>
  <si>
    <t>Excess KVAR</t>
  </si>
  <si>
    <t>Minimum Demand</t>
  </si>
  <si>
    <t>Off-peak Demand</t>
  </si>
  <si>
    <t>On-Peak Demand</t>
  </si>
  <si>
    <t>Proposed On-Peak Demand Revenue</t>
  </si>
  <si>
    <t>% of Full Cost</t>
  </si>
  <si>
    <t xml:space="preserve">  Full Cost Demand Charge</t>
  </si>
  <si>
    <t xml:space="preserve">  Loss Adjusted Billing Demand</t>
  </si>
  <si>
    <t xml:space="preserve">  Demand Revenue</t>
  </si>
  <si>
    <t xml:space="preserve">              Equipment Credit Revenue</t>
  </si>
  <si>
    <t xml:space="preserve">              Minimum Demand Revenue</t>
  </si>
  <si>
    <t xml:space="preserve">              Energy Revenue</t>
  </si>
  <si>
    <t xml:space="preserve">              Off-peak Revenue</t>
  </si>
  <si>
    <t xml:space="preserve">              Excess KVAR Revenue</t>
  </si>
  <si>
    <t xml:space="preserve">  Less: Customer Revenue</t>
  </si>
  <si>
    <t xml:space="preserve">  Total Required Base Revenue</t>
  </si>
  <si>
    <t>Full Cost Demand Charge</t>
  </si>
  <si>
    <t>From Equipment Credit Workpaper:  Off Peak Excess Demand Charge</t>
  </si>
  <si>
    <t>Calculation of Loss Adj Demand</t>
  </si>
  <si>
    <t>Proposed On-Peak Demand Charges and Revenue</t>
  </si>
  <si>
    <t>Minimum</t>
  </si>
  <si>
    <t>Proposed Minimum Demand Revenue</t>
  </si>
  <si>
    <t xml:space="preserve">  Loss Adjusted Maximum Demand</t>
  </si>
  <si>
    <t xml:space="preserve">   Less: Equipment Credit Revenue</t>
  </si>
  <si>
    <t xml:space="preserve">  Total Required Demand Revenue</t>
  </si>
  <si>
    <t>Maximum</t>
  </si>
  <si>
    <t>Proposed Minimum Demand Charges and Revenue</t>
  </si>
  <si>
    <t>Proposed Energy Revenue</t>
  </si>
  <si>
    <t>Loss Factors from Load Research Study</t>
  </si>
  <si>
    <t>Off-peak</t>
  </si>
  <si>
    <t>Proposed Off-Peak Demand Charges and Revenue</t>
  </si>
  <si>
    <t>Excess KVAR Rate</t>
  </si>
  <si>
    <t>Proposed KVAR Revenue</t>
  </si>
  <si>
    <t>Use: Current</t>
  </si>
  <si>
    <t>Proposed Excess KVAR Charges &amp; Revenue</t>
  </si>
  <si>
    <t>CIP-TOD</t>
  </si>
  <si>
    <t>QP</t>
  </si>
  <si>
    <t>Block 2 kWh</t>
  </si>
  <si>
    <t>Block 1 kWh</t>
  </si>
  <si>
    <t>Adjusted Min kW as a % of On Peak kW</t>
  </si>
  <si>
    <t>Maximum Monthly Demand kW</t>
  </si>
  <si>
    <t>Minimum Billing Demand (CIP) (applied)</t>
  </si>
  <si>
    <t>Off-Peak Excess Demand</t>
  </si>
  <si>
    <t>Off-Peak Billing Demand</t>
  </si>
  <si>
    <t>On-Peak Billing Demand</t>
  </si>
  <si>
    <t>Total Billing Data</t>
  </si>
  <si>
    <t>Block 2 kWh (500)</t>
  </si>
  <si>
    <t>Block 1 kWh (500)</t>
  </si>
  <si>
    <t>adjusted off pk xcs kW</t>
  </si>
  <si>
    <t>adjustment factor</t>
  </si>
  <si>
    <t>UI off pk xcs</t>
  </si>
  <si>
    <t>CIP-TOD Billing Data</t>
  </si>
  <si>
    <t>adjusted min kW</t>
  </si>
  <si>
    <t>Min kW adjustment factor</t>
  </si>
  <si>
    <t>tran</t>
  </si>
  <si>
    <t>sub</t>
  </si>
  <si>
    <t>pri</t>
  </si>
  <si>
    <t>sec</t>
  </si>
  <si>
    <t>QP Billing Data</t>
  </si>
  <si>
    <t xml:space="preserve">  Transmission Charge</t>
  </si>
  <si>
    <t xml:space="preserve">  Subtran Charge</t>
  </si>
  <si>
    <t xml:space="preserve">  Primary Charge</t>
  </si>
  <si>
    <t xml:space="preserve">  Secondary Charge</t>
  </si>
  <si>
    <t xml:space="preserve">  Off Peak Demand Cost</t>
  </si>
  <si>
    <t xml:space="preserve">  Off-Peak Recovery %</t>
  </si>
  <si>
    <t xml:space="preserve">  Functional Demand Cost</t>
  </si>
  <si>
    <t>Factors</t>
  </si>
  <si>
    <t>Cost</t>
  </si>
  <si>
    <t>Bulk</t>
  </si>
  <si>
    <t>Distribution</t>
  </si>
  <si>
    <t>Full</t>
  </si>
  <si>
    <t xml:space="preserve">Full Cost  Off-Peak Excess </t>
  </si>
  <si>
    <t>Full Cost Off-Peak Demand Charges</t>
  </si>
  <si>
    <t>Total LGS-Sec</t>
  </si>
  <si>
    <t>LGS-Sec</t>
  </si>
  <si>
    <t>Total MGS-Sec</t>
  </si>
  <si>
    <t xml:space="preserve">  MGS-AF</t>
  </si>
  <si>
    <t>MGS-Sec</t>
  </si>
  <si>
    <t>Metered</t>
  </si>
  <si>
    <t>TOD and AF Energy</t>
  </si>
  <si>
    <t>Full Cost Equipment Credits</t>
  </si>
  <si>
    <t xml:space="preserve">  Functional Cost</t>
  </si>
  <si>
    <t xml:space="preserve">  Functional Energy</t>
  </si>
  <si>
    <t xml:space="preserve">  Functional Demand Rev</t>
  </si>
  <si>
    <t xml:space="preserve">  Energy Served by Subtran System</t>
  </si>
  <si>
    <t xml:space="preserve">  Loss Adj Energy</t>
  </si>
  <si>
    <t xml:space="preserve">  Relative Loss Factor</t>
  </si>
  <si>
    <t xml:space="preserve">  CIP</t>
  </si>
  <si>
    <t xml:space="preserve">  QP</t>
  </si>
  <si>
    <t xml:space="preserve">  LGS</t>
  </si>
  <si>
    <t xml:space="preserve">  MGS</t>
  </si>
  <si>
    <t>Current Metered Energy Summary</t>
  </si>
  <si>
    <t>Equipment Credits Relative to Secondary</t>
  </si>
  <si>
    <t>KENTUCKY POWER COMPANY</t>
  </si>
  <si>
    <t>Standard</t>
  </si>
  <si>
    <t>TOD and AF Demands</t>
  </si>
  <si>
    <t>Full Cost Equipment Credits (Relative to Secondary)</t>
  </si>
  <si>
    <t xml:space="preserve">  Functional Demand</t>
  </si>
  <si>
    <t xml:space="preserve">  Demand Served by Subtran System</t>
  </si>
  <si>
    <t xml:space="preserve">  Loss Adj Demand</t>
  </si>
  <si>
    <t>Current Billing Demand Summary</t>
  </si>
  <si>
    <t>Twelve Months Ended September 30, 2014</t>
  </si>
  <si>
    <t xml:space="preserve"> =</t>
  </si>
  <si>
    <t xml:space="preserve">Total Monthly AFS Transfer Switch Testing Rate </t>
  </si>
  <si>
    <t xml:space="preserve"> /</t>
  </si>
  <si>
    <t>Divided by 12</t>
  </si>
  <si>
    <t>Total Annual AFS Transfer Switch Testing Cost</t>
  </si>
  <si>
    <t>AFS Transfer Switch Monthly Testing Rate</t>
  </si>
  <si>
    <t>AFS Monthly Cost @ Primary</t>
  </si>
  <si>
    <t xml:space="preserve"> x</t>
  </si>
  <si>
    <t>Loss Factor Secondary to Primary</t>
  </si>
  <si>
    <t>Monthly Cost @ Secondary</t>
  </si>
  <si>
    <t>Functional Demand kW @ Secondary</t>
  </si>
  <si>
    <t>Primary Demand Revenue Requirement</t>
  </si>
  <si>
    <t xml:space="preserve">     </t>
  </si>
  <si>
    <t>AFS Monthly Cost / Reservation Demand Charge</t>
  </si>
  <si>
    <t>Alternate Feed Service (AFS) Rate Design</t>
  </si>
  <si>
    <t>Total MW Verified Revenues</t>
  </si>
  <si>
    <t xml:space="preserve">Target </t>
  </si>
  <si>
    <t>Proposed Energy Charge</t>
  </si>
  <si>
    <t xml:space="preserve">Billing kWh </t>
  </si>
  <si>
    <t>Energy Charge Revenue</t>
  </si>
  <si>
    <t>Less:  Minimum Demand Revenue</t>
  </si>
  <si>
    <t>Total MW Revenue Requirement</t>
  </si>
  <si>
    <t>Energy Charge</t>
  </si>
  <si>
    <t xml:space="preserve"> IV.</t>
  </si>
  <si>
    <t>Minimum Demand Charge Revenue</t>
  </si>
  <si>
    <t>Minimum kW</t>
  </si>
  <si>
    <t>Use 2x current</t>
  </si>
  <si>
    <t>Current Minimum Demand Charges</t>
  </si>
  <si>
    <t>Monthly Demand (SNCP)</t>
  </si>
  <si>
    <t>Demand Revenue Requirement</t>
  </si>
  <si>
    <t>Bills           X</t>
  </si>
  <si>
    <t>Use current:</t>
  </si>
  <si>
    <t>Full Cost Customer Charge</t>
  </si>
  <si>
    <t xml:space="preserve">Base </t>
  </si>
  <si>
    <t xml:space="preserve">  I.</t>
  </si>
  <si>
    <t>MW Rate Design</t>
  </si>
  <si>
    <t>Kentucky Power Company</t>
  </si>
  <si>
    <t>** Revised after revenue verification</t>
  </si>
  <si>
    <t>* In process of elimination (Overall Increase)</t>
  </si>
  <si>
    <t>Scale Factor</t>
  </si>
  <si>
    <t>Overall Class Increase</t>
  </si>
  <si>
    <t>Revenue Target</t>
  </si>
  <si>
    <t>Fuel Clause</t>
  </si>
  <si>
    <t xml:space="preserve">Base Revenue </t>
  </si>
  <si>
    <t xml:space="preserve">  Lateral</t>
  </si>
  <si>
    <t xml:space="preserve">  Span</t>
  </si>
  <si>
    <t xml:space="preserve">  Pole</t>
  </si>
  <si>
    <t>Facilities Charge</t>
  </si>
  <si>
    <t>175 Post Top</t>
  </si>
  <si>
    <t>400 Watt</t>
  </si>
  <si>
    <t>175 Watt</t>
  </si>
  <si>
    <t>Mercury Vapor *</t>
  </si>
  <si>
    <t>400 Watt Mongoose</t>
  </si>
  <si>
    <t>250 Watt Mongoose</t>
  </si>
  <si>
    <t>1000 Watt Floodlight</t>
  </si>
  <si>
    <t>400 Watt Floodlight</t>
  </si>
  <si>
    <t>250 Watt Floodlight</t>
  </si>
  <si>
    <t>Metal Halide</t>
  </si>
  <si>
    <t>400 Watt Shoebox</t>
  </si>
  <si>
    <t>250 Watt Shoebox</t>
  </si>
  <si>
    <t>100 Watt Shoebox</t>
  </si>
  <si>
    <t>200 Watt Floodlight</t>
  </si>
  <si>
    <t>150 Watt Post Top</t>
  </si>
  <si>
    <t>100 Watt Post Top</t>
  </si>
  <si>
    <t>250 Watt</t>
  </si>
  <si>
    <t>200 Watt</t>
  </si>
  <si>
    <t>150 Watt</t>
  </si>
  <si>
    <t>100 Watt</t>
  </si>
  <si>
    <t>High Pressure Sodium</t>
  </si>
  <si>
    <t>Tariff #</t>
  </si>
  <si>
    <t>(9)=(8/4)</t>
  </si>
  <si>
    <t>(8)</t>
  </si>
  <si>
    <t>(7)=(2*6)</t>
  </si>
  <si>
    <t>(6)</t>
  </si>
  <si>
    <t xml:space="preserve">  (5)</t>
  </si>
  <si>
    <t>(4)=(2*3)</t>
  </si>
  <si>
    <t>(3)</t>
  </si>
  <si>
    <t>Lamps</t>
  </si>
  <si>
    <t>Type &amp; Size</t>
  </si>
  <si>
    <t>Percent</t>
  </si>
  <si>
    <t>Annual</t>
  </si>
  <si>
    <t>Based</t>
  </si>
  <si>
    <t>Present</t>
  </si>
  <si>
    <t>Number of</t>
  </si>
  <si>
    <t>Lamp</t>
  </si>
  <si>
    <t>Energy Rate ($/kWh)</t>
  </si>
  <si>
    <t>Class Metered Energy</t>
  </si>
  <si>
    <t>B&amp;A Rev Excl Direct Ltg Costs</t>
  </si>
  <si>
    <t xml:space="preserve">  Less: Acct. 598</t>
  </si>
  <si>
    <t>Monthly Total FCCRR</t>
  </si>
  <si>
    <t xml:space="preserve">  State Income Tax</t>
  </si>
  <si>
    <t xml:space="preserve">  Taxes Other</t>
  </si>
  <si>
    <t>Annual Total</t>
  </si>
  <si>
    <t xml:space="preserve">  O&amp;M Expenses (Excl. A&amp;G)</t>
  </si>
  <si>
    <t>Prop Taxes, Adm &amp; Gen'l</t>
  </si>
  <si>
    <t>Cust. Related Revenue Reqt.</t>
  </si>
  <si>
    <t>F.I.T.</t>
  </si>
  <si>
    <t>Depreciation</t>
  </si>
  <si>
    <t>Return</t>
  </si>
  <si>
    <t>Using 10-Yr Inv Life</t>
  </si>
  <si>
    <t xml:space="preserve">Outdoor Lighting (OL) Cost of Service </t>
  </si>
  <si>
    <t>Fixed Cost CC Rate</t>
  </si>
  <si>
    <t>High Pressure Sodium (HPS)</t>
  </si>
  <si>
    <t>(9)=(3+7+8)</t>
  </si>
  <si>
    <t>(7)=(6)*EC</t>
  </si>
  <si>
    <t>(3)=(2)*FCCR</t>
  </si>
  <si>
    <t>Estimate</t>
  </si>
  <si>
    <t>Maintenance</t>
  </si>
  <si>
    <t>per kWh</t>
  </si>
  <si>
    <t>Monthly</t>
  </si>
  <si>
    <t>Consumption in kWh</t>
  </si>
  <si>
    <t>Facility</t>
  </si>
  <si>
    <t>Installed</t>
  </si>
  <si>
    <t>Lighting</t>
  </si>
  <si>
    <t>Estimated</t>
  </si>
  <si>
    <t>Energy Cost @</t>
  </si>
  <si>
    <t>UG Lateral - 50 Feet</t>
  </si>
  <si>
    <t>OH Span - Total  -  &lt; = 150 ft.</t>
  </si>
  <si>
    <t>35ft Wood Pole</t>
  </si>
  <si>
    <t>30ft Wood Pole</t>
  </si>
  <si>
    <t>Facilities Charges</t>
  </si>
  <si>
    <t>50,000 Lumen HPS</t>
  </si>
  <si>
    <t>22,000 Lumen HPS</t>
  </si>
  <si>
    <t>16,000 Lumen HPS</t>
  </si>
  <si>
    <t>9,500 Lumen HPS</t>
  </si>
  <si>
    <t>Service on New Metal or Concrete Poles</t>
  </si>
  <si>
    <t>Service on New Wood Poles</t>
  </si>
  <si>
    <t>n.a.</t>
  </si>
  <si>
    <t>5,800 Lumen HPS</t>
  </si>
  <si>
    <t>58,000 Lumen MV</t>
  </si>
  <si>
    <t>21,000 Lumen MV</t>
  </si>
  <si>
    <t>11,000 Lumen MV</t>
  </si>
  <si>
    <t>7,000 Lumen MV</t>
  </si>
  <si>
    <t>3,500 Lumen MV</t>
  </si>
  <si>
    <t>Service on Existing Wood Poles</t>
  </si>
  <si>
    <t>(10)=(8/4)</t>
  </si>
  <si>
    <t>(9)</t>
  </si>
  <si>
    <t>(8)=(2*5 or 6)</t>
  </si>
  <si>
    <t>(7)</t>
  </si>
  <si>
    <t>w/pole</t>
  </si>
  <si>
    <t>Cost Based</t>
  </si>
  <si>
    <t>B&amp;A Rev Excl Direct Ltg Cost</t>
  </si>
  <si>
    <t xml:space="preserve">            Account 596</t>
  </si>
  <si>
    <t xml:space="preserve">  Less: Account 585</t>
  </si>
  <si>
    <t>Customer-Related Revenue Requirement</t>
  </si>
  <si>
    <t>Energy-Related Revenue Reqmt</t>
  </si>
  <si>
    <t>Demand-Related Revenue Reqmt</t>
  </si>
  <si>
    <t>20-Yr Inv Life</t>
  </si>
  <si>
    <t>Test Year Ended 3/31/2013</t>
  </si>
  <si>
    <t>FCCRR</t>
  </si>
  <si>
    <t>Street Lighting (SL) Cost of Service</t>
  </si>
  <si>
    <t>50,000 Lumen</t>
  </si>
  <si>
    <t>22,000 Lumen</t>
  </si>
  <si>
    <t>16,000 Lumen</t>
  </si>
  <si>
    <t>9,500 Lumen</t>
  </si>
  <si>
    <t>(12)=(5+10+11)</t>
  </si>
  <si>
    <t>(10)=(6)*EC</t>
  </si>
  <si>
    <t>(6)=(5)*FCCRR</t>
  </si>
  <si>
    <t xml:space="preserve"> (5)</t>
  </si>
  <si>
    <t xml:space="preserve"> (4)</t>
  </si>
  <si>
    <t xml:space="preserve"> (3)</t>
  </si>
  <si>
    <t xml:space="preserve"> (2)</t>
  </si>
  <si>
    <t>Type</t>
  </si>
  <si>
    <t>Pole</t>
  </si>
  <si>
    <t xml:space="preserve">Lamp </t>
  </si>
  <si>
    <t>(3)=(2)*FCCRR</t>
  </si>
  <si>
    <t>O&amp;M Percentage</t>
  </si>
  <si>
    <t>Account 370 - Meter Plant</t>
  </si>
  <si>
    <t>Total O&amp;M</t>
  </si>
  <si>
    <t>Account 597 - Maintenance</t>
  </si>
  <si>
    <t>Account 586 - Operation</t>
  </si>
  <si>
    <t xml:space="preserve">Calculation of Meter O&amp;M Expense as a % of Original Cost </t>
  </si>
  <si>
    <r>
      <t xml:space="preserve">* Based upon Moody's Economy.com, </t>
    </r>
    <r>
      <rPr>
        <sz val="12"/>
        <rFont val="CG Times"/>
      </rPr>
      <t>GDP Chain Price Deflator</t>
    </r>
  </si>
  <si>
    <t>Average Rate (25th Root)</t>
  </si>
  <si>
    <t>Number of Years</t>
  </si>
  <si>
    <t>Compound Escalation Rate:</t>
  </si>
  <si>
    <t>Rates</t>
  </si>
  <si>
    <t>Year</t>
  </si>
  <si>
    <t>Escalation</t>
  </si>
  <si>
    <t>Cumulative</t>
  </si>
  <si>
    <t>Calculation of Cost Escalation Rates *</t>
  </si>
  <si>
    <t>/    5    =</t>
  </si>
  <si>
    <t>Option 3 - Secondary - Self Contained</t>
  </si>
  <si>
    <t>Option 3 - Secondary - Transformer Rated</t>
  </si>
  <si>
    <t>Option 3 - Primary - Transformer Rated</t>
  </si>
  <si>
    <t>Option 2 - Secondary - Self-Contained</t>
  </si>
  <si>
    <t>Option 2 - Primary - Transformer Rated</t>
  </si>
  <si>
    <t>Polyphase</t>
  </si>
  <si>
    <t xml:space="preserve">Option 3 - Secondary - Self Contained </t>
  </si>
  <si>
    <t xml:space="preserve">Option 3 - Secondary - Transformer Rated </t>
  </si>
  <si>
    <t>Single Phase</t>
  </si>
  <si>
    <t>Time-of-Day Measurement</t>
  </si>
  <si>
    <t>Option 3 - Secondary - Self Contained (Below 200 Amps)</t>
  </si>
  <si>
    <t>Option 3 - Secondary - Transformer Rated (Below 200 Amps)</t>
  </si>
  <si>
    <t>Option 3 - Primary - Transformer Rated (or Sec. &gt;200 Amps)</t>
  </si>
  <si>
    <t>Standard Measurement</t>
  </si>
  <si>
    <t>Material (IM)</t>
  </si>
  <si>
    <t>Incremental</t>
  </si>
  <si>
    <t>Monthly Meter Charges</t>
  </si>
  <si>
    <t>of Incremental Material Cost</t>
  </si>
  <si>
    <t>Monthly Charge on IM =</t>
  </si>
  <si>
    <t>OR:</t>
  </si>
  <si>
    <t>Incremental Labor Cost (50% of Material) = 0.5 x IM</t>
  </si>
  <si>
    <t>IL =</t>
  </si>
  <si>
    <t>Incremental Material Cost</t>
  </si>
  <si>
    <t xml:space="preserve">IM = </t>
  </si>
  <si>
    <t>Monthly Charge on Incremental Material</t>
  </si>
  <si>
    <t>OC</t>
  </si>
  <si>
    <t>Company Construction Overheads</t>
  </si>
  <si>
    <t>Overheads</t>
  </si>
  <si>
    <t>LC</t>
  </si>
  <si>
    <t>Total Charges on Labor</t>
  </si>
  <si>
    <t>Transportation Expense</t>
  </si>
  <si>
    <t>Labor</t>
  </si>
  <si>
    <t>MC</t>
  </si>
  <si>
    <t>Total Charges on Material</t>
  </si>
  <si>
    <t>Stores Expense</t>
  </si>
  <si>
    <t>Contingencies</t>
  </si>
  <si>
    <t>CC</t>
  </si>
  <si>
    <t>Carrying Costs</t>
  </si>
  <si>
    <t>O&amp;M</t>
  </si>
  <si>
    <t>Fixed Costs</t>
  </si>
  <si>
    <t>Value</t>
  </si>
  <si>
    <t>Variable</t>
  </si>
  <si>
    <t>Annual Carrying Charge Rates</t>
  </si>
  <si>
    <t>** Assuming COGEN/SPP Service at Primary</t>
  </si>
  <si>
    <t>Compound Loss Factor</t>
  </si>
  <si>
    <t>System</t>
  </si>
  <si>
    <t>Demand and Energy Loss Calculations **</t>
  </si>
  <si>
    <t xml:space="preserve">   Off-Peak Period is all other hours</t>
  </si>
  <si>
    <t>* On-Peak Period is 7am - 9pm, Monday through Friday</t>
  </si>
  <si>
    <t>¢/kWh</t>
  </si>
  <si>
    <t>Non-Time-of-Day Energy Payment</t>
  </si>
  <si>
    <t>Hours Per Year</t>
  </si>
  <si>
    <t>Weighted Average of Hourly TOD Payments</t>
  </si>
  <si>
    <t>hours</t>
  </si>
  <si>
    <t>Hours per Year</t>
  </si>
  <si>
    <t>Time-of-Day Energy Payments</t>
  </si>
  <si>
    <t>C.</t>
  </si>
  <si>
    <t>Divided by (1 - Loss Savings)</t>
  </si>
  <si>
    <t>Avoided Energy Costs (2014-2016 Average)</t>
  </si>
  <si>
    <t>B.</t>
  </si>
  <si>
    <t>Loss Adjustment (Potential Loss Savings)</t>
  </si>
  <si>
    <t>Divided by 2</t>
  </si>
  <si>
    <t>Primary Losses</t>
  </si>
  <si>
    <t>Potential Loss Savings</t>
  </si>
  <si>
    <t>A.</t>
  </si>
  <si>
    <t>Non-TOD</t>
  </si>
  <si>
    <t>Energy Payment Calculation *</t>
  </si>
  <si>
    <t>CCR =</t>
  </si>
  <si>
    <t>dr</t>
  </si>
  <si>
    <t>Debt Ratio</t>
  </si>
  <si>
    <t>b</t>
  </si>
  <si>
    <t>Rate on Debt Capital</t>
  </si>
  <si>
    <t>bd</t>
  </si>
  <si>
    <t>Book Depreciation</t>
  </si>
  <si>
    <t>ct</t>
  </si>
  <si>
    <t>Composite Tax Rate</t>
  </si>
  <si>
    <t>d</t>
  </si>
  <si>
    <t>Depreciation Rate</t>
  </si>
  <si>
    <t>p</t>
  </si>
  <si>
    <t>Insurance Rate</t>
  </si>
  <si>
    <t xml:space="preserve">Electric Plant in Service </t>
  </si>
  <si>
    <t>Account 9240000</t>
  </si>
  <si>
    <t>Insurance Rate:</t>
  </si>
  <si>
    <t>a</t>
  </si>
  <si>
    <t>Property Tax Rate</t>
  </si>
  <si>
    <t xml:space="preserve">Account 4081005 </t>
  </si>
  <si>
    <t>Property Tax Rate:</t>
  </si>
  <si>
    <t>R</t>
  </si>
  <si>
    <t>Weighted Cost of Capital</t>
  </si>
  <si>
    <t>Calculation of Annual Carrying Charge Rate (Page 1, Assumption C)</t>
  </si>
  <si>
    <t>Total  O&amp;M Cost (Page 1, Assumption D)</t>
  </si>
  <si>
    <t>Variable O&amp;M Cost</t>
  </si>
  <si>
    <t>Fixed O&amp;M Cost</t>
  </si>
  <si>
    <t>Total Operations &amp; Maintenance Cost per kW (2014 Dollars)</t>
  </si>
  <si>
    <t>Per Unit Variable O&amp;M Cost</t>
  </si>
  <si>
    <t>Unit Size</t>
  </si>
  <si>
    <t>/year</t>
  </si>
  <si>
    <t>Total Variable O&amp;M Cost</t>
  </si>
  <si>
    <t>Planned Outage Rate</t>
  </si>
  <si>
    <t>mills/kWh</t>
  </si>
  <si>
    <t xml:space="preserve">Variable Operations &amp; Maintenance Cost </t>
  </si>
  <si>
    <t>Variable Operations &amp; Maintenance Cost per kW (2014 Dollars)</t>
  </si>
  <si>
    <t>Per Unit Fixed O&amp;M Cost</t>
  </si>
  <si>
    <t>Total Fixed O&amp;M Cost</t>
  </si>
  <si>
    <t xml:space="preserve">Fixed Operations &amp; Maintenance Cost </t>
  </si>
  <si>
    <t>Fixed Operations &amp; Maintenance Cost per kW (2014 Dollars)</t>
  </si>
  <si>
    <t>Cost Calculations (Support Page 1, Assumptions A &amp; D)</t>
  </si>
  <si>
    <t xml:space="preserve">  Standard Measurement</t>
  </si>
  <si>
    <t xml:space="preserve">Three Year Average Avoided Cost of Capacity = </t>
  </si>
  <si>
    <t xml:space="preserve"> TOD Measurement</t>
  </si>
  <si>
    <t>C =</t>
  </si>
  <si>
    <t>S6 =</t>
  </si>
  <si>
    <t>S3 =</t>
  </si>
  <si>
    <t>S5 =</t>
  </si>
  <si>
    <t>S2 =</t>
  </si>
  <si>
    <t>S4 =</t>
  </si>
  <si>
    <t>S1 =</t>
  </si>
  <si>
    <t>T =</t>
  </si>
  <si>
    <t>Calculation for Third Year</t>
  </si>
  <si>
    <t>Calculation for Second Year</t>
  </si>
  <si>
    <t>Calculation for First Year</t>
  </si>
  <si>
    <t>Where:</t>
  </si>
  <si>
    <t>Calculation of Unadjusted Monthly Avoided Cost of Capacity</t>
  </si>
  <si>
    <t>-----------</t>
  </si>
  <si>
    <t>D =</t>
  </si>
  <si>
    <t>Calculation of Present Value of Carrying Charge</t>
  </si>
  <si>
    <t>IP</t>
  </si>
  <si>
    <t>Construction Cost Escalation Rate</t>
  </si>
  <si>
    <t>I)</t>
  </si>
  <si>
    <t>IO</t>
  </si>
  <si>
    <t>Fixed Operation and Maintenance Cost Escalation Rate</t>
  </si>
  <si>
    <t>H)</t>
  </si>
  <si>
    <t>D</t>
  </si>
  <si>
    <t>Present Value of Carrying Charge for $1 Investment for N years</t>
  </si>
  <si>
    <t>G)</t>
  </si>
  <si>
    <t>years</t>
  </si>
  <si>
    <t>N</t>
  </si>
  <si>
    <t>Estimated Unit Life</t>
  </si>
  <si>
    <t>F)</t>
  </si>
  <si>
    <t>L</t>
  </si>
  <si>
    <t>Line Losses</t>
  </si>
  <si>
    <t>E)</t>
  </si>
  <si>
    <t>O</t>
  </si>
  <si>
    <t>Operation &amp; Maintenance Cost per Year (Fixed &amp; Variable)</t>
  </si>
  <si>
    <t>D)</t>
  </si>
  <si>
    <t>CCR</t>
  </si>
  <si>
    <t>Carrying Charge Rate</t>
  </si>
  <si>
    <t>C)</t>
  </si>
  <si>
    <t>Weighted Cost of Capital (Workpaper S-2)</t>
  </si>
  <si>
    <t>B)</t>
  </si>
  <si>
    <t>V</t>
  </si>
  <si>
    <t>Capital Cost per kW of Capacity</t>
  </si>
  <si>
    <t>A)</t>
  </si>
  <si>
    <t>Assumptions</t>
  </si>
  <si>
    <t xml:space="preserve">    Secondary Demand and Energy Rev Requirement</t>
  </si>
  <si>
    <t xml:space="preserve">    Secondary Energy</t>
  </si>
  <si>
    <t>/kWh (Off-Pk)  =</t>
  </si>
  <si>
    <t>/mo.                 =</t>
  </si>
  <si>
    <t xml:space="preserve"> *</t>
  </si>
  <si>
    <t>/kW *</t>
  </si>
  <si>
    <t xml:space="preserve">  * Limited after revenue verification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</si>
</sst>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0.0%"/>
    <numFmt numFmtId="167" formatCode="#,##0.000"/>
    <numFmt numFmtId="168" formatCode="#,##0.0000"/>
    <numFmt numFmtId="169" formatCode="#,##0.00000"/>
    <numFmt numFmtId="170" formatCode="&quot;$&quot;#,##0.00"/>
    <numFmt numFmtId="171" formatCode="&quot;$&quot;#,##0.00000"/>
    <numFmt numFmtId="172" formatCode="0.000"/>
    <numFmt numFmtId="173" formatCode="#,##0.00000_);\(#,##0.00000\)"/>
    <numFmt numFmtId="174" formatCode="0.0000"/>
    <numFmt numFmtId="175" formatCode="0.0"/>
    <numFmt numFmtId="176" formatCode="#,##0.0"/>
    <numFmt numFmtId="177" formatCode="_(&quot;$&quot;* #,##0_);_(&quot;$&quot;* \(#,##0\);_(&quot;$&quot;* &quot;-&quot;??_);_(@_)"/>
    <numFmt numFmtId="178" formatCode="&quot;$&quot;#,##0.000000"/>
    <numFmt numFmtId="179" formatCode="&quot;$&quot;#,##0.0000000"/>
    <numFmt numFmtId="180" formatCode="_(* #,##0_);_(* \(#,##0\);_(* &quot;-&quot;??_);_(@_)"/>
    <numFmt numFmtId="181" formatCode="&quot;$&quot;#,##0.000"/>
    <numFmt numFmtId="182" formatCode="_(* #,##0.0000_);_(* \(#,##0.0000\);_(* &quot;-&quot;??_);_(@_)"/>
    <numFmt numFmtId="183" formatCode="#,##0.000000"/>
    <numFmt numFmtId="184" formatCode="_(&quot;$&quot;* #,##0_);_(&quot;$&quot;* \(#,##0\);_(&quot;$&quot;* &quot;-&quot;?????_);_(@_)"/>
    <numFmt numFmtId="185" formatCode="0.00000"/>
    <numFmt numFmtId="186" formatCode="&quot;$&quot;#,##0.00000_);\(&quot;$&quot;#,##0.00000\)"/>
    <numFmt numFmtId="187" formatCode="&quot;$&quot;#,##0.00;[Red]&quot;$&quot;#,##0.00"/>
    <numFmt numFmtId="188" formatCode="#,##0;[Red]#,##0"/>
    <numFmt numFmtId="189" formatCode="_(* #,##0.00000_);_(* \(#,##0.00000\);_(* &quot;-&quot;??_);_(@_)"/>
    <numFmt numFmtId="190" formatCode="0.0000%"/>
    <numFmt numFmtId="191" formatCode="0.000000"/>
    <numFmt numFmtId="192" formatCode="hh:mm\ AM/PM"/>
    <numFmt numFmtId="193" formatCode="0;[Red]0"/>
    <numFmt numFmtId="194" formatCode="0.00_);[Red]\(0.00\)"/>
  </numFmts>
  <fonts count="53">
    <font>
      <sz val="12"/>
      <name val="CG Times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indexed="12"/>
      <name val="Arial"/>
      <family val="2"/>
    </font>
    <font>
      <u/>
      <sz val="12"/>
      <name val="Arial"/>
      <family val="2"/>
    </font>
    <font>
      <sz val="12"/>
      <name val="CG 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B0F0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2"/>
      <name val="Arial MT"/>
    </font>
    <font>
      <sz val="11"/>
      <color indexed="8"/>
      <name val="Calibri"/>
      <family val="2"/>
      <scheme val="minor"/>
    </font>
    <font>
      <sz val="10"/>
      <name val="Helv"/>
    </font>
    <font>
      <b/>
      <sz val="10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color theme="1"/>
      <name val="Arial MT"/>
    </font>
    <font>
      <sz val="12"/>
      <color indexed="9"/>
      <name val="Arial"/>
      <family val="2"/>
    </font>
    <font>
      <sz val="12"/>
      <color rgb="FFFF0000"/>
      <name val="Arial MT"/>
    </font>
    <font>
      <b/>
      <i/>
      <sz val="12"/>
      <name val="Arial"/>
      <family val="2"/>
    </font>
    <font>
      <u/>
      <sz val="12"/>
      <name val="Arial MT"/>
    </font>
    <font>
      <b/>
      <u/>
      <sz val="12"/>
      <name val="Arial MT"/>
    </font>
    <font>
      <i/>
      <sz val="12"/>
      <name val="Arial MT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8"/>
      </top>
      <bottom/>
      <diagonal/>
    </border>
  </borders>
  <cellStyleXfs count="192">
    <xf numFmtId="0" fontId="0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3" fontId="7" fillId="0" borderId="0"/>
    <xf numFmtId="3" fontId="7" fillId="0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5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35" fillId="0" borderId="0"/>
    <xf numFmtId="0" fontId="25" fillId="0" borderId="0"/>
    <xf numFmtId="0" fontId="34" fillId="0" borderId="0"/>
    <xf numFmtId="37" fontId="35" fillId="0" borderId="0"/>
    <xf numFmtId="0" fontId="36" fillId="0" borderId="0"/>
    <xf numFmtId="0" fontId="34" fillId="0" borderId="0"/>
    <xf numFmtId="0" fontId="29" fillId="0" borderId="0"/>
    <xf numFmtId="0" fontId="29" fillId="0" borderId="0"/>
    <xf numFmtId="0" fontId="36" fillId="0" borderId="0"/>
    <xf numFmtId="0" fontId="34" fillId="0" borderId="0"/>
    <xf numFmtId="0" fontId="25" fillId="0" borderId="0"/>
    <xf numFmtId="0" fontId="36" fillId="0" borderId="0"/>
    <xf numFmtId="0" fontId="29" fillId="0" borderId="0"/>
    <xf numFmtId="0" fontId="29" fillId="0" borderId="0"/>
    <xf numFmtId="0" fontId="25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9" fillId="26" borderId="13" applyNumberFormat="0" applyFont="0" applyAlignment="0" applyProtection="0"/>
    <xf numFmtId="0" fontId="21" fillId="20" borderId="8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8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8" fillId="0" borderId="14">
      <alignment horizontal="center"/>
    </xf>
    <xf numFmtId="0" fontId="38" fillId="0" borderId="14">
      <alignment horizontal="center"/>
    </xf>
    <xf numFmtId="3" fontId="34" fillId="0" borderId="0" applyFont="0" applyFill="0" applyBorder="0" applyAlignment="0" applyProtection="0"/>
    <xf numFmtId="0" fontId="34" fillId="35" borderId="0" applyNumberFormat="0" applyFont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7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35" fillId="0" borderId="0"/>
    <xf numFmtId="9" fontId="40" fillId="0" borderId="0" applyFont="0" applyFill="0" applyBorder="0" applyAlignment="0" applyProtection="0"/>
  </cellStyleXfs>
  <cellXfs count="845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165" fontId="1" fillId="0" borderId="0" xfId="0" applyNumberFormat="1" applyFont="1" applyAlignment="1"/>
    <xf numFmtId="5" fontId="2" fillId="0" borderId="0" xfId="0" applyNumberFormat="1" applyFont="1" applyAlignment="1"/>
    <xf numFmtId="165" fontId="2" fillId="0" borderId="0" xfId="0" applyNumberFormat="1" applyFont="1" applyAlignment="1"/>
    <xf numFmtId="3" fontId="1" fillId="0" borderId="0" xfId="0" applyNumberFormat="1" applyFont="1" applyAlignment="1"/>
    <xf numFmtId="37" fontId="2" fillId="0" borderId="0" xfId="0" applyNumberFormat="1" applyFont="1" applyAlignment="1"/>
    <xf numFmtId="3" fontId="2" fillId="0" borderId="0" xfId="0" applyNumberFormat="1" applyFont="1" applyAlignment="1"/>
    <xf numFmtId="0" fontId="2" fillId="0" borderId="10" xfId="0" applyNumberFormat="1" applyFont="1" applyBorder="1" applyAlignment="1"/>
    <xf numFmtId="165" fontId="2" fillId="0" borderId="10" xfId="0" applyNumberFormat="1" applyFont="1" applyBorder="1" applyAlignment="1"/>
    <xf numFmtId="170" fontId="2" fillId="0" borderId="0" xfId="0" applyNumberFormat="1" applyFont="1" applyAlignment="1"/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71" fontId="2" fillId="0" borderId="0" xfId="0" applyNumberFormat="1" applyFont="1" applyAlignment="1"/>
    <xf numFmtId="10" fontId="2" fillId="0" borderId="0" xfId="0" applyNumberFormat="1" applyFont="1" applyAlignment="1"/>
    <xf numFmtId="168" fontId="2" fillId="0" borderId="0" xfId="0" applyNumberFormat="1" applyFont="1" applyAlignment="1"/>
    <xf numFmtId="3" fontId="2" fillId="0" borderId="10" xfId="0" applyNumberFormat="1" applyFont="1" applyBorder="1" applyAlignment="1"/>
    <xf numFmtId="167" fontId="2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/>
    <xf numFmtId="165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"/>
    </xf>
    <xf numFmtId="3" fontId="1" fillId="0" borderId="10" xfId="0" applyNumberFormat="1" applyFont="1" applyBorder="1" applyAlignment="1"/>
    <xf numFmtId="37" fontId="1" fillId="0" borderId="0" xfId="0" applyNumberFormat="1" applyFont="1" applyAlignment="1"/>
    <xf numFmtId="168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/>
    <xf numFmtId="0" fontId="2" fillId="0" borderId="0" xfId="0" applyNumberFormat="1" applyFont="1" applyBorder="1" applyAlignment="1"/>
    <xf numFmtId="165" fontId="2" fillId="0" borderId="0" xfId="0" applyNumberFormat="1" applyFont="1" applyBorder="1" applyAlignment="1"/>
    <xf numFmtId="5" fontId="5" fillId="0" borderId="0" xfId="0" applyNumberFormat="1" applyFont="1" applyFill="1" applyBorder="1" applyAlignment="1"/>
    <xf numFmtId="170" fontId="2" fillId="0" borderId="11" xfId="0" applyNumberFormat="1" applyFont="1" applyBorder="1" applyAlignment="1"/>
    <xf numFmtId="170" fontId="2" fillId="0" borderId="0" xfId="0" applyNumberFormat="1" applyFont="1" applyFill="1" applyAlignment="1"/>
    <xf numFmtId="37" fontId="2" fillId="0" borderId="0" xfId="0" applyNumberFormat="1" applyFont="1" applyBorder="1" applyAlignment="1"/>
    <xf numFmtId="2" fontId="2" fillId="0" borderId="0" xfId="0" applyNumberFormat="1" applyFont="1" applyFill="1" applyAlignment="1"/>
    <xf numFmtId="170" fontId="2" fillId="0" borderId="0" xfId="0" applyNumberFormat="1" applyFont="1" applyBorder="1" applyAlignment="1"/>
    <xf numFmtId="170" fontId="2" fillId="0" borderId="12" xfId="0" applyNumberFormat="1" applyFont="1" applyBorder="1" applyAlignment="1"/>
    <xf numFmtId="3" fontId="2" fillId="0" borderId="0" xfId="0" applyNumberFormat="1" applyFont="1" applyBorder="1" applyAlignment="1"/>
    <xf numFmtId="170" fontId="2" fillId="27" borderId="0" xfId="0" applyNumberFormat="1" applyFont="1" applyFill="1" applyAlignment="1"/>
    <xf numFmtId="171" fontId="2" fillId="28" borderId="0" xfId="0" applyNumberFormat="1" applyFont="1" applyFill="1" applyAlignment="1"/>
    <xf numFmtId="38" fontId="30" fillId="0" borderId="0" xfId="0" applyNumberFormat="1" applyFont="1" applyAlignment="1"/>
    <xf numFmtId="165" fontId="2" fillId="29" borderId="10" xfId="0" applyNumberFormat="1" applyFont="1" applyFill="1" applyBorder="1" applyAlignment="1"/>
    <xf numFmtId="170" fontId="2" fillId="29" borderId="0" xfId="0" applyNumberFormat="1" applyFont="1" applyFill="1" applyAlignment="1"/>
    <xf numFmtId="170" fontId="2" fillId="29" borderId="0" xfId="0" applyNumberFormat="1" applyFont="1" applyFill="1" applyBorder="1" applyAlignment="1"/>
    <xf numFmtId="0" fontId="2" fillId="29" borderId="0" xfId="0" applyNumberFormat="1" applyFont="1" applyFill="1" applyAlignment="1"/>
    <xf numFmtId="170" fontId="2" fillId="0" borderId="0" xfId="0" applyNumberFormat="1" applyFont="1" applyAlignment="1">
      <alignment horizontal="center"/>
    </xf>
    <xf numFmtId="0" fontId="3" fillId="29" borderId="0" xfId="0" applyNumberFormat="1" applyFont="1" applyFill="1" applyAlignment="1"/>
    <xf numFmtId="3" fontId="31" fillId="27" borderId="0" xfId="0" applyNumberFormat="1" applyFont="1" applyFill="1" applyAlignment="1"/>
    <xf numFmtId="10" fontId="31" fillId="27" borderId="0" xfId="0" applyNumberFormat="1" applyFont="1" applyFill="1" applyAlignment="1"/>
    <xf numFmtId="170" fontId="31" fillId="27" borderId="0" xfId="0" applyNumberFormat="1" applyFont="1" applyFill="1" applyAlignment="1"/>
    <xf numFmtId="3" fontId="31" fillId="27" borderId="0" xfId="0" applyNumberFormat="1" applyFont="1" applyFill="1" applyBorder="1" applyAlignment="1"/>
    <xf numFmtId="5" fontId="31" fillId="27" borderId="10" xfId="0" applyNumberFormat="1" applyFont="1" applyFill="1" applyBorder="1" applyAlignment="1"/>
    <xf numFmtId="165" fontId="31" fillId="27" borderId="10" xfId="0" applyNumberFormat="1" applyFont="1" applyFill="1" applyBorder="1" applyAlignment="1"/>
    <xf numFmtId="10" fontId="31" fillId="27" borderId="0" xfId="0" applyNumberFormat="1" applyFont="1" applyFill="1" applyBorder="1" applyAlignment="1"/>
    <xf numFmtId="0" fontId="1" fillId="0" borderId="0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"/>
    </xf>
    <xf numFmtId="0" fontId="2" fillId="0" borderId="0" xfId="0" quotePrefix="1" applyNumberFormat="1" applyFont="1" applyAlignment="1">
      <alignment horizontal="center"/>
    </xf>
    <xf numFmtId="0" fontId="2" fillId="0" borderId="0" xfId="0" quotePrefix="1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/>
    <xf numFmtId="3" fontId="31" fillId="30" borderId="0" xfId="0" applyNumberFormat="1" applyFont="1" applyFill="1" applyAlignment="1"/>
    <xf numFmtId="165" fontId="2" fillId="30" borderId="0" xfId="0" applyNumberFormat="1" applyFont="1" applyFill="1" applyBorder="1" applyAlignment="1"/>
    <xf numFmtId="2" fontId="2" fillId="0" borderId="0" xfId="0" applyNumberFormat="1" applyFont="1" applyBorder="1" applyAlignment="1"/>
    <xf numFmtId="3" fontId="31" fillId="30" borderId="11" xfId="0" applyNumberFormat="1" applyFont="1" applyFill="1" applyBorder="1" applyAlignment="1"/>
    <xf numFmtId="165" fontId="2" fillId="30" borderId="11" xfId="0" applyNumberFormat="1" applyFont="1" applyFill="1" applyBorder="1" applyAlignment="1"/>
    <xf numFmtId="165" fontId="2" fillId="0" borderId="11" xfId="0" applyNumberFormat="1" applyFont="1" applyBorder="1" applyAlignment="1"/>
    <xf numFmtId="0" fontId="2" fillId="0" borderId="0" xfId="0" applyNumberFormat="1" applyFont="1" applyFill="1" applyAlignment="1"/>
    <xf numFmtId="2" fontId="2" fillId="0" borderId="0" xfId="0" applyNumberFormat="1" applyFont="1" applyFill="1" applyBorder="1" applyAlignment="1"/>
    <xf numFmtId="0" fontId="2" fillId="0" borderId="0" xfId="0" applyNumberFormat="1" applyFont="1" applyAlignment="1">
      <alignment horizontal="center" wrapText="1"/>
    </xf>
    <xf numFmtId="165" fontId="2" fillId="0" borderId="0" xfId="0" applyNumberFormat="1" applyFont="1" applyFill="1" applyBorder="1" applyAlignment="1"/>
    <xf numFmtId="165" fontId="31" fillId="30" borderId="0" xfId="0" applyNumberFormat="1" applyFont="1" applyFill="1" applyBorder="1" applyAlignment="1"/>
    <xf numFmtId="5" fontId="2" fillId="28" borderId="11" xfId="0" applyNumberFormat="1" applyFont="1" applyFill="1" applyBorder="1" applyAlignment="1"/>
    <xf numFmtId="3" fontId="2" fillId="30" borderId="0" xfId="0" applyNumberFormat="1" applyFont="1" applyFill="1" applyAlignment="1"/>
    <xf numFmtId="178" fontId="2" fillId="0" borderId="0" xfId="0" applyNumberFormat="1" applyFont="1" applyAlignment="1"/>
    <xf numFmtId="0" fontId="6" fillId="0" borderId="0" xfId="0" applyNumberFormat="1" applyFont="1" applyAlignment="1">
      <alignment horizontal="center" wrapText="1" shrinkToFit="1"/>
    </xf>
    <xf numFmtId="0" fontId="6" fillId="0" borderId="0" xfId="0" applyNumberFormat="1" applyFont="1" applyBorder="1" applyAlignment="1">
      <alignment horizontal="center" wrapText="1" shrinkToFit="1"/>
    </xf>
    <xf numFmtId="0" fontId="2" fillId="0" borderId="0" xfId="0" applyNumberFormat="1" applyFont="1" applyAlignment="1">
      <alignment horizontal="center" wrapText="1" shrinkToFit="1"/>
    </xf>
    <xf numFmtId="0" fontId="2" fillId="0" borderId="0" xfId="0" quotePrefix="1" applyNumberFormat="1" applyFont="1" applyAlignment="1">
      <alignment horizontal="center" wrapText="1" shrinkToFit="1"/>
    </xf>
    <xf numFmtId="0" fontId="2" fillId="0" borderId="0" xfId="0" applyNumberFormat="1" applyFont="1" applyBorder="1" applyAlignment="1">
      <alignment horizontal="center" wrapText="1" shrinkToFit="1"/>
    </xf>
    <xf numFmtId="3" fontId="2" fillId="30" borderId="0" xfId="0" applyNumberFormat="1" applyFont="1" applyFill="1" applyBorder="1" applyAlignment="1"/>
    <xf numFmtId="3" fontId="2" fillId="30" borderId="11" xfId="0" applyNumberFormat="1" applyFont="1" applyFill="1" applyBorder="1" applyAlignment="1"/>
    <xf numFmtId="3" fontId="2" fillId="0" borderId="11" xfId="0" applyNumberFormat="1" applyFont="1" applyBorder="1" applyAlignment="1"/>
    <xf numFmtId="178" fontId="2" fillId="0" borderId="0" xfId="0" applyNumberFormat="1" applyFont="1" applyBorder="1" applyAlignment="1"/>
    <xf numFmtId="179" fontId="2" fillId="30" borderId="0" xfId="0" applyNumberFormat="1" applyFont="1" applyFill="1" applyAlignment="1"/>
    <xf numFmtId="179" fontId="2" fillId="0" borderId="0" xfId="0" applyNumberFormat="1" applyFont="1" applyFill="1" applyAlignment="1"/>
    <xf numFmtId="0" fontId="2" fillId="0" borderId="0" xfId="0" applyNumberFormat="1" applyFont="1" applyAlignment="1">
      <alignment horizontal="left"/>
    </xf>
    <xf numFmtId="170" fontId="2" fillId="30" borderId="0" xfId="0" applyNumberFormat="1" applyFont="1" applyFill="1" applyBorder="1" applyAlignment="1"/>
    <xf numFmtId="5" fontId="2" fillId="0" borderId="0" xfId="0" applyNumberFormat="1" applyFont="1" applyBorder="1" applyAlignment="1"/>
    <xf numFmtId="171" fontId="2" fillId="0" borderId="0" xfId="0" applyNumberFormat="1" applyFont="1" applyBorder="1" applyAlignment="1"/>
    <xf numFmtId="179" fontId="2" fillId="0" borderId="0" xfId="0" applyNumberFormat="1" applyFont="1" applyBorder="1" applyAlignment="1"/>
    <xf numFmtId="5" fontId="2" fillId="0" borderId="11" xfId="0" applyNumberFormat="1" applyFont="1" applyFill="1" applyBorder="1" applyAlignment="1"/>
    <xf numFmtId="0" fontId="2" fillId="0" borderId="0" xfId="0" applyFont="1" applyAlignment="1"/>
    <xf numFmtId="43" fontId="2" fillId="0" borderId="0" xfId="1" applyFont="1" applyAlignment="1"/>
    <xf numFmtId="165" fontId="2" fillId="0" borderId="0" xfId="3" applyNumberFormat="1" applyFont="1" applyAlignment="1"/>
    <xf numFmtId="10" fontId="2" fillId="0" borderId="0" xfId="3" applyNumberFormat="1" applyFont="1" applyAlignment="1"/>
    <xf numFmtId="180" fontId="2" fillId="0" borderId="11" xfId="1" applyNumberFormat="1" applyFont="1" applyBorder="1" applyAlignment="1"/>
    <xf numFmtId="180" fontId="31" fillId="30" borderId="11" xfId="1" applyNumberFormat="1" applyFont="1" applyFill="1" applyBorder="1" applyAlignment="1"/>
    <xf numFmtId="180" fontId="2" fillId="0" borderId="0" xfId="1" applyNumberFormat="1" applyFont="1" applyAlignment="1"/>
    <xf numFmtId="180" fontId="31" fillId="30" borderId="0" xfId="1" applyNumberFormat="1" applyFont="1" applyFill="1" applyAlignment="1"/>
    <xf numFmtId="0" fontId="2" fillId="0" borderId="0" xfId="0" quotePrefix="1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4" fontId="2" fillId="0" borderId="0" xfId="0" applyNumberFormat="1" applyFont="1" applyFill="1" applyAlignment="1"/>
    <xf numFmtId="167" fontId="32" fillId="0" borderId="0" xfId="0" applyNumberFormat="1" applyFont="1" applyAlignment="1"/>
    <xf numFmtId="0" fontId="2" fillId="0" borderId="0" xfId="0" applyFont="1" applyAlignment="1">
      <alignment horizontal="right"/>
    </xf>
    <xf numFmtId="166" fontId="2" fillId="0" borderId="0" xfId="0" applyNumberFormat="1" applyFont="1" applyAlignment="1"/>
    <xf numFmtId="44" fontId="2" fillId="0" borderId="0" xfId="2" applyFont="1" applyFill="1" applyAlignment="1">
      <alignment vertical="center"/>
    </xf>
    <xf numFmtId="44" fontId="2" fillId="25" borderId="0" xfId="2" applyFont="1" applyFill="1" applyAlignment="1">
      <alignment vertical="center"/>
    </xf>
    <xf numFmtId="10" fontId="2" fillId="25" borderId="0" xfId="3" applyNumberFormat="1" applyFont="1" applyFill="1" applyAlignment="1">
      <alignment horizontal="center" vertical="center"/>
    </xf>
    <xf numFmtId="8" fontId="33" fillId="31" borderId="11" xfId="2" applyNumberFormat="1" applyFont="1" applyFill="1" applyBorder="1" applyAlignment="1">
      <alignment vertical="center"/>
    </xf>
    <xf numFmtId="8" fontId="33" fillId="30" borderId="11" xfId="2" applyNumberFormat="1" applyFont="1" applyFill="1" applyBorder="1" applyAlignment="1">
      <alignment vertical="center"/>
    </xf>
    <xf numFmtId="10" fontId="33" fillId="30" borderId="11" xfId="3" quotePrefix="1" applyNumberFormat="1" applyFont="1" applyFill="1" applyBorder="1" applyAlignment="1">
      <alignment horizontal="center" vertical="center"/>
    </xf>
    <xf numFmtId="0" fontId="31" fillId="0" borderId="0" xfId="0" applyFont="1" applyAlignment="1"/>
    <xf numFmtId="0" fontId="33" fillId="30" borderId="11" xfId="0" quotePrefix="1" applyFont="1" applyFill="1" applyBorder="1" applyAlignment="1">
      <alignment horizontal="center" vertical="center"/>
    </xf>
    <xf numFmtId="8" fontId="33" fillId="31" borderId="0" xfId="2" applyNumberFormat="1" applyFont="1" applyFill="1" applyAlignment="1">
      <alignment vertical="center"/>
    </xf>
    <xf numFmtId="8" fontId="33" fillId="30" borderId="0" xfId="2" applyNumberFormat="1" applyFont="1" applyFill="1" applyAlignment="1">
      <alignment vertical="center"/>
    </xf>
    <xf numFmtId="10" fontId="33" fillId="30" borderId="0" xfId="3" quotePrefix="1" applyNumberFormat="1" applyFont="1" applyFill="1" applyAlignment="1">
      <alignment horizontal="center" vertical="center"/>
    </xf>
    <xf numFmtId="0" fontId="33" fillId="30" borderId="0" xfId="0" quotePrefix="1" applyFont="1" applyFill="1" applyAlignment="1">
      <alignment horizontal="center" vertical="center"/>
    </xf>
    <xf numFmtId="0" fontId="27" fillId="25" borderId="0" xfId="0" quotePrefix="1" applyFont="1" applyFill="1" applyAlignment="1">
      <alignment horizontal="center" vertical="center"/>
    </xf>
    <xf numFmtId="0" fontId="25" fillId="25" borderId="11" xfId="0" quotePrefix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25" fillId="25" borderId="11" xfId="0" applyFont="1" applyFill="1" applyBorder="1" applyAlignment="1">
      <alignment horizontal="center" vertical="center"/>
    </xf>
    <xf numFmtId="0" fontId="28" fillId="25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31" fillId="30" borderId="0" xfId="0" applyFont="1" applyFill="1" applyAlignment="1"/>
    <xf numFmtId="14" fontId="31" fillId="30" borderId="0" xfId="0" applyNumberFormat="1" applyFont="1" applyFill="1" applyAlignment="1"/>
    <xf numFmtId="0" fontId="2" fillId="0" borderId="0" xfId="4" applyFont="1" applyAlignment="1"/>
    <xf numFmtId="3" fontId="2" fillId="0" borderId="0" xfId="4" applyNumberFormat="1" applyFont="1" applyAlignment="1"/>
    <xf numFmtId="43" fontId="2" fillId="0" borderId="0" xfId="4" applyNumberFormat="1" applyFont="1" applyAlignment="1"/>
    <xf numFmtId="165" fontId="2" fillId="0" borderId="0" xfId="4" applyNumberFormat="1" applyFont="1" applyAlignment="1"/>
    <xf numFmtId="0" fontId="2" fillId="0" borderId="0" xfId="4" quotePrefix="1" applyFont="1" applyAlignment="1"/>
    <xf numFmtId="0" fontId="6" fillId="0" borderId="0" xfId="4" applyFont="1" applyAlignment="1">
      <alignment horizontal="center"/>
    </xf>
    <xf numFmtId="3" fontId="6" fillId="0" borderId="0" xfId="4" applyNumberFormat="1" applyFont="1" applyAlignment="1">
      <alignment horizontal="center"/>
    </xf>
    <xf numFmtId="167" fontId="32" fillId="0" borderId="0" xfId="4" applyNumberFormat="1" applyFont="1" applyAlignment="1"/>
    <xf numFmtId="170" fontId="2" fillId="0" borderId="0" xfId="4" applyNumberFormat="1" applyFont="1" applyAlignment="1"/>
    <xf numFmtId="0" fontId="2" fillId="0" borderId="0" xfId="4" applyFont="1" applyAlignment="1">
      <alignment horizontal="right"/>
    </xf>
    <xf numFmtId="44" fontId="2" fillId="0" borderId="0" xfId="4" applyNumberFormat="1" applyFont="1" applyFill="1" applyAlignment="1"/>
    <xf numFmtId="0" fontId="2" fillId="0" borderId="0" xfId="4" applyFont="1" applyBorder="1" applyAlignment="1"/>
    <xf numFmtId="43" fontId="2" fillId="0" borderId="0" xfId="1" applyFont="1" applyBorder="1" applyAlignment="1"/>
    <xf numFmtId="166" fontId="2" fillId="0" borderId="0" xfId="4" applyNumberFormat="1" applyFont="1" applyAlignment="1"/>
    <xf numFmtId="0" fontId="31" fillId="0" borderId="0" xfId="4" applyFont="1" applyAlignment="1"/>
    <xf numFmtId="0" fontId="33" fillId="30" borderId="11" xfId="4" quotePrefix="1" applyFont="1" applyFill="1" applyBorder="1" applyAlignment="1">
      <alignment horizontal="center" vertical="center"/>
    </xf>
    <xf numFmtId="43" fontId="2" fillId="0" borderId="0" xfId="1" applyFont="1" applyFill="1" applyBorder="1" applyAlignment="1"/>
    <xf numFmtId="0" fontId="33" fillId="30" borderId="0" xfId="4" quotePrefix="1" applyFont="1" applyFill="1" applyAlignment="1">
      <alignment horizontal="center" vertical="center"/>
    </xf>
    <xf numFmtId="0" fontId="27" fillId="25" borderId="0" xfId="4" quotePrefix="1" applyFont="1" applyFill="1" applyAlignment="1">
      <alignment horizontal="center" vertical="center"/>
    </xf>
    <xf numFmtId="0" fontId="25" fillId="25" borderId="11" xfId="4" quotePrefix="1" applyFont="1" applyFill="1" applyBorder="1" applyAlignment="1">
      <alignment horizontal="center" vertical="center"/>
    </xf>
    <xf numFmtId="0" fontId="25" fillId="25" borderId="11" xfId="4" applyFont="1" applyFill="1" applyBorder="1" applyAlignment="1">
      <alignment horizontal="center" vertical="center"/>
    </xf>
    <xf numFmtId="0" fontId="6" fillId="0" borderId="0" xfId="4" applyFont="1" applyBorder="1" applyAlignment="1">
      <alignment horizontal="center"/>
    </xf>
    <xf numFmtId="0" fontId="28" fillId="25" borderId="0" xfId="4" applyFont="1" applyFill="1" applyAlignment="1">
      <alignment horizontal="center" vertical="center"/>
    </xf>
    <xf numFmtId="0" fontId="2" fillId="0" borderId="0" xfId="4" applyFont="1" applyBorder="1" applyAlignment="1">
      <alignment horizontal="center"/>
    </xf>
    <xf numFmtId="10" fontId="2" fillId="0" borderId="0" xfId="4" applyNumberFormat="1" applyFont="1" applyAlignment="1"/>
    <xf numFmtId="170" fontId="2" fillId="0" borderId="11" xfId="4" applyNumberFormat="1" applyFont="1" applyBorder="1" applyAlignment="1"/>
    <xf numFmtId="167" fontId="2" fillId="0" borderId="0" xfId="4" applyNumberFormat="1" applyFont="1" applyAlignment="1"/>
    <xf numFmtId="0" fontId="2" fillId="0" borderId="0" xfId="4" applyFont="1" applyAlignment="1">
      <alignment horizontal="left"/>
    </xf>
    <xf numFmtId="3" fontId="31" fillId="30" borderId="11" xfId="4" applyNumberFormat="1" applyFont="1" applyFill="1" applyBorder="1" applyAlignment="1"/>
    <xf numFmtId="0" fontId="31" fillId="30" borderId="0" xfId="4" applyFont="1" applyFill="1" applyAlignment="1"/>
    <xf numFmtId="14" fontId="31" fillId="30" borderId="0" xfId="4" applyNumberFormat="1" applyFont="1" applyFill="1" applyAlignment="1"/>
    <xf numFmtId="3" fontId="31" fillId="30" borderId="0" xfId="4" applyNumberFormat="1" applyFont="1" applyFill="1" applyAlignment="1"/>
    <xf numFmtId="0" fontId="2" fillId="0" borderId="0" xfId="4" applyNumberFormat="1" applyFont="1" applyAlignment="1"/>
    <xf numFmtId="5" fontId="2" fillId="0" borderId="0" xfId="4" applyNumberFormat="1" applyFont="1" applyAlignment="1"/>
    <xf numFmtId="5" fontId="2" fillId="0" borderId="11" xfId="4" applyNumberFormat="1" applyFont="1" applyBorder="1" applyAlignment="1"/>
    <xf numFmtId="7" fontId="2" fillId="0" borderId="0" xfId="4" applyNumberFormat="1" applyFont="1" applyAlignment="1"/>
    <xf numFmtId="0" fontId="2" fillId="0" borderId="0" xfId="4" applyNumberFormat="1" applyFont="1" applyAlignment="1">
      <alignment horizontal="left" indent="1"/>
    </xf>
    <xf numFmtId="5" fontId="2" fillId="0" borderId="0" xfId="4" applyNumberFormat="1" applyFont="1" applyBorder="1" applyAlignment="1"/>
    <xf numFmtId="171" fontId="2" fillId="0" borderId="0" xfId="4" applyNumberFormat="1" applyFont="1" applyAlignment="1"/>
    <xf numFmtId="0" fontId="6" fillId="0" borderId="0" xfId="4" applyNumberFormat="1" applyFont="1" applyAlignment="1">
      <alignment horizontal="center"/>
    </xf>
    <xf numFmtId="179" fontId="2" fillId="0" borderId="0" xfId="4" applyNumberFormat="1" applyFont="1" applyAlignment="1"/>
    <xf numFmtId="0" fontId="2" fillId="0" borderId="0" xfId="4" applyNumberFormat="1" applyFont="1" applyAlignment="1">
      <alignment horizontal="left"/>
    </xf>
    <xf numFmtId="3" fontId="2" fillId="0" borderId="0" xfId="4" applyNumberFormat="1" applyFont="1" applyFill="1" applyAlignment="1"/>
    <xf numFmtId="0" fontId="2" fillId="0" borderId="0" xfId="4" applyNumberFormat="1" applyFont="1" applyAlignment="1">
      <alignment horizontal="center"/>
    </xf>
    <xf numFmtId="170" fontId="2" fillId="30" borderId="0" xfId="4" applyNumberFormat="1" applyFont="1" applyFill="1" applyAlignment="1"/>
    <xf numFmtId="0" fontId="2" fillId="0" borderId="0" xfId="4" quotePrefix="1" applyNumberFormat="1" applyFont="1" applyAlignment="1">
      <alignment horizontal="center"/>
    </xf>
    <xf numFmtId="179" fontId="2" fillId="0" borderId="0" xfId="4" applyNumberFormat="1" applyFont="1" applyFill="1" applyAlignment="1"/>
    <xf numFmtId="178" fontId="2" fillId="0" borderId="0" xfId="4" applyNumberFormat="1" applyFont="1" applyAlignment="1"/>
    <xf numFmtId="179" fontId="2" fillId="28" borderId="0" xfId="4" applyNumberFormat="1" applyFont="1" applyFill="1" applyAlignment="1"/>
    <xf numFmtId="0" fontId="2" fillId="0" borderId="0" xfId="4" applyNumberFormat="1" applyFont="1" applyAlignment="1">
      <alignment horizontal="center" wrapText="1"/>
    </xf>
    <xf numFmtId="0" fontId="2" fillId="0" borderId="0" xfId="4" applyNumberFormat="1" applyFont="1" applyAlignment="1">
      <alignment horizontal="right"/>
    </xf>
    <xf numFmtId="3" fontId="2" fillId="0" borderId="0" xfId="4" applyNumberFormat="1" applyFont="1" applyFill="1" applyBorder="1" applyAlignment="1"/>
    <xf numFmtId="3" fontId="2" fillId="0" borderId="0" xfId="4" applyNumberFormat="1" applyFont="1" applyBorder="1" applyAlignment="1"/>
    <xf numFmtId="3" fontId="2" fillId="30" borderId="11" xfId="4" applyNumberFormat="1" applyFont="1" applyFill="1" applyBorder="1" applyAlignment="1"/>
    <xf numFmtId="165" fontId="2" fillId="0" borderId="11" xfId="4" applyNumberFormat="1" applyFont="1" applyBorder="1" applyAlignment="1"/>
    <xf numFmtId="3" fontId="2" fillId="0" borderId="11" xfId="4" applyNumberFormat="1" applyFont="1" applyBorder="1" applyAlignment="1"/>
    <xf numFmtId="3" fontId="2" fillId="30" borderId="0" xfId="4" applyNumberFormat="1" applyFont="1" applyFill="1" applyBorder="1" applyAlignment="1"/>
    <xf numFmtId="165" fontId="2" fillId="0" borderId="0" xfId="4" applyNumberFormat="1" applyFont="1" applyBorder="1" applyAlignment="1"/>
    <xf numFmtId="0" fontId="2" fillId="0" borderId="0" xfId="4" applyNumberFormat="1" applyFont="1" applyBorder="1" applyAlignment="1"/>
    <xf numFmtId="0" fontId="2" fillId="0" borderId="0" xfId="4" quotePrefix="1" applyNumberFormat="1" applyFont="1" applyAlignment="1">
      <alignment horizontal="center" wrapText="1" shrinkToFit="1"/>
    </xf>
    <xf numFmtId="0" fontId="2" fillId="0" borderId="0" xfId="4" applyNumberFormat="1" applyFont="1" applyAlignment="1">
      <alignment horizontal="center" wrapText="1" shrinkToFit="1"/>
    </xf>
    <xf numFmtId="0" fontId="2" fillId="0" borderId="0" xfId="4" applyNumberFormat="1" applyFont="1" applyBorder="1" applyAlignment="1">
      <alignment horizontal="center" wrapText="1" shrinkToFit="1"/>
    </xf>
    <xf numFmtId="0" fontId="6" fillId="0" borderId="0" xfId="4" applyNumberFormat="1" applyFont="1" applyAlignment="1">
      <alignment horizontal="center" wrapText="1" shrinkToFit="1"/>
    </xf>
    <xf numFmtId="3" fontId="2" fillId="30" borderId="0" xfId="4" applyNumberFormat="1" applyFont="1" applyFill="1" applyAlignment="1"/>
    <xf numFmtId="165" fontId="2" fillId="0" borderId="11" xfId="4" applyNumberFormat="1" applyFont="1" applyFill="1" applyBorder="1" applyAlignment="1"/>
    <xf numFmtId="165" fontId="2" fillId="0" borderId="0" xfId="4" applyNumberFormat="1" applyFont="1" applyFill="1" applyBorder="1" applyAlignment="1"/>
    <xf numFmtId="44" fontId="2" fillId="0" borderId="0" xfId="2" applyFont="1" applyAlignment="1"/>
    <xf numFmtId="10" fontId="2" fillId="0" borderId="0" xfId="3" applyNumberFormat="1" applyFont="1" applyBorder="1" applyAlignment="1"/>
    <xf numFmtId="177" fontId="2" fillId="0" borderId="0" xfId="2" applyNumberFormat="1" applyFont="1" applyAlignment="1"/>
    <xf numFmtId="7" fontId="2" fillId="0" borderId="0" xfId="4" applyNumberFormat="1" applyFont="1" applyAlignment="1">
      <alignment horizontal="center"/>
    </xf>
    <xf numFmtId="170" fontId="2" fillId="0" borderId="0" xfId="4" applyNumberFormat="1" applyFont="1" applyBorder="1" applyAlignment="1">
      <alignment horizontal="center"/>
    </xf>
    <xf numFmtId="7" fontId="2" fillId="0" borderId="0" xfId="2" applyNumberFormat="1" applyFont="1" applyAlignment="1"/>
    <xf numFmtId="10" fontId="2" fillId="30" borderId="0" xfId="3" applyNumberFormat="1" applyFont="1" applyFill="1" applyBorder="1" applyAlignment="1">
      <alignment horizontal="center"/>
    </xf>
    <xf numFmtId="170" fontId="2" fillId="27" borderId="0" xfId="2" applyNumberFormat="1" applyFont="1" applyFill="1" applyAlignment="1">
      <alignment horizontal="center"/>
    </xf>
    <xf numFmtId="0" fontId="2" fillId="0" borderId="0" xfId="4" applyNumberFormat="1" applyFont="1" applyBorder="1" applyAlignment="1">
      <alignment horizontal="center" wrapText="1"/>
    </xf>
    <xf numFmtId="0" fontId="6" fillId="0" borderId="0" xfId="4" applyNumberFormat="1" applyFont="1" applyAlignment="1"/>
    <xf numFmtId="2" fontId="2" fillId="0" borderId="0" xfId="4" applyNumberFormat="1" applyFont="1" applyAlignment="1"/>
    <xf numFmtId="181" fontId="2" fillId="0" borderId="0" xfId="4" applyNumberFormat="1" applyFont="1" applyAlignment="1"/>
    <xf numFmtId="0" fontId="2" fillId="0" borderId="0" xfId="4" applyNumberFormat="1" applyFont="1" applyFill="1" applyAlignment="1"/>
    <xf numFmtId="2" fontId="2" fillId="0" borderId="0" xfId="4" applyNumberFormat="1" applyFont="1" applyFill="1" applyBorder="1" applyAlignment="1"/>
    <xf numFmtId="2" fontId="2" fillId="0" borderId="0" xfId="4" applyNumberFormat="1" applyFont="1" applyBorder="1" applyAlignment="1"/>
    <xf numFmtId="165" fontId="2" fillId="30" borderId="0" xfId="4" applyNumberFormat="1" applyFont="1" applyFill="1" applyBorder="1" applyAlignment="1"/>
    <xf numFmtId="165" fontId="2" fillId="30" borderId="0" xfId="4" applyNumberFormat="1" applyFont="1" applyFill="1" applyAlignment="1"/>
    <xf numFmtId="0" fontId="1" fillId="0" borderId="0" xfId="4" applyNumberFormat="1" applyFont="1" applyAlignment="1">
      <alignment horizontal="centerContinuous"/>
    </xf>
    <xf numFmtId="164" fontId="1" fillId="0" borderId="0" xfId="4" applyNumberFormat="1" applyFont="1" applyAlignment="1">
      <alignment horizontal="centerContinuous"/>
    </xf>
    <xf numFmtId="0" fontId="2" fillId="0" borderId="0" xfId="5" applyNumberFormat="1" applyFont="1" applyAlignment="1" applyProtection="1">
      <protection locked="0"/>
    </xf>
    <xf numFmtId="165" fontId="2" fillId="0" borderId="0" xfId="5" applyNumberFormat="1" applyFont="1"/>
    <xf numFmtId="0" fontId="2" fillId="0" borderId="10" xfId="5" applyNumberFormat="1" applyFont="1" applyBorder="1" applyProtection="1">
      <protection locked="0"/>
    </xf>
    <xf numFmtId="3" fontId="2" fillId="0" borderId="0" xfId="5" applyFont="1"/>
    <xf numFmtId="0" fontId="2" fillId="0" borderId="0" xfId="5" quotePrefix="1" applyNumberFormat="1" applyFont="1" applyAlignment="1" applyProtection="1">
      <protection locked="0"/>
    </xf>
    <xf numFmtId="170" fontId="2" fillId="27" borderId="0" xfId="5" applyNumberFormat="1" applyFont="1" applyFill="1"/>
    <xf numFmtId="3" fontId="31" fillId="27" borderId="0" xfId="5" applyNumberFormat="1" applyFont="1" applyFill="1" applyAlignment="1" applyProtection="1">
      <protection locked="0"/>
    </xf>
    <xf numFmtId="171" fontId="2" fillId="0" borderId="0" xfId="5" applyNumberFormat="1" applyFont="1" applyAlignment="1" applyProtection="1">
      <protection locked="0"/>
    </xf>
    <xf numFmtId="0" fontId="6" fillId="0" borderId="0" xfId="5" applyNumberFormat="1" applyFont="1" applyAlignment="1" applyProtection="1">
      <alignment horizontal="center"/>
      <protection locked="0"/>
    </xf>
    <xf numFmtId="0" fontId="2" fillId="0" borderId="0" xfId="5" applyNumberFormat="1" applyFont="1" applyAlignment="1" applyProtection="1">
      <alignment horizontal="center"/>
      <protection locked="0"/>
    </xf>
    <xf numFmtId="0" fontId="6" fillId="0" borderId="0" xfId="5" applyNumberFormat="1" applyFont="1" applyAlignment="1" applyProtection="1">
      <protection locked="0"/>
    </xf>
    <xf numFmtId="0" fontId="2" fillId="0" borderId="0" xfId="5" applyNumberFormat="1" applyFont="1" applyAlignment="1"/>
    <xf numFmtId="5" fontId="2" fillId="0" borderId="0" xfId="5" applyNumberFormat="1" applyFont="1"/>
    <xf numFmtId="0" fontId="2" fillId="0" borderId="0" xfId="5" applyNumberFormat="1" applyFont="1" applyProtection="1">
      <protection locked="0"/>
    </xf>
    <xf numFmtId="170" fontId="2" fillId="0" borderId="0" xfId="5" applyNumberFormat="1" applyFont="1"/>
    <xf numFmtId="171" fontId="2" fillId="0" borderId="0" xfId="5" applyNumberFormat="1" applyFont="1"/>
    <xf numFmtId="0" fontId="6" fillId="0" borderId="0" xfId="5" applyNumberFormat="1" applyFont="1" applyAlignment="1">
      <alignment horizontal="center"/>
    </xf>
    <xf numFmtId="0" fontId="6" fillId="0" borderId="0" xfId="5" applyNumberFormat="1" applyFont="1" applyAlignment="1"/>
    <xf numFmtId="0" fontId="2" fillId="0" borderId="10" xfId="5" applyNumberFormat="1" applyFont="1" applyBorder="1"/>
    <xf numFmtId="10" fontId="2" fillId="0" borderId="0" xfId="5" applyNumberFormat="1" applyFont="1" applyFill="1"/>
    <xf numFmtId="10" fontId="31" fillId="27" borderId="0" xfId="5" applyNumberFormat="1" applyFont="1" applyFill="1"/>
    <xf numFmtId="0" fontId="2" fillId="0" borderId="0" xfId="5" applyNumberFormat="1" applyFont="1" applyFill="1" applyAlignment="1" applyProtection="1">
      <protection locked="0"/>
    </xf>
    <xf numFmtId="171" fontId="31" fillId="29" borderId="0" xfId="5" applyNumberFormat="1" applyFont="1" applyFill="1"/>
    <xf numFmtId="169" fontId="2" fillId="28" borderId="0" xfId="5" applyNumberFormat="1" applyFont="1" applyFill="1"/>
    <xf numFmtId="3" fontId="2" fillId="0" borderId="0" xfId="5" applyFont="1" applyFill="1"/>
    <xf numFmtId="0" fontId="2" fillId="0" borderId="0" xfId="5" applyNumberFormat="1" applyFont="1" applyAlignment="1">
      <alignment horizontal="center"/>
    </xf>
    <xf numFmtId="3" fontId="2" fillId="0" borderId="10" xfId="5" applyFont="1" applyBorder="1"/>
    <xf numFmtId="38" fontId="31" fillId="27" borderId="0" xfId="5" applyNumberFormat="1" applyFont="1" applyFill="1" applyAlignment="1" applyProtection="1">
      <protection locked="0"/>
    </xf>
    <xf numFmtId="3" fontId="6" fillId="0" borderId="0" xfId="5" applyFont="1" applyAlignment="1">
      <alignment horizontal="center"/>
    </xf>
    <xf numFmtId="171" fontId="2" fillId="0" borderId="0" xfId="5" applyNumberFormat="1" applyFont="1" applyAlignment="1">
      <alignment horizontal="center"/>
    </xf>
    <xf numFmtId="3" fontId="2" fillId="0" borderId="0" xfId="5" applyNumberFormat="1" applyFont="1"/>
    <xf numFmtId="0" fontId="2" fillId="0" borderId="0" xfId="5" quotePrefix="1" applyNumberFormat="1" applyFont="1" applyAlignment="1" applyProtection="1">
      <alignment horizontal="center"/>
      <protection locked="0"/>
    </xf>
    <xf numFmtId="165" fontId="2" fillId="0" borderId="0" xfId="5" applyNumberFormat="1" applyFont="1" applyAlignment="1" applyProtection="1">
      <protection locked="0"/>
    </xf>
    <xf numFmtId="167" fontId="2" fillId="0" borderId="0" xfId="5" applyNumberFormat="1" applyFont="1"/>
    <xf numFmtId="165" fontId="2" fillId="0" borderId="0" xfId="5" applyNumberFormat="1" applyFont="1" applyBorder="1"/>
    <xf numFmtId="165" fontId="2" fillId="0" borderId="10" xfId="5" applyNumberFormat="1" applyFont="1" applyBorder="1"/>
    <xf numFmtId="182" fontId="2" fillId="0" borderId="0" xfId="1" applyNumberFormat="1" applyFont="1"/>
    <xf numFmtId="180" fontId="2" fillId="0" borderId="0" xfId="1" applyNumberFormat="1" applyFont="1"/>
    <xf numFmtId="165" fontId="2" fillId="0" borderId="0" xfId="5" applyNumberFormat="1" applyFont="1" applyFill="1" applyAlignment="1">
      <alignment horizontal="center"/>
    </xf>
    <xf numFmtId="0" fontId="2" fillId="0" borderId="0" xfId="5" applyNumberFormat="1" applyFont="1" applyFill="1" applyAlignment="1" applyProtection="1">
      <alignment horizontal="center"/>
      <protection locked="0"/>
    </xf>
    <xf numFmtId="38" fontId="2" fillId="0" borderId="0" xfId="5" applyNumberFormat="1" applyFont="1" applyFill="1" applyAlignment="1" applyProtection="1">
      <alignment horizontal="center"/>
      <protection locked="0"/>
    </xf>
    <xf numFmtId="0" fontId="2" fillId="0" borderId="0" xfId="5" applyNumberFormat="1" applyFont="1" applyFill="1" applyAlignment="1">
      <alignment horizontal="center"/>
    </xf>
    <xf numFmtId="10" fontId="2" fillId="0" borderId="0" xfId="5" applyNumberFormat="1" applyFont="1" applyFill="1" applyAlignment="1" applyProtection="1">
      <alignment horizontal="center"/>
      <protection locked="0"/>
    </xf>
    <xf numFmtId="169" fontId="2" fillId="27" borderId="0" xfId="5" applyNumberFormat="1" applyFont="1" applyFill="1" applyAlignment="1">
      <alignment horizontal="center"/>
    </xf>
    <xf numFmtId="0" fontId="6" fillId="0" borderId="0" xfId="5" applyNumberFormat="1" applyFont="1" applyFill="1" applyAlignment="1" applyProtection="1">
      <alignment horizontal="center"/>
      <protection locked="0"/>
    </xf>
    <xf numFmtId="165" fontId="6" fillId="0" borderId="0" xfId="5" applyNumberFormat="1" applyFont="1" applyBorder="1" applyAlignment="1">
      <alignment horizontal="center"/>
    </xf>
    <xf numFmtId="165" fontId="2" fillId="0" borderId="0" xfId="5" applyNumberFormat="1" applyFont="1" applyBorder="1" applyAlignment="1">
      <alignment horizontal="center"/>
    </xf>
    <xf numFmtId="0" fontId="2" fillId="0" borderId="0" xfId="5" applyNumberFormat="1" applyFont="1" applyAlignment="1" applyProtection="1"/>
    <xf numFmtId="0" fontId="2" fillId="0" borderId="0" xfId="5" applyNumberFormat="1" applyFont="1" applyAlignment="1" applyProtection="1">
      <alignment horizontal="right"/>
      <protection locked="0"/>
    </xf>
    <xf numFmtId="3" fontId="31" fillId="27" borderId="0" xfId="5" applyFont="1" applyFill="1"/>
    <xf numFmtId="170" fontId="2" fillId="0" borderId="0" xfId="5" applyNumberFormat="1" applyFont="1" applyFill="1" applyAlignment="1" applyProtection="1">
      <protection locked="0"/>
    </xf>
    <xf numFmtId="0" fontId="2" fillId="0" borderId="0" xfId="5" applyNumberFormat="1" applyFont="1" applyAlignment="1">
      <alignment horizontal="right"/>
    </xf>
    <xf numFmtId="170" fontId="2" fillId="0" borderId="0" xfId="5" applyNumberFormat="1" applyFont="1" applyFill="1"/>
    <xf numFmtId="170" fontId="2" fillId="0" borderId="0" xfId="5" applyNumberFormat="1" applyFont="1" applyAlignment="1" applyProtection="1">
      <protection locked="0"/>
    </xf>
    <xf numFmtId="0" fontId="2" fillId="29" borderId="0" xfId="5" applyNumberFormat="1" applyFont="1" applyFill="1" applyAlignment="1" applyProtection="1">
      <protection locked="0"/>
    </xf>
    <xf numFmtId="3" fontId="2" fillId="0" borderId="11" xfId="5" applyNumberFormat="1" applyFont="1" applyBorder="1"/>
    <xf numFmtId="44" fontId="2" fillId="0" borderId="0" xfId="2" applyFont="1"/>
    <xf numFmtId="4" fontId="2" fillId="0" borderId="0" xfId="5" applyNumberFormat="1" applyFont="1"/>
    <xf numFmtId="3" fontId="2" fillId="0" borderId="11" xfId="5" applyNumberFormat="1" applyFont="1" applyFill="1" applyBorder="1"/>
    <xf numFmtId="0" fontId="2" fillId="0" borderId="0" xfId="5" quotePrefix="1" applyNumberFormat="1" applyFont="1" applyAlignment="1"/>
    <xf numFmtId="183" fontId="31" fillId="27" borderId="11" xfId="5" applyNumberFormat="1" applyFont="1" applyFill="1" applyBorder="1"/>
    <xf numFmtId="3" fontId="2" fillId="0" borderId="0" xfId="5" applyNumberFormat="1" applyFont="1" applyFill="1"/>
    <xf numFmtId="3" fontId="31" fillId="27" borderId="11" xfId="5" applyNumberFormat="1" applyFont="1" applyFill="1" applyBorder="1"/>
    <xf numFmtId="10" fontId="31" fillId="27" borderId="11" xfId="5" applyNumberFormat="1" applyFont="1" applyFill="1" applyBorder="1"/>
    <xf numFmtId="3" fontId="31" fillId="27" borderId="0" xfId="5" applyNumberFormat="1" applyFont="1" applyFill="1"/>
    <xf numFmtId="165" fontId="31" fillId="27" borderId="0" xfId="5" applyNumberFormat="1" applyFont="1" applyFill="1"/>
    <xf numFmtId="165" fontId="31" fillId="32" borderId="10" xfId="5" applyNumberFormat="1" applyFont="1" applyFill="1" applyBorder="1"/>
    <xf numFmtId="165" fontId="2" fillId="0" borderId="0" xfId="5" applyNumberFormat="1" applyFont="1" applyFill="1"/>
    <xf numFmtId="165" fontId="31" fillId="27" borderId="10" xfId="5" applyNumberFormat="1" applyFont="1" applyFill="1" applyBorder="1"/>
    <xf numFmtId="0" fontId="2" fillId="0" borderId="10" xfId="5" applyNumberFormat="1" applyFont="1" applyBorder="1" applyAlignment="1"/>
    <xf numFmtId="0" fontId="2" fillId="0" borderId="11" xfId="5" applyNumberFormat="1" applyFont="1" applyBorder="1" applyAlignment="1" applyProtection="1">
      <protection locked="0"/>
    </xf>
    <xf numFmtId="165" fontId="2" fillId="27" borderId="11" xfId="5" applyNumberFormat="1" applyFont="1" applyFill="1" applyBorder="1"/>
    <xf numFmtId="3" fontId="31" fillId="27" borderId="11" xfId="5" applyFont="1" applyFill="1" applyBorder="1"/>
    <xf numFmtId="165" fontId="2" fillId="27" borderId="0" xfId="5" applyNumberFormat="1" applyFont="1" applyFill="1"/>
    <xf numFmtId="5" fontId="2" fillId="0" borderId="0" xfId="5" applyNumberFormat="1" applyFont="1" applyProtection="1">
      <protection locked="0"/>
    </xf>
    <xf numFmtId="0" fontId="6" fillId="0" borderId="0" xfId="5" applyNumberFormat="1" applyFont="1" applyBorder="1" applyAlignment="1" applyProtection="1">
      <alignment horizontal="center"/>
      <protection locked="0"/>
    </xf>
    <xf numFmtId="3" fontId="2" fillId="0" borderId="11" xfId="5" applyFont="1" applyBorder="1"/>
    <xf numFmtId="0" fontId="2" fillId="0" borderId="0" xfId="5" applyNumberFormat="1" applyFont="1" applyFill="1" applyProtection="1">
      <protection locked="0"/>
    </xf>
    <xf numFmtId="0" fontId="2" fillId="0" borderId="0" xfId="5" applyNumberFormat="1" applyFont="1" applyFill="1" applyAlignment="1"/>
    <xf numFmtId="8" fontId="31" fillId="27" borderId="0" xfId="5" applyNumberFormat="1" applyFont="1" applyFill="1" applyAlignment="1" applyProtection="1">
      <protection locked="0"/>
    </xf>
    <xf numFmtId="0" fontId="31" fillId="27" borderId="0" xfId="5" applyNumberFormat="1" applyFont="1" applyFill="1" applyAlignment="1" applyProtection="1">
      <protection locked="0"/>
    </xf>
    <xf numFmtId="170" fontId="2" fillId="0" borderId="0" xfId="5" applyNumberFormat="1" applyFont="1" applyFill="1" applyAlignment="1"/>
    <xf numFmtId="170" fontId="31" fillId="27" borderId="0" xfId="5" applyNumberFormat="1" applyFont="1" applyFill="1" applyAlignment="1"/>
    <xf numFmtId="0" fontId="2" fillId="0" borderId="0" xfId="5" applyNumberFormat="1" applyFont="1" applyAlignment="1">
      <alignment horizontal="left"/>
    </xf>
    <xf numFmtId="0" fontId="2" fillId="0" borderId="0" xfId="5" applyNumberFormat="1" applyFont="1" applyBorder="1" applyProtection="1">
      <protection locked="0"/>
    </xf>
    <xf numFmtId="0" fontId="2" fillId="0" borderId="11" xfId="5" applyNumberFormat="1" applyFont="1" applyFill="1" applyBorder="1" applyProtection="1">
      <protection locked="0"/>
    </xf>
    <xf numFmtId="170" fontId="31" fillId="27" borderId="11" xfId="5" applyNumberFormat="1" applyFont="1" applyFill="1" applyBorder="1"/>
    <xf numFmtId="0" fontId="2" fillId="0" borderId="11" xfId="5" applyNumberFormat="1" applyFont="1" applyBorder="1" applyAlignment="1"/>
    <xf numFmtId="170" fontId="31" fillId="27" borderId="0" xfId="5" applyNumberFormat="1" applyFont="1" applyFill="1"/>
    <xf numFmtId="171" fontId="2" fillId="0" borderId="0" xfId="5" applyNumberFormat="1" applyFont="1" applyFill="1"/>
    <xf numFmtId="3" fontId="2" fillId="0" borderId="0" xfId="5" applyNumberFormat="1" applyFont="1" applyFill="1" applyProtection="1">
      <protection locked="0"/>
    </xf>
    <xf numFmtId="3" fontId="2" fillId="0" borderId="0" xfId="5" applyFont="1" applyAlignment="1">
      <alignment horizontal="center"/>
    </xf>
    <xf numFmtId="37" fontId="2" fillId="0" borderId="0" xfId="5" applyNumberFormat="1" applyFont="1"/>
    <xf numFmtId="165" fontId="2" fillId="0" borderId="0" xfId="5" applyNumberFormat="1" applyFont="1" applyProtection="1">
      <protection locked="0"/>
    </xf>
    <xf numFmtId="165" fontId="2" fillId="0" borderId="11" xfId="5" applyNumberFormat="1" applyFont="1" applyBorder="1" applyProtection="1">
      <protection locked="0"/>
    </xf>
    <xf numFmtId="171" fontId="31" fillId="27" borderId="0" xfId="5" applyNumberFormat="1" applyFont="1" applyFill="1"/>
    <xf numFmtId="170" fontId="6" fillId="0" borderId="0" xfId="5" applyNumberFormat="1" applyFont="1" applyAlignment="1">
      <alignment horizontal="center"/>
    </xf>
    <xf numFmtId="165" fontId="6" fillId="0" borderId="0" xfId="5" applyNumberFormat="1" applyFont="1" applyAlignment="1">
      <alignment horizontal="center"/>
    </xf>
    <xf numFmtId="170" fontId="2" fillId="0" borderId="0" xfId="5" applyNumberFormat="1" applyFont="1" applyAlignment="1">
      <alignment horizontal="center"/>
    </xf>
    <xf numFmtId="165" fontId="2" fillId="0" borderId="0" xfId="5" applyNumberFormat="1" applyFont="1" applyAlignment="1">
      <alignment horizontal="center"/>
    </xf>
    <xf numFmtId="38" fontId="2" fillId="0" borderId="0" xfId="5" applyNumberFormat="1" applyFont="1" applyAlignment="1" applyProtection="1">
      <protection locked="0"/>
    </xf>
    <xf numFmtId="170" fontId="2" fillId="0" borderId="0" xfId="5" applyNumberFormat="1" applyFont="1" applyProtection="1">
      <protection locked="0"/>
    </xf>
    <xf numFmtId="172" fontId="2" fillId="0" borderId="0" xfId="5" applyNumberFormat="1" applyFont="1" applyAlignment="1" applyProtection="1">
      <protection locked="0"/>
    </xf>
    <xf numFmtId="172" fontId="31" fillId="27" borderId="0" xfId="5" applyNumberFormat="1" applyFont="1" applyFill="1" applyAlignment="1" applyProtection="1">
      <protection locked="0"/>
    </xf>
    <xf numFmtId="165" fontId="6" fillId="0" borderId="0" xfId="5" applyNumberFormat="1" applyFont="1" applyAlignment="1" applyProtection="1">
      <alignment horizontal="center"/>
      <protection locked="0"/>
    </xf>
    <xf numFmtId="165" fontId="2" fillId="0" borderId="0" xfId="5" applyNumberFormat="1" applyFont="1" applyAlignment="1" applyProtection="1">
      <alignment horizontal="center"/>
      <protection locked="0"/>
    </xf>
    <xf numFmtId="170" fontId="31" fillId="27" borderId="0" xfId="5" applyNumberFormat="1" applyFont="1" applyFill="1" applyProtection="1">
      <protection locked="0"/>
    </xf>
    <xf numFmtId="10" fontId="2" fillId="29" borderId="0" xfId="5" applyNumberFormat="1" applyFont="1" applyFill="1" applyAlignment="1" applyProtection="1">
      <alignment horizontal="center"/>
      <protection locked="0"/>
    </xf>
    <xf numFmtId="0" fontId="2" fillId="24" borderId="0" xfId="5" applyNumberFormat="1" applyFont="1" applyFill="1" applyAlignment="1"/>
    <xf numFmtId="3" fontId="2" fillId="0" borderId="11" xfId="5" applyNumberFormat="1" applyFont="1" applyBorder="1" applyProtection="1">
      <protection locked="0"/>
    </xf>
    <xf numFmtId="3" fontId="2" fillId="0" borderId="0" xfId="5" applyNumberFormat="1" applyFont="1" applyProtection="1">
      <protection locked="0"/>
    </xf>
    <xf numFmtId="169" fontId="2" fillId="0" borderId="0" xfId="5" applyNumberFormat="1" applyFont="1"/>
    <xf numFmtId="3" fontId="2" fillId="24" borderId="0" xfId="5" applyFont="1" applyFill="1"/>
    <xf numFmtId="165" fontId="2" fillId="24" borderId="0" xfId="5" applyNumberFormat="1" applyFont="1" applyFill="1"/>
    <xf numFmtId="181" fontId="2" fillId="0" borderId="0" xfId="5" applyNumberFormat="1" applyFont="1"/>
    <xf numFmtId="170" fontId="2" fillId="0" borderId="0" xfId="5" applyNumberFormat="1" applyFont="1" applyFill="1" applyProtection="1">
      <protection locked="0"/>
    </xf>
    <xf numFmtId="4" fontId="2" fillId="0" borderId="0" xfId="5" applyNumberFormat="1" applyFont="1" applyProtection="1">
      <protection locked="0"/>
    </xf>
    <xf numFmtId="170" fontId="2" fillId="29" borderId="0" xfId="5" applyNumberFormat="1" applyFont="1" applyFill="1" applyProtection="1">
      <protection locked="0"/>
    </xf>
    <xf numFmtId="165" fontId="2" fillId="25" borderId="10" xfId="5" applyNumberFormat="1" applyFont="1" applyFill="1" applyBorder="1"/>
    <xf numFmtId="165" fontId="2" fillId="0" borderId="10" xfId="5" applyNumberFormat="1" applyFont="1" applyBorder="1" applyProtection="1">
      <protection locked="0"/>
    </xf>
    <xf numFmtId="165" fontId="31" fillId="27" borderId="0" xfId="5" applyNumberFormat="1" applyFont="1" applyFill="1" applyAlignment="1" applyProtection="1">
      <protection locked="0"/>
    </xf>
    <xf numFmtId="165" fontId="2" fillId="0" borderId="0" xfId="5" applyNumberFormat="1" applyFont="1" applyFill="1" applyAlignment="1" applyProtection="1">
      <protection locked="0"/>
    </xf>
    <xf numFmtId="165" fontId="2" fillId="0" borderId="10" xfId="5" applyNumberFormat="1" applyFont="1" applyFill="1" applyBorder="1"/>
    <xf numFmtId="0" fontId="2" fillId="0" borderId="0" xfId="6" applyNumberFormat="1" applyFont="1" applyAlignment="1" applyProtection="1">
      <protection locked="0"/>
    </xf>
    <xf numFmtId="0" fontId="2" fillId="0" borderId="0" xfId="6" applyNumberFormat="1" applyFont="1" applyFill="1" applyBorder="1" applyAlignment="1" applyProtection="1">
      <protection locked="0"/>
    </xf>
    <xf numFmtId="0" fontId="2" fillId="0" borderId="0" xfId="6" applyNumberFormat="1" applyFont="1" applyAlignment="1" applyProtection="1">
      <alignment horizontal="center"/>
      <protection locked="0"/>
    </xf>
    <xf numFmtId="0" fontId="2" fillId="0" borderId="0" xfId="6" applyNumberFormat="1" applyFont="1" applyAlignment="1" applyProtection="1">
      <alignment horizontal="right"/>
      <protection locked="0"/>
    </xf>
    <xf numFmtId="3" fontId="2" fillId="0" borderId="0" xfId="6" applyNumberFormat="1" applyFont="1" applyAlignment="1" applyProtection="1">
      <protection locked="0"/>
    </xf>
    <xf numFmtId="165" fontId="2" fillId="0" borderId="0" xfId="6" applyNumberFormat="1" applyFont="1" applyAlignment="1" applyProtection="1">
      <protection locked="0"/>
    </xf>
    <xf numFmtId="3" fontId="2" fillId="0" borderId="11" xfId="6" applyNumberFormat="1" applyFont="1" applyBorder="1" applyAlignment="1" applyProtection="1">
      <protection locked="0"/>
    </xf>
    <xf numFmtId="171" fontId="2" fillId="0" borderId="0" xfId="6" applyNumberFormat="1" applyFont="1" applyFill="1" applyAlignment="1" applyProtection="1">
      <protection locked="0"/>
    </xf>
    <xf numFmtId="0" fontId="2" fillId="0" borderId="0" xfId="6" applyNumberFormat="1" applyFont="1" applyFill="1" applyAlignment="1" applyProtection="1">
      <protection locked="0"/>
    </xf>
    <xf numFmtId="171" fontId="2" fillId="0" borderId="0" xfId="6" applyNumberFormat="1" applyFont="1" applyFill="1" applyBorder="1" applyAlignment="1" applyProtection="1">
      <protection locked="0"/>
    </xf>
    <xf numFmtId="171" fontId="2" fillId="0" borderId="0" xfId="6" applyNumberFormat="1" applyFont="1" applyAlignment="1" applyProtection="1">
      <protection locked="0"/>
    </xf>
    <xf numFmtId="3" fontId="2" fillId="0" borderId="0" xfId="6" applyNumberFormat="1" applyFont="1" applyFill="1" applyAlignment="1" applyProtection="1">
      <protection locked="0"/>
    </xf>
    <xf numFmtId="167" fontId="2" fillId="0" borderId="0" xfId="6" applyNumberFormat="1" applyFont="1" applyAlignment="1" applyProtection="1">
      <protection locked="0"/>
    </xf>
    <xf numFmtId="167" fontId="2" fillId="0" borderId="0" xfId="6" applyNumberFormat="1" applyFont="1" applyFill="1" applyBorder="1" applyAlignment="1" applyProtection="1">
      <protection locked="0"/>
    </xf>
    <xf numFmtId="167" fontId="2" fillId="0" borderId="0" xfId="6" applyNumberFormat="1" applyFont="1" applyFill="1" applyAlignment="1" applyProtection="1">
      <protection locked="0"/>
    </xf>
    <xf numFmtId="0" fontId="6" fillId="0" borderId="0" xfId="6" applyNumberFormat="1" applyFont="1" applyBorder="1" applyAlignment="1" applyProtection="1">
      <alignment horizontal="center"/>
      <protection locked="0"/>
    </xf>
    <xf numFmtId="0" fontId="2" fillId="0" borderId="0" xfId="6" applyNumberFormat="1" applyFont="1" applyFill="1" applyBorder="1" applyAlignment="1" applyProtection="1">
      <alignment horizontal="center"/>
      <protection locked="0"/>
    </xf>
    <xf numFmtId="0" fontId="2" fillId="0" borderId="0" xfId="6" applyNumberFormat="1" applyFont="1" applyAlignment="1">
      <alignment horizontal="center"/>
    </xf>
    <xf numFmtId="0" fontId="2" fillId="0" borderId="0" xfId="6" applyNumberFormat="1" applyFont="1" applyProtection="1">
      <protection locked="0"/>
    </xf>
    <xf numFmtId="0" fontId="2" fillId="0" borderId="0" xfId="6" applyNumberFormat="1" applyFont="1" applyFill="1" applyBorder="1" applyProtection="1">
      <protection locked="0"/>
    </xf>
    <xf numFmtId="0" fontId="6" fillId="0" borderId="0" xfId="6" applyNumberFormat="1" applyFont="1" applyAlignment="1"/>
    <xf numFmtId="165" fontId="2" fillId="0" borderId="0" xfId="6" applyNumberFormat="1" applyFont="1" applyFill="1" applyBorder="1" applyAlignment="1" applyProtection="1">
      <protection locked="0"/>
    </xf>
    <xf numFmtId="0" fontId="2" fillId="0" borderId="0" xfId="6" applyNumberFormat="1" applyFont="1" applyFill="1" applyAlignment="1" applyProtection="1">
      <alignment horizontal="center"/>
      <protection locked="0"/>
    </xf>
    <xf numFmtId="2" fontId="2" fillId="27" borderId="0" xfId="6" applyNumberFormat="1" applyFont="1" applyFill="1" applyBorder="1" applyAlignment="1" applyProtection="1">
      <alignment horizontal="center"/>
      <protection locked="0"/>
    </xf>
    <xf numFmtId="3" fontId="2" fillId="0" borderId="0" xfId="6" applyNumberFormat="1" applyFont="1" applyFill="1" applyBorder="1" applyAlignment="1" applyProtection="1">
      <protection locked="0"/>
    </xf>
    <xf numFmtId="3" fontId="2" fillId="0" borderId="0" xfId="6" applyNumberFormat="1" applyFont="1" applyBorder="1" applyAlignment="1" applyProtection="1">
      <protection locked="0"/>
    </xf>
    <xf numFmtId="2" fontId="2" fillId="27" borderId="0" xfId="6" applyNumberFormat="1" applyFont="1" applyFill="1" applyAlignment="1" applyProtection="1">
      <alignment horizontal="center"/>
      <protection locked="0"/>
    </xf>
    <xf numFmtId="0" fontId="2" fillId="0" borderId="11" xfId="6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protection locked="0"/>
    </xf>
    <xf numFmtId="171" fontId="2" fillId="0" borderId="11" xfId="6" applyNumberFormat="1" applyFont="1" applyBorder="1" applyAlignment="1" applyProtection="1">
      <protection locked="0"/>
    </xf>
    <xf numFmtId="10" fontId="31" fillId="27" borderId="0" xfId="6" applyNumberFormat="1" applyFont="1" applyFill="1" applyAlignment="1" applyProtection="1">
      <protection locked="0"/>
    </xf>
    <xf numFmtId="10" fontId="2" fillId="0" borderId="0" xfId="6" applyNumberFormat="1" applyFont="1" applyFill="1" applyBorder="1" applyAlignment="1" applyProtection="1">
      <protection locked="0"/>
    </xf>
    <xf numFmtId="10" fontId="2" fillId="0" borderId="0" xfId="6" applyNumberFormat="1" applyFont="1" applyFill="1" applyAlignment="1" applyProtection="1">
      <protection locked="0"/>
    </xf>
    <xf numFmtId="1" fontId="2" fillId="0" borderId="0" xfId="6" applyNumberFormat="1" applyFont="1" applyFill="1" applyBorder="1" applyAlignment="1" applyProtection="1">
      <protection locked="0"/>
    </xf>
    <xf numFmtId="165" fontId="2" fillId="0" borderId="0" xfId="6" applyNumberFormat="1" applyFont="1" applyFill="1" applyAlignment="1" applyProtection="1">
      <protection locked="0"/>
    </xf>
    <xf numFmtId="0" fontId="6" fillId="0" borderId="0" xfId="6" applyNumberFormat="1" applyFont="1" applyAlignment="1" applyProtection="1">
      <alignment horizontal="center"/>
      <protection locked="0"/>
    </xf>
    <xf numFmtId="0" fontId="2" fillId="0" borderId="0" xfId="6" applyNumberFormat="1" applyFont="1" applyAlignment="1"/>
    <xf numFmtId="0" fontId="2" fillId="0" borderId="0" xfId="6" applyNumberFormat="1" applyFont="1" applyFill="1" applyAlignment="1"/>
    <xf numFmtId="184" fontId="2" fillId="0" borderId="0" xfId="6" applyNumberFormat="1" applyFont="1" applyAlignment="1" applyProtection="1">
      <protection locked="0"/>
    </xf>
    <xf numFmtId="165" fontId="2" fillId="0" borderId="0" xfId="6" applyNumberFormat="1" applyFont="1" applyAlignment="1"/>
    <xf numFmtId="3" fontId="2" fillId="0" borderId="11" xfId="6" applyNumberFormat="1" applyFont="1" applyFill="1" applyBorder="1" applyAlignment="1"/>
    <xf numFmtId="167" fontId="2" fillId="0" borderId="0" xfId="6" applyNumberFormat="1" applyFont="1" applyFill="1" applyAlignment="1"/>
    <xf numFmtId="170" fontId="2" fillId="0" borderId="0" xfId="6" applyNumberFormat="1" applyFont="1" applyFill="1" applyAlignment="1" applyProtection="1">
      <protection locked="0"/>
    </xf>
    <xf numFmtId="170" fontId="2" fillId="0" borderId="0" xfId="6" applyNumberFormat="1" applyFont="1" applyFill="1" applyBorder="1" applyAlignment="1" applyProtection="1">
      <protection locked="0"/>
    </xf>
    <xf numFmtId="170" fontId="2" fillId="27" borderId="0" xfId="6" applyNumberFormat="1" applyFont="1" applyFill="1" applyAlignment="1" applyProtection="1">
      <protection locked="0"/>
    </xf>
    <xf numFmtId="3" fontId="2" fillId="0" borderId="0" xfId="6" applyNumberFormat="1" applyFont="1" applyAlignment="1"/>
    <xf numFmtId="3" fontId="2" fillId="0" borderId="11" xfId="6" applyNumberFormat="1" applyFont="1" applyFill="1" applyBorder="1" applyAlignment="1" applyProtection="1">
      <protection locked="0"/>
    </xf>
    <xf numFmtId="167" fontId="2" fillId="0" borderId="0" xfId="6" applyNumberFormat="1" applyFont="1" applyAlignment="1"/>
    <xf numFmtId="3" fontId="2" fillId="0" borderId="0" xfId="6" applyNumberFormat="1" applyFont="1" applyFill="1" applyAlignment="1">
      <alignment horizontal="center"/>
    </xf>
    <xf numFmtId="0" fontId="6" fillId="0" borderId="0" xfId="6" applyNumberFormat="1" applyFont="1" applyAlignment="1" applyProtection="1">
      <protection locked="0"/>
    </xf>
    <xf numFmtId="0" fontId="2" fillId="0" borderId="0" xfId="0" applyNumberFormat="1" applyFont="1" applyAlignment="1" applyProtection="1">
      <protection locked="0"/>
    </xf>
    <xf numFmtId="165" fontId="2" fillId="0" borderId="0" xfId="0" applyNumberFormat="1" applyFont="1"/>
    <xf numFmtId="0" fontId="2" fillId="0" borderId="0" xfId="0" applyNumberFormat="1" applyFont="1" applyFill="1" applyAlignment="1" applyProtection="1">
      <protection locked="0"/>
    </xf>
    <xf numFmtId="3" fontId="2" fillId="0" borderId="11" xfId="0" applyNumberFormat="1" applyFont="1" applyBorder="1"/>
    <xf numFmtId="3" fontId="2" fillId="0" borderId="0" xfId="0" applyNumberFormat="1" applyFont="1"/>
    <xf numFmtId="0" fontId="2" fillId="0" borderId="0" xfId="0" applyNumberFormat="1" applyFont="1"/>
    <xf numFmtId="5" fontId="2" fillId="0" borderId="0" xfId="0" applyNumberFormat="1" applyFont="1"/>
    <xf numFmtId="170" fontId="2" fillId="0" borderId="0" xfId="0" applyNumberFormat="1" applyFont="1"/>
    <xf numFmtId="171" fontId="2" fillId="0" borderId="0" xfId="0" applyNumberFormat="1" applyFont="1"/>
    <xf numFmtId="3" fontId="2" fillId="0" borderId="0" xfId="0" applyNumberFormat="1" applyFont="1" applyBorder="1"/>
    <xf numFmtId="10" fontId="31" fillId="27" borderId="0" xfId="0" applyNumberFormat="1" applyFont="1" applyFill="1"/>
    <xf numFmtId="171" fontId="2" fillId="0" borderId="0" xfId="0" applyNumberFormat="1" applyFont="1" applyFill="1"/>
    <xf numFmtId="169" fontId="2" fillId="28" borderId="11" xfId="0" applyNumberFormat="1" applyFont="1" applyFill="1" applyBorder="1"/>
    <xf numFmtId="165" fontId="2" fillId="0" borderId="0" xfId="0" applyNumberFormat="1" applyFont="1" applyAlignment="1" applyProtection="1">
      <protection locked="0"/>
    </xf>
    <xf numFmtId="0" fontId="2" fillId="0" borderId="10" xfId="0" applyFont="1" applyBorder="1"/>
    <xf numFmtId="2" fontId="2" fillId="0" borderId="0" xfId="0" applyNumberFormat="1" applyFont="1"/>
    <xf numFmtId="185" fontId="2" fillId="0" borderId="0" xfId="0" applyNumberFormat="1" applyFont="1"/>
    <xf numFmtId="4" fontId="2" fillId="0" borderId="0" xfId="0" applyNumberFormat="1" applyFont="1"/>
    <xf numFmtId="172" fontId="2" fillId="0" borderId="0" xfId="0" applyNumberFormat="1" applyFont="1"/>
    <xf numFmtId="167" fontId="2" fillId="0" borderId="0" xfId="0" applyNumberFormat="1" applyFont="1"/>
    <xf numFmtId="183" fontId="2" fillId="0" borderId="0" xfId="0" applyNumberFormat="1" applyFont="1"/>
    <xf numFmtId="0" fontId="2" fillId="0" borderId="0" xfId="0" applyFont="1"/>
    <xf numFmtId="173" fontId="2" fillId="0" borderId="0" xfId="0" applyNumberFormat="1" applyFont="1" applyFill="1" applyAlignment="1">
      <alignment horizontal="center"/>
    </xf>
    <xf numFmtId="171" fontId="2" fillId="0" borderId="0" xfId="0" applyNumberFormat="1" applyFont="1" applyAlignment="1" applyProtection="1">
      <protection locked="0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185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 horizontal="center"/>
    </xf>
    <xf numFmtId="186" fontId="2" fillId="0" borderId="0" xfId="0" applyNumberFormat="1" applyFont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37" fontId="2" fillId="0" borderId="0" xfId="0" applyNumberFormat="1" applyFont="1"/>
    <xf numFmtId="173" fontId="31" fillId="27" borderId="0" xfId="0" applyNumberFormat="1" applyFont="1" applyFill="1" applyAlignment="1">
      <alignment horizontal="center"/>
    </xf>
    <xf numFmtId="169" fontId="31" fillId="27" borderId="0" xfId="0" quotePrefix="1" applyNumberFormat="1" applyFont="1" applyFill="1" applyAlignment="1">
      <alignment horizontal="center"/>
    </xf>
    <xf numFmtId="9" fontId="2" fillId="0" borderId="0" xfId="0" applyNumberFormat="1" applyFont="1"/>
    <xf numFmtId="172" fontId="31" fillId="27" borderId="0" xfId="0" applyNumberFormat="1" applyFont="1" applyFill="1" applyAlignment="1">
      <alignment horizontal="center"/>
    </xf>
    <xf numFmtId="3" fontId="2" fillId="0" borderId="10" xfId="0" applyNumberFormat="1" applyFont="1" applyBorder="1"/>
    <xf numFmtId="4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9" fontId="2" fillId="0" borderId="0" xfId="0" applyNumberFormat="1" applyFont="1"/>
    <xf numFmtId="170" fontId="2" fillId="0" borderId="0" xfId="0" applyNumberFormat="1" applyFont="1" applyFill="1"/>
    <xf numFmtId="0" fontId="2" fillId="0" borderId="0" xfId="0" applyFont="1" applyFill="1" applyAlignment="1"/>
    <xf numFmtId="10" fontId="2" fillId="0" borderId="0" xfId="0" applyNumberFormat="1" applyFont="1" applyFill="1" applyAlignment="1"/>
    <xf numFmtId="10" fontId="2" fillId="27" borderId="0" xfId="0" applyNumberFormat="1" applyFont="1" applyFill="1" applyAlignment="1" applyProtection="1">
      <protection locked="0"/>
    </xf>
    <xf numFmtId="170" fontId="31" fillId="27" borderId="0" xfId="0" applyNumberFormat="1" applyFont="1" applyFill="1"/>
    <xf numFmtId="170" fontId="2" fillId="0" borderId="0" xfId="0" applyNumberFormat="1" applyFont="1" applyFill="1" applyAlignment="1">
      <alignment horizontal="center"/>
    </xf>
    <xf numFmtId="170" fontId="31" fillId="0" borderId="0" xfId="0" applyNumberFormat="1" applyFont="1" applyFill="1" applyAlignment="1">
      <alignment horizontal="center"/>
    </xf>
    <xf numFmtId="0" fontId="2" fillId="0" borderId="0" xfId="0" applyNumberFormat="1" applyFont="1" applyAlignment="1" applyProtection="1">
      <alignment horizontal="right"/>
      <protection locked="0"/>
    </xf>
    <xf numFmtId="170" fontId="2" fillId="27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right"/>
    </xf>
    <xf numFmtId="170" fontId="31" fillId="27" borderId="0" xfId="0" applyNumberFormat="1" applyFont="1" applyFill="1" applyAlignment="1">
      <alignment horizontal="center"/>
    </xf>
    <xf numFmtId="3" fontId="31" fillId="27" borderId="0" xfId="0" applyNumberFormat="1" applyFont="1" applyFill="1"/>
    <xf numFmtId="37" fontId="2" fillId="0" borderId="10" xfId="0" applyNumberFormat="1" applyFont="1" applyBorder="1"/>
    <xf numFmtId="165" fontId="31" fillId="27" borderId="0" xfId="0" applyNumberFormat="1" applyFont="1" applyFill="1"/>
    <xf numFmtId="165" fontId="2" fillId="0" borderId="0" xfId="0" applyNumberFormat="1" applyFont="1" applyFill="1"/>
    <xf numFmtId="37" fontId="2" fillId="0" borderId="10" xfId="0" applyNumberFormat="1" applyFont="1" applyFill="1" applyBorder="1"/>
    <xf numFmtId="0" fontId="2" fillId="0" borderId="10" xfId="0" applyFont="1" applyFill="1" applyBorder="1"/>
    <xf numFmtId="165" fontId="2" fillId="25" borderId="0" xfId="0" applyNumberFormat="1" applyFont="1" applyFill="1"/>
    <xf numFmtId="170" fontId="2" fillId="0" borderId="0" xfId="0" applyNumberFormat="1" applyFont="1" applyAlignment="1" applyProtection="1">
      <protection locked="0"/>
    </xf>
    <xf numFmtId="0" fontId="2" fillId="0" borderId="0" xfId="0" applyFont="1" applyBorder="1"/>
    <xf numFmtId="181" fontId="2" fillId="0" borderId="0" xfId="0" applyNumberFormat="1" applyFont="1"/>
    <xf numFmtId="6" fontId="2" fillId="0" borderId="0" xfId="0" applyNumberFormat="1" applyFont="1" applyAlignment="1" applyProtection="1">
      <protection locked="0"/>
    </xf>
    <xf numFmtId="165" fontId="2" fillId="33" borderId="0" xfId="0" applyNumberFormat="1" applyFont="1" applyFill="1"/>
    <xf numFmtId="0" fontId="2" fillId="33" borderId="0" xfId="0" applyNumberFormat="1" applyFont="1" applyFill="1" applyAlignment="1" applyProtection="1">
      <protection locked="0"/>
    </xf>
    <xf numFmtId="183" fontId="2" fillId="33" borderId="0" xfId="0" applyNumberFormat="1" applyFont="1" applyFill="1" applyAlignment="1" applyProtection="1">
      <protection locked="0"/>
    </xf>
    <xf numFmtId="3" fontId="2" fillId="33" borderId="11" xfId="0" applyNumberFormat="1" applyFont="1" applyFill="1" applyBorder="1"/>
    <xf numFmtId="3" fontId="2" fillId="33" borderId="0" xfId="0" applyNumberFormat="1" applyFont="1" applyFill="1"/>
    <xf numFmtId="0" fontId="6" fillId="33" borderId="0" xfId="0" applyFont="1" applyFill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 horizontal="center"/>
      <protection locked="0"/>
    </xf>
    <xf numFmtId="3" fontId="2" fillId="33" borderId="0" xfId="0" applyNumberFormat="1" applyFont="1" applyFill="1" applyAlignment="1">
      <alignment horizontal="center"/>
    </xf>
    <xf numFmtId="0" fontId="2" fillId="33" borderId="0" xfId="0" applyFont="1" applyFill="1" applyAlignment="1"/>
    <xf numFmtId="0" fontId="2" fillId="0" borderId="10" xfId="0" applyFont="1" applyBorder="1" applyAlignment="1"/>
    <xf numFmtId="9" fontId="2" fillId="0" borderId="0" xfId="0" applyNumberFormat="1" applyFont="1" applyFill="1" applyAlignment="1"/>
    <xf numFmtId="37" fontId="2" fillId="0" borderId="11" xfId="0" applyNumberFormat="1" applyFont="1" applyBorder="1"/>
    <xf numFmtId="37" fontId="2" fillId="0" borderId="0" xfId="0" applyNumberFormat="1" applyFont="1" applyAlignment="1" applyProtection="1">
      <protection locked="0"/>
    </xf>
    <xf numFmtId="39" fontId="2" fillId="0" borderId="0" xfId="0" applyNumberFormat="1" applyFont="1" applyFill="1" applyAlignment="1">
      <alignment horizontal="center"/>
    </xf>
    <xf numFmtId="181" fontId="2" fillId="0" borderId="10" xfId="0" applyNumberFormat="1" applyFont="1" applyBorder="1"/>
    <xf numFmtId="172" fontId="2" fillId="0" borderId="0" xfId="0" applyNumberFormat="1" applyFont="1" applyFill="1" applyAlignment="1">
      <alignment horizontal="center"/>
    </xf>
    <xf numFmtId="3" fontId="2" fillId="0" borderId="0" xfId="0" applyNumberFormat="1" applyFont="1" applyAlignment="1" applyProtection="1">
      <protection locked="0"/>
    </xf>
    <xf numFmtId="39" fontId="2" fillId="27" borderId="0" xfId="0" applyNumberFormat="1" applyFont="1" applyFill="1" applyAlignment="1">
      <alignment horizontal="center"/>
    </xf>
    <xf numFmtId="172" fontId="2" fillId="27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3" fontId="2" fillId="31" borderId="0" xfId="0" applyNumberFormat="1" applyFont="1" applyFill="1"/>
    <xf numFmtId="0" fontId="6" fillId="0" borderId="0" xfId="0" applyFont="1" applyFill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 locked="0"/>
    </xf>
    <xf numFmtId="185" fontId="2" fillId="0" borderId="0" xfId="0" applyNumberFormat="1" applyFont="1" applyFill="1" applyAlignment="1">
      <alignment horizontal="center"/>
    </xf>
    <xf numFmtId="44" fontId="29" fillId="0" borderId="0" xfId="7" applyNumberFormat="1" applyFont="1"/>
    <xf numFmtId="170" fontId="2" fillId="32" borderId="0" xfId="0" applyNumberFormat="1" applyFont="1" applyFill="1" applyAlignment="1">
      <alignment horizontal="center"/>
    </xf>
    <xf numFmtId="165" fontId="2" fillId="27" borderId="0" xfId="0" applyNumberFormat="1" applyFont="1" applyFill="1" applyAlignment="1">
      <alignment horizontal="center"/>
    </xf>
    <xf numFmtId="3" fontId="2" fillId="27" borderId="0" xfId="0" applyNumberFormat="1" applyFont="1" applyFill="1"/>
    <xf numFmtId="182" fontId="2" fillId="0" borderId="0" xfId="7" applyNumberFormat="1" applyFont="1" applyAlignment="1" applyProtection="1">
      <protection locked="0"/>
    </xf>
    <xf numFmtId="9" fontId="2" fillId="0" borderId="0" xfId="8" applyNumberFormat="1" applyFont="1" applyAlignment="1" applyProtection="1">
      <protection locked="0"/>
    </xf>
    <xf numFmtId="3" fontId="2" fillId="32" borderId="0" xfId="0" applyNumberFormat="1" applyFont="1" applyFill="1"/>
    <xf numFmtId="0" fontId="2" fillId="28" borderId="0" xfId="0" applyFont="1" applyFill="1" applyAlignment="1"/>
    <xf numFmtId="0" fontId="3" fillId="0" borderId="0" xfId="0" applyNumberFormat="1" applyFont="1" applyAlignment="1" applyProtection="1">
      <protection locked="0"/>
    </xf>
    <xf numFmtId="180" fontId="2" fillId="0" borderId="0" xfId="7" applyNumberFormat="1" applyFont="1" applyAlignment="1" applyProtection="1">
      <protection locked="0"/>
    </xf>
    <xf numFmtId="9" fontId="2" fillId="0" borderId="0" xfId="8" applyFont="1" applyFill="1"/>
    <xf numFmtId="9" fontId="2" fillId="27" borderId="0" xfId="8" applyFont="1" applyFill="1"/>
    <xf numFmtId="9" fontId="2" fillId="0" borderId="0" xfId="8" applyFont="1" applyAlignment="1" applyProtection="1">
      <protection locked="0"/>
    </xf>
    <xf numFmtId="0" fontId="2" fillId="34" borderId="0" xfId="0" applyFont="1" applyFill="1" applyAlignment="1"/>
    <xf numFmtId="5" fontId="2" fillId="0" borderId="0" xfId="0" applyNumberFormat="1" applyFont="1" applyFill="1"/>
    <xf numFmtId="37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NumberFormat="1" applyFont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/>
    <xf numFmtId="1" fontId="2" fillId="0" borderId="0" xfId="0" applyNumberFormat="1" applyFont="1" applyAlignment="1" applyProtection="1">
      <protection locked="0"/>
    </xf>
    <xf numFmtId="5" fontId="2" fillId="0" borderId="0" xfId="0" applyNumberFormat="1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Border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186" applyNumberFormat="1" applyFont="1" applyAlignment="1" applyProtection="1">
      <protection locked="0"/>
    </xf>
    <xf numFmtId="0" fontId="2" fillId="0" borderId="0" xfId="186" applyNumberFormat="1" applyFont="1" applyAlignment="1"/>
    <xf numFmtId="4" fontId="2" fillId="0" borderId="0" xfId="186" applyNumberFormat="1" applyFont="1"/>
    <xf numFmtId="170" fontId="2" fillId="0" borderId="0" xfId="186" applyNumberFormat="1" applyFont="1" applyAlignment="1">
      <alignment horizontal="center"/>
    </xf>
    <xf numFmtId="0" fontId="2" fillId="0" borderId="0" xfId="186" applyNumberFormat="1" applyFont="1" applyAlignment="1" applyProtection="1">
      <alignment horizontal="center"/>
      <protection locked="0"/>
    </xf>
    <xf numFmtId="4" fontId="2" fillId="0" borderId="0" xfId="186" applyNumberFormat="1" applyFont="1" applyAlignment="1">
      <alignment horizontal="center"/>
    </xf>
    <xf numFmtId="167" fontId="2" fillId="0" borderId="0" xfId="186" applyNumberFormat="1" applyFont="1" applyAlignment="1">
      <alignment horizontal="center"/>
    </xf>
    <xf numFmtId="3" fontId="2" fillId="0" borderId="0" xfId="186" applyNumberFormat="1" applyFont="1" applyAlignment="1">
      <alignment horizontal="center"/>
    </xf>
    <xf numFmtId="4" fontId="2" fillId="0" borderId="0" xfId="186" applyNumberFormat="1" applyFont="1" applyFill="1" applyAlignment="1">
      <alignment horizontal="center"/>
    </xf>
    <xf numFmtId="0" fontId="2" fillId="0" borderId="0" xfId="186" applyNumberFormat="1" applyFont="1" applyFill="1" applyAlignment="1" applyProtection="1">
      <alignment horizontal="center"/>
      <protection locked="0"/>
    </xf>
    <xf numFmtId="9" fontId="2" fillId="0" borderId="0" xfId="186" applyFont="1" applyFill="1" applyAlignment="1">
      <alignment horizontal="center"/>
    </xf>
    <xf numFmtId="9" fontId="2" fillId="0" borderId="0" xfId="186" applyFont="1" applyAlignment="1">
      <alignment horizontal="center"/>
    </xf>
    <xf numFmtId="3" fontId="2" fillId="0" borderId="0" xfId="186" applyNumberFormat="1" applyFont="1"/>
    <xf numFmtId="0" fontId="2" fillId="0" borderId="0" xfId="186" applyNumberFormat="1" applyFont="1" applyAlignment="1">
      <alignment horizontal="center"/>
    </xf>
    <xf numFmtId="0" fontId="6" fillId="0" borderId="0" xfId="186" applyNumberFormat="1" applyFont="1" applyAlignment="1">
      <alignment horizontal="center"/>
    </xf>
    <xf numFmtId="0" fontId="6" fillId="0" borderId="10" xfId="186" applyNumberFormat="1" applyFont="1" applyBorder="1" applyAlignment="1">
      <alignment horizontal="center"/>
    </xf>
    <xf numFmtId="0" fontId="2" fillId="0" borderId="0" xfId="186" applyNumberFormat="1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0" fontId="6" fillId="0" borderId="0" xfId="0" applyFont="1" applyAlignment="1"/>
    <xf numFmtId="169" fontId="2" fillId="0" borderId="0" xfId="0" applyNumberFormat="1" applyFont="1" applyAlignment="1">
      <alignment horizontal="center"/>
    </xf>
    <xf numFmtId="169" fontId="2" fillId="0" borderId="0" xfId="0" applyNumberFormat="1" applyFont="1" applyFill="1"/>
    <xf numFmtId="185" fontId="2" fillId="0" borderId="0" xfId="0" applyNumberFormat="1" applyFont="1" applyAlignment="1" applyProtection="1">
      <protection locked="0"/>
    </xf>
    <xf numFmtId="3" fontId="2" fillId="0" borderId="0" xfId="0" applyNumberFormat="1" applyFont="1" applyFill="1"/>
    <xf numFmtId="9" fontId="2" fillId="0" borderId="0" xfId="0" applyNumberFormat="1" applyFont="1" applyFill="1"/>
    <xf numFmtId="167" fontId="2" fillId="36" borderId="0" xfId="0" applyNumberFormat="1" applyFont="1" applyFill="1"/>
    <xf numFmtId="3" fontId="2" fillId="36" borderId="0" xfId="0" applyNumberFormat="1" applyFont="1" applyFill="1" applyAlignment="1"/>
    <xf numFmtId="3" fontId="2" fillId="36" borderId="0" xfId="0" applyNumberFormat="1" applyFont="1" applyFill="1"/>
    <xf numFmtId="0" fontId="2" fillId="0" borderId="0" xfId="0" applyNumberFormat="1" applyFont="1" applyAlignment="1">
      <alignment horizontal="centerContinuous"/>
    </xf>
    <xf numFmtId="0" fontId="2" fillId="0" borderId="10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2" fontId="2" fillId="0" borderId="0" xfId="0" applyNumberFormat="1" applyFont="1" applyAlignment="1" applyProtection="1">
      <protection locked="0"/>
    </xf>
    <xf numFmtId="166" fontId="2" fillId="36" borderId="0" xfId="0" applyNumberFormat="1" applyFont="1" applyFill="1"/>
    <xf numFmtId="0" fontId="2" fillId="0" borderId="0" xfId="4" applyNumberFormat="1" applyFont="1" applyAlignment="1" applyProtection="1">
      <protection locked="0"/>
    </xf>
    <xf numFmtId="0" fontId="7" fillId="0" borderId="0" xfId="4" applyNumberFormat="1" applyFont="1" applyAlignment="1" applyProtection="1">
      <protection locked="0"/>
    </xf>
    <xf numFmtId="187" fontId="3" fillId="0" borderId="0" xfId="4" applyNumberFormat="1" applyFont="1" applyAlignment="1" applyProtection="1">
      <protection locked="0"/>
    </xf>
    <xf numFmtId="0" fontId="2" fillId="0" borderId="0" xfId="4" applyNumberFormat="1" applyFont="1" applyAlignment="1" applyProtection="1">
      <alignment horizontal="right"/>
      <protection locked="0"/>
    </xf>
    <xf numFmtId="8" fontId="2" fillId="0" borderId="0" xfId="4" applyNumberFormat="1" applyFont="1" applyFill="1" applyAlignment="1" applyProtection="1">
      <protection locked="0"/>
    </xf>
    <xf numFmtId="188" fontId="2" fillId="0" borderId="11" xfId="4" applyNumberFormat="1" applyFont="1" applyBorder="1" applyAlignment="1" applyProtection="1">
      <protection locked="0"/>
    </xf>
    <xf numFmtId="0" fontId="2" fillId="0" borderId="11" xfId="4" applyNumberFormat="1" applyFont="1" applyBorder="1" applyAlignment="1" applyProtection="1">
      <alignment horizontal="right"/>
      <protection locked="0"/>
    </xf>
    <xf numFmtId="0" fontId="2" fillId="0" borderId="11" xfId="4" applyNumberFormat="1" applyFont="1" applyBorder="1" applyAlignment="1" applyProtection="1">
      <protection locked="0"/>
    </xf>
    <xf numFmtId="187" fontId="2" fillId="0" borderId="0" xfId="4" applyNumberFormat="1" applyFont="1" applyAlignment="1" applyProtection="1">
      <protection locked="0"/>
    </xf>
    <xf numFmtId="8" fontId="31" fillId="27" borderId="0" xfId="4" applyNumberFormat="1" applyFont="1" applyFill="1" applyAlignment="1" applyProtection="1">
      <protection locked="0"/>
    </xf>
    <xf numFmtId="0" fontId="3" fillId="0" borderId="0" xfId="4" applyNumberFormat="1" applyFont="1" applyAlignment="1" applyProtection="1">
      <protection locked="0"/>
    </xf>
    <xf numFmtId="8" fontId="3" fillId="0" borderId="0" xfId="4" applyNumberFormat="1" applyFont="1" applyFill="1" applyAlignment="1" applyProtection="1">
      <protection locked="0"/>
    </xf>
    <xf numFmtId="0" fontId="2" fillId="0" borderId="0" xfId="4" applyNumberFormat="1" applyFont="1" applyFill="1" applyAlignment="1" applyProtection="1">
      <protection locked="0"/>
    </xf>
    <xf numFmtId="0" fontId="31" fillId="27" borderId="11" xfId="4" applyNumberFormat="1" applyFont="1" applyFill="1" applyBorder="1" applyAlignment="1" applyProtection="1">
      <protection locked="0"/>
    </xf>
    <xf numFmtId="38" fontId="31" fillId="27" borderId="11" xfId="4" applyNumberFormat="1" applyFont="1" applyFill="1" applyBorder="1" applyAlignment="1" applyProtection="1">
      <protection locked="0"/>
    </xf>
    <xf numFmtId="6" fontId="31" fillId="27" borderId="0" xfId="4" applyNumberFormat="1" applyFont="1" applyFill="1" applyAlignment="1" applyProtection="1">
      <protection locked="0"/>
    </xf>
    <xf numFmtId="0" fontId="2" fillId="0" borderId="0" xfId="4" applyNumberFormat="1" applyFont="1" applyAlignment="1" applyProtection="1">
      <alignment horizontal="centerContinuous"/>
      <protection locked="0"/>
    </xf>
    <xf numFmtId="0" fontId="2" fillId="0" borderId="0" xfId="4" applyNumberFormat="1" applyFont="1" applyAlignment="1">
      <alignment horizontal="centerContinuous"/>
    </xf>
    <xf numFmtId="0" fontId="39" fillId="0" borderId="0" xfId="4" applyNumberFormat="1" applyFont="1" applyAlignment="1">
      <alignment horizontal="centerContinuous"/>
    </xf>
    <xf numFmtId="0" fontId="40" fillId="0" borderId="0" xfId="187"/>
    <xf numFmtId="0" fontId="40" fillId="0" borderId="0" xfId="187" applyFill="1" applyBorder="1"/>
    <xf numFmtId="180" fontId="40" fillId="0" borderId="0" xfId="187" applyNumberFormat="1" applyFill="1" applyBorder="1"/>
    <xf numFmtId="43" fontId="40" fillId="0" borderId="0" xfId="187" applyNumberFormat="1" applyFill="1" applyBorder="1"/>
    <xf numFmtId="37" fontId="40" fillId="0" borderId="0" xfId="187" applyNumberFormat="1" applyFill="1" applyBorder="1"/>
    <xf numFmtId="37" fontId="40" fillId="0" borderId="0" xfId="187" quotePrefix="1" applyNumberFormat="1" applyFill="1" applyBorder="1"/>
    <xf numFmtId="0" fontId="40" fillId="0" borderId="0" xfId="187" quotePrefix="1" applyFill="1" applyBorder="1"/>
    <xf numFmtId="180" fontId="40" fillId="0" borderId="11" xfId="187" applyNumberFormat="1" applyFill="1" applyBorder="1"/>
    <xf numFmtId="7" fontId="40" fillId="0" borderId="0" xfId="187" applyNumberFormat="1" applyFill="1" applyBorder="1"/>
    <xf numFmtId="180" fontId="40" fillId="0" borderId="0" xfId="188" applyNumberFormat="1" applyFill="1" applyBorder="1"/>
    <xf numFmtId="186" fontId="40" fillId="0" borderId="0" xfId="187" applyNumberFormat="1" applyFill="1" applyBorder="1"/>
    <xf numFmtId="44" fontId="40" fillId="0" borderId="0" xfId="187" applyNumberFormat="1" applyFill="1" applyBorder="1"/>
    <xf numFmtId="186" fontId="40" fillId="0" borderId="0" xfId="187" quotePrefix="1" applyNumberFormat="1" applyFill="1" applyBorder="1"/>
    <xf numFmtId="0" fontId="40" fillId="0" borderId="0" xfId="187" applyFill="1" applyBorder="1" applyAlignment="1">
      <alignment horizontal="center"/>
    </xf>
    <xf numFmtId="0" fontId="41" fillId="0" borderId="0" xfId="187" applyFont="1" applyFill="1" applyBorder="1" applyAlignment="1">
      <alignment horizontal="center"/>
    </xf>
    <xf numFmtId="185" fontId="41" fillId="0" borderId="0" xfId="187" applyNumberFormat="1" applyFont="1" applyFill="1" applyBorder="1" applyAlignment="1">
      <alignment horizontal="center"/>
    </xf>
    <xf numFmtId="189" fontId="40" fillId="0" borderId="0" xfId="187" applyNumberFormat="1" applyFill="1" applyBorder="1"/>
    <xf numFmtId="180" fontId="40" fillId="27" borderId="0" xfId="187" applyNumberFormat="1" applyFill="1" applyBorder="1"/>
    <xf numFmtId="177" fontId="0" fillId="0" borderId="0" xfId="189" applyNumberFormat="1" applyFont="1" applyFill="1" applyBorder="1"/>
    <xf numFmtId="177" fontId="40" fillId="0" borderId="0" xfId="189" applyNumberFormat="1" applyFill="1" applyBorder="1"/>
    <xf numFmtId="180" fontId="40" fillId="27" borderId="0" xfId="188" applyNumberFormat="1" applyFill="1" applyBorder="1"/>
    <xf numFmtId="39" fontId="40" fillId="0" borderId="0" xfId="187" applyNumberFormat="1" applyFill="1" applyBorder="1"/>
    <xf numFmtId="190" fontId="40" fillId="0" borderId="0" xfId="187" applyNumberFormat="1" applyFill="1" applyBorder="1"/>
    <xf numFmtId="10" fontId="40" fillId="0" borderId="0" xfId="187" applyNumberFormat="1" applyFill="1" applyBorder="1"/>
    <xf numFmtId="39" fontId="40" fillId="27" borderId="0" xfId="187" applyNumberFormat="1" applyFill="1" applyBorder="1"/>
    <xf numFmtId="0" fontId="28" fillId="0" borderId="0" xfId="187" applyFont="1" applyFill="1" applyBorder="1"/>
    <xf numFmtId="37" fontId="40" fillId="27" borderId="0" xfId="187" applyNumberFormat="1" applyFill="1" applyBorder="1"/>
    <xf numFmtId="170" fontId="40" fillId="0" borderId="0" xfId="187" applyNumberFormat="1" applyFill="1" applyBorder="1"/>
    <xf numFmtId="44" fontId="40" fillId="27" borderId="0" xfId="189" applyNumberFormat="1" applyFill="1" applyBorder="1"/>
    <xf numFmtId="0" fontId="40" fillId="24" borderId="0" xfId="187" applyFill="1" applyBorder="1"/>
    <xf numFmtId="44" fontId="40" fillId="0" borderId="0" xfId="189" applyFill="1" applyBorder="1"/>
    <xf numFmtId="180" fontId="40" fillId="0" borderId="0" xfId="188" applyNumberFormat="1" applyFont="1" applyFill="1" applyBorder="1"/>
    <xf numFmtId="180" fontId="40" fillId="27" borderId="0" xfId="188" applyNumberFormat="1" applyFont="1" applyFill="1" applyBorder="1"/>
    <xf numFmtId="37" fontId="40" fillId="0" borderId="0" xfId="187" applyNumberFormat="1"/>
    <xf numFmtId="0" fontId="40" fillId="0" borderId="0" xfId="187" applyFill="1" applyBorder="1" applyAlignment="1">
      <alignment horizontal="left"/>
    </xf>
    <xf numFmtId="37" fontId="40" fillId="0" borderId="0" xfId="187" applyNumberFormat="1" applyBorder="1"/>
    <xf numFmtId="37" fontId="40" fillId="0" borderId="11" xfId="187" applyNumberFormat="1" applyBorder="1"/>
    <xf numFmtId="37" fontId="40" fillId="0" borderId="11" xfId="187" quotePrefix="1" applyNumberFormat="1" applyFill="1" applyBorder="1" applyAlignment="1">
      <alignment horizontal="right"/>
    </xf>
    <xf numFmtId="37" fontId="40" fillId="27" borderId="11" xfId="187" applyNumberFormat="1" applyFill="1" applyBorder="1"/>
    <xf numFmtId="0" fontId="40" fillId="0" borderId="11" xfId="187" applyFill="1" applyBorder="1" applyAlignment="1">
      <alignment horizontal="left"/>
    </xf>
    <xf numFmtId="37" fontId="40" fillId="0" borderId="0" xfId="187" applyNumberFormat="1" applyFill="1" applyBorder="1" applyAlignment="1">
      <alignment horizontal="right"/>
    </xf>
    <xf numFmtId="0" fontId="40" fillId="0" borderId="0" xfId="187" applyBorder="1" applyAlignment="1">
      <alignment horizontal="center"/>
    </xf>
    <xf numFmtId="0" fontId="40" fillId="0" borderId="0" xfId="187" applyBorder="1"/>
    <xf numFmtId="0" fontId="40" fillId="0" borderId="0" xfId="187" applyBorder="1" applyAlignment="1">
      <alignment horizontal="left"/>
    </xf>
    <xf numFmtId="0" fontId="41" fillId="0" borderId="0" xfId="187" applyFont="1" applyBorder="1" applyAlignment="1">
      <alignment horizontal="center"/>
    </xf>
    <xf numFmtId="0" fontId="40" fillId="0" borderId="0" xfId="187" applyAlignment="1">
      <alignment horizontal="center"/>
    </xf>
    <xf numFmtId="0" fontId="2" fillId="0" borderId="0" xfId="190" applyNumberFormat="1" applyFont="1" applyAlignment="1" applyProtection="1">
      <protection locked="0"/>
    </xf>
    <xf numFmtId="10" fontId="2" fillId="0" borderId="0" xfId="190" applyNumberFormat="1" applyFont="1"/>
    <xf numFmtId="165" fontId="2" fillId="0" borderId="0" xfId="190" applyNumberFormat="1" applyFont="1" applyAlignment="1"/>
    <xf numFmtId="170" fontId="2" fillId="0" borderId="0" xfId="190" applyNumberFormat="1" applyFont="1" applyAlignment="1"/>
    <xf numFmtId="3" fontId="2" fillId="0" borderId="0" xfId="190" applyNumberFormat="1" applyFont="1"/>
    <xf numFmtId="0" fontId="2" fillId="0" borderId="0" xfId="190" applyNumberFormat="1" applyFont="1" applyAlignment="1" applyProtection="1">
      <alignment horizontal="center"/>
      <protection locked="0"/>
    </xf>
    <xf numFmtId="0" fontId="2" fillId="0" borderId="0" xfId="190" applyNumberFormat="1" applyFont="1" applyProtection="1">
      <protection locked="0"/>
    </xf>
    <xf numFmtId="0" fontId="2" fillId="0" borderId="0" xfId="190" applyFont="1" applyAlignment="1"/>
    <xf numFmtId="191" fontId="2" fillId="0" borderId="0" xfId="190" applyNumberFormat="1" applyFont="1"/>
    <xf numFmtId="174" fontId="2" fillId="36" borderId="0" xfId="190" applyNumberFormat="1" applyFont="1" applyFill="1" applyAlignment="1"/>
    <xf numFmtId="10" fontId="42" fillId="28" borderId="0" xfId="190" applyNumberFormat="1" applyFont="1" applyFill="1"/>
    <xf numFmtId="174" fontId="2" fillId="0" borderId="0" xfId="190" applyNumberFormat="1" applyFont="1"/>
    <xf numFmtId="165" fontId="31" fillId="27" borderId="0" xfId="190" applyNumberFormat="1" applyFont="1" applyFill="1" applyAlignment="1"/>
    <xf numFmtId="10" fontId="2" fillId="0" borderId="0" xfId="190" applyNumberFormat="1" applyFont="1" applyAlignment="1"/>
    <xf numFmtId="165" fontId="2" fillId="0" borderId="16" xfId="190" applyNumberFormat="1" applyFont="1" applyBorder="1" applyAlignment="1"/>
    <xf numFmtId="165" fontId="2" fillId="0" borderId="0" xfId="190" applyNumberFormat="1" applyFont="1" applyFill="1" applyAlignment="1"/>
    <xf numFmtId="0" fontId="3" fillId="0" borderId="0" xfId="190" applyFont="1" applyAlignment="1"/>
    <xf numFmtId="170" fontId="2" fillId="36" borderId="0" xfId="190" applyNumberFormat="1" applyFont="1" applyFill="1" applyAlignment="1"/>
    <xf numFmtId="7" fontId="33" fillId="27" borderId="0" xfId="190" applyNumberFormat="1" applyFont="1" applyFill="1"/>
    <xf numFmtId="3" fontId="31" fillId="0" borderId="0" xfId="190" applyNumberFormat="1" applyFont="1" applyFill="1"/>
    <xf numFmtId="180" fontId="31" fillId="27" borderId="0" xfId="1" applyNumberFormat="1" applyFont="1" applyFill="1" applyBorder="1"/>
    <xf numFmtId="0" fontId="2" fillId="0" borderId="0" xfId="190" applyFont="1"/>
    <xf numFmtId="7" fontId="33" fillId="0" borderId="0" xfId="190" applyNumberFormat="1" applyFont="1"/>
    <xf numFmtId="3" fontId="2" fillId="0" borderId="0" xfId="190" applyNumberFormat="1" applyFont="1" applyFill="1"/>
    <xf numFmtId="0" fontId="43" fillId="0" borderId="0" xfId="190" applyNumberFormat="1" applyFont="1" applyAlignment="1" applyProtection="1">
      <protection locked="0"/>
    </xf>
    <xf numFmtId="3" fontId="31" fillId="27" borderId="0" xfId="190" applyNumberFormat="1" applyFont="1" applyFill="1"/>
    <xf numFmtId="0" fontId="4" fillId="0" borderId="0" xfId="190" applyFont="1" applyAlignment="1"/>
    <xf numFmtId="10" fontId="2" fillId="0" borderId="0" xfId="190" applyNumberFormat="1" applyFont="1" applyAlignment="1">
      <alignment horizontal="center"/>
    </xf>
    <xf numFmtId="170" fontId="2" fillId="0" borderId="0" xfId="190" applyNumberFormat="1" applyFont="1" applyAlignment="1">
      <alignment horizontal="center"/>
    </xf>
    <xf numFmtId="43" fontId="31" fillId="27" borderId="0" xfId="1" applyFont="1" applyFill="1"/>
    <xf numFmtId="0" fontId="2" fillId="0" borderId="0" xfId="190" applyFont="1" applyFill="1" applyAlignment="1"/>
    <xf numFmtId="0" fontId="4" fillId="0" borderId="0" xfId="190" applyFont="1" applyFill="1" applyAlignment="1"/>
    <xf numFmtId="0" fontId="2" fillId="0" borderId="0" xfId="190" applyNumberFormat="1" applyFont="1" applyFill="1" applyAlignment="1" applyProtection="1">
      <protection locked="0"/>
    </xf>
    <xf numFmtId="0" fontId="4" fillId="0" borderId="0" xfId="190" applyNumberFormat="1" applyFont="1" applyAlignment="1" applyProtection="1">
      <alignment horizontal="center"/>
      <protection locked="0"/>
    </xf>
    <xf numFmtId="0" fontId="2" fillId="0" borderId="0" xfId="190" applyFont="1" applyAlignment="1">
      <alignment horizontal="center"/>
    </xf>
    <xf numFmtId="0" fontId="2" fillId="0" borderId="0" xfId="190" applyNumberFormat="1" applyFont="1" applyAlignment="1">
      <alignment horizontal="center"/>
    </xf>
    <xf numFmtId="0" fontId="7" fillId="0" borderId="0" xfId="190" applyNumberFormat="1" applyFont="1" applyAlignment="1" applyProtection="1">
      <protection locked="0"/>
    </xf>
    <xf numFmtId="0" fontId="6" fillId="0" borderId="0" xfId="190" applyNumberFormat="1" applyFont="1" applyAlignment="1">
      <alignment horizontal="center"/>
    </xf>
    <xf numFmtId="0" fontId="6" fillId="0" borderId="10" xfId="190" applyNumberFormat="1" applyFont="1" applyBorder="1" applyAlignment="1">
      <alignment horizontal="center"/>
    </xf>
    <xf numFmtId="0" fontId="6" fillId="0" borderId="0" xfId="190" applyFont="1" applyAlignment="1">
      <alignment horizontal="center"/>
    </xf>
    <xf numFmtId="0" fontId="2" fillId="0" borderId="0" xfId="190" applyNumberFormat="1" applyFont="1" applyAlignment="1" applyProtection="1">
      <alignment horizontal="centerContinuous"/>
      <protection locked="0"/>
    </xf>
    <xf numFmtId="0" fontId="2" fillId="0" borderId="0" xfId="190" applyNumberFormat="1" applyFont="1" applyAlignment="1">
      <alignment horizontal="centerContinuous"/>
    </xf>
    <xf numFmtId="171" fontId="2" fillId="0" borderId="0" xfId="190" applyNumberFormat="1" applyFont="1" applyFill="1"/>
    <xf numFmtId="3" fontId="31" fillId="27" borderId="0" xfId="190" applyNumberFormat="1" applyFont="1" applyFill="1" applyAlignment="1"/>
    <xf numFmtId="165" fontId="2" fillId="0" borderId="10" xfId="190" applyNumberFormat="1" applyFont="1" applyFill="1" applyBorder="1" applyAlignment="1"/>
    <xf numFmtId="10" fontId="2" fillId="0" borderId="0" xfId="190" applyNumberFormat="1" applyFont="1" applyBorder="1" applyAlignment="1"/>
    <xf numFmtId="0" fontId="2" fillId="0" borderId="0" xfId="190" applyFont="1" applyBorder="1" applyAlignment="1"/>
    <xf numFmtId="0" fontId="2" fillId="0" borderId="10" xfId="190" applyFont="1" applyBorder="1" applyAlignment="1"/>
    <xf numFmtId="10" fontId="2" fillId="0" borderId="10" xfId="190" applyNumberFormat="1" applyFont="1" applyBorder="1" applyAlignment="1"/>
    <xf numFmtId="10" fontId="2" fillId="0" borderId="0" xfId="190" applyNumberFormat="1" applyFont="1" applyFill="1" applyBorder="1" applyAlignment="1"/>
    <xf numFmtId="0" fontId="2" fillId="0" borderId="0" xfId="190" applyFont="1" applyFill="1" applyBorder="1" applyAlignment="1"/>
    <xf numFmtId="10" fontId="2" fillId="0" borderId="0" xfId="190" applyNumberFormat="1" applyFont="1" applyFill="1" applyBorder="1"/>
    <xf numFmtId="10" fontId="44" fillId="27" borderId="0" xfId="190" applyNumberFormat="1" applyFont="1" applyFill="1"/>
    <xf numFmtId="0" fontId="31" fillId="0" borderId="0" xfId="190" applyNumberFormat="1" applyFont="1" applyFill="1" applyAlignment="1" applyProtection="1">
      <protection locked="0"/>
    </xf>
    <xf numFmtId="0" fontId="2" fillId="0" borderId="0" xfId="190" applyNumberFormat="1" applyFont="1" applyFill="1" applyBorder="1" applyAlignment="1" applyProtection="1">
      <protection locked="0"/>
    </xf>
    <xf numFmtId="0" fontId="6" fillId="0" borderId="0" xfId="190" applyNumberFormat="1" applyFont="1" applyAlignment="1">
      <alignment horizontal="left"/>
    </xf>
    <xf numFmtId="0" fontId="45" fillId="0" borderId="0" xfId="190" applyFont="1" applyAlignment="1"/>
    <xf numFmtId="0" fontId="2" fillId="0" borderId="0" xfId="190" applyNumberFormat="1" applyFont="1" applyAlignment="1">
      <alignment horizontal="left"/>
    </xf>
    <xf numFmtId="175" fontId="2" fillId="0" borderId="0" xfId="190" applyNumberFormat="1" applyFont="1" applyAlignment="1" applyProtection="1">
      <alignment horizontal="center"/>
      <protection locked="0"/>
    </xf>
    <xf numFmtId="170" fontId="2" fillId="0" borderId="0" xfId="190" applyNumberFormat="1" applyFont="1" applyFill="1" applyAlignment="1"/>
    <xf numFmtId="0" fontId="2" fillId="37" borderId="0" xfId="190" applyFont="1" applyFill="1" applyAlignment="1"/>
    <xf numFmtId="170" fontId="31" fillId="27" borderId="0" xfId="190" applyNumberFormat="1" applyFont="1" applyFill="1" applyAlignment="1"/>
    <xf numFmtId="175" fontId="2" fillId="0" borderId="0" xfId="190" applyNumberFormat="1" applyFont="1" applyAlignment="1">
      <alignment horizontal="center"/>
    </xf>
    <xf numFmtId="0" fontId="6" fillId="0" borderId="0" xfId="190" applyFont="1" applyAlignment="1"/>
    <xf numFmtId="0" fontId="6" fillId="0" borderId="10" xfId="190" applyFont="1" applyBorder="1" applyAlignment="1">
      <alignment horizontal="center"/>
    </xf>
    <xf numFmtId="0" fontId="6" fillId="0" borderId="10" xfId="190" applyFont="1" applyBorder="1" applyAlignment="1"/>
    <xf numFmtId="171" fontId="2" fillId="0" borderId="0" xfId="190" applyNumberFormat="1" applyFont="1" applyAlignment="1">
      <alignment horizontal="center"/>
    </xf>
    <xf numFmtId="2" fontId="2" fillId="0" borderId="0" xfId="190" applyNumberFormat="1" applyFont="1" applyAlignment="1" applyProtection="1">
      <protection locked="0"/>
    </xf>
    <xf numFmtId="10" fontId="2" fillId="0" borderId="0" xfId="190" applyNumberFormat="1" applyFont="1" applyAlignment="1" applyProtection="1">
      <protection locked="0"/>
    </xf>
    <xf numFmtId="0" fontId="31" fillId="27" borderId="0" xfId="190" applyNumberFormat="1" applyFont="1" applyFill="1" applyAlignment="1" applyProtection="1">
      <protection locked="0"/>
    </xf>
    <xf numFmtId="2" fontId="31" fillId="27" borderId="0" xfId="190" applyNumberFormat="1" applyFont="1" applyFill="1" applyAlignment="1" applyProtection="1">
      <protection locked="0"/>
    </xf>
    <xf numFmtId="2" fontId="2" fillId="0" borderId="11" xfId="190" applyNumberFormat="1" applyFont="1" applyBorder="1" applyAlignment="1" applyProtection="1">
      <protection locked="0"/>
    </xf>
    <xf numFmtId="0" fontId="35" fillId="0" borderId="0" xfId="190" applyNumberFormat="1" applyFont="1" applyAlignment="1" applyProtection="1">
      <protection locked="0"/>
    </xf>
    <xf numFmtId="1" fontId="35" fillId="0" borderId="0" xfId="190" applyNumberFormat="1"/>
    <xf numFmtId="0" fontId="35" fillId="0" borderId="0" xfId="190" applyFont="1" applyAlignment="1"/>
    <xf numFmtId="0" fontId="35" fillId="0" borderId="0" xfId="190" applyNumberFormat="1" applyProtection="1">
      <protection locked="0"/>
    </xf>
    <xf numFmtId="4" fontId="35" fillId="0" borderId="0" xfId="190" applyNumberFormat="1"/>
    <xf numFmtId="2" fontId="35" fillId="0" borderId="0" xfId="190" applyNumberFormat="1"/>
    <xf numFmtId="170" fontId="35" fillId="0" borderId="0" xfId="190" applyNumberFormat="1"/>
    <xf numFmtId="0" fontId="46" fillId="0" borderId="0" xfId="190" applyNumberFormat="1" applyFont="1" applyAlignment="1" applyProtection="1">
      <protection locked="0"/>
    </xf>
    <xf numFmtId="0" fontId="46" fillId="0" borderId="0" xfId="190" applyNumberFormat="1" applyFont="1" applyAlignment="1">
      <alignment horizontal="center"/>
    </xf>
    <xf numFmtId="0" fontId="46" fillId="0" borderId="0" xfId="190" applyFont="1" applyAlignment="1">
      <alignment horizontal="center"/>
    </xf>
    <xf numFmtId="0" fontId="35" fillId="0" borderId="0" xfId="190" applyNumberFormat="1" applyFont="1" applyAlignment="1">
      <alignment horizontal="center"/>
    </xf>
    <xf numFmtId="0" fontId="35" fillId="0" borderId="0" xfId="190" applyNumberFormat="1" applyFont="1" applyAlignment="1" applyProtection="1">
      <alignment horizontal="center"/>
      <protection locked="0"/>
    </xf>
    <xf numFmtId="0" fontId="35" fillId="0" borderId="0" xfId="190" applyFont="1" applyAlignment="1">
      <alignment horizontal="center"/>
    </xf>
    <xf numFmtId="10" fontId="35" fillId="0" borderId="0" xfId="190" applyNumberFormat="1"/>
    <xf numFmtId="165" fontId="35" fillId="0" borderId="0" xfId="190" applyNumberFormat="1" applyFont="1" applyAlignment="1"/>
    <xf numFmtId="170" fontId="35" fillId="0" borderId="0" xfId="190" applyNumberFormat="1" applyFont="1" applyAlignment="1"/>
    <xf numFmtId="3" fontId="35" fillId="0" borderId="0" xfId="190" applyNumberFormat="1"/>
    <xf numFmtId="0" fontId="35" fillId="0" borderId="0" xfId="190" applyNumberFormat="1" applyAlignment="1" applyProtection="1">
      <protection locked="0"/>
    </xf>
    <xf numFmtId="172" fontId="35" fillId="0" borderId="0" xfId="190" applyNumberFormat="1"/>
    <xf numFmtId="174" fontId="35" fillId="36" borderId="0" xfId="190" applyNumberFormat="1" applyFill="1"/>
    <xf numFmtId="165" fontId="44" fillId="27" borderId="0" xfId="190" applyNumberFormat="1" applyFont="1" applyFill="1" applyAlignment="1"/>
    <xf numFmtId="165" fontId="35" fillId="0" borderId="16" xfId="190" applyNumberFormat="1" applyFont="1" applyBorder="1" applyAlignment="1"/>
    <xf numFmtId="170" fontId="35" fillId="0" borderId="16" xfId="190" applyNumberFormat="1" applyFont="1" applyBorder="1" applyAlignment="1"/>
    <xf numFmtId="165" fontId="35" fillId="0" borderId="0" xfId="190" applyNumberFormat="1" applyFont="1" applyBorder="1" applyAlignment="1"/>
    <xf numFmtId="3" fontId="35" fillId="0" borderId="16" xfId="190" applyNumberFormat="1" applyBorder="1"/>
    <xf numFmtId="0" fontId="35" fillId="0" borderId="16" xfId="190" applyFont="1" applyBorder="1" applyAlignment="1"/>
    <xf numFmtId="165" fontId="35" fillId="0" borderId="17" xfId="190" applyNumberFormat="1" applyFont="1" applyBorder="1" applyAlignment="1"/>
    <xf numFmtId="0" fontId="35" fillId="0" borderId="0" xfId="190"/>
    <xf numFmtId="10" fontId="35" fillId="0" borderId="0" xfId="190" applyNumberFormat="1" applyBorder="1"/>
    <xf numFmtId="165" fontId="44" fillId="27" borderId="0" xfId="190" applyNumberFormat="1" applyFont="1" applyFill="1" applyBorder="1" applyAlignment="1"/>
    <xf numFmtId="170" fontId="35" fillId="0" borderId="0" xfId="190" applyNumberFormat="1" applyFont="1" applyBorder="1" applyAlignment="1"/>
    <xf numFmtId="3" fontId="35" fillId="0" borderId="0" xfId="190" applyNumberFormat="1" applyBorder="1"/>
    <xf numFmtId="0" fontId="35" fillId="0" borderId="0" xfId="190" applyFill="1" applyBorder="1" applyAlignment="1"/>
    <xf numFmtId="0" fontId="35" fillId="0" borderId="0" xfId="190" applyFont="1" applyBorder="1" applyAlignment="1"/>
    <xf numFmtId="3" fontId="35" fillId="0" borderId="11" xfId="190" applyNumberFormat="1" applyFont="1" applyBorder="1" applyAlignment="1"/>
    <xf numFmtId="4" fontId="35" fillId="0" borderId="11" xfId="190" applyNumberFormat="1" applyFont="1" applyBorder="1" applyAlignment="1"/>
    <xf numFmtId="3" fontId="35" fillId="0" borderId="11" xfId="190" applyNumberFormat="1" applyBorder="1"/>
    <xf numFmtId="0" fontId="35" fillId="0" borderId="11" xfId="190" applyFont="1" applyBorder="1" applyAlignment="1"/>
    <xf numFmtId="3" fontId="35" fillId="0" borderId="0" xfId="190" applyNumberFormat="1" applyFont="1" applyBorder="1" applyAlignment="1"/>
    <xf numFmtId="4" fontId="35" fillId="0" borderId="0" xfId="190" applyNumberFormat="1" applyFont="1" applyBorder="1" applyAlignment="1"/>
    <xf numFmtId="180" fontId="33" fillId="27" borderId="0" xfId="1" applyNumberFormat="1" applyFont="1" applyFill="1"/>
    <xf numFmtId="3" fontId="35" fillId="0" borderId="0" xfId="190" applyNumberFormat="1" applyFont="1" applyAlignment="1"/>
    <xf numFmtId="4" fontId="35" fillId="0" borderId="0" xfId="190" applyNumberFormat="1" applyFont="1" applyAlignment="1"/>
    <xf numFmtId="170" fontId="35" fillId="0" borderId="0" xfId="190" applyNumberFormat="1" applyFont="1" applyFill="1" applyAlignment="1"/>
    <xf numFmtId="3" fontId="35" fillId="0" borderId="0" xfId="190" applyNumberFormat="1" applyFill="1"/>
    <xf numFmtId="0" fontId="47" fillId="0" borderId="0" xfId="190" applyFont="1" applyAlignment="1"/>
    <xf numFmtId="170" fontId="35" fillId="0" borderId="0" xfId="190" applyNumberFormat="1" applyFont="1" applyAlignment="1">
      <alignment horizontal="center"/>
    </xf>
    <xf numFmtId="170" fontId="2" fillId="38" borderId="0" xfId="190" applyNumberFormat="1" applyFont="1" applyFill="1" applyAlignment="1"/>
    <xf numFmtId="0" fontId="46" fillId="0" borderId="10" xfId="190" applyFont="1" applyBorder="1" applyAlignment="1">
      <alignment horizontal="center"/>
    </xf>
    <xf numFmtId="0" fontId="35" fillId="0" borderId="0" xfId="190" applyNumberFormat="1" applyFont="1" applyAlignment="1">
      <alignment horizontal="centerContinuous"/>
    </xf>
    <xf numFmtId="0" fontId="35" fillId="0" borderId="10" xfId="190" applyFont="1" applyBorder="1" applyAlignment="1">
      <alignment horizontal="center"/>
    </xf>
    <xf numFmtId="0" fontId="35" fillId="0" borderId="0" xfId="190" applyAlignment="1">
      <alignment horizontal="center"/>
    </xf>
    <xf numFmtId="0" fontId="35" fillId="0" borderId="0" xfId="190" applyNumberFormat="1" applyFont="1" applyAlignment="1"/>
    <xf numFmtId="171" fontId="35" fillId="0" borderId="18" xfId="190" applyNumberFormat="1" applyBorder="1"/>
    <xf numFmtId="0" fontId="35" fillId="0" borderId="18" xfId="190" applyNumberFormat="1" applyBorder="1"/>
    <xf numFmtId="0" fontId="35" fillId="0" borderId="18" xfId="190" applyNumberFormat="1" applyFont="1" applyBorder="1" applyAlignment="1"/>
    <xf numFmtId="3" fontId="44" fillId="27" borderId="0" xfId="190" applyNumberFormat="1" applyFont="1" applyFill="1"/>
    <xf numFmtId="165" fontId="35" fillId="0" borderId="10" xfId="190" applyNumberFormat="1" applyBorder="1"/>
    <xf numFmtId="0" fontId="35" fillId="0" borderId="10" xfId="190" applyNumberFormat="1" applyBorder="1"/>
    <xf numFmtId="0" fontId="35" fillId="0" borderId="10" xfId="190" applyFont="1" applyBorder="1" applyAlignment="1"/>
    <xf numFmtId="3" fontId="44" fillId="27" borderId="0" xfId="1" applyNumberFormat="1" applyFont="1" applyFill="1" applyAlignment="1" applyProtection="1">
      <protection locked="0"/>
    </xf>
    <xf numFmtId="10" fontId="35" fillId="0" borderId="10" xfId="190" applyNumberFormat="1" applyBorder="1"/>
    <xf numFmtId="0" fontId="35" fillId="0" borderId="0" xfId="190" applyAlignment="1"/>
    <xf numFmtId="165" fontId="44" fillId="27" borderId="0" xfId="190" applyNumberFormat="1" applyFont="1" applyFill="1"/>
    <xf numFmtId="170" fontId="35" fillId="0" borderId="0" xfId="190" applyNumberFormat="1" applyFont="1" applyAlignment="1" applyProtection="1">
      <protection locked="0"/>
    </xf>
    <xf numFmtId="176" fontId="35" fillId="0" borderId="0" xfId="190" applyNumberFormat="1"/>
    <xf numFmtId="0" fontId="35" fillId="0" borderId="0" xfId="190" applyNumberFormat="1" applyFont="1" applyAlignment="1" applyProtection="1">
      <alignment horizontal="center" vertical="center" wrapText="1"/>
      <protection locked="0"/>
    </xf>
    <xf numFmtId="4" fontId="44" fillId="27" borderId="0" xfId="190" applyNumberFormat="1" applyFont="1" applyFill="1"/>
    <xf numFmtId="0" fontId="47" fillId="0" borderId="0" xfId="190" applyNumberFormat="1" applyFont="1" applyAlignment="1"/>
    <xf numFmtId="0" fontId="48" fillId="0" borderId="0" xfId="190" applyNumberFormat="1" applyFont="1" applyAlignment="1" applyProtection="1">
      <alignment horizontal="center"/>
      <protection locked="0"/>
    </xf>
    <xf numFmtId="37" fontId="35" fillId="0" borderId="0" xfId="190" applyNumberFormat="1" applyFont="1" applyAlignment="1">
      <alignment horizontal="center"/>
    </xf>
    <xf numFmtId="3" fontId="35" fillId="0" borderId="0" xfId="190" applyNumberFormat="1" applyFont="1" applyAlignment="1">
      <alignment horizontal="center"/>
    </xf>
    <xf numFmtId="171" fontId="35" fillId="0" borderId="0" xfId="190" applyNumberFormat="1" applyFont="1" applyAlignment="1">
      <alignment horizontal="center"/>
    </xf>
    <xf numFmtId="192" fontId="35" fillId="0" borderId="0" xfId="190" applyNumberFormat="1" applyFont="1" applyAlignment="1">
      <alignment horizontal="center"/>
    </xf>
    <xf numFmtId="170" fontId="44" fillId="27" borderId="0" xfId="190" applyNumberFormat="1" applyFont="1" applyFill="1" applyAlignment="1"/>
    <xf numFmtId="166" fontId="40" fillId="0" borderId="0" xfId="187" applyNumberFormat="1"/>
    <xf numFmtId="3" fontId="26" fillId="39" borderId="14" xfId="187" applyNumberFormat="1" applyFont="1" applyFill="1" applyBorder="1"/>
    <xf numFmtId="0" fontId="40" fillId="0" borderId="14" xfId="187" applyBorder="1"/>
    <xf numFmtId="3" fontId="40" fillId="0" borderId="0" xfId="187" applyNumberFormat="1"/>
    <xf numFmtId="3" fontId="26" fillId="39" borderId="11" xfId="187" applyNumberFormat="1" applyFont="1" applyFill="1" applyBorder="1"/>
    <xf numFmtId="0" fontId="40" fillId="0" borderId="11" xfId="187" applyBorder="1"/>
    <xf numFmtId="3" fontId="26" fillId="39" borderId="0" xfId="187" applyNumberFormat="1" applyFont="1" applyFill="1"/>
    <xf numFmtId="0" fontId="49" fillId="0" borderId="0" xfId="187" applyFont="1"/>
    <xf numFmtId="0" fontId="28" fillId="0" borderId="0" xfId="187" applyFont="1"/>
    <xf numFmtId="166" fontId="28" fillId="0" borderId="0" xfId="187" applyNumberFormat="1" applyFont="1"/>
    <xf numFmtId="185" fontId="40" fillId="0" borderId="0" xfId="187" applyNumberFormat="1"/>
    <xf numFmtId="1" fontId="40" fillId="0" borderId="0" xfId="187" applyNumberFormat="1" applyProtection="1"/>
    <xf numFmtId="193" fontId="40" fillId="0" borderId="0" xfId="187" applyNumberFormat="1" applyAlignment="1">
      <alignment horizontal="center"/>
    </xf>
    <xf numFmtId="185" fontId="40" fillId="0" borderId="0" xfId="187" applyNumberFormat="1" applyAlignment="1">
      <alignment horizontal="center"/>
    </xf>
    <xf numFmtId="166" fontId="40" fillId="0" borderId="0" xfId="187" applyNumberFormat="1" applyAlignment="1">
      <alignment horizontal="center"/>
    </xf>
    <xf numFmtId="166" fontId="25" fillId="0" borderId="0" xfId="187" applyNumberFormat="1" applyFont="1" applyFill="1" applyAlignment="1">
      <alignment horizontal="center"/>
    </xf>
    <xf numFmtId="166" fontId="33" fillId="39" borderId="0" xfId="187" applyNumberFormat="1" applyFont="1" applyFill="1" applyAlignment="1">
      <alignment horizontal="center"/>
    </xf>
    <xf numFmtId="166" fontId="26" fillId="39" borderId="0" xfId="187" applyNumberFormat="1" applyFont="1" applyFill="1" applyAlignment="1">
      <alignment horizontal="center"/>
    </xf>
    <xf numFmtId="0" fontId="26" fillId="0" borderId="0" xfId="187" applyFont="1" applyAlignment="1">
      <alignment horizontal="center"/>
    </xf>
    <xf numFmtId="193" fontId="40" fillId="0" borderId="0" xfId="187" applyNumberFormat="1" applyFont="1" applyAlignment="1">
      <alignment horizontal="center"/>
    </xf>
    <xf numFmtId="193" fontId="26" fillId="39" borderId="0" xfId="187" applyNumberFormat="1" applyFont="1" applyFill="1" applyAlignment="1">
      <alignment horizontal="center"/>
    </xf>
    <xf numFmtId="0" fontId="41" fillId="0" borderId="0" xfId="187" applyFont="1" applyAlignment="1">
      <alignment horizontal="center"/>
    </xf>
    <xf numFmtId="170" fontId="28" fillId="0" borderId="0" xfId="187" applyNumberFormat="1" applyFont="1"/>
    <xf numFmtId="170" fontId="40" fillId="0" borderId="0" xfId="187" applyNumberFormat="1"/>
    <xf numFmtId="44" fontId="40" fillId="0" borderId="0" xfId="187" applyNumberFormat="1"/>
    <xf numFmtId="0" fontId="33" fillId="39" borderId="11" xfId="187" applyFont="1" applyFill="1" applyBorder="1"/>
    <xf numFmtId="0" fontId="40" fillId="0" borderId="11" xfId="187" applyFill="1" applyBorder="1"/>
    <xf numFmtId="0" fontId="33" fillId="39" borderId="0" xfId="187" applyFont="1" applyFill="1" applyBorder="1"/>
    <xf numFmtId="0" fontId="40" fillId="0" borderId="0" xfId="187" applyFill="1"/>
    <xf numFmtId="0" fontId="26" fillId="0" borderId="0" xfId="187" applyFont="1"/>
    <xf numFmtId="0" fontId="41" fillId="0" borderId="0" xfId="187" applyFont="1"/>
    <xf numFmtId="0" fontId="26" fillId="0" borderId="0" xfId="187" applyFont="1" applyFill="1"/>
    <xf numFmtId="0" fontId="33" fillId="39" borderId="0" xfId="187" applyFont="1" applyFill="1"/>
    <xf numFmtId="10" fontId="40" fillId="0" borderId="0" xfId="187" applyNumberFormat="1" applyAlignment="1">
      <alignment horizontal="center"/>
    </xf>
    <xf numFmtId="0" fontId="49" fillId="0" borderId="0" xfId="187" applyFont="1" applyFill="1"/>
    <xf numFmtId="10" fontId="28" fillId="0" borderId="0" xfId="187" applyNumberFormat="1" applyFont="1"/>
    <xf numFmtId="9" fontId="50" fillId="39" borderId="0" xfId="187" applyNumberFormat="1" applyFont="1" applyFill="1"/>
    <xf numFmtId="9" fontId="40" fillId="0" borderId="0" xfId="187" applyNumberFormat="1"/>
    <xf numFmtId="9" fontId="28" fillId="0" borderId="0" xfId="187" applyNumberFormat="1" applyFont="1"/>
    <xf numFmtId="9" fontId="26" fillId="39" borderId="11" xfId="187" applyNumberFormat="1" applyFont="1" applyFill="1" applyBorder="1"/>
    <xf numFmtId="9" fontId="26" fillId="39" borderId="0" xfId="187" applyNumberFormat="1" applyFont="1" applyFill="1"/>
    <xf numFmtId="166" fontId="40" fillId="0" borderId="11" xfId="187" applyNumberFormat="1" applyBorder="1"/>
    <xf numFmtId="166" fontId="25" fillId="0" borderId="0" xfId="187" applyNumberFormat="1" applyFont="1" applyFill="1"/>
    <xf numFmtId="0" fontId="49" fillId="0" borderId="0" xfId="187" applyFont="1" applyAlignment="1">
      <alignment horizontal="center"/>
    </xf>
    <xf numFmtId="10" fontId="40" fillId="0" borderId="0" xfId="187" applyNumberFormat="1"/>
    <xf numFmtId="166" fontId="26" fillId="39" borderId="0" xfId="187" applyNumberFormat="1" applyFont="1" applyFill="1"/>
    <xf numFmtId="166" fontId="26" fillId="0" borderId="0" xfId="187" applyNumberFormat="1" applyFont="1" applyFill="1"/>
    <xf numFmtId="0" fontId="40" fillId="0" borderId="0" xfId="187" applyProtection="1"/>
    <xf numFmtId="2" fontId="28" fillId="0" borderId="0" xfId="187" applyNumberFormat="1" applyFont="1"/>
    <xf numFmtId="3" fontId="40" fillId="0" borderId="14" xfId="187" applyNumberFormat="1" applyBorder="1"/>
    <xf numFmtId="3" fontId="51" fillId="0" borderId="0" xfId="187" applyNumberFormat="1" applyFont="1"/>
    <xf numFmtId="2" fontId="40" fillId="0" borderId="0" xfId="187" applyNumberFormat="1"/>
    <xf numFmtId="174" fontId="40" fillId="0" borderId="11" xfId="187" applyNumberFormat="1" applyBorder="1"/>
    <xf numFmtId="2" fontId="26" fillId="39" borderId="0" xfId="187" applyNumberFormat="1" applyFont="1" applyFill="1"/>
    <xf numFmtId="194" fontId="26" fillId="39" borderId="0" xfId="187" applyNumberFormat="1" applyFont="1" applyFill="1"/>
    <xf numFmtId="0" fontId="52" fillId="0" borderId="0" xfId="187" applyFont="1"/>
    <xf numFmtId="0" fontId="26" fillId="39" borderId="11" xfId="187" applyFont="1" applyFill="1" applyBorder="1"/>
    <xf numFmtId="10" fontId="26" fillId="39" borderId="0" xfId="191" applyNumberFormat="1" applyFont="1" applyFill="1"/>
    <xf numFmtId="10" fontId="26" fillId="0" borderId="0" xfId="187" applyNumberFormat="1" applyFont="1"/>
    <xf numFmtId="10" fontId="26" fillId="39" borderId="0" xfId="187" applyNumberFormat="1" applyFont="1" applyFill="1"/>
    <xf numFmtId="0" fontId="51" fillId="0" borderId="11" xfId="187" applyFont="1" applyBorder="1"/>
    <xf numFmtId="37" fontId="25" fillId="0" borderId="11" xfId="187" applyNumberFormat="1" applyFont="1" applyBorder="1"/>
    <xf numFmtId="37" fontId="26" fillId="39" borderId="0" xfId="187" applyNumberFormat="1" applyFont="1" applyFill="1"/>
    <xf numFmtId="40" fontId="40" fillId="0" borderId="0" xfId="187" applyNumberFormat="1" applyFill="1"/>
    <xf numFmtId="0" fontId="40" fillId="0" borderId="0" xfId="187" applyFill="1" applyAlignment="1">
      <alignment horizontal="center"/>
    </xf>
    <xf numFmtId="37" fontId="26" fillId="39" borderId="11" xfId="187" applyNumberFormat="1" applyFont="1" applyFill="1" applyBorder="1"/>
    <xf numFmtId="2" fontId="40" fillId="0" borderId="14" xfId="187" applyNumberFormat="1" applyBorder="1"/>
    <xf numFmtId="37" fontId="40" fillId="0" borderId="14" xfId="187" applyNumberFormat="1" applyBorder="1"/>
    <xf numFmtId="165" fontId="40" fillId="0" borderId="0" xfId="187" applyNumberFormat="1"/>
    <xf numFmtId="10" fontId="51" fillId="0" borderId="11" xfId="187" applyNumberFormat="1" applyFont="1" applyBorder="1"/>
    <xf numFmtId="37" fontId="51" fillId="0" borderId="0" xfId="187" applyNumberFormat="1" applyFont="1"/>
    <xf numFmtId="10" fontId="26" fillId="39" borderId="11" xfId="187" applyNumberFormat="1" applyFont="1" applyFill="1" applyBorder="1"/>
    <xf numFmtId="7" fontId="40" fillId="0" borderId="0" xfId="187" applyNumberFormat="1"/>
    <xf numFmtId="7" fontId="25" fillId="0" borderId="0" xfId="187" applyNumberFormat="1" applyFont="1"/>
    <xf numFmtId="174" fontId="40" fillId="0" borderId="0" xfId="187" applyNumberFormat="1"/>
    <xf numFmtId="0" fontId="26" fillId="39" borderId="0" xfId="187" applyFont="1" applyFill="1"/>
    <xf numFmtId="0" fontId="40" fillId="0" borderId="0" xfId="187" applyAlignment="1">
      <alignment horizontal="right"/>
    </xf>
    <xf numFmtId="0" fontId="26" fillId="40" borderId="0" xfId="187" applyFont="1" applyFill="1"/>
    <xf numFmtId="174" fontId="40" fillId="0" borderId="0" xfId="187" applyNumberFormat="1" applyAlignment="1">
      <alignment horizontal="center"/>
    </xf>
    <xf numFmtId="0" fontId="28" fillId="0" borderId="0" xfId="187" applyFont="1" applyAlignment="1">
      <alignment horizontal="center"/>
    </xf>
    <xf numFmtId="168" fontId="40" fillId="0" borderId="0" xfId="187" applyNumberFormat="1" applyAlignment="1">
      <alignment horizontal="center"/>
    </xf>
    <xf numFmtId="5" fontId="26" fillId="39" borderId="0" xfId="187" applyNumberFormat="1" applyFont="1" applyFill="1"/>
    <xf numFmtId="0" fontId="1" fillId="0" borderId="0" xfId="0" applyNumberFormat="1" applyFont="1" applyAlignment="1">
      <alignment horizontal="center"/>
    </xf>
    <xf numFmtId="165" fontId="40" fillId="0" borderId="0" xfId="187" applyNumberFormat="1" applyFill="1" applyBorder="1"/>
    <xf numFmtId="0" fontId="2" fillId="0" borderId="0" xfId="0" applyNumberFormat="1" applyFont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1" xfId="4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0" fillId="0" borderId="0" xfId="187" applyAlignment="1">
      <alignment horizontal="center"/>
    </xf>
    <xf numFmtId="0" fontId="25" fillId="0" borderId="0" xfId="187" applyFont="1" applyAlignment="1">
      <alignment horizontal="center"/>
    </xf>
  </cellXfs>
  <cellStyles count="192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" xfId="1" builtinId="3"/>
    <cellStyle name="Comma 2" xfId="7"/>
    <cellStyle name="Comma 2 2" xfId="36"/>
    <cellStyle name="Comma 2 2 2" xfId="37"/>
    <cellStyle name="Comma 2 2 2 2" xfId="38"/>
    <cellStyle name="Comma 2 2 3" xfId="39"/>
    <cellStyle name="Comma 2 2 3 2" xfId="40"/>
    <cellStyle name="Comma 2 2 4" xfId="41"/>
    <cellStyle name="Comma 2 2 4 2" xfId="42"/>
    <cellStyle name="Comma 2 2 5" xfId="43"/>
    <cellStyle name="Comma 2 3" xfId="44"/>
    <cellStyle name="Comma 2 3 2" xfId="45"/>
    <cellStyle name="Comma 2 3 2 2" xfId="46"/>
    <cellStyle name="Comma 2 3 3" xfId="47"/>
    <cellStyle name="Comma 2 3 3 2" xfId="48"/>
    <cellStyle name="Comma 2 3 4" xfId="49"/>
    <cellStyle name="Comma 2 3 4 2" xfId="50"/>
    <cellStyle name="Comma 2 4" xfId="51"/>
    <cellStyle name="Comma 2 4 2" xfId="52"/>
    <cellStyle name="Comma 2 5" xfId="53"/>
    <cellStyle name="Comma 2 5 2" xfId="54"/>
    <cellStyle name="Comma 2 6" xfId="55"/>
    <cellStyle name="Comma 2 6 2" xfId="56"/>
    <cellStyle name="Comma 2 7" xfId="57"/>
    <cellStyle name="Comma 2 8" xfId="58"/>
    <cellStyle name="Comma 3" xfId="59"/>
    <cellStyle name="Comma 3 2" xfId="60"/>
    <cellStyle name="Comma 3 2 2" xfId="61"/>
    <cellStyle name="Comma 3 3" xfId="62"/>
    <cellStyle name="Comma 3 3 2" xfId="63"/>
    <cellStyle name="Comma 3 4" xfId="64"/>
    <cellStyle name="Comma 3 4 2" xfId="65"/>
    <cellStyle name="Comma 3 5" xfId="66"/>
    <cellStyle name="Comma 3 5 2" xfId="67"/>
    <cellStyle name="Comma 4" xfId="68"/>
    <cellStyle name="Comma 4 2" xfId="69"/>
    <cellStyle name="Comma 5" xfId="70"/>
    <cellStyle name="Comma 6" xfId="71"/>
    <cellStyle name="Comma 7" xfId="72"/>
    <cellStyle name="Comma 7 2" xfId="73"/>
    <cellStyle name="Comma 8" xfId="188"/>
    <cellStyle name="Currency" xfId="2" builtinId="4"/>
    <cellStyle name="Currency 2" xfId="74"/>
    <cellStyle name="Currency 2 2" xfId="75"/>
    <cellStyle name="Currency 2 2 2" xfId="76"/>
    <cellStyle name="Currency 2 2 3" xfId="77"/>
    <cellStyle name="Currency 2 3" xfId="78"/>
    <cellStyle name="Currency 2 3 2" xfId="79"/>
    <cellStyle name="Currency 2 4" xfId="80"/>
    <cellStyle name="Currency 2 4 2" xfId="81"/>
    <cellStyle name="Currency 2 5" xfId="82"/>
    <cellStyle name="Currency 3" xfId="83"/>
    <cellStyle name="Currency 4" xfId="84"/>
    <cellStyle name="Currency 5" xfId="189"/>
    <cellStyle name="Explanatory Text 2" xfId="85"/>
    <cellStyle name="Good 2" xfId="86"/>
    <cellStyle name="Heading 1 2" xfId="87"/>
    <cellStyle name="Heading 2 2" xfId="88"/>
    <cellStyle name="Heading 3 2" xfId="89"/>
    <cellStyle name="Heading 4 2" xfId="90"/>
    <cellStyle name="Input 2" xfId="91"/>
    <cellStyle name="Linked Cell 2" xfId="92"/>
    <cellStyle name="Neutral 2" xfId="93"/>
    <cellStyle name="Normal" xfId="0" builtinId="0"/>
    <cellStyle name="Normal 10" xfId="94"/>
    <cellStyle name="Normal 11" xfId="95"/>
    <cellStyle name="Normal 12" xfId="96"/>
    <cellStyle name="Normal 13" xfId="187"/>
    <cellStyle name="Normal 14" xfId="190"/>
    <cellStyle name="Normal 2" xfId="4"/>
    <cellStyle name="Normal 2 2" xfId="97"/>
    <cellStyle name="Normal 2 2 2" xfId="98"/>
    <cellStyle name="Normal 2 2 2 2" xfId="99"/>
    <cellStyle name="Normal 2 2 3" xfId="100"/>
    <cellStyle name="Normal 2 2 3 2" xfId="101"/>
    <cellStyle name="Normal 2 2 4" xfId="102"/>
    <cellStyle name="Normal 2 2 4 2" xfId="103"/>
    <cellStyle name="Normal 2 2 5" xfId="104"/>
    <cellStyle name="Normal 2 3" xfId="105"/>
    <cellStyle name="Normal 2 3 2" xfId="106"/>
    <cellStyle name="Normal 2 3 2 2" xfId="107"/>
    <cellStyle name="Normal 2 3 3" xfId="108"/>
    <cellStyle name="Normal 2 3 3 2" xfId="109"/>
    <cellStyle name="Normal 2 3 4" xfId="110"/>
    <cellStyle name="Normal 2 3 4 2" xfId="111"/>
    <cellStyle name="Normal 2 4" xfId="112"/>
    <cellStyle name="Normal 2 5" xfId="113"/>
    <cellStyle name="Normal 3" xfId="5"/>
    <cellStyle name="Normal 3 2" xfId="114"/>
    <cellStyle name="Normal 3 3" xfId="115"/>
    <cellStyle name="Normal 3 4" xfId="116"/>
    <cellStyle name="Normal 4" xfId="117"/>
    <cellStyle name="Normal 4 2" xfId="118"/>
    <cellStyle name="Normal 4 3" xfId="119"/>
    <cellStyle name="Normal 4 4" xfId="120"/>
    <cellStyle name="Normal 5" xfId="121"/>
    <cellStyle name="Normal 5 2" xfId="122"/>
    <cellStyle name="Normal 5 3" xfId="123"/>
    <cellStyle name="Normal 6" xfId="124"/>
    <cellStyle name="Normal 6 2" xfId="125"/>
    <cellStyle name="Normal 6 2 2" xfId="126"/>
    <cellStyle name="Normal 6 3" xfId="127"/>
    <cellStyle name="Normal 7" xfId="128"/>
    <cellStyle name="Normal 7 2" xfId="129"/>
    <cellStyle name="Normal 8" xfId="130"/>
    <cellStyle name="Normal 9" xfId="131"/>
    <cellStyle name="Normal_2009 LGS-TOD Rate Design" xfId="6"/>
    <cellStyle name="Normal_Off Peak Excess" xfId="186"/>
    <cellStyle name="Note 2" xfId="132"/>
    <cellStyle name="Note 2 2" xfId="133"/>
    <cellStyle name="Note 3" xfId="134"/>
    <cellStyle name="Note 3 2" xfId="135"/>
    <cellStyle name="Note 4" xfId="136"/>
    <cellStyle name="Note 4 2" xfId="137"/>
    <cellStyle name="Note 5" xfId="138"/>
    <cellStyle name="Note 6" xfId="139"/>
    <cellStyle name="Output 2" xfId="140"/>
    <cellStyle name="Percent" xfId="3" builtinId="5"/>
    <cellStyle name="Percent 2" xfId="8"/>
    <cellStyle name="Percent 2 2" xfId="141"/>
    <cellStyle name="Percent 2 2 2" xfId="142"/>
    <cellStyle name="Percent 2 2 2 2" xfId="143"/>
    <cellStyle name="Percent 2 2 3" xfId="144"/>
    <cellStyle name="Percent 2 2 3 2" xfId="145"/>
    <cellStyle name="Percent 2 2 4" xfId="146"/>
    <cellStyle name="Percent 2 2 4 2" xfId="147"/>
    <cellStyle name="Percent 2 3" xfId="148"/>
    <cellStyle name="Percent 2 3 2" xfId="149"/>
    <cellStyle name="Percent 2 3 2 2" xfId="150"/>
    <cellStyle name="Percent 2 3 3" xfId="151"/>
    <cellStyle name="Percent 2 3 3 2" xfId="152"/>
    <cellStyle name="Percent 2 3 4" xfId="153"/>
    <cellStyle name="Percent 2 3 4 2" xfId="154"/>
    <cellStyle name="Percent 2 4" xfId="155"/>
    <cellStyle name="Percent 2 4 2" xfId="156"/>
    <cellStyle name="Percent 2 5" xfId="157"/>
    <cellStyle name="Percent 2 5 2" xfId="158"/>
    <cellStyle name="Percent 2 6" xfId="159"/>
    <cellStyle name="Percent 2 6 2" xfId="160"/>
    <cellStyle name="Percent 2 7" xfId="161"/>
    <cellStyle name="Percent 3" xfId="162"/>
    <cellStyle name="Percent 3 2" xfId="163"/>
    <cellStyle name="Percent 3 2 2" xfId="164"/>
    <cellStyle name="Percent 3 3" xfId="165"/>
    <cellStyle name="Percent 3 3 2" xfId="166"/>
    <cellStyle name="Percent 3 4" xfId="167"/>
    <cellStyle name="Percent 3 4 2" xfId="168"/>
    <cellStyle name="Percent 3 5" xfId="169"/>
    <cellStyle name="Percent 4" xfId="170"/>
    <cellStyle name="Percent 5" xfId="171"/>
    <cellStyle name="Percent 6" xfId="172"/>
    <cellStyle name="Percent 7" xfId="191"/>
    <cellStyle name="PSChar" xfId="173"/>
    <cellStyle name="PSChar 2" xfId="174"/>
    <cellStyle name="PSChar 3" xfId="175"/>
    <cellStyle name="PSDate" xfId="176"/>
    <cellStyle name="PSDec" xfId="177"/>
    <cellStyle name="PSDec 2" xfId="178"/>
    <cellStyle name="PSHeading" xfId="179"/>
    <cellStyle name="PSHeading 2" xfId="180"/>
    <cellStyle name="PSInt" xfId="181"/>
    <cellStyle name="PSSpacer" xfId="182"/>
    <cellStyle name="Title 2" xfId="183"/>
    <cellStyle name="Total 2" xfId="184"/>
    <cellStyle name="Warning Text 2" xfId="1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27</xdr:row>
          <xdr:rowOff>9525</xdr:rowOff>
        </xdr:from>
        <xdr:to>
          <xdr:col>4</xdr:col>
          <xdr:colOff>257175</xdr:colOff>
          <xdr:row>31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36</xdr:row>
          <xdr:rowOff>142875</xdr:rowOff>
        </xdr:from>
        <xdr:to>
          <xdr:col>5</xdr:col>
          <xdr:colOff>695325</xdr:colOff>
          <xdr:row>41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57150</xdr:rowOff>
        </xdr:from>
        <xdr:to>
          <xdr:col>3</xdr:col>
          <xdr:colOff>285750</xdr:colOff>
          <xdr:row>45</xdr:row>
          <xdr:rowOff>114300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66675</xdr:rowOff>
        </xdr:from>
        <xdr:to>
          <xdr:col>3</xdr:col>
          <xdr:colOff>466725</xdr:colOff>
          <xdr:row>49</xdr:row>
          <xdr:rowOff>28575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50</xdr:row>
          <xdr:rowOff>38100</xdr:rowOff>
        </xdr:from>
        <xdr:to>
          <xdr:col>3</xdr:col>
          <xdr:colOff>152400</xdr:colOff>
          <xdr:row>52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53</xdr:row>
          <xdr:rowOff>9525</xdr:rowOff>
        </xdr:from>
        <xdr:to>
          <xdr:col>3</xdr:col>
          <xdr:colOff>238125</xdr:colOff>
          <xdr:row>55</xdr:row>
          <xdr:rowOff>114300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56</xdr:row>
          <xdr:rowOff>152400</xdr:rowOff>
        </xdr:from>
        <xdr:to>
          <xdr:col>3</xdr:col>
          <xdr:colOff>295275</xdr:colOff>
          <xdr:row>58</xdr:row>
          <xdr:rowOff>95250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59</xdr:row>
          <xdr:rowOff>123825</xdr:rowOff>
        </xdr:from>
        <xdr:to>
          <xdr:col>2</xdr:col>
          <xdr:colOff>38100</xdr:colOff>
          <xdr:row>62</xdr:row>
          <xdr:rowOff>28575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173</xdr:row>
          <xdr:rowOff>85725</xdr:rowOff>
        </xdr:from>
        <xdr:to>
          <xdr:col>6</xdr:col>
          <xdr:colOff>228600</xdr:colOff>
          <xdr:row>176</xdr:row>
          <xdr:rowOff>57150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262</xdr:row>
          <xdr:rowOff>95250</xdr:rowOff>
        </xdr:from>
        <xdr:to>
          <xdr:col>6</xdr:col>
          <xdr:colOff>542925</xdr:colOff>
          <xdr:row>265</xdr:row>
          <xdr:rowOff>66675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72</xdr:row>
          <xdr:rowOff>133350</xdr:rowOff>
        </xdr:from>
        <xdr:to>
          <xdr:col>5</xdr:col>
          <xdr:colOff>1209675</xdr:colOff>
          <xdr:row>79</xdr:row>
          <xdr:rowOff>19050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316</xdr:row>
          <xdr:rowOff>152400</xdr:rowOff>
        </xdr:from>
        <xdr:to>
          <xdr:col>9</xdr:col>
          <xdr:colOff>638175</xdr:colOff>
          <xdr:row>364</xdr:row>
          <xdr:rowOff>95250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package" Target="../embeddings/Microsoft_Word_Document1.docx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2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210"/>
  <sheetViews>
    <sheetView tabSelected="1" showOutlineSymbols="0" zoomScale="115" zoomScaleNormal="115" zoomScaleSheetLayoutView="100" workbookViewId="0">
      <selection activeCell="B10" sqref="B10:B11"/>
    </sheetView>
  </sheetViews>
  <sheetFormatPr defaultRowHeight="15"/>
  <cols>
    <col min="1" max="1" width="4.75" style="3" customWidth="1"/>
    <col min="2" max="2" width="23" style="3" customWidth="1"/>
    <col min="3" max="3" width="19.25" style="3" customWidth="1"/>
    <col min="4" max="4" width="14" style="3" bestFit="1" customWidth="1"/>
    <col min="5" max="5" width="14.625" style="3" customWidth="1"/>
    <col min="6" max="6" width="14.875" style="3" bestFit="1" customWidth="1"/>
    <col min="7" max="7" width="10.375" style="3" bestFit="1" customWidth="1"/>
    <col min="8" max="8" width="15.25" style="3" bestFit="1" customWidth="1"/>
    <col min="9" max="9" width="13.5" style="3" bestFit="1" customWidth="1"/>
    <col min="10" max="16384" width="9" style="3"/>
  </cols>
  <sheetData>
    <row r="1" spans="1:9" ht="15.75">
      <c r="A1" s="4" t="s">
        <v>0</v>
      </c>
      <c r="B1" s="5" t="s">
        <v>101</v>
      </c>
    </row>
    <row r="2" spans="1:9">
      <c r="D2" s="6" t="s">
        <v>2</v>
      </c>
      <c r="E2" s="6"/>
      <c r="F2" s="6"/>
      <c r="G2" s="6" t="s">
        <v>118</v>
      </c>
      <c r="H2" s="6" t="s">
        <v>119</v>
      </c>
      <c r="I2" s="6" t="s">
        <v>84</v>
      </c>
    </row>
    <row r="3" spans="1:9" ht="15.75">
      <c r="B3" s="5"/>
      <c r="D3" s="6" t="s">
        <v>3</v>
      </c>
      <c r="E3" s="6" t="s">
        <v>82</v>
      </c>
      <c r="F3" s="6" t="s">
        <v>83</v>
      </c>
      <c r="G3" s="6" t="s">
        <v>116</v>
      </c>
      <c r="H3" s="6" t="s">
        <v>117</v>
      </c>
      <c r="I3" s="6" t="s">
        <v>10</v>
      </c>
    </row>
    <row r="4" spans="1:9">
      <c r="D4" s="34" t="s">
        <v>1</v>
      </c>
      <c r="E4" s="34" t="s">
        <v>1</v>
      </c>
      <c r="F4" s="34" t="s">
        <v>1</v>
      </c>
      <c r="G4" s="34" t="s">
        <v>1</v>
      </c>
      <c r="H4" s="34" t="s">
        <v>85</v>
      </c>
      <c r="I4" s="34" t="s">
        <v>1</v>
      </c>
    </row>
    <row r="5" spans="1:9">
      <c r="B5" s="3" t="s">
        <v>5</v>
      </c>
      <c r="D5" s="6"/>
      <c r="F5" s="6"/>
      <c r="H5" s="6"/>
      <c r="I5" s="6"/>
    </row>
    <row r="6" spans="1:9">
      <c r="B6" s="3" t="s">
        <v>6</v>
      </c>
      <c r="D6" s="55">
        <f>76396686+47203012+21937720</f>
        <v>145537418</v>
      </c>
      <c r="E6" s="8">
        <v>0</v>
      </c>
      <c r="F6" s="9">
        <f>D6-E6</f>
        <v>145537418</v>
      </c>
      <c r="G6" s="9">
        <f>ROUND((($G$9/$F$9)*F6),0)</f>
        <v>156954</v>
      </c>
      <c r="H6" s="9">
        <f>ROUND((($H$9/$F$9)*F6),0)</f>
        <v>38623</v>
      </c>
      <c r="I6" s="9">
        <f>F6-G6+H6</f>
        <v>145419087</v>
      </c>
    </row>
    <row r="7" spans="1:9">
      <c r="B7" s="3" t="s">
        <v>7</v>
      </c>
      <c r="D7" s="55">
        <v>77357442</v>
      </c>
      <c r="E7" s="11">
        <f>E9</f>
        <v>4613241</v>
      </c>
      <c r="F7" s="12">
        <f>D7-E7</f>
        <v>72744201</v>
      </c>
      <c r="G7" s="9">
        <f>ROUND((($G$9/$F$9)*F7),0)</f>
        <v>78450</v>
      </c>
      <c r="H7" s="12">
        <f>ROUND((($H$9/$F$9)*F7),0)</f>
        <v>19305</v>
      </c>
      <c r="I7" s="9">
        <f>F7-G7+H7</f>
        <v>72685056</v>
      </c>
    </row>
    <row r="8" spans="1:9">
      <c r="B8" s="3" t="s">
        <v>8</v>
      </c>
      <c r="D8" s="55">
        <v>12648538</v>
      </c>
      <c r="E8" s="11">
        <f>(E9-E6)-E7</f>
        <v>0</v>
      </c>
      <c r="F8" s="12">
        <f>D8-E8</f>
        <v>12648538</v>
      </c>
      <c r="G8" s="9">
        <f>ROUND((($G$9/$F$9)*F8),0)</f>
        <v>13641</v>
      </c>
      <c r="H8" s="12">
        <f>(H9-H6)-H7</f>
        <v>3356</v>
      </c>
      <c r="I8" s="9">
        <f>F8-G8+H8</f>
        <v>12638253</v>
      </c>
    </row>
    <row r="9" spans="1:9">
      <c r="B9" s="13" t="s">
        <v>9</v>
      </c>
      <c r="C9" s="13"/>
      <c r="D9" s="14">
        <f>SUM(D6:D8)</f>
        <v>235543398</v>
      </c>
      <c r="E9" s="59">
        <v>4613241</v>
      </c>
      <c r="F9" s="14">
        <f>SUM(F6:F8)</f>
        <v>230930157</v>
      </c>
      <c r="G9" s="60">
        <v>249045</v>
      </c>
      <c r="H9" s="49">
        <v>61284</v>
      </c>
      <c r="I9" s="14">
        <f>SUM(I6:I8)</f>
        <v>230742396</v>
      </c>
    </row>
    <row r="10" spans="1:9">
      <c r="B10" s="36"/>
      <c r="C10" s="36"/>
      <c r="D10" s="36"/>
      <c r="E10" s="36"/>
      <c r="F10" s="37"/>
      <c r="G10" s="38"/>
      <c r="H10" s="37"/>
    </row>
    <row r="12" spans="1:9" ht="15.75">
      <c r="A12" s="4" t="s">
        <v>12</v>
      </c>
      <c r="B12" s="5" t="s">
        <v>13</v>
      </c>
      <c r="E12" s="9"/>
      <c r="G12" s="12"/>
      <c r="I12" s="12"/>
    </row>
    <row r="14" spans="1:9">
      <c r="E14" s="3" t="s">
        <v>16</v>
      </c>
      <c r="G14" s="836" t="s">
        <v>15</v>
      </c>
      <c r="H14" s="50">
        <v>16</v>
      </c>
      <c r="I14" s="3" t="s">
        <v>14</v>
      </c>
    </row>
    <row r="16" spans="1:9">
      <c r="B16" s="3" t="s">
        <v>133</v>
      </c>
      <c r="E16" s="55">
        <f>1658209+1957+107+36</f>
        <v>1660309</v>
      </c>
      <c r="F16" s="6" t="s">
        <v>103</v>
      </c>
      <c r="G16" s="15">
        <f>+H14</f>
        <v>16</v>
      </c>
      <c r="H16" s="17" t="s">
        <v>15</v>
      </c>
      <c r="I16" s="9">
        <f>E16*G16</f>
        <v>26564944</v>
      </c>
    </row>
    <row r="17" spans="1:9">
      <c r="E17" s="12"/>
      <c r="G17" s="15"/>
      <c r="I17" s="9"/>
    </row>
    <row r="18" spans="1:9">
      <c r="E18" s="12"/>
      <c r="G18" s="15"/>
      <c r="I18" s="9"/>
    </row>
    <row r="19" spans="1:9" ht="15.75">
      <c r="A19" s="4" t="s">
        <v>18</v>
      </c>
      <c r="B19" s="5" t="s">
        <v>19</v>
      </c>
      <c r="C19" s="4"/>
    </row>
    <row r="21" spans="1:9">
      <c r="B21" s="3" t="s">
        <v>20</v>
      </c>
      <c r="E21" s="7">
        <f>I7</f>
        <v>72685056</v>
      </c>
      <c r="F21" s="12"/>
      <c r="G21" s="12"/>
      <c r="H21" s="9"/>
      <c r="I21" s="12"/>
    </row>
    <row r="22" spans="1:9">
      <c r="B22" s="3" t="s">
        <v>21</v>
      </c>
      <c r="E22" s="26">
        <f>E114+E106+D91+D90</f>
        <v>2260149745</v>
      </c>
      <c r="F22" s="12"/>
      <c r="G22" s="12"/>
      <c r="H22" s="12"/>
      <c r="I22" s="12"/>
    </row>
    <row r="23" spans="1:9">
      <c r="F23" s="12"/>
      <c r="G23" s="12"/>
      <c r="H23" s="12"/>
      <c r="I23" s="12"/>
    </row>
    <row r="24" spans="1:9">
      <c r="B24" s="3" t="s">
        <v>22</v>
      </c>
      <c r="E24" s="18">
        <f>ROUND((E21/E22),5)</f>
        <v>3.2160000000000001E-2</v>
      </c>
      <c r="F24" s="18" t="s">
        <v>23</v>
      </c>
      <c r="G24" s="18"/>
      <c r="H24" s="18"/>
      <c r="I24" s="18"/>
    </row>
    <row r="25" spans="1:9">
      <c r="B25" s="3" t="s">
        <v>24</v>
      </c>
      <c r="E25" s="47">
        <v>0.02</v>
      </c>
      <c r="F25" s="18" t="s">
        <v>23</v>
      </c>
      <c r="G25" s="18"/>
      <c r="H25" s="18"/>
      <c r="I25" s="18"/>
    </row>
    <row r="26" spans="1:9">
      <c r="B26" s="13"/>
      <c r="C26" s="13"/>
      <c r="D26" s="13"/>
      <c r="E26" s="13"/>
      <c r="F26" s="18"/>
      <c r="G26" s="18"/>
      <c r="H26" s="18"/>
      <c r="I26" s="18"/>
    </row>
    <row r="27" spans="1:9">
      <c r="B27" s="3" t="s">
        <v>25</v>
      </c>
      <c r="E27" s="18">
        <f>E24+E25</f>
        <v>5.2159999999999998E-2</v>
      </c>
      <c r="F27" s="18" t="s">
        <v>23</v>
      </c>
      <c r="G27" s="18"/>
      <c r="H27" s="18"/>
      <c r="I27" s="18"/>
    </row>
    <row r="28" spans="1:9">
      <c r="H28" s="18"/>
    </row>
    <row r="29" spans="1:9">
      <c r="B29" s="3" t="s">
        <v>26</v>
      </c>
      <c r="E29" s="56">
        <v>0.55930000000000002</v>
      </c>
      <c r="F29" s="12"/>
      <c r="G29" s="12"/>
      <c r="H29" s="19"/>
      <c r="I29" s="12"/>
    </row>
    <row r="30" spans="1:9">
      <c r="B30" s="3" t="s">
        <v>27</v>
      </c>
      <c r="E30" s="12">
        <f>ROUND((E22*E29),0)</f>
        <v>1264101752</v>
      </c>
      <c r="G30" s="12"/>
      <c r="H30" s="12"/>
      <c r="I30" s="12"/>
    </row>
    <row r="31" spans="1:9">
      <c r="G31" s="12"/>
      <c r="H31" s="20"/>
      <c r="I31" s="12"/>
    </row>
    <row r="32" spans="1:9">
      <c r="B32" s="3" t="s">
        <v>28</v>
      </c>
      <c r="E32" s="12">
        <f>+E30</f>
        <v>1264101752</v>
      </c>
      <c r="F32" s="23" t="s">
        <v>103</v>
      </c>
      <c r="G32" s="18">
        <f>+E27</f>
        <v>5.2159999999999998E-2</v>
      </c>
      <c r="H32" s="17" t="s">
        <v>15</v>
      </c>
      <c r="I32" s="9">
        <f>ROUND((E30*E27),0)</f>
        <v>65935547</v>
      </c>
    </row>
    <row r="33" spans="1:9">
      <c r="F33" s="12"/>
      <c r="G33" s="12"/>
      <c r="H33" s="9"/>
      <c r="I33" s="12"/>
    </row>
    <row r="34" spans="1:9">
      <c r="D34" s="12"/>
      <c r="E34" s="12"/>
      <c r="F34" s="12"/>
      <c r="G34" s="12"/>
      <c r="H34" s="12"/>
      <c r="I34" s="12"/>
    </row>
    <row r="35" spans="1:9" ht="15.75">
      <c r="A35" s="4" t="s">
        <v>29</v>
      </c>
      <c r="B35" s="5" t="s">
        <v>30</v>
      </c>
      <c r="D35" s="9"/>
      <c r="F35" s="12"/>
      <c r="G35" s="12"/>
      <c r="H35" s="12"/>
      <c r="I35" s="12"/>
    </row>
    <row r="36" spans="1:9">
      <c r="D36" s="12"/>
      <c r="E36" s="12"/>
      <c r="F36" s="12"/>
      <c r="G36" s="12"/>
      <c r="H36" s="12"/>
      <c r="I36" s="12"/>
    </row>
    <row r="37" spans="1:9">
      <c r="B37" s="3" t="s">
        <v>31</v>
      </c>
      <c r="E37" s="7">
        <f>I9</f>
        <v>230742396</v>
      </c>
      <c r="F37" s="9"/>
      <c r="G37" s="9"/>
      <c r="H37" s="9"/>
      <c r="I37" s="12"/>
    </row>
    <row r="38" spans="1:9">
      <c r="B38" s="3" t="s">
        <v>32</v>
      </c>
      <c r="E38" s="10">
        <f>+I16</f>
        <v>26564944</v>
      </c>
      <c r="F38" s="12"/>
      <c r="G38" s="12"/>
      <c r="H38" s="12"/>
      <c r="I38" s="12"/>
    </row>
    <row r="39" spans="1:9">
      <c r="B39" s="3" t="s">
        <v>33</v>
      </c>
      <c r="E39" s="10">
        <f>+I32</f>
        <v>65935547</v>
      </c>
      <c r="F39" s="12"/>
      <c r="G39" s="12"/>
      <c r="H39" s="12"/>
      <c r="I39" s="12"/>
    </row>
    <row r="40" spans="1:9">
      <c r="B40" s="13" t="s">
        <v>34</v>
      </c>
      <c r="C40" s="13"/>
      <c r="D40" s="21"/>
      <c r="E40" s="14">
        <f>(E37-E38)-E39</f>
        <v>138241905</v>
      </c>
      <c r="F40" s="15"/>
      <c r="G40" s="12"/>
      <c r="H40" s="9"/>
    </row>
    <row r="41" spans="1:9">
      <c r="D41" s="12"/>
      <c r="E41" s="12"/>
      <c r="F41" s="22"/>
      <c r="H41" s="12"/>
    </row>
    <row r="42" spans="1:9">
      <c r="D42" s="12"/>
      <c r="F42" s="22"/>
      <c r="H42" s="9"/>
    </row>
    <row r="43" spans="1:9">
      <c r="B43" s="3" t="s">
        <v>35</v>
      </c>
      <c r="E43" s="12">
        <f>E22</f>
        <v>2260149745</v>
      </c>
      <c r="F43" s="18"/>
      <c r="H43" s="18"/>
    </row>
    <row r="44" spans="1:9">
      <c r="B44" s="3" t="s">
        <v>36</v>
      </c>
      <c r="D44" s="12"/>
      <c r="E44" s="10">
        <f>E30</f>
        <v>1264101752</v>
      </c>
      <c r="F44" s="18"/>
      <c r="H44" s="9"/>
    </row>
    <row r="45" spans="1:9">
      <c r="B45" s="13" t="s">
        <v>37</v>
      </c>
      <c r="C45" s="13"/>
      <c r="D45" s="13"/>
      <c r="E45" s="21">
        <f>E22-E30</f>
        <v>996047993</v>
      </c>
    </row>
    <row r="48" spans="1:9">
      <c r="B48" s="3" t="s">
        <v>38</v>
      </c>
      <c r="E48" s="18">
        <f>ROUND((E40/E45),5)</f>
        <v>0.13879</v>
      </c>
      <c r="F48" s="18" t="s">
        <v>23</v>
      </c>
    </row>
    <row r="49" spans="1:9">
      <c r="E49" s="18"/>
      <c r="F49" s="18"/>
    </row>
    <row r="51" spans="1:9" ht="15.75">
      <c r="A51" s="4" t="s">
        <v>91</v>
      </c>
      <c r="B51" s="5" t="s">
        <v>39</v>
      </c>
    </row>
    <row r="52" spans="1:9">
      <c r="D52" s="23" t="s">
        <v>40</v>
      </c>
      <c r="E52" s="6"/>
      <c r="F52" s="23" t="s">
        <v>41</v>
      </c>
      <c r="G52" s="6"/>
      <c r="H52" s="23" t="s">
        <v>1</v>
      </c>
      <c r="I52" s="6" t="s">
        <v>42</v>
      </c>
    </row>
    <row r="53" spans="1:9">
      <c r="D53" s="6"/>
      <c r="F53" s="6"/>
      <c r="H53" s="6"/>
      <c r="I53" s="24"/>
    </row>
    <row r="54" spans="1:9">
      <c r="B54" s="3" t="s">
        <v>43</v>
      </c>
      <c r="D54" s="12">
        <f>E45</f>
        <v>996047993</v>
      </c>
      <c r="E54" s="3" t="s">
        <v>44</v>
      </c>
      <c r="F54" s="18">
        <f>E48</f>
        <v>0.13879</v>
      </c>
      <c r="G54" s="18" t="s">
        <v>23</v>
      </c>
      <c r="H54" s="9">
        <f>ROUND((D54*F54),0)</f>
        <v>138241501</v>
      </c>
      <c r="I54" s="11" t="s">
        <v>80</v>
      </c>
    </row>
    <row r="55" spans="1:9">
      <c r="B55" s="3" t="s">
        <v>45</v>
      </c>
      <c r="D55" s="12">
        <f>E44</f>
        <v>1264101752</v>
      </c>
      <c r="E55" s="3" t="s">
        <v>44</v>
      </c>
      <c r="F55" s="18">
        <f>E27</f>
        <v>5.2159999999999998E-2</v>
      </c>
      <c r="G55" s="18" t="s">
        <v>23</v>
      </c>
      <c r="H55" s="12">
        <f>ROUND((D55*F55),0)</f>
        <v>65935547</v>
      </c>
      <c r="I55" s="11" t="s">
        <v>80</v>
      </c>
    </row>
    <row r="56" spans="1:9">
      <c r="B56" s="3" t="s">
        <v>8</v>
      </c>
      <c r="D56" s="12">
        <f>E16</f>
        <v>1660309</v>
      </c>
      <c r="E56" s="3" t="s">
        <v>46</v>
      </c>
      <c r="F56" s="15">
        <f>H14</f>
        <v>16</v>
      </c>
      <c r="G56" s="3" t="s">
        <v>47</v>
      </c>
      <c r="H56" s="12">
        <f>ROUND((D56*F56),0)</f>
        <v>26564944</v>
      </c>
      <c r="I56" s="41" t="s">
        <v>80</v>
      </c>
    </row>
    <row r="57" spans="1:9">
      <c r="D57" s="12"/>
      <c r="H57" s="21"/>
      <c r="I57" s="41"/>
    </row>
    <row r="58" spans="1:9">
      <c r="B58" s="3" t="s">
        <v>9</v>
      </c>
      <c r="D58" s="12">
        <f>D54+D55</f>
        <v>2260149745</v>
      </c>
      <c r="E58" s="3" t="s">
        <v>44</v>
      </c>
      <c r="F58" s="9"/>
      <c r="H58" s="9">
        <f>SUM(H54:H56)</f>
        <v>230741992</v>
      </c>
      <c r="I58" s="11">
        <f>H58-I9</f>
        <v>-404</v>
      </c>
    </row>
    <row r="59" spans="1:9">
      <c r="D59" s="12"/>
      <c r="F59" s="9"/>
      <c r="H59" s="9"/>
    </row>
    <row r="60" spans="1:9">
      <c r="D60" s="12"/>
      <c r="F60" s="9"/>
      <c r="H60" s="9"/>
    </row>
    <row r="61" spans="1:9" ht="15.75">
      <c r="A61" s="4" t="s">
        <v>92</v>
      </c>
      <c r="B61" s="5" t="s">
        <v>48</v>
      </c>
      <c r="C61" s="5"/>
    </row>
    <row r="62" spans="1:9">
      <c r="D62" s="6"/>
      <c r="E62" s="6"/>
      <c r="F62" s="6"/>
    </row>
    <row r="63" spans="1:9">
      <c r="B63" s="3" t="s">
        <v>80</v>
      </c>
      <c r="D63" s="34"/>
      <c r="E63" s="34"/>
      <c r="F63" s="34"/>
      <c r="G63" s="34"/>
    </row>
    <row r="64" spans="1:9">
      <c r="D64" s="34"/>
      <c r="E64" s="34"/>
      <c r="F64" s="34"/>
      <c r="G64" s="34"/>
      <c r="H64" s="34"/>
    </row>
    <row r="65" spans="2:9">
      <c r="B65" s="3" t="s">
        <v>129</v>
      </c>
      <c r="D65" s="57">
        <v>10.55</v>
      </c>
      <c r="E65" s="15"/>
      <c r="G65" s="15"/>
    </row>
    <row r="67" spans="2:9">
      <c r="B67" s="3" t="s">
        <v>102</v>
      </c>
      <c r="D67" s="15">
        <f>+H14</f>
        <v>16</v>
      </c>
      <c r="F67" s="6" t="s">
        <v>146</v>
      </c>
    </row>
    <row r="68" spans="2:9">
      <c r="B68" s="3" t="s">
        <v>120</v>
      </c>
      <c r="F68" s="6" t="s">
        <v>138</v>
      </c>
    </row>
    <row r="69" spans="2:9">
      <c r="B69" s="3" t="s">
        <v>121</v>
      </c>
      <c r="D69" s="51">
        <v>362.34</v>
      </c>
      <c r="F69" s="15">
        <f>D69</f>
        <v>362.34</v>
      </c>
    </row>
    <row r="70" spans="2:9">
      <c r="B70" s="3" t="s">
        <v>122</v>
      </c>
      <c r="D70" s="51">
        <v>106.69</v>
      </c>
      <c r="F70" s="51"/>
    </row>
    <row r="71" spans="2:9">
      <c r="B71" s="3" t="s">
        <v>123</v>
      </c>
      <c r="D71" s="44">
        <f>D69-D70</f>
        <v>255.64999999999998</v>
      </c>
      <c r="F71" s="44">
        <f>F69-F70</f>
        <v>362.34</v>
      </c>
    </row>
    <row r="72" spans="2:9">
      <c r="D72" s="43"/>
      <c r="F72" s="43"/>
    </row>
    <row r="73" spans="2:9">
      <c r="B73" s="3" t="s">
        <v>128</v>
      </c>
      <c r="D73" s="61">
        <v>0.12709999999999999</v>
      </c>
      <c r="F73" s="61">
        <v>0.12709999999999999</v>
      </c>
      <c r="I73" s="16" t="s">
        <v>131</v>
      </c>
    </row>
    <row r="74" spans="2:9">
      <c r="B74" s="3" t="s">
        <v>124</v>
      </c>
      <c r="D74" s="45">
        <v>12</v>
      </c>
      <c r="F74" s="45">
        <v>12</v>
      </c>
    </row>
    <row r="75" spans="2:9">
      <c r="B75" s="3" t="s">
        <v>125</v>
      </c>
      <c r="D75" s="39">
        <f>ROUND(D71*(D73/12),2)</f>
        <v>2.71</v>
      </c>
      <c r="F75" s="39">
        <f>ROUND(F71*(F73/12),2)</f>
        <v>3.84</v>
      </c>
    </row>
    <row r="76" spans="2:9">
      <c r="D76" s="15"/>
      <c r="F76" s="15"/>
    </row>
    <row r="77" spans="2:9">
      <c r="B77" s="3" t="s">
        <v>239</v>
      </c>
      <c r="D77" s="40">
        <f>ROUND((D67+D75)*20,0)/20</f>
        <v>18.7</v>
      </c>
      <c r="F77" s="40">
        <f>ROUND((F75)*20,0)/20</f>
        <v>3.85</v>
      </c>
    </row>
    <row r="78" spans="2:9">
      <c r="D78" s="40"/>
    </row>
    <row r="79" spans="2:9">
      <c r="D79" s="40"/>
    </row>
    <row r="80" spans="2:9">
      <c r="B80" s="3" t="s">
        <v>112</v>
      </c>
      <c r="D80" s="40"/>
      <c r="E80" s="34"/>
      <c r="G80" s="34"/>
    </row>
    <row r="81" spans="1:9">
      <c r="D81" s="40"/>
      <c r="E81" s="34"/>
      <c r="G81" s="34"/>
    </row>
    <row r="82" spans="1:9">
      <c r="E82" s="16" t="s">
        <v>113</v>
      </c>
      <c r="F82" s="46">
        <v>3</v>
      </c>
      <c r="G82" s="34"/>
    </row>
    <row r="83" spans="1:9">
      <c r="F83" s="40"/>
    </row>
    <row r="84" spans="1:9">
      <c r="E84" s="16" t="s">
        <v>130</v>
      </c>
      <c r="F84" s="46">
        <f>F77</f>
        <v>3.85</v>
      </c>
    </row>
    <row r="85" spans="1:9">
      <c r="E85" s="42"/>
      <c r="G85" s="42"/>
    </row>
    <row r="87" spans="1:9" ht="15.75">
      <c r="A87" s="4" t="s">
        <v>93</v>
      </c>
      <c r="B87" s="5" t="s">
        <v>132</v>
      </c>
      <c r="C87" s="5"/>
      <c r="F87" s="12"/>
      <c r="H87" s="12"/>
    </row>
    <row r="88" spans="1:9">
      <c r="D88" s="25" t="s">
        <v>49</v>
      </c>
      <c r="F88" s="25" t="s">
        <v>41</v>
      </c>
      <c r="H88" s="25" t="s">
        <v>50</v>
      </c>
      <c r="I88" s="18"/>
    </row>
    <row r="89" spans="1:9">
      <c r="D89" s="6"/>
      <c r="F89" s="6"/>
      <c r="H89" s="6"/>
    </row>
    <row r="90" spans="1:9">
      <c r="B90" s="3" t="s">
        <v>51</v>
      </c>
      <c r="D90" s="55">
        <f>1479989+15485</f>
        <v>1495474</v>
      </c>
      <c r="E90" s="3" t="s">
        <v>44</v>
      </c>
      <c r="F90" s="18">
        <f>E48</f>
        <v>0.13879</v>
      </c>
      <c r="G90" s="3" t="s">
        <v>23</v>
      </c>
      <c r="H90" s="9">
        <f>ROUND((D90*F90),0)</f>
        <v>207557</v>
      </c>
    </row>
    <row r="91" spans="1:9">
      <c r="B91" s="3" t="s">
        <v>52</v>
      </c>
      <c r="D91" s="55">
        <f>2745767+31006</f>
        <v>2776773</v>
      </c>
      <c r="E91" s="3" t="s">
        <v>44</v>
      </c>
      <c r="F91" s="18">
        <f>E27</f>
        <v>5.2159999999999998E-2</v>
      </c>
      <c r="G91" s="3" t="s">
        <v>23</v>
      </c>
      <c r="H91" s="12">
        <f>ROUND((D91*F91),0)</f>
        <v>144836</v>
      </c>
    </row>
    <row r="92" spans="1:9">
      <c r="B92" s="3" t="s">
        <v>114</v>
      </c>
      <c r="D92" s="55">
        <f>1957+36</f>
        <v>1993</v>
      </c>
      <c r="E92" s="3" t="s">
        <v>46</v>
      </c>
      <c r="F92" s="15">
        <f>D77</f>
        <v>18.7</v>
      </c>
      <c r="G92" s="3" t="s">
        <v>47</v>
      </c>
      <c r="H92" s="12">
        <f>ROUND((D92*F92),0)</f>
        <v>37269</v>
      </c>
    </row>
    <row r="93" spans="1:9">
      <c r="B93" s="3" t="s">
        <v>115</v>
      </c>
      <c r="D93" s="55">
        <v>107</v>
      </c>
      <c r="E93" s="3" t="s">
        <v>46</v>
      </c>
      <c r="F93" s="15">
        <f>F84</f>
        <v>3.85</v>
      </c>
      <c r="G93" s="3" t="s">
        <v>47</v>
      </c>
      <c r="H93" s="12">
        <f>ROUND((D93*F93),0)</f>
        <v>412</v>
      </c>
    </row>
    <row r="94" spans="1:9">
      <c r="D94" s="12"/>
      <c r="H94" s="21"/>
    </row>
    <row r="95" spans="1:9">
      <c r="B95" s="3" t="s">
        <v>54</v>
      </c>
      <c r="D95" s="12">
        <f>D90+D91</f>
        <v>4272247</v>
      </c>
      <c r="E95" s="3" t="s">
        <v>44</v>
      </c>
      <c r="F95" s="9"/>
      <c r="H95" s="9">
        <f>SUM(H90:H93)</f>
        <v>390074</v>
      </c>
    </row>
    <row r="96" spans="1:9">
      <c r="F96" s="20"/>
    </row>
    <row r="98" spans="1:9">
      <c r="E98" s="9"/>
      <c r="G98" s="9"/>
      <c r="H98" s="9"/>
    </row>
    <row r="100" spans="1:9" ht="15.75">
      <c r="A100" s="4" t="s">
        <v>94</v>
      </c>
      <c r="B100" s="5" t="s">
        <v>17</v>
      </c>
      <c r="E100" s="9"/>
      <c r="G100" s="12"/>
      <c r="I100" s="12"/>
    </row>
    <row r="101" spans="1:9">
      <c r="B101" s="3" t="s">
        <v>55</v>
      </c>
      <c r="D101" s="3" t="s">
        <v>80</v>
      </c>
      <c r="E101" s="26">
        <f>E16-D92-D93</f>
        <v>1658209</v>
      </c>
      <c r="F101" s="3" t="s">
        <v>108</v>
      </c>
      <c r="G101" s="15">
        <f>$H$14</f>
        <v>16</v>
      </c>
      <c r="H101" s="3" t="s">
        <v>959</v>
      </c>
      <c r="I101" s="9">
        <f>ROUND((E101*G101),0)</f>
        <v>26531344</v>
      </c>
    </row>
    <row r="103" spans="1:9">
      <c r="E103" s="9"/>
      <c r="F103" s="9"/>
      <c r="G103" s="9"/>
      <c r="H103" s="27"/>
      <c r="I103" s="9"/>
    </row>
    <row r="105" spans="1:9" ht="15.75">
      <c r="A105" s="4" t="s">
        <v>95</v>
      </c>
      <c r="B105" s="5" t="s">
        <v>56</v>
      </c>
      <c r="C105" s="5"/>
    </row>
    <row r="106" spans="1:9">
      <c r="B106" s="3" t="s">
        <v>57</v>
      </c>
      <c r="D106" s="3" t="s">
        <v>80</v>
      </c>
      <c r="E106" s="58">
        <v>261119</v>
      </c>
      <c r="F106" s="3" t="s">
        <v>107</v>
      </c>
      <c r="G106" s="18">
        <f>+F55</f>
        <v>5.2159999999999998E-2</v>
      </c>
      <c r="H106" s="3" t="s">
        <v>958</v>
      </c>
      <c r="I106" s="9">
        <f>ROUND((E106*G106),0)</f>
        <v>13620</v>
      </c>
    </row>
    <row r="108" spans="1:9">
      <c r="B108" s="3" t="s">
        <v>147</v>
      </c>
      <c r="E108" s="10">
        <f>I9</f>
        <v>230742396</v>
      </c>
      <c r="H108" s="9"/>
    </row>
    <row r="109" spans="1:9">
      <c r="B109" s="3" t="s">
        <v>126</v>
      </c>
      <c r="E109" s="9">
        <f>H95</f>
        <v>390074</v>
      </c>
      <c r="H109" s="9"/>
    </row>
    <row r="110" spans="1:9">
      <c r="B110" s="3" t="s">
        <v>32</v>
      </c>
      <c r="E110" s="10">
        <f>I101</f>
        <v>26531344</v>
      </c>
      <c r="H110" s="12"/>
    </row>
    <row r="111" spans="1:9">
      <c r="B111" s="3" t="s">
        <v>109</v>
      </c>
      <c r="E111" s="10">
        <f>I106</f>
        <v>13620</v>
      </c>
      <c r="H111" s="12"/>
    </row>
    <row r="112" spans="1:9">
      <c r="B112" s="13"/>
      <c r="C112" s="13"/>
      <c r="D112" s="13"/>
      <c r="E112" s="29"/>
      <c r="H112" s="12"/>
    </row>
    <row r="113" spans="1:9">
      <c r="B113" s="3" t="s">
        <v>58</v>
      </c>
      <c r="E113" s="9">
        <f>((E108-E110)-E111-E109)</f>
        <v>203807358</v>
      </c>
    </row>
    <row r="114" spans="1:9">
      <c r="B114" s="3" t="s">
        <v>59</v>
      </c>
      <c r="E114" s="55">
        <v>2255616379</v>
      </c>
      <c r="H114" s="12"/>
    </row>
    <row r="115" spans="1:9">
      <c r="E115" s="10"/>
      <c r="H115" s="12"/>
    </row>
    <row r="116" spans="1:9">
      <c r="B116" s="3" t="s">
        <v>110</v>
      </c>
      <c r="E116" s="18">
        <f>ROUND((E113/E114),5)</f>
        <v>9.0359999999999996E-2</v>
      </c>
      <c r="F116" s="3" t="s">
        <v>23</v>
      </c>
      <c r="H116" s="18"/>
    </row>
    <row r="119" spans="1:9" ht="15.75">
      <c r="A119" s="4" t="s">
        <v>96</v>
      </c>
      <c r="B119" s="5" t="s">
        <v>60</v>
      </c>
    </row>
    <row r="120" spans="1:9">
      <c r="D120" s="16" t="s">
        <v>61</v>
      </c>
      <c r="F120" s="16" t="s">
        <v>62</v>
      </c>
      <c r="H120" s="16" t="s">
        <v>4</v>
      </c>
      <c r="I120" s="16" t="s">
        <v>63</v>
      </c>
    </row>
    <row r="121" spans="1:9">
      <c r="F121" s="6"/>
      <c r="H121" s="6"/>
    </row>
    <row r="122" spans="1:9">
      <c r="B122" s="3" t="s">
        <v>111</v>
      </c>
      <c r="C122" s="3" t="s">
        <v>80</v>
      </c>
      <c r="D122" s="26">
        <f>E114</f>
        <v>2255616379</v>
      </c>
      <c r="E122" s="3" t="s">
        <v>44</v>
      </c>
      <c r="F122" s="18">
        <f>E116-0.00001</f>
        <v>9.035E-2</v>
      </c>
      <c r="G122" s="3" t="s">
        <v>288</v>
      </c>
      <c r="H122" s="12">
        <f>ROUND((D122*F122),0)</f>
        <v>203794940</v>
      </c>
    </row>
    <row r="123" spans="1:9">
      <c r="B123" s="3" t="s">
        <v>64</v>
      </c>
      <c r="D123" s="12">
        <f>+E106</f>
        <v>261119</v>
      </c>
      <c r="E123" s="3" t="s">
        <v>44</v>
      </c>
      <c r="F123" s="18">
        <f>+G106</f>
        <v>5.2159999999999998E-2</v>
      </c>
      <c r="G123" s="3" t="s">
        <v>23</v>
      </c>
      <c r="H123" s="12">
        <f>ROUND((D123*F123),0)</f>
        <v>13620</v>
      </c>
    </row>
    <row r="124" spans="1:9">
      <c r="B124" s="3" t="s">
        <v>53</v>
      </c>
      <c r="D124" s="12">
        <f>+E101</f>
        <v>1658209</v>
      </c>
      <c r="E124" s="3" t="s">
        <v>46</v>
      </c>
      <c r="F124" s="15">
        <f>+G101</f>
        <v>16</v>
      </c>
      <c r="G124" s="3" t="s">
        <v>14</v>
      </c>
      <c r="H124" s="12">
        <f>ROUND((D124*F124),0)</f>
        <v>26531344</v>
      </c>
    </row>
    <row r="125" spans="1:9">
      <c r="D125" s="12"/>
      <c r="G125" s="15"/>
      <c r="H125" s="13"/>
    </row>
    <row r="126" spans="1:9">
      <c r="B126" s="3" t="s">
        <v>54</v>
      </c>
      <c r="D126" s="12">
        <f>SUM(D122:D123)</f>
        <v>2255877498</v>
      </c>
      <c r="E126" s="3" t="s">
        <v>44</v>
      </c>
      <c r="H126" s="9">
        <f>SUM(H122:H124)</f>
        <v>230339904</v>
      </c>
      <c r="I126" s="30">
        <f>H126-E113-E110-E111</f>
        <v>-12418</v>
      </c>
    </row>
    <row r="128" spans="1:9">
      <c r="B128" s="3" t="s">
        <v>81</v>
      </c>
    </row>
    <row r="135" spans="1:7" ht="15.75">
      <c r="A135" s="4" t="s">
        <v>97</v>
      </c>
      <c r="B135" s="5" t="s">
        <v>134</v>
      </c>
      <c r="C135" s="5"/>
    </row>
    <row r="136" spans="1:7" ht="15.75">
      <c r="A136" s="54"/>
      <c r="C136" s="5"/>
    </row>
    <row r="137" spans="1:7" ht="15.75">
      <c r="A137" s="54"/>
      <c r="B137" s="3" t="s">
        <v>145</v>
      </c>
      <c r="C137" s="5"/>
    </row>
    <row r="138" spans="1:7">
      <c r="A138" s="52"/>
      <c r="D138" s="6" t="s">
        <v>113</v>
      </c>
      <c r="E138" s="6" t="s">
        <v>141</v>
      </c>
      <c r="F138" s="6" t="s">
        <v>141</v>
      </c>
      <c r="G138" s="6" t="s">
        <v>141</v>
      </c>
    </row>
    <row r="139" spans="1:7">
      <c r="A139" s="52"/>
      <c r="D139" s="6" t="s">
        <v>117</v>
      </c>
      <c r="E139" s="6" t="s">
        <v>137</v>
      </c>
      <c r="F139" s="6" t="s">
        <v>117</v>
      </c>
      <c r="G139" s="6" t="s">
        <v>148</v>
      </c>
    </row>
    <row r="140" spans="1:7">
      <c r="A140" s="52"/>
      <c r="D140" s="6" t="s">
        <v>139</v>
      </c>
      <c r="E140" s="6" t="s">
        <v>8</v>
      </c>
      <c r="F140" s="6" t="s">
        <v>139</v>
      </c>
      <c r="G140" s="6" t="s">
        <v>8</v>
      </c>
    </row>
    <row r="141" spans="1:7">
      <c r="A141" s="52"/>
      <c r="D141" s="34" t="s">
        <v>140</v>
      </c>
      <c r="E141" s="34" t="s">
        <v>138</v>
      </c>
      <c r="F141" s="34" t="s">
        <v>140</v>
      </c>
      <c r="G141" s="34" t="s">
        <v>138</v>
      </c>
    </row>
    <row r="142" spans="1:7">
      <c r="A142" s="52"/>
    </row>
    <row r="143" spans="1:7">
      <c r="A143" s="52"/>
      <c r="B143" s="3" t="s">
        <v>142</v>
      </c>
      <c r="D143" s="53">
        <v>8</v>
      </c>
      <c r="E143" s="53">
        <f>H14</f>
        <v>16</v>
      </c>
      <c r="F143" s="53">
        <f>D143</f>
        <v>8</v>
      </c>
      <c r="G143" s="15">
        <f>E143-F143</f>
        <v>8</v>
      </c>
    </row>
    <row r="144" spans="1:7">
      <c r="A144" s="52"/>
      <c r="B144" s="3" t="s">
        <v>135</v>
      </c>
      <c r="D144" s="53">
        <v>4</v>
      </c>
      <c r="E144" s="6"/>
      <c r="F144" s="53">
        <f>D144</f>
        <v>4</v>
      </c>
      <c r="G144" s="15">
        <f>E143-F144</f>
        <v>12</v>
      </c>
    </row>
    <row r="145" spans="1:8">
      <c r="A145" s="52"/>
      <c r="B145" s="3" t="s">
        <v>136</v>
      </c>
      <c r="D145" s="53">
        <v>10.8</v>
      </c>
      <c r="E145" s="53">
        <f>F92</f>
        <v>18.7</v>
      </c>
      <c r="F145" s="53">
        <f>D145</f>
        <v>10.8</v>
      </c>
      <c r="G145" s="15">
        <f>E145-F145</f>
        <v>7.8999999999999986</v>
      </c>
    </row>
    <row r="147" spans="1:8">
      <c r="E147" s="9"/>
      <c r="F147" s="9"/>
    </row>
    <row r="148" spans="1:8" ht="15.75">
      <c r="A148" s="54" t="s">
        <v>98</v>
      </c>
      <c r="B148" s="5" t="s">
        <v>65</v>
      </c>
      <c r="C148" s="5"/>
    </row>
    <row r="150" spans="1:8">
      <c r="B150" s="35" t="s">
        <v>105</v>
      </c>
      <c r="D150" s="25" t="s">
        <v>66</v>
      </c>
      <c r="F150" s="31" t="s">
        <v>41</v>
      </c>
      <c r="H150" s="27" t="s">
        <v>50</v>
      </c>
    </row>
    <row r="151" spans="1:8">
      <c r="B151" s="6" t="s">
        <v>80</v>
      </c>
      <c r="D151" s="23"/>
      <c r="F151" s="28"/>
      <c r="H151" s="32"/>
    </row>
    <row r="152" spans="1:8">
      <c r="B152" s="3" t="s">
        <v>67</v>
      </c>
      <c r="D152" s="12">
        <f>D174</f>
        <v>9237612</v>
      </c>
      <c r="E152" s="3" t="s">
        <v>44</v>
      </c>
      <c r="F152" s="18">
        <f>+F122</f>
        <v>9.035E-2</v>
      </c>
      <c r="G152" s="3" t="s">
        <v>23</v>
      </c>
      <c r="H152" s="9">
        <f>ROUND((D152*F152),0)</f>
        <v>834618</v>
      </c>
    </row>
    <row r="153" spans="1:8">
      <c r="B153" s="3" t="s">
        <v>143</v>
      </c>
      <c r="D153" s="12">
        <f>D175</f>
        <v>6791</v>
      </c>
      <c r="E153" s="3" t="s">
        <v>46</v>
      </c>
      <c r="F153" s="15">
        <f>G143</f>
        <v>8</v>
      </c>
      <c r="G153" s="3" t="s">
        <v>14</v>
      </c>
      <c r="H153" s="12">
        <f>ROUND((D153*F153),0)</f>
        <v>54328</v>
      </c>
    </row>
    <row r="154" spans="1:8">
      <c r="B154" s="3" t="s">
        <v>144</v>
      </c>
      <c r="D154" s="12">
        <f>D176</f>
        <v>1288</v>
      </c>
      <c r="E154" s="3" t="s">
        <v>46</v>
      </c>
      <c r="F154" s="15">
        <f>G144</f>
        <v>12</v>
      </c>
      <c r="G154" s="3" t="s">
        <v>14</v>
      </c>
      <c r="H154" s="12">
        <f>ROUND((D154*F154),0)</f>
        <v>15456</v>
      </c>
    </row>
    <row r="155" spans="1:8">
      <c r="B155" s="3" t="s">
        <v>68</v>
      </c>
      <c r="D155" s="26">
        <f>D177</f>
        <v>1069</v>
      </c>
      <c r="E155" s="3" t="s">
        <v>44</v>
      </c>
      <c r="F155" s="18">
        <f>G106</f>
        <v>5.2159999999999998E-2</v>
      </c>
      <c r="G155" s="3" t="s">
        <v>23</v>
      </c>
      <c r="H155" s="12">
        <f>ROUND((D155*F155),0)</f>
        <v>56</v>
      </c>
    </row>
    <row r="156" spans="1:8">
      <c r="D156" s="12"/>
      <c r="E156" s="20"/>
      <c r="G156" s="12"/>
      <c r="H156" s="33"/>
    </row>
    <row r="157" spans="1:8">
      <c r="B157" s="3" t="s">
        <v>9</v>
      </c>
      <c r="D157" s="12">
        <f>D152+D155</f>
        <v>9238681</v>
      </c>
      <c r="E157" s="3" t="s">
        <v>44</v>
      </c>
      <c r="G157" s="12"/>
      <c r="H157" s="9">
        <f>SUM(H152:H155)</f>
        <v>904458</v>
      </c>
    </row>
    <row r="158" spans="1:8">
      <c r="D158" s="12"/>
      <c r="G158" s="12"/>
      <c r="H158" s="9"/>
    </row>
    <row r="159" spans="1:8">
      <c r="D159" s="12"/>
      <c r="G159" s="12"/>
      <c r="H159" s="9"/>
    </row>
    <row r="160" spans="1:8">
      <c r="B160" s="6" t="s">
        <v>88</v>
      </c>
      <c r="D160" s="23"/>
      <c r="F160" s="28"/>
      <c r="H160" s="32"/>
    </row>
    <row r="161" spans="1:8">
      <c r="B161" s="3" t="s">
        <v>86</v>
      </c>
      <c r="D161" s="12">
        <f>D183</f>
        <v>119747</v>
      </c>
      <c r="E161" s="3" t="s">
        <v>44</v>
      </c>
      <c r="F161" s="18">
        <f>F90</f>
        <v>0.13879</v>
      </c>
      <c r="G161" s="3" t="s">
        <v>23</v>
      </c>
      <c r="H161" s="9">
        <f>ROUND((D161*F161),0)</f>
        <v>16620</v>
      </c>
    </row>
    <row r="162" spans="1:8">
      <c r="B162" s="3" t="s">
        <v>87</v>
      </c>
      <c r="D162" s="26">
        <f>D184</f>
        <v>222162</v>
      </c>
      <c r="E162" s="3" t="s">
        <v>44</v>
      </c>
      <c r="F162" s="18">
        <f>F91</f>
        <v>5.2159999999999998E-2</v>
      </c>
      <c r="G162" s="3" t="s">
        <v>23</v>
      </c>
      <c r="H162" s="12">
        <f>ROUND((D162*F162),0)</f>
        <v>11588</v>
      </c>
    </row>
    <row r="163" spans="1:8">
      <c r="B163" s="3" t="s">
        <v>8</v>
      </c>
      <c r="D163" s="26">
        <f>D185</f>
        <v>167</v>
      </c>
      <c r="E163" s="3" t="s">
        <v>46</v>
      </c>
      <c r="F163" s="15">
        <f>G145</f>
        <v>7.8999999999999986</v>
      </c>
      <c r="G163" s="3" t="s">
        <v>14</v>
      </c>
      <c r="H163" s="12">
        <f>ROUND((D163*F163),0)</f>
        <v>1319</v>
      </c>
    </row>
    <row r="164" spans="1:8">
      <c r="D164" s="12"/>
      <c r="E164" s="20"/>
      <c r="G164" s="12"/>
      <c r="H164" s="33"/>
    </row>
    <row r="165" spans="1:8">
      <c r="B165" s="3" t="s">
        <v>9</v>
      </c>
      <c r="D165" s="12">
        <f>D161+D162</f>
        <v>341909</v>
      </c>
      <c r="E165" s="3" t="s">
        <v>44</v>
      </c>
      <c r="G165" s="12"/>
      <c r="H165" s="9">
        <f>SUM(H161:H163)</f>
        <v>29527</v>
      </c>
    </row>
    <row r="166" spans="1:8">
      <c r="D166" s="12"/>
      <c r="G166" s="12"/>
      <c r="H166" s="9"/>
    </row>
    <row r="167" spans="1:8">
      <c r="B167" s="3" t="s">
        <v>89</v>
      </c>
      <c r="D167" s="9">
        <f>H157</f>
        <v>904458</v>
      </c>
      <c r="E167" s="6" t="s">
        <v>90</v>
      </c>
      <c r="F167" s="9">
        <f>H165</f>
        <v>29527</v>
      </c>
      <c r="G167" s="6" t="s">
        <v>72</v>
      </c>
      <c r="H167" s="9">
        <f>D167+F167</f>
        <v>933985</v>
      </c>
    </row>
    <row r="168" spans="1:8">
      <c r="D168" s="9"/>
      <c r="G168" s="12"/>
      <c r="H168" s="9"/>
    </row>
    <row r="169" spans="1:8">
      <c r="D169" s="12"/>
      <c r="E169" s="20"/>
      <c r="G169" s="12"/>
    </row>
    <row r="170" spans="1:8" ht="15.75">
      <c r="A170" s="4" t="s">
        <v>99</v>
      </c>
      <c r="B170" s="5" t="s">
        <v>69</v>
      </c>
      <c r="C170" s="5"/>
      <c r="D170" s="5"/>
    </row>
    <row r="172" spans="1:8">
      <c r="B172" s="35" t="s">
        <v>106</v>
      </c>
      <c r="D172" s="25" t="s">
        <v>66</v>
      </c>
      <c r="F172" s="31" t="s">
        <v>41</v>
      </c>
      <c r="H172" s="16" t="s">
        <v>11</v>
      </c>
    </row>
    <row r="173" spans="1:8">
      <c r="B173" s="6" t="s">
        <v>80</v>
      </c>
      <c r="D173" s="23"/>
      <c r="F173" s="28"/>
      <c r="H173" s="6"/>
    </row>
    <row r="174" spans="1:8">
      <c r="B174" s="3" t="s">
        <v>67</v>
      </c>
      <c r="D174" s="55">
        <v>9237612</v>
      </c>
      <c r="E174" s="3" t="s">
        <v>44</v>
      </c>
      <c r="F174" s="18">
        <f>+F122</f>
        <v>9.035E-2</v>
      </c>
      <c r="G174" s="3" t="s">
        <v>23</v>
      </c>
      <c r="H174" s="12">
        <f>ROUND((D174*F174),0)</f>
        <v>834618</v>
      </c>
    </row>
    <row r="175" spans="1:8">
      <c r="B175" s="3" t="s">
        <v>143</v>
      </c>
      <c r="D175" s="55">
        <v>6791</v>
      </c>
      <c r="E175" s="3" t="s">
        <v>46</v>
      </c>
      <c r="F175" s="15">
        <f>E143</f>
        <v>16</v>
      </c>
      <c r="G175" s="3" t="s">
        <v>14</v>
      </c>
      <c r="H175" s="12">
        <f>ROUND((D175*F175),0)</f>
        <v>108656</v>
      </c>
    </row>
    <row r="176" spans="1:8">
      <c r="B176" s="3" t="s">
        <v>144</v>
      </c>
      <c r="D176" s="55">
        <v>1288</v>
      </c>
      <c r="E176" s="3" t="s">
        <v>46</v>
      </c>
      <c r="F176" s="15">
        <f>E143</f>
        <v>16</v>
      </c>
      <c r="G176" s="3" t="s">
        <v>14</v>
      </c>
      <c r="H176" s="12">
        <f>ROUND((D176*F176),0)</f>
        <v>20608</v>
      </c>
    </row>
    <row r="177" spans="2:8">
      <c r="B177" s="3" t="s">
        <v>68</v>
      </c>
      <c r="D177" s="55">
        <v>1069</v>
      </c>
      <c r="E177" s="3" t="s">
        <v>44</v>
      </c>
      <c r="F177" s="18">
        <f>G106</f>
        <v>5.2159999999999998E-2</v>
      </c>
      <c r="G177" s="3" t="s">
        <v>23</v>
      </c>
      <c r="H177" s="12">
        <f>ROUND((D177*F177),0)</f>
        <v>56</v>
      </c>
    </row>
    <row r="178" spans="2:8">
      <c r="D178" s="12"/>
      <c r="E178" s="20"/>
      <c r="G178" s="12"/>
      <c r="H178" s="21"/>
    </row>
    <row r="179" spans="2:8">
      <c r="B179" s="3" t="s">
        <v>9</v>
      </c>
      <c r="D179" s="12">
        <f>+D174+D177</f>
        <v>9238681</v>
      </c>
      <c r="E179" s="3" t="s">
        <v>44</v>
      </c>
      <c r="G179" s="12"/>
      <c r="H179" s="9">
        <f>SUM(H174:H177)</f>
        <v>963938</v>
      </c>
    </row>
    <row r="180" spans="2:8">
      <c r="D180" s="12"/>
      <c r="H180" s="9"/>
    </row>
    <row r="181" spans="2:8">
      <c r="D181" s="12"/>
      <c r="H181" s="9"/>
    </row>
    <row r="182" spans="2:8">
      <c r="B182" s="6" t="s">
        <v>88</v>
      </c>
      <c r="D182" s="23"/>
      <c r="F182" s="28"/>
      <c r="H182" s="32"/>
    </row>
    <row r="183" spans="2:8">
      <c r="B183" s="3" t="s">
        <v>86</v>
      </c>
      <c r="D183" s="55">
        <v>119747</v>
      </c>
      <c r="E183" s="3" t="s">
        <v>44</v>
      </c>
      <c r="F183" s="18">
        <f>F90</f>
        <v>0.13879</v>
      </c>
      <c r="G183" s="3" t="s">
        <v>23</v>
      </c>
      <c r="H183" s="9">
        <f>ROUND((D183*F183),0)</f>
        <v>16620</v>
      </c>
    </row>
    <row r="184" spans="2:8">
      <c r="B184" s="3" t="s">
        <v>87</v>
      </c>
      <c r="D184" s="55">
        <v>222162</v>
      </c>
      <c r="E184" s="3" t="s">
        <v>44</v>
      </c>
      <c r="F184" s="18">
        <f>F91</f>
        <v>5.2159999999999998E-2</v>
      </c>
      <c r="G184" s="3" t="s">
        <v>23</v>
      </c>
      <c r="H184" s="12">
        <f>ROUND((D184*F184),0)</f>
        <v>11588</v>
      </c>
    </row>
    <row r="185" spans="2:8">
      <c r="B185" s="3" t="s">
        <v>8</v>
      </c>
      <c r="D185" s="55">
        <v>167</v>
      </c>
      <c r="E185" s="3" t="s">
        <v>46</v>
      </c>
      <c r="F185" s="15">
        <f>E145</f>
        <v>18.7</v>
      </c>
      <c r="G185" s="3" t="s">
        <v>14</v>
      </c>
      <c r="H185" s="12">
        <f>ROUND((D185*F185),0)</f>
        <v>3123</v>
      </c>
    </row>
    <row r="186" spans="2:8">
      <c r="D186" s="12"/>
      <c r="E186" s="20"/>
      <c r="G186" s="12"/>
      <c r="H186" s="33"/>
    </row>
    <row r="187" spans="2:8">
      <c r="B187" s="3" t="s">
        <v>9</v>
      </c>
      <c r="D187" s="12">
        <f>D183+D184</f>
        <v>341909</v>
      </c>
      <c r="E187" s="3" t="s">
        <v>44</v>
      </c>
      <c r="G187" s="12"/>
      <c r="H187" s="9">
        <f>SUM(H183:H185)</f>
        <v>31331</v>
      </c>
    </row>
    <row r="188" spans="2:8">
      <c r="D188" s="12"/>
      <c r="H188" s="9"/>
    </row>
    <row r="189" spans="2:8">
      <c r="B189" s="3" t="s">
        <v>89</v>
      </c>
      <c r="D189" s="9">
        <f>H179</f>
        <v>963938</v>
      </c>
      <c r="E189" s="6" t="s">
        <v>90</v>
      </c>
      <c r="F189" s="9">
        <f>H187</f>
        <v>31331</v>
      </c>
      <c r="G189" s="6" t="s">
        <v>72</v>
      </c>
      <c r="H189" s="9">
        <f>D189+F189</f>
        <v>995269</v>
      </c>
    </row>
    <row r="190" spans="2:8">
      <c r="D190" s="12"/>
      <c r="F190" s="9"/>
      <c r="H190" s="9"/>
    </row>
    <row r="191" spans="2:8">
      <c r="D191" s="12"/>
      <c r="H191" s="9"/>
    </row>
    <row r="193" spans="1:9">
      <c r="B193" s="3" t="s">
        <v>70</v>
      </c>
      <c r="D193" s="9">
        <f>H189</f>
        <v>995269</v>
      </c>
      <c r="E193" s="6" t="s">
        <v>71</v>
      </c>
      <c r="F193" s="9">
        <f>H167</f>
        <v>933985</v>
      </c>
      <c r="G193" s="6" t="s">
        <v>72</v>
      </c>
      <c r="H193" s="9">
        <f>D193-F193</f>
        <v>61284</v>
      </c>
    </row>
    <row r="198" spans="1:9" ht="15.75">
      <c r="A198" s="4" t="s">
        <v>100</v>
      </c>
      <c r="B198" s="5" t="s">
        <v>73</v>
      </c>
    </row>
    <row r="200" spans="1:9">
      <c r="B200" s="6" t="s">
        <v>74</v>
      </c>
      <c r="D200" s="16" t="s">
        <v>75</v>
      </c>
      <c r="F200" s="16" t="s">
        <v>76</v>
      </c>
      <c r="H200" s="16" t="s">
        <v>11</v>
      </c>
      <c r="I200" s="6" t="s">
        <v>77</v>
      </c>
    </row>
    <row r="201" spans="1:9">
      <c r="F201" s="6"/>
      <c r="H201" s="6"/>
    </row>
    <row r="202" spans="1:9">
      <c r="B202" s="3" t="s">
        <v>78</v>
      </c>
      <c r="D202" s="12">
        <f>+D124</f>
        <v>1658209</v>
      </c>
      <c r="F202" s="12">
        <f>D126</f>
        <v>2255877498</v>
      </c>
      <c r="H202" s="9">
        <f>+H126</f>
        <v>230339904</v>
      </c>
    </row>
    <row r="203" spans="1:9">
      <c r="B203" s="3" t="s">
        <v>149</v>
      </c>
      <c r="D203" s="12">
        <f>+D92+D93</f>
        <v>2100</v>
      </c>
      <c r="F203" s="12">
        <f>+D95</f>
        <v>4272247</v>
      </c>
      <c r="H203" s="12">
        <f>+H95</f>
        <v>390074</v>
      </c>
    </row>
    <row r="204" spans="1:9">
      <c r="B204" s="3" t="s">
        <v>127</v>
      </c>
      <c r="D204" s="12"/>
      <c r="F204" s="12"/>
      <c r="H204" s="12">
        <f>G9</f>
        <v>249045</v>
      </c>
    </row>
    <row r="205" spans="1:9">
      <c r="B205" s="3" t="s">
        <v>104</v>
      </c>
      <c r="D205" s="12" t="s">
        <v>80</v>
      </c>
      <c r="F205" s="12" t="s">
        <v>80</v>
      </c>
      <c r="H205" s="48">
        <f>-H193</f>
        <v>-61284</v>
      </c>
    </row>
    <row r="206" spans="1:9">
      <c r="B206" s="13"/>
      <c r="C206" s="13"/>
      <c r="D206" s="21"/>
      <c r="E206" s="13"/>
      <c r="F206" s="21"/>
      <c r="G206" s="13"/>
      <c r="H206" s="21"/>
      <c r="I206" s="13"/>
    </row>
    <row r="207" spans="1:9">
      <c r="B207" s="3" t="s">
        <v>79</v>
      </c>
      <c r="D207" s="12">
        <f>SUM(D202:D205)</f>
        <v>1660309</v>
      </c>
      <c r="F207" s="12">
        <f>SUM(F202:F205)</f>
        <v>2260149745</v>
      </c>
      <c r="H207" s="9">
        <f>SUM(H202:H205)</f>
        <v>230917739</v>
      </c>
      <c r="I207" s="8">
        <f>H207-F9</f>
        <v>-12418</v>
      </c>
    </row>
    <row r="208" spans="1:9">
      <c r="H208" s="12"/>
    </row>
    <row r="210" spans="2:2" ht="15.75">
      <c r="B210" s="4"/>
    </row>
  </sheetData>
  <phoneticPr fontId="0" type="noConversion"/>
  <printOptions horizontalCentered="1"/>
  <pageMargins left="0.5" right="0.5" top="1" bottom="0.5" header="0.5" footer="0.5"/>
  <pageSetup scale="68" fitToHeight="0" orientation="portrait" r:id="rId1"/>
  <headerFooter alignWithMargins="0">
    <oddHeader xml:space="preserve">&amp;L&amp;"Arial,Regular"&amp;F
Page &amp;P of &amp;N&amp;C&amp;"Arial,Regular"KENTUCKY POWER COMPANY
RS Rate Design
Twelve Months Ended September 30, 2014
</oddHeader>
  </headerFooter>
  <rowBreaks count="3" manualBreakCount="3">
    <brk id="58" max="16383" man="1"/>
    <brk id="128" max="9" man="1"/>
    <brk id="19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V309"/>
  <sheetViews>
    <sheetView showOutlineSymbols="0" topLeftCell="A285" zoomScaleNormal="100" workbookViewId="0">
      <selection activeCell="M311" sqref="A311:M311"/>
    </sheetView>
  </sheetViews>
  <sheetFormatPr defaultColWidth="9.75" defaultRowHeight="15"/>
  <cols>
    <col min="1" max="1" width="4.75" style="392" customWidth="1"/>
    <col min="2" max="2" width="15.5" style="392" customWidth="1"/>
    <col min="3" max="3" width="24.125" style="392" customWidth="1"/>
    <col min="4" max="4" width="15.875" style="392" customWidth="1"/>
    <col min="5" max="5" width="6.75" style="392" customWidth="1"/>
    <col min="6" max="6" width="14.125" style="392" bestFit="1" customWidth="1"/>
    <col min="7" max="7" width="8.25" style="392" customWidth="1"/>
    <col min="8" max="8" width="16.5" style="392" bestFit="1" customWidth="1"/>
    <col min="9" max="9" width="5.75" style="392" customWidth="1"/>
    <col min="10" max="10" width="14.125" style="392" bestFit="1" customWidth="1"/>
    <col min="11" max="11" width="5.75" style="392" customWidth="1"/>
    <col min="12" max="12" width="27.625" style="392" customWidth="1"/>
    <col min="13" max="16" width="11.625" style="392" customWidth="1"/>
    <col min="17" max="17" width="13.5" style="392" bestFit="1" customWidth="1"/>
    <col min="18" max="16384" width="9.75" style="392"/>
  </cols>
  <sheetData>
    <row r="1" spans="1:17">
      <c r="A1" s="99"/>
      <c r="B1" s="99" t="s">
        <v>101</v>
      </c>
      <c r="C1" s="99"/>
      <c r="F1" s="506"/>
      <c r="G1" s="498"/>
      <c r="H1" s="498"/>
      <c r="I1" s="497"/>
      <c r="L1" s="416" t="s">
        <v>80</v>
      </c>
    </row>
    <row r="2" spans="1:17">
      <c r="F2" s="506"/>
      <c r="G2" s="498"/>
      <c r="H2" s="506"/>
      <c r="I2" s="503"/>
      <c r="J2" s="416" t="s">
        <v>83</v>
      </c>
      <c r="L2" s="416" t="s">
        <v>80</v>
      </c>
    </row>
    <row r="3" spans="1:17">
      <c r="E3" s="393"/>
      <c r="F3" s="505"/>
      <c r="G3" s="498"/>
      <c r="H3" s="504"/>
      <c r="I3" s="503"/>
      <c r="J3" s="108" t="s">
        <v>1</v>
      </c>
    </row>
    <row r="4" spans="1:17">
      <c r="B4" s="99"/>
      <c r="C4" s="99"/>
      <c r="F4" s="498"/>
      <c r="G4" s="498"/>
      <c r="H4" s="498"/>
      <c r="I4" s="497"/>
    </row>
    <row r="5" spans="1:17">
      <c r="B5" s="99" t="s">
        <v>512</v>
      </c>
      <c r="C5" s="392" t="s">
        <v>80</v>
      </c>
      <c r="F5" s="502"/>
      <c r="G5" s="498"/>
      <c r="H5" s="501"/>
      <c r="I5" s="497"/>
      <c r="J5" s="393">
        <f>(19692588+5561912+128427+44700977)</f>
        <v>70083904</v>
      </c>
      <c r="M5" s="500"/>
    </row>
    <row r="6" spans="1:17">
      <c r="B6" s="99" t="s">
        <v>340</v>
      </c>
      <c r="F6" s="499"/>
      <c r="G6" s="498"/>
      <c r="H6" s="495"/>
      <c r="I6" s="497"/>
      <c r="J6" s="396">
        <f>25031752+66393655</f>
        <v>91425407</v>
      </c>
      <c r="M6" s="500"/>
    </row>
    <row r="7" spans="1:17">
      <c r="B7" s="99" t="s">
        <v>339</v>
      </c>
      <c r="E7" s="497"/>
      <c r="F7" s="499"/>
      <c r="G7" s="498"/>
      <c r="H7" s="495"/>
      <c r="I7" s="497"/>
      <c r="J7" s="396">
        <f>307323+117463</f>
        <v>424786</v>
      </c>
      <c r="K7" s="393"/>
    </row>
    <row r="8" spans="1:17">
      <c r="E8" s="452"/>
      <c r="F8" s="496"/>
      <c r="G8" s="496"/>
      <c r="H8" s="495"/>
      <c r="I8" s="452"/>
      <c r="J8" s="406"/>
      <c r="M8" s="415"/>
    </row>
    <row r="9" spans="1:17">
      <c r="B9" s="392" t="s">
        <v>9</v>
      </c>
      <c r="F9" s="447"/>
      <c r="G9" s="394"/>
      <c r="H9" s="494"/>
      <c r="J9" s="393">
        <f>SUM(J5:J7)</f>
        <v>161934097</v>
      </c>
    </row>
    <row r="10" spans="1:17" ht="14.25" customHeight="1"/>
    <row r="12" spans="1:17">
      <c r="A12" s="99" t="s">
        <v>12</v>
      </c>
      <c r="B12" s="493" t="s">
        <v>418</v>
      </c>
      <c r="C12" s="493"/>
    </row>
    <row r="13" spans="1:17" ht="15.75">
      <c r="A13" s="99"/>
      <c r="B13" s="488" t="s">
        <v>576</v>
      </c>
      <c r="D13" s="108" t="s">
        <v>380</v>
      </c>
      <c r="F13" s="108" t="s">
        <v>379</v>
      </c>
      <c r="H13" s="108" t="s">
        <v>377</v>
      </c>
      <c r="J13" s="108" t="s">
        <v>507</v>
      </c>
      <c r="M13" s="422" t="s">
        <v>575</v>
      </c>
      <c r="N13" s="416" t="s">
        <v>574</v>
      </c>
      <c r="O13" s="422" t="s">
        <v>573</v>
      </c>
      <c r="P13" s="416" t="s">
        <v>572</v>
      </c>
    </row>
    <row r="14" spans="1:17">
      <c r="A14" s="99"/>
      <c r="M14" s="484"/>
      <c r="N14" s="484"/>
      <c r="O14" s="484"/>
      <c r="P14" s="484"/>
      <c r="Q14" s="484"/>
    </row>
    <row r="15" spans="1:17">
      <c r="A15" s="99"/>
      <c r="B15" s="99" t="s">
        <v>562</v>
      </c>
      <c r="C15" s="99"/>
      <c r="D15" s="483">
        <v>52430</v>
      </c>
      <c r="F15" s="483">
        <v>747347</v>
      </c>
      <c r="H15" s="483">
        <v>927247</v>
      </c>
      <c r="J15" s="483">
        <v>145830</v>
      </c>
      <c r="M15" s="484"/>
      <c r="N15" s="484"/>
      <c r="O15" s="484"/>
      <c r="P15" s="484"/>
      <c r="Q15" s="484"/>
    </row>
    <row r="16" spans="1:17">
      <c r="A16" s="99"/>
      <c r="B16" s="99" t="s">
        <v>561</v>
      </c>
      <c r="C16" s="99"/>
      <c r="D16" s="483">
        <v>41767</v>
      </c>
      <c r="F16" s="483">
        <v>649744</v>
      </c>
      <c r="H16" s="483">
        <v>816264</v>
      </c>
      <c r="J16" s="483">
        <v>142365</v>
      </c>
      <c r="M16" s="484"/>
      <c r="N16" s="484"/>
      <c r="O16" s="484"/>
      <c r="P16" s="484"/>
      <c r="Q16" s="484"/>
    </row>
    <row r="17" spans="1:20">
      <c r="A17" s="99"/>
      <c r="B17" s="487" t="s">
        <v>560</v>
      </c>
      <c r="C17" s="487"/>
      <c r="D17" s="483">
        <v>463</v>
      </c>
      <c r="F17" s="483">
        <v>4273</v>
      </c>
      <c r="H17" s="483">
        <v>12051</v>
      </c>
      <c r="J17" s="483">
        <v>2250</v>
      </c>
      <c r="M17" s="484"/>
      <c r="N17" s="484"/>
      <c r="O17" s="484"/>
      <c r="P17" s="484"/>
      <c r="Q17" s="484"/>
    </row>
    <row r="18" spans="1:20">
      <c r="A18" s="99"/>
      <c r="B18" s="487" t="s">
        <v>559</v>
      </c>
      <c r="C18" s="487"/>
      <c r="D18" s="483"/>
      <c r="F18" s="483"/>
      <c r="H18" s="483"/>
      <c r="J18" s="483"/>
      <c r="M18" s="484"/>
      <c r="N18" s="484"/>
      <c r="O18" s="484"/>
      <c r="P18" s="484"/>
      <c r="Q18" s="484"/>
    </row>
    <row r="19" spans="1:20">
      <c r="A19" s="99"/>
      <c r="B19" s="487" t="s">
        <v>558</v>
      </c>
      <c r="C19" s="487"/>
      <c r="D19" s="483">
        <f>D15+D17</f>
        <v>52893</v>
      </c>
      <c r="F19" s="483">
        <f>F15+F17</f>
        <v>751620</v>
      </c>
      <c r="H19" s="483">
        <f>H15+H17</f>
        <v>939298</v>
      </c>
      <c r="J19" s="483">
        <f>J15+J17</f>
        <v>148080</v>
      </c>
      <c r="M19" s="484">
        <v>0.99755700000000003</v>
      </c>
      <c r="N19" s="484">
        <v>0.98365100000000005</v>
      </c>
      <c r="O19" s="484">
        <v>1.000167</v>
      </c>
      <c r="P19" s="484">
        <v>1.3634090000000001</v>
      </c>
      <c r="Q19" s="484" t="s">
        <v>571</v>
      </c>
      <c r="R19" s="492"/>
      <c r="S19" s="492"/>
      <c r="T19" s="492"/>
    </row>
    <row r="20" spans="1:20">
      <c r="A20" s="99"/>
      <c r="B20" s="99" t="s">
        <v>505</v>
      </c>
      <c r="C20" s="99"/>
      <c r="D20" s="483">
        <v>4387</v>
      </c>
      <c r="F20" s="483">
        <v>114172</v>
      </c>
      <c r="H20" s="483">
        <v>265869</v>
      </c>
      <c r="J20" s="483">
        <v>76675</v>
      </c>
      <c r="M20" s="489">
        <f>M19*D19</f>
        <v>52763.782401000004</v>
      </c>
      <c r="N20" s="489">
        <f>N19*F19</f>
        <v>739331.76462000003</v>
      </c>
      <c r="O20" s="489">
        <f>O19*H19</f>
        <v>939454.86276599998</v>
      </c>
      <c r="P20" s="489">
        <f>P19*J19</f>
        <v>201893.60472</v>
      </c>
      <c r="Q20" s="484" t="s">
        <v>570</v>
      </c>
    </row>
    <row r="21" spans="1:20">
      <c r="A21" s="99"/>
      <c r="B21" s="99" t="s">
        <v>504</v>
      </c>
      <c r="C21" s="99"/>
      <c r="D21" s="483">
        <v>22421138</v>
      </c>
      <c r="F21" s="483">
        <v>331215696</v>
      </c>
      <c r="H21" s="486">
        <v>342877689</v>
      </c>
      <c r="J21" s="483">
        <v>66309341</v>
      </c>
      <c r="M21" s="484"/>
      <c r="N21" s="484"/>
      <c r="O21" s="484"/>
      <c r="P21" s="484"/>
      <c r="Q21" s="484"/>
    </row>
    <row r="22" spans="1:20">
      <c r="A22" s="99"/>
      <c r="B22" s="99" t="s">
        <v>565</v>
      </c>
      <c r="C22" s="99"/>
      <c r="D22" s="483">
        <v>21605993</v>
      </c>
      <c r="F22" s="483">
        <v>306376814</v>
      </c>
      <c r="H22" s="483">
        <v>326136247</v>
      </c>
      <c r="J22" s="483">
        <v>66046679</v>
      </c>
      <c r="M22" s="484"/>
      <c r="N22" s="484"/>
      <c r="O22" s="484"/>
      <c r="P22" s="484"/>
      <c r="Q22" s="484"/>
    </row>
    <row r="23" spans="1:20">
      <c r="A23" s="99"/>
      <c r="B23" s="99" t="s">
        <v>564</v>
      </c>
      <c r="C23" s="99"/>
      <c r="D23" s="483">
        <v>815145</v>
      </c>
      <c r="F23" s="483">
        <v>24838882</v>
      </c>
      <c r="H23" s="483">
        <v>16741443</v>
      </c>
      <c r="J23" s="483">
        <v>262663</v>
      </c>
      <c r="M23" s="484"/>
      <c r="N23" s="484"/>
      <c r="O23" s="484"/>
      <c r="P23" s="484"/>
      <c r="Q23" s="484"/>
    </row>
    <row r="24" spans="1:20">
      <c r="A24" s="99"/>
      <c r="B24" s="99" t="s">
        <v>46</v>
      </c>
      <c r="C24" s="99"/>
      <c r="D24" s="483">
        <v>71</v>
      </c>
      <c r="F24" s="483">
        <v>479</v>
      </c>
      <c r="H24" s="483">
        <v>307</v>
      </c>
      <c r="J24" s="483">
        <v>60</v>
      </c>
      <c r="M24" s="484"/>
      <c r="N24" s="484"/>
      <c r="O24" s="484"/>
      <c r="P24" s="484"/>
      <c r="Q24" s="484"/>
    </row>
    <row r="25" spans="1:20">
      <c r="A25" s="99"/>
      <c r="B25" s="434"/>
      <c r="C25" s="434"/>
      <c r="M25" s="484"/>
      <c r="N25" s="484"/>
      <c r="O25" s="484"/>
      <c r="P25" s="484"/>
      <c r="Q25" s="484"/>
    </row>
    <row r="26" spans="1:20" ht="15.75">
      <c r="A26" s="99"/>
      <c r="B26" s="488" t="s">
        <v>569</v>
      </c>
      <c r="D26" s="108" t="s">
        <v>380</v>
      </c>
      <c r="F26" s="108" t="s">
        <v>379</v>
      </c>
      <c r="H26" s="108" t="s">
        <v>377</v>
      </c>
      <c r="J26" s="108" t="s">
        <v>507</v>
      </c>
      <c r="M26" s="484"/>
      <c r="N26" s="484"/>
      <c r="O26" s="484"/>
      <c r="P26" s="484"/>
      <c r="Q26" s="484"/>
    </row>
    <row r="27" spans="1:20">
      <c r="A27" s="99"/>
      <c r="M27" s="484"/>
      <c r="N27" s="484"/>
      <c r="O27" s="484"/>
      <c r="P27" s="484"/>
      <c r="Q27" s="484"/>
    </row>
    <row r="28" spans="1:20">
      <c r="A28" s="99"/>
      <c r="B28" s="99" t="s">
        <v>562</v>
      </c>
      <c r="C28" s="99"/>
      <c r="D28" s="483"/>
      <c r="F28" s="483"/>
      <c r="G28" s="394"/>
      <c r="H28" s="483">
        <v>2915472</v>
      </c>
      <c r="J28" s="483">
        <v>428879</v>
      </c>
      <c r="M28" s="484"/>
      <c r="N28" s="484"/>
      <c r="O28" s="484"/>
      <c r="P28" s="484"/>
      <c r="Q28" s="484"/>
    </row>
    <row r="29" spans="1:20">
      <c r="A29" s="99"/>
      <c r="B29" s="99" t="s">
        <v>561</v>
      </c>
      <c r="C29" s="99"/>
      <c r="D29" s="483"/>
      <c r="F29" s="483"/>
      <c r="G29" s="394"/>
      <c r="H29" s="483">
        <v>3028911</v>
      </c>
      <c r="J29" s="483">
        <v>414632</v>
      </c>
      <c r="M29" s="484"/>
      <c r="N29" s="484"/>
      <c r="O29" s="484"/>
      <c r="P29" s="484"/>
      <c r="Q29" s="484"/>
    </row>
    <row r="30" spans="1:20">
      <c r="A30" s="99"/>
      <c r="B30" s="487" t="s">
        <v>560</v>
      </c>
      <c r="C30" s="487"/>
      <c r="D30" s="483"/>
      <c r="F30" s="483"/>
      <c r="G30" s="394"/>
      <c r="H30" s="483">
        <f>O33</f>
        <v>121447.55205000001</v>
      </c>
      <c r="J30" s="483">
        <f>P33</f>
        <v>278.81312000000003</v>
      </c>
      <c r="M30" s="484"/>
      <c r="N30" s="484"/>
      <c r="O30" s="484"/>
      <c r="P30" s="484"/>
      <c r="Q30" s="484"/>
    </row>
    <row r="31" spans="1:20">
      <c r="A31" s="99"/>
      <c r="B31" s="487" t="s">
        <v>559</v>
      </c>
      <c r="C31" s="487"/>
      <c r="D31" s="483"/>
      <c r="F31" s="483"/>
      <c r="G31" s="394"/>
      <c r="H31" s="483">
        <v>87948</v>
      </c>
      <c r="J31" s="483">
        <v>124559</v>
      </c>
      <c r="M31" s="484"/>
      <c r="N31" s="484"/>
      <c r="O31" s="483">
        <v>121187</v>
      </c>
      <c r="P31" s="483">
        <v>316</v>
      </c>
      <c r="Q31" s="392" t="s">
        <v>568</v>
      </c>
    </row>
    <row r="32" spans="1:20">
      <c r="A32" s="99"/>
      <c r="B32" s="487" t="s">
        <v>558</v>
      </c>
      <c r="C32" s="487"/>
      <c r="D32" s="483"/>
      <c r="F32" s="491"/>
      <c r="G32" s="490"/>
      <c r="H32" s="483">
        <f>H28+H30</f>
        <v>3036919.5520500001</v>
      </c>
      <c r="J32" s="483">
        <f>J28+J30</f>
        <v>429157.81312000001</v>
      </c>
      <c r="M32" s="484"/>
      <c r="N32" s="484"/>
      <c r="O32" s="484">
        <v>1.0021500000000001</v>
      </c>
      <c r="P32" s="484">
        <v>0.88231999999999999</v>
      </c>
      <c r="Q32" s="484" t="s">
        <v>567</v>
      </c>
    </row>
    <row r="33" spans="1:17">
      <c r="A33" s="99"/>
      <c r="B33" s="99" t="s">
        <v>505</v>
      </c>
      <c r="C33" s="99"/>
      <c r="D33" s="483"/>
      <c r="F33" s="483"/>
      <c r="G33" s="394"/>
      <c r="H33" s="483">
        <v>202954</v>
      </c>
      <c r="J33" s="483">
        <v>20478</v>
      </c>
      <c r="M33" s="484"/>
      <c r="N33" s="484"/>
      <c r="O33" s="489">
        <f>O32*O31</f>
        <v>121447.55205000001</v>
      </c>
      <c r="P33" s="489">
        <f>P32*P31</f>
        <v>278.81312000000003</v>
      </c>
      <c r="Q33" s="484" t="s">
        <v>566</v>
      </c>
    </row>
    <row r="34" spans="1:17">
      <c r="A34" s="99"/>
      <c r="B34" s="99" t="s">
        <v>504</v>
      </c>
      <c r="C34" s="99"/>
      <c r="D34" s="483"/>
      <c r="F34" s="483"/>
      <c r="G34" s="394"/>
      <c r="H34" s="483">
        <v>1764053671</v>
      </c>
      <c r="J34" s="483">
        <v>292348340</v>
      </c>
      <c r="M34" s="484"/>
      <c r="N34" s="484"/>
      <c r="O34" s="484"/>
      <c r="P34" s="484"/>
      <c r="Q34" s="484"/>
    </row>
    <row r="35" spans="1:17">
      <c r="A35" s="99"/>
      <c r="B35" s="99" t="s">
        <v>565</v>
      </c>
      <c r="C35" s="99"/>
      <c r="D35" s="483"/>
      <c r="F35" s="483"/>
      <c r="G35" s="394"/>
      <c r="H35" s="483">
        <v>1402048411</v>
      </c>
      <c r="J35" s="483">
        <v>226494416</v>
      </c>
      <c r="M35" s="484"/>
      <c r="N35" s="484"/>
      <c r="O35" s="484"/>
      <c r="P35" s="484"/>
      <c r="Q35" s="484"/>
    </row>
    <row r="36" spans="1:17">
      <c r="A36" s="99"/>
      <c r="B36" s="99" t="s">
        <v>564</v>
      </c>
      <c r="C36" s="99"/>
      <c r="D36" s="483"/>
      <c r="F36" s="483"/>
      <c r="H36" s="483">
        <v>362005260</v>
      </c>
      <c r="J36" s="483">
        <v>65853924</v>
      </c>
      <c r="M36" s="484"/>
      <c r="N36" s="484"/>
      <c r="O36" s="484"/>
      <c r="P36" s="484"/>
      <c r="Q36" s="484"/>
    </row>
    <row r="37" spans="1:17">
      <c r="A37" s="99"/>
      <c r="B37" s="99" t="s">
        <v>46</v>
      </c>
      <c r="C37" s="99"/>
      <c r="D37" s="483"/>
      <c r="F37" s="483"/>
      <c r="H37" s="483">
        <v>107</v>
      </c>
      <c r="J37" s="483">
        <v>24</v>
      </c>
      <c r="M37" s="484"/>
      <c r="N37" s="484"/>
      <c r="O37" s="484"/>
      <c r="P37" s="484"/>
      <c r="Q37" s="484"/>
    </row>
    <row r="38" spans="1:17">
      <c r="A38" s="99"/>
      <c r="B38" s="434"/>
      <c r="C38" s="434"/>
      <c r="M38" s="484"/>
      <c r="N38" s="484"/>
      <c r="O38" s="484"/>
      <c r="P38" s="484"/>
      <c r="Q38" s="484"/>
    </row>
    <row r="39" spans="1:17" ht="15.75">
      <c r="B39" s="488" t="s">
        <v>563</v>
      </c>
      <c r="D39" s="108" t="s">
        <v>380</v>
      </c>
      <c r="F39" s="108" t="s">
        <v>379</v>
      </c>
      <c r="H39" s="108" t="s">
        <v>377</v>
      </c>
      <c r="J39" s="108" t="s">
        <v>507</v>
      </c>
      <c r="M39" s="484"/>
      <c r="N39" s="484"/>
      <c r="O39" s="484"/>
      <c r="P39" s="484"/>
      <c r="Q39" s="484"/>
    </row>
    <row r="40" spans="1:17">
      <c r="M40" s="484"/>
      <c r="N40" s="484"/>
      <c r="O40" s="484"/>
      <c r="P40" s="484"/>
      <c r="Q40" s="484"/>
    </row>
    <row r="41" spans="1:17">
      <c r="B41" s="99" t="s">
        <v>562</v>
      </c>
      <c r="C41" s="99"/>
      <c r="D41" s="483">
        <f>D15+D28</f>
        <v>52430</v>
      </c>
      <c r="F41" s="483">
        <f>F15+F28</f>
        <v>747347</v>
      </c>
      <c r="H41" s="483">
        <f>H15+H28</f>
        <v>3842719</v>
      </c>
      <c r="J41" s="483">
        <f>J15+J28</f>
        <v>574709</v>
      </c>
      <c r="M41" s="484"/>
      <c r="N41" s="484"/>
      <c r="O41" s="484"/>
      <c r="P41" s="484"/>
      <c r="Q41" s="484"/>
    </row>
    <row r="42" spans="1:17">
      <c r="B42" s="99" t="s">
        <v>561</v>
      </c>
      <c r="C42" s="99"/>
      <c r="D42" s="483">
        <f>D16+D29</f>
        <v>41767</v>
      </c>
      <c r="E42" s="394"/>
      <c r="F42" s="483">
        <f>F16+F29</f>
        <v>649744</v>
      </c>
      <c r="G42" s="394"/>
      <c r="H42" s="483">
        <f>H16+H29</f>
        <v>3845175</v>
      </c>
      <c r="I42" s="394"/>
      <c r="J42" s="483">
        <f>J16+J29</f>
        <v>556997</v>
      </c>
      <c r="M42" s="484"/>
      <c r="N42" s="484"/>
      <c r="O42" s="484"/>
      <c r="P42" s="484"/>
      <c r="Q42" s="484"/>
    </row>
    <row r="43" spans="1:17">
      <c r="B43" s="487" t="s">
        <v>560</v>
      </c>
      <c r="C43" s="487"/>
      <c r="D43" s="483">
        <f>D17+D30</f>
        <v>463</v>
      </c>
      <c r="E43" s="394"/>
      <c r="F43" s="483">
        <f>F17+F30</f>
        <v>4273</v>
      </c>
      <c r="G43" s="394"/>
      <c r="H43" s="483">
        <f>H17+H30</f>
        <v>133498.55205</v>
      </c>
      <c r="I43" s="394"/>
      <c r="J43" s="483">
        <f>J17+J30</f>
        <v>2528.8131199999998</v>
      </c>
      <c r="M43" s="484"/>
      <c r="N43" s="484"/>
      <c r="O43" s="484"/>
      <c r="P43" s="484"/>
      <c r="Q43" s="484"/>
    </row>
    <row r="44" spans="1:17">
      <c r="B44" s="487" t="s">
        <v>559</v>
      </c>
      <c r="C44" s="487"/>
      <c r="D44" s="483">
        <f>D18+D31</f>
        <v>0</v>
      </c>
      <c r="E44" s="394"/>
      <c r="F44" s="483">
        <f>F18+F31</f>
        <v>0</v>
      </c>
      <c r="G44" s="394"/>
      <c r="H44" s="483">
        <f>H18+H31</f>
        <v>87948</v>
      </c>
      <c r="I44" s="394"/>
      <c r="J44" s="483">
        <f>J18+J31</f>
        <v>124559</v>
      </c>
      <c r="M44" s="484"/>
      <c r="N44" s="484"/>
      <c r="O44" s="484"/>
      <c r="P44" s="484"/>
      <c r="Q44" s="484"/>
    </row>
    <row r="45" spans="1:17">
      <c r="B45" s="487" t="s">
        <v>558</v>
      </c>
      <c r="C45" s="487"/>
      <c r="D45" s="486">
        <f>D15+D17</f>
        <v>52893</v>
      </c>
      <c r="E45" s="394"/>
      <c r="F45" s="486">
        <f>F15+F17</f>
        <v>751620</v>
      </c>
      <c r="G45" s="394"/>
      <c r="H45" s="486">
        <f>H15+H17+H28+H30</f>
        <v>3976217.5520500001</v>
      </c>
      <c r="I45" s="394"/>
      <c r="J45" s="486">
        <f>J15+J17+J28+J30</f>
        <v>577237.81311999995</v>
      </c>
      <c r="M45" s="484"/>
      <c r="N45" s="484"/>
      <c r="O45" s="484"/>
      <c r="P45" s="484"/>
      <c r="Q45" s="484"/>
    </row>
    <row r="46" spans="1:17">
      <c r="B46" s="99" t="s">
        <v>505</v>
      </c>
      <c r="C46" s="99"/>
      <c r="D46" s="483">
        <f>D20+D33</f>
        <v>4387</v>
      </c>
      <c r="E46" s="394"/>
      <c r="F46" s="483">
        <f>F20+F33</f>
        <v>114172</v>
      </c>
      <c r="G46" s="394"/>
      <c r="H46" s="483">
        <f>H20+H33</f>
        <v>468823</v>
      </c>
      <c r="I46" s="394"/>
      <c r="J46" s="483">
        <f>J20+J33</f>
        <v>97153</v>
      </c>
      <c r="M46" s="484"/>
      <c r="N46" s="484"/>
      <c r="O46" s="484"/>
      <c r="P46" s="484"/>
      <c r="Q46" s="484"/>
    </row>
    <row r="47" spans="1:17">
      <c r="B47" s="99" t="s">
        <v>504</v>
      </c>
      <c r="C47" s="99"/>
      <c r="D47" s="483">
        <f>D21+D34</f>
        <v>22421138</v>
      </c>
      <c r="E47" s="394"/>
      <c r="F47" s="483">
        <f>F21+F34</f>
        <v>331215696</v>
      </c>
      <c r="G47" s="394"/>
      <c r="H47" s="483">
        <f>H21+H34</f>
        <v>2106931360</v>
      </c>
      <c r="I47" s="394"/>
      <c r="J47" s="483">
        <f>J21+J34</f>
        <v>358657681</v>
      </c>
      <c r="M47" s="485">
        <f>D45/D41</f>
        <v>1.0088308220484457</v>
      </c>
      <c r="N47" s="485">
        <f>F45/F41</f>
        <v>1.0057175582426905</v>
      </c>
      <c r="O47" s="485">
        <f>H45/H41</f>
        <v>1.0347406490170112</v>
      </c>
      <c r="P47" s="485">
        <f>J45/J41</f>
        <v>1.0044001627258317</v>
      </c>
      <c r="Q47" s="484" t="s">
        <v>557</v>
      </c>
    </row>
    <row r="48" spans="1:17">
      <c r="B48" s="99" t="s">
        <v>556</v>
      </c>
      <c r="C48" s="99"/>
      <c r="D48" s="483">
        <f>D22+D35</f>
        <v>21605993</v>
      </c>
      <c r="F48" s="483">
        <f>F22+F35</f>
        <v>306376814</v>
      </c>
      <c r="H48" s="483">
        <f>H22+H35</f>
        <v>1728184658</v>
      </c>
      <c r="J48" s="483">
        <f>J22+J35</f>
        <v>292541095</v>
      </c>
      <c r="M48" s="484"/>
      <c r="N48" s="484"/>
      <c r="O48" s="484"/>
      <c r="P48" s="484"/>
      <c r="Q48" s="484"/>
    </row>
    <row r="49" spans="1:17">
      <c r="B49" s="99" t="s">
        <v>555</v>
      </c>
      <c r="C49" s="99"/>
      <c r="D49" s="483">
        <f>D23+D36</f>
        <v>815145</v>
      </c>
      <c r="F49" s="483">
        <f>F23+F36</f>
        <v>24838882</v>
      </c>
      <c r="H49" s="483">
        <f>H23+H36</f>
        <v>378746703</v>
      </c>
      <c r="J49" s="483">
        <f>J23+J36</f>
        <v>66116587</v>
      </c>
      <c r="M49" s="484"/>
      <c r="N49" s="484"/>
      <c r="O49" s="484"/>
      <c r="P49" s="484"/>
      <c r="Q49" s="484"/>
    </row>
    <row r="50" spans="1:17">
      <c r="B50" s="99" t="s">
        <v>46</v>
      </c>
      <c r="C50" s="99"/>
      <c r="D50" s="483">
        <f>D24+D37</f>
        <v>71</v>
      </c>
      <c r="F50" s="483">
        <f>F24+F37</f>
        <v>479</v>
      </c>
      <c r="H50" s="483">
        <f>H24+H37</f>
        <v>414</v>
      </c>
      <c r="J50" s="483">
        <f>J24+J37</f>
        <v>84</v>
      </c>
      <c r="M50" s="484"/>
      <c r="N50" s="484"/>
      <c r="O50" s="484"/>
      <c r="P50" s="484"/>
      <c r="Q50" s="484"/>
    </row>
    <row r="52" spans="1:17">
      <c r="B52" s="99"/>
      <c r="C52" s="99"/>
      <c r="D52" s="396"/>
      <c r="F52" s="396"/>
      <c r="H52" s="396"/>
      <c r="J52" s="396"/>
    </row>
    <row r="53" spans="1:17">
      <c r="B53" s="99"/>
      <c r="C53" s="99"/>
      <c r="D53" s="396"/>
      <c r="F53" s="396"/>
      <c r="H53" s="396"/>
      <c r="J53" s="396"/>
    </row>
    <row r="54" spans="1:17">
      <c r="B54" s="99"/>
      <c r="C54" s="99"/>
      <c r="D54" s="396"/>
      <c r="F54" s="396"/>
      <c r="H54" s="396"/>
      <c r="J54" s="396"/>
    </row>
    <row r="55" spans="1:17">
      <c r="A55" s="99" t="s">
        <v>18</v>
      </c>
      <c r="B55" s="99" t="s">
        <v>503</v>
      </c>
      <c r="C55" s="99"/>
    </row>
    <row r="56" spans="1:17">
      <c r="A56" s="99"/>
      <c r="B56" s="99"/>
      <c r="C56" s="99"/>
    </row>
    <row r="57" spans="1:17">
      <c r="D57" s="416" t="s">
        <v>8</v>
      </c>
      <c r="H57" s="416" t="s">
        <v>411</v>
      </c>
      <c r="J57" s="416" t="s">
        <v>551</v>
      </c>
    </row>
    <row r="58" spans="1:17">
      <c r="B58" s="434" t="s">
        <v>16</v>
      </c>
      <c r="C58" s="434"/>
      <c r="D58" s="108" t="s">
        <v>1</v>
      </c>
      <c r="F58" s="108" t="s">
        <v>46</v>
      </c>
      <c r="H58" s="108" t="s">
        <v>188</v>
      </c>
      <c r="J58" s="108" t="s">
        <v>188</v>
      </c>
    </row>
    <row r="60" spans="1:17">
      <c r="B60" s="392" t="s">
        <v>502</v>
      </c>
      <c r="D60" s="483">
        <v>2349</v>
      </c>
      <c r="F60" s="472">
        <f>+D50</f>
        <v>71</v>
      </c>
      <c r="H60" s="442">
        <f>ROUND((D60/F60),2)</f>
        <v>33.08</v>
      </c>
      <c r="J60" s="482">
        <v>276</v>
      </c>
      <c r="K60" s="392" t="s">
        <v>554</v>
      </c>
      <c r="M60" s="451"/>
    </row>
    <row r="61" spans="1:17">
      <c r="B61" s="99" t="s">
        <v>501</v>
      </c>
      <c r="C61" s="99"/>
      <c r="D61" s="483">
        <v>43721</v>
      </c>
      <c r="F61" s="396">
        <f>+F50</f>
        <v>479</v>
      </c>
      <c r="H61" s="442">
        <f>ROUND((D61/F61),2)</f>
        <v>91.28</v>
      </c>
      <c r="J61" s="482">
        <v>276</v>
      </c>
      <c r="K61" s="392" t="s">
        <v>553</v>
      </c>
    </row>
    <row r="62" spans="1:17">
      <c r="B62" s="99" t="s">
        <v>500</v>
      </c>
      <c r="C62" s="99"/>
      <c r="D62" s="483">
        <f>203982+97826</f>
        <v>301808</v>
      </c>
      <c r="F62" s="396">
        <f>+H50</f>
        <v>414</v>
      </c>
      <c r="H62" s="442">
        <f>ROUND((D62/F62),2)</f>
        <v>729</v>
      </c>
      <c r="J62" s="482">
        <v>794</v>
      </c>
      <c r="K62" s="392" t="s">
        <v>553</v>
      </c>
    </row>
    <row r="63" spans="1:17">
      <c r="B63" s="99" t="s">
        <v>499</v>
      </c>
      <c r="C63" s="99"/>
      <c r="D63" s="483">
        <f>59229+21173</f>
        <v>80402</v>
      </c>
      <c r="F63" s="396">
        <f>+J50</f>
        <v>84</v>
      </c>
      <c r="H63" s="442">
        <f>ROUND((D63/F63),2)</f>
        <v>957.17</v>
      </c>
      <c r="J63" s="482">
        <v>1353</v>
      </c>
      <c r="K63" s="392" t="s">
        <v>553</v>
      </c>
    </row>
    <row r="64" spans="1:17">
      <c r="D64" s="406"/>
      <c r="F64" s="406"/>
    </row>
    <row r="65" spans="1:256">
      <c r="B65" s="99" t="s">
        <v>54</v>
      </c>
      <c r="C65" s="99"/>
      <c r="D65" s="393">
        <f>SUM(D60:D63)</f>
        <v>428280</v>
      </c>
      <c r="F65" s="396">
        <f>SUM(F60:F63)</f>
        <v>1048</v>
      </c>
    </row>
    <row r="66" spans="1:256">
      <c r="A66" s="413"/>
      <c r="B66" s="99"/>
      <c r="C66" s="99"/>
      <c r="D66" s="400"/>
      <c r="E66" s="413"/>
      <c r="F66" s="396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  <c r="AD66" s="413"/>
      <c r="AE66" s="413"/>
      <c r="AF66" s="413"/>
      <c r="AG66" s="413"/>
      <c r="AH66" s="413"/>
      <c r="AI66" s="413"/>
      <c r="AJ66" s="413"/>
      <c r="AK66" s="413"/>
      <c r="AL66" s="413"/>
      <c r="AM66" s="413"/>
      <c r="AN66" s="413"/>
      <c r="AO66" s="413"/>
      <c r="AP66" s="413"/>
      <c r="AQ66" s="413"/>
      <c r="AR66" s="413"/>
      <c r="AS66" s="413"/>
      <c r="AT66" s="413"/>
      <c r="AU66" s="413"/>
      <c r="AV66" s="413"/>
      <c r="AW66" s="413"/>
      <c r="AX66" s="413"/>
      <c r="AY66" s="413"/>
      <c r="AZ66" s="413"/>
      <c r="BA66" s="413"/>
      <c r="BB66" s="413"/>
      <c r="BC66" s="413"/>
      <c r="BD66" s="413"/>
      <c r="BE66" s="413"/>
      <c r="BF66" s="413"/>
      <c r="BG66" s="413"/>
      <c r="BH66" s="413"/>
      <c r="BI66" s="413"/>
      <c r="BJ66" s="413"/>
      <c r="BK66" s="413"/>
      <c r="BL66" s="413"/>
      <c r="BM66" s="413"/>
      <c r="BN66" s="413"/>
      <c r="BO66" s="413"/>
      <c r="BP66" s="413"/>
      <c r="BQ66" s="413"/>
      <c r="BR66" s="413"/>
      <c r="BS66" s="413"/>
      <c r="BT66" s="413"/>
      <c r="BU66" s="413"/>
      <c r="BV66" s="413"/>
      <c r="BW66" s="413"/>
      <c r="BX66" s="413"/>
      <c r="BY66" s="413"/>
      <c r="BZ66" s="413"/>
      <c r="CA66" s="413"/>
      <c r="CB66" s="413"/>
      <c r="CC66" s="413"/>
      <c r="CD66" s="413"/>
      <c r="CE66" s="413"/>
      <c r="CF66" s="413"/>
      <c r="CG66" s="413"/>
      <c r="CH66" s="413"/>
      <c r="CI66" s="413"/>
      <c r="CJ66" s="413"/>
      <c r="CK66" s="413"/>
      <c r="CL66" s="413"/>
      <c r="CM66" s="413"/>
      <c r="CN66" s="413"/>
      <c r="CO66" s="413"/>
      <c r="CP66" s="413"/>
      <c r="CQ66" s="413"/>
      <c r="CR66" s="413"/>
      <c r="CS66" s="413"/>
      <c r="CT66" s="413"/>
      <c r="CU66" s="413"/>
      <c r="CV66" s="413"/>
      <c r="CW66" s="413"/>
      <c r="CX66" s="413"/>
      <c r="CY66" s="413"/>
      <c r="CZ66" s="413"/>
      <c r="DA66" s="413"/>
      <c r="DB66" s="413"/>
      <c r="DC66" s="413"/>
      <c r="DD66" s="413"/>
      <c r="DE66" s="413"/>
      <c r="DF66" s="413"/>
      <c r="DG66" s="413"/>
      <c r="DH66" s="413"/>
      <c r="DI66" s="413"/>
      <c r="DJ66" s="413"/>
      <c r="DK66" s="413"/>
      <c r="DL66" s="413"/>
      <c r="DM66" s="413"/>
      <c r="DN66" s="413"/>
      <c r="DO66" s="413"/>
      <c r="DP66" s="413"/>
      <c r="DQ66" s="413"/>
      <c r="DR66" s="413"/>
      <c r="DS66" s="413"/>
      <c r="DT66" s="413"/>
      <c r="DU66" s="413"/>
      <c r="DV66" s="413"/>
      <c r="DW66" s="413"/>
      <c r="DX66" s="413"/>
      <c r="DY66" s="413"/>
      <c r="DZ66" s="413"/>
      <c r="EA66" s="413"/>
      <c r="EB66" s="413"/>
      <c r="EC66" s="413"/>
      <c r="ED66" s="413"/>
      <c r="EE66" s="413"/>
      <c r="EF66" s="413"/>
      <c r="EG66" s="413"/>
      <c r="EH66" s="413"/>
      <c r="EI66" s="413"/>
      <c r="EJ66" s="413"/>
      <c r="EK66" s="413"/>
      <c r="EL66" s="413"/>
      <c r="EM66" s="413"/>
      <c r="EN66" s="413"/>
      <c r="EO66" s="413"/>
      <c r="EP66" s="413"/>
      <c r="EQ66" s="413"/>
      <c r="ER66" s="413"/>
      <c r="ES66" s="413"/>
      <c r="ET66" s="413"/>
      <c r="EU66" s="413"/>
      <c r="EV66" s="413"/>
      <c r="EW66" s="413"/>
      <c r="EX66" s="413"/>
      <c r="EY66" s="413"/>
      <c r="EZ66" s="413"/>
      <c r="FA66" s="413"/>
      <c r="FB66" s="413"/>
      <c r="FC66" s="413"/>
      <c r="FD66" s="413"/>
      <c r="FE66" s="413"/>
      <c r="FF66" s="413"/>
      <c r="FG66" s="413"/>
      <c r="FH66" s="413"/>
      <c r="FI66" s="413"/>
      <c r="FJ66" s="413"/>
      <c r="FK66" s="413"/>
      <c r="FL66" s="413"/>
      <c r="FM66" s="413"/>
      <c r="FN66" s="413"/>
      <c r="FO66" s="413"/>
      <c r="FP66" s="413"/>
      <c r="FQ66" s="413"/>
      <c r="FR66" s="413"/>
      <c r="FS66" s="413"/>
      <c r="FT66" s="413"/>
      <c r="FU66" s="413"/>
      <c r="FV66" s="413"/>
      <c r="FW66" s="413"/>
      <c r="FX66" s="413"/>
      <c r="FY66" s="413"/>
      <c r="FZ66" s="413"/>
      <c r="GA66" s="413"/>
      <c r="GB66" s="413"/>
      <c r="GC66" s="413"/>
      <c r="GD66" s="413"/>
      <c r="GE66" s="413"/>
      <c r="GF66" s="413"/>
      <c r="GG66" s="413"/>
      <c r="GH66" s="413"/>
      <c r="GI66" s="413"/>
      <c r="GJ66" s="413"/>
      <c r="GK66" s="413"/>
      <c r="GL66" s="413"/>
      <c r="GM66" s="413"/>
      <c r="GN66" s="413"/>
      <c r="GO66" s="413"/>
      <c r="GP66" s="413"/>
      <c r="GQ66" s="413"/>
      <c r="GR66" s="413"/>
      <c r="GS66" s="413"/>
      <c r="GT66" s="413"/>
      <c r="GU66" s="413"/>
      <c r="GV66" s="413"/>
      <c r="GW66" s="413"/>
      <c r="GX66" s="413"/>
      <c r="GY66" s="413"/>
      <c r="GZ66" s="413"/>
      <c r="HA66" s="413"/>
      <c r="HB66" s="413"/>
      <c r="HC66" s="413"/>
      <c r="HD66" s="413"/>
      <c r="HE66" s="413"/>
      <c r="HF66" s="413"/>
      <c r="HG66" s="413"/>
      <c r="HH66" s="413"/>
      <c r="HI66" s="413"/>
      <c r="HJ66" s="413"/>
      <c r="HK66" s="413"/>
      <c r="HL66" s="413"/>
      <c r="HM66" s="413"/>
      <c r="HN66" s="413"/>
      <c r="HO66" s="413"/>
      <c r="HP66" s="413"/>
      <c r="HQ66" s="413"/>
      <c r="HR66" s="413"/>
      <c r="HS66" s="413"/>
      <c r="HT66" s="413"/>
      <c r="HU66" s="413"/>
      <c r="HV66" s="413"/>
      <c r="HW66" s="413"/>
      <c r="HX66" s="413"/>
      <c r="HY66" s="413"/>
      <c r="HZ66" s="413"/>
      <c r="IA66" s="413"/>
      <c r="IB66" s="413"/>
      <c r="IC66" s="413"/>
      <c r="ID66" s="413"/>
      <c r="IE66" s="413"/>
      <c r="IF66" s="413"/>
      <c r="IG66" s="413"/>
      <c r="IH66" s="413"/>
      <c r="II66" s="413"/>
      <c r="IJ66" s="413"/>
      <c r="IK66" s="413"/>
      <c r="IL66" s="413"/>
      <c r="IM66" s="413"/>
      <c r="IN66" s="413"/>
      <c r="IO66" s="413"/>
      <c r="IP66" s="413"/>
      <c r="IQ66" s="413"/>
      <c r="IR66" s="413"/>
      <c r="IS66" s="413"/>
      <c r="IT66" s="413"/>
      <c r="IU66" s="413"/>
      <c r="IV66" s="413"/>
    </row>
    <row r="67" spans="1:256">
      <c r="F67" s="416" t="s">
        <v>141</v>
      </c>
      <c r="J67" s="416" t="s">
        <v>8</v>
      </c>
      <c r="L67" s="416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13"/>
      <c r="AD67" s="413"/>
      <c r="AE67" s="413"/>
      <c r="AF67" s="413"/>
      <c r="AG67" s="413"/>
      <c r="AH67" s="413"/>
      <c r="AI67" s="413"/>
      <c r="AJ67" s="413"/>
      <c r="AK67" s="413"/>
      <c r="AL67" s="413"/>
      <c r="AM67" s="413"/>
      <c r="AN67" s="413"/>
      <c r="AO67" s="413"/>
      <c r="AP67" s="413"/>
      <c r="AQ67" s="413"/>
      <c r="AR67" s="413"/>
      <c r="AS67" s="413"/>
      <c r="AT67" s="413"/>
      <c r="AU67" s="413"/>
      <c r="AV67" s="413"/>
      <c r="AW67" s="413"/>
      <c r="AX67" s="413"/>
      <c r="AY67" s="413"/>
      <c r="AZ67" s="413"/>
      <c r="BA67" s="413"/>
      <c r="BB67" s="413"/>
      <c r="BC67" s="413"/>
      <c r="BD67" s="413"/>
      <c r="BE67" s="413"/>
      <c r="BF67" s="413"/>
      <c r="BG67" s="413"/>
      <c r="BH67" s="413"/>
      <c r="BI67" s="413"/>
      <c r="BJ67" s="413"/>
      <c r="BK67" s="413"/>
      <c r="BL67" s="413"/>
      <c r="BM67" s="413"/>
      <c r="BN67" s="413"/>
      <c r="BO67" s="413"/>
      <c r="BP67" s="413"/>
      <c r="BQ67" s="413"/>
      <c r="BR67" s="413"/>
      <c r="BS67" s="413"/>
      <c r="BT67" s="413"/>
      <c r="BU67" s="413"/>
      <c r="BV67" s="413"/>
      <c r="BW67" s="413"/>
      <c r="BX67" s="413"/>
      <c r="BY67" s="413"/>
      <c r="BZ67" s="413"/>
      <c r="CA67" s="413"/>
      <c r="CB67" s="413"/>
      <c r="CC67" s="413"/>
      <c r="CD67" s="413"/>
      <c r="CE67" s="413"/>
      <c r="CF67" s="413"/>
      <c r="CG67" s="413"/>
      <c r="CH67" s="413"/>
      <c r="CI67" s="413"/>
      <c r="CJ67" s="413"/>
      <c r="CK67" s="413"/>
      <c r="CL67" s="413"/>
      <c r="CM67" s="413"/>
      <c r="CN67" s="413"/>
      <c r="CO67" s="413"/>
      <c r="CP67" s="413"/>
      <c r="CQ67" s="413"/>
      <c r="CR67" s="413"/>
      <c r="CS67" s="413"/>
      <c r="CT67" s="413"/>
      <c r="CU67" s="413"/>
      <c r="CV67" s="413"/>
      <c r="CW67" s="413"/>
      <c r="CX67" s="413"/>
      <c r="CY67" s="413"/>
      <c r="CZ67" s="413"/>
      <c r="DA67" s="413"/>
      <c r="DB67" s="413"/>
      <c r="DC67" s="413"/>
      <c r="DD67" s="413"/>
      <c r="DE67" s="413"/>
      <c r="DF67" s="413"/>
      <c r="DG67" s="413"/>
      <c r="DH67" s="413"/>
      <c r="DI67" s="413"/>
      <c r="DJ67" s="413"/>
      <c r="DK67" s="413"/>
      <c r="DL67" s="413"/>
      <c r="DM67" s="413"/>
      <c r="DN67" s="413"/>
      <c r="DO67" s="413"/>
      <c r="DP67" s="413"/>
      <c r="DQ67" s="413"/>
      <c r="DR67" s="413"/>
      <c r="DS67" s="413"/>
      <c r="DT67" s="413"/>
      <c r="DU67" s="413"/>
      <c r="DV67" s="413"/>
      <c r="DW67" s="413"/>
      <c r="DX67" s="413"/>
      <c r="DY67" s="413"/>
      <c r="DZ67" s="413"/>
      <c r="EA67" s="413"/>
      <c r="EB67" s="413"/>
      <c r="EC67" s="413"/>
      <c r="ED67" s="413"/>
      <c r="EE67" s="413"/>
      <c r="EF67" s="413"/>
      <c r="EG67" s="413"/>
      <c r="EH67" s="413"/>
      <c r="EI67" s="413"/>
      <c r="EJ67" s="413"/>
      <c r="EK67" s="413"/>
      <c r="EL67" s="413"/>
      <c r="EM67" s="413"/>
      <c r="EN67" s="413"/>
      <c r="EO67" s="413"/>
      <c r="EP67" s="413"/>
      <c r="EQ67" s="413"/>
      <c r="ER67" s="413"/>
      <c r="ES67" s="413"/>
      <c r="ET67" s="413"/>
      <c r="EU67" s="413"/>
      <c r="EV67" s="413"/>
      <c r="EW67" s="413"/>
      <c r="EX67" s="413"/>
      <c r="EY67" s="413"/>
      <c r="EZ67" s="413"/>
      <c r="FA67" s="413"/>
      <c r="FB67" s="413"/>
      <c r="FC67" s="413"/>
      <c r="FD67" s="413"/>
      <c r="FE67" s="413"/>
      <c r="FF67" s="413"/>
      <c r="FG67" s="413"/>
      <c r="FH67" s="413"/>
      <c r="FI67" s="413"/>
      <c r="FJ67" s="413"/>
      <c r="FK67" s="413"/>
      <c r="FL67" s="413"/>
      <c r="FM67" s="413"/>
      <c r="FN67" s="413"/>
      <c r="FO67" s="413"/>
      <c r="FP67" s="413"/>
      <c r="FQ67" s="413"/>
      <c r="FR67" s="413"/>
      <c r="FS67" s="413"/>
      <c r="FT67" s="413"/>
      <c r="FU67" s="413"/>
      <c r="FV67" s="413"/>
      <c r="FW67" s="413"/>
      <c r="FX67" s="413"/>
      <c r="FY67" s="413"/>
      <c r="FZ67" s="413"/>
      <c r="GA67" s="413"/>
      <c r="GB67" s="413"/>
      <c r="GC67" s="413"/>
      <c r="GD67" s="413"/>
      <c r="GE67" s="413"/>
      <c r="GF67" s="413"/>
      <c r="GG67" s="413"/>
      <c r="GH67" s="413"/>
      <c r="GI67" s="413"/>
      <c r="GJ67" s="413"/>
      <c r="GK67" s="413"/>
      <c r="GL67" s="413"/>
      <c r="GM67" s="413"/>
      <c r="GN67" s="413"/>
      <c r="GO67" s="413"/>
      <c r="GP67" s="413"/>
      <c r="GQ67" s="413"/>
      <c r="GR67" s="413"/>
      <c r="GS67" s="413"/>
      <c r="GT67" s="413"/>
      <c r="GU67" s="413"/>
      <c r="GV67" s="413"/>
      <c r="GW67" s="413"/>
      <c r="GX67" s="413"/>
      <c r="GY67" s="413"/>
      <c r="GZ67" s="413"/>
      <c r="HA67" s="413"/>
      <c r="HB67" s="413"/>
      <c r="HC67" s="413"/>
      <c r="HD67" s="413"/>
      <c r="HE67" s="413"/>
      <c r="HF67" s="413"/>
      <c r="HG67" s="413"/>
      <c r="HH67" s="413"/>
      <c r="HI67" s="413"/>
      <c r="HJ67" s="413"/>
      <c r="HK67" s="413"/>
      <c r="HL67" s="413"/>
      <c r="HM67" s="413"/>
      <c r="HN67" s="413"/>
      <c r="HO67" s="413"/>
      <c r="HP67" s="413"/>
      <c r="HQ67" s="413"/>
      <c r="HR67" s="413"/>
      <c r="HS67" s="413"/>
      <c r="HT67" s="413"/>
      <c r="HU67" s="413"/>
      <c r="HV67" s="413"/>
      <c r="HW67" s="413"/>
      <c r="HX67" s="413"/>
      <c r="HY67" s="413"/>
      <c r="HZ67" s="413"/>
      <c r="IA67" s="413"/>
      <c r="IB67" s="413"/>
      <c r="IC67" s="413"/>
      <c r="ID67" s="413"/>
      <c r="IE67" s="413"/>
      <c r="IF67" s="413"/>
      <c r="IG67" s="413"/>
      <c r="IH67" s="413"/>
      <c r="II67" s="413"/>
      <c r="IJ67" s="413"/>
      <c r="IK67" s="413"/>
      <c r="IL67" s="413"/>
      <c r="IM67" s="413"/>
      <c r="IN67" s="413"/>
      <c r="IO67" s="413"/>
      <c r="IP67" s="413"/>
      <c r="IQ67" s="413"/>
      <c r="IR67" s="413"/>
      <c r="IS67" s="413"/>
      <c r="IT67" s="413"/>
      <c r="IU67" s="413"/>
      <c r="IV67" s="413"/>
    </row>
    <row r="68" spans="1:256">
      <c r="B68" s="99" t="s">
        <v>451</v>
      </c>
      <c r="C68" s="99"/>
      <c r="F68" s="108" t="s">
        <v>188</v>
      </c>
      <c r="H68" s="108" t="s">
        <v>46</v>
      </c>
      <c r="J68" s="108" t="s">
        <v>1</v>
      </c>
      <c r="L68" s="108"/>
    </row>
    <row r="70" spans="1:256">
      <c r="B70" s="392" t="str">
        <f>+B$60</f>
        <v xml:space="preserve">  Secondary</v>
      </c>
      <c r="F70" s="53">
        <f>J60</f>
        <v>276</v>
      </c>
      <c r="H70" s="472">
        <f>+F60</f>
        <v>71</v>
      </c>
      <c r="J70" s="396">
        <f>ROUND((F70*H70),0)</f>
        <v>19596</v>
      </c>
    </row>
    <row r="71" spans="1:256">
      <c r="B71" s="392" t="str">
        <f>+B$61</f>
        <v xml:space="preserve">  Primary</v>
      </c>
      <c r="F71" s="53">
        <f>J61</f>
        <v>276</v>
      </c>
      <c r="H71" s="396">
        <f>+F61</f>
        <v>479</v>
      </c>
      <c r="J71" s="396">
        <f>ROUND((F71*H71),0)</f>
        <v>132204</v>
      </c>
    </row>
    <row r="72" spans="1:256">
      <c r="B72" s="392" t="str">
        <f>+B$62</f>
        <v xml:space="preserve">  Subtransmission</v>
      </c>
      <c r="F72" s="53">
        <f>J62</f>
        <v>794</v>
      </c>
      <c r="H72" s="396">
        <f>+F62</f>
        <v>414</v>
      </c>
      <c r="J72" s="396">
        <f>ROUND((F72*H72),0)</f>
        <v>328716</v>
      </c>
    </row>
    <row r="73" spans="1:256">
      <c r="B73" s="392" t="str">
        <f>+B$63</f>
        <v xml:space="preserve">  Transmission</v>
      </c>
      <c r="F73" s="53">
        <f>J63</f>
        <v>1353</v>
      </c>
      <c r="H73" s="396">
        <f>+F63</f>
        <v>84</v>
      </c>
      <c r="J73" s="396">
        <f>ROUND((F73*H73),0)</f>
        <v>113652</v>
      </c>
    </row>
    <row r="74" spans="1:256">
      <c r="H74" s="406"/>
      <c r="J74" s="406"/>
    </row>
    <row r="75" spans="1:256">
      <c r="B75" s="392" t="str">
        <f>+B$65</f>
        <v xml:space="preserve">  Total</v>
      </c>
      <c r="H75" s="396">
        <f>SUM(H70:H73)</f>
        <v>1048</v>
      </c>
      <c r="J75" s="393">
        <f>SUM(J70:J73)</f>
        <v>594168</v>
      </c>
      <c r="L75" s="393"/>
    </row>
    <row r="76" spans="1:256">
      <c r="D76" s="396"/>
      <c r="H76" s="393"/>
    </row>
    <row r="77" spans="1:256">
      <c r="D77" s="396"/>
      <c r="H77" s="393"/>
    </row>
    <row r="78" spans="1:256">
      <c r="A78" s="99" t="s">
        <v>29</v>
      </c>
      <c r="B78" s="99" t="s">
        <v>552</v>
      </c>
      <c r="C78" s="99"/>
    </row>
    <row r="79" spans="1:256">
      <c r="A79" s="99"/>
      <c r="B79" s="99"/>
      <c r="C79" s="99"/>
    </row>
    <row r="80" spans="1:256">
      <c r="D80" s="422" t="s">
        <v>551</v>
      </c>
      <c r="F80" s="416" t="s">
        <v>492</v>
      </c>
    </row>
    <row r="81" spans="1:13">
      <c r="B81" s="99" t="s">
        <v>550</v>
      </c>
      <c r="C81" s="99"/>
      <c r="D81" s="108" t="s">
        <v>549</v>
      </c>
      <c r="F81" s="108" t="s">
        <v>517</v>
      </c>
      <c r="H81" s="108" t="s">
        <v>1</v>
      </c>
    </row>
    <row r="83" spans="1:13">
      <c r="B83" s="392" t="str">
        <f>+B$60</f>
        <v xml:space="preserve">  Secondary</v>
      </c>
      <c r="D83" s="441">
        <v>0.69</v>
      </c>
      <c r="F83" s="396">
        <f>D269</f>
        <v>4387</v>
      </c>
      <c r="G83" s="396"/>
      <c r="H83" s="396">
        <f>ROUND((D83*F83),0)</f>
        <v>3027</v>
      </c>
      <c r="J83" s="394"/>
      <c r="K83" s="394"/>
      <c r="L83" s="394"/>
      <c r="M83" s="394"/>
    </row>
    <row r="84" spans="1:13">
      <c r="B84" s="392" t="str">
        <f>+B$61</f>
        <v xml:space="preserve">  Primary</v>
      </c>
      <c r="D84" s="438">
        <f>D83</f>
        <v>0.69</v>
      </c>
      <c r="F84" s="396">
        <f>+D279</f>
        <v>114172</v>
      </c>
      <c r="G84" s="396"/>
      <c r="H84" s="396">
        <f>ROUND((D84*F84),0)</f>
        <v>78779</v>
      </c>
    </row>
    <row r="85" spans="1:13">
      <c r="B85" s="392" t="str">
        <f>+B$62</f>
        <v xml:space="preserve">  Subtransmission</v>
      </c>
      <c r="D85" s="438">
        <f>D84</f>
        <v>0.69</v>
      </c>
      <c r="F85" s="396">
        <f>+D289</f>
        <v>468823</v>
      </c>
      <c r="H85" s="396">
        <f>ROUND((D85*F85),0)</f>
        <v>323488</v>
      </c>
    </row>
    <row r="86" spans="1:13">
      <c r="B86" s="392" t="str">
        <f>+B$63</f>
        <v xml:space="preserve">  Transmission</v>
      </c>
      <c r="D86" s="438">
        <f>D85</f>
        <v>0.69</v>
      </c>
      <c r="F86" s="396">
        <f>+D299</f>
        <v>97153</v>
      </c>
      <c r="H86" s="396">
        <f>ROUND((D86*F86),0)</f>
        <v>67036</v>
      </c>
    </row>
    <row r="87" spans="1:13">
      <c r="F87" s="406"/>
      <c r="H87" s="406"/>
    </row>
    <row r="88" spans="1:13">
      <c r="B88" s="392" t="str">
        <f>+B$65</f>
        <v xml:space="preserve">  Total</v>
      </c>
      <c r="F88" s="396">
        <f>SUM(F83:F86)</f>
        <v>684535</v>
      </c>
      <c r="H88" s="393">
        <f>SUM(H83:H86)</f>
        <v>472330</v>
      </c>
    </row>
    <row r="91" spans="1:13">
      <c r="A91" s="99" t="s">
        <v>91</v>
      </c>
      <c r="B91" s="99" t="s">
        <v>548</v>
      </c>
      <c r="C91" s="99"/>
    </row>
    <row r="92" spans="1:13">
      <c r="A92" s="99"/>
      <c r="B92" s="99"/>
      <c r="C92" s="99"/>
    </row>
    <row r="93" spans="1:13" ht="15.75">
      <c r="D93" s="416" t="s">
        <v>547</v>
      </c>
      <c r="E93" s="370"/>
      <c r="F93" s="422" t="s">
        <v>141</v>
      </c>
    </row>
    <row r="94" spans="1:13" ht="15.75">
      <c r="C94" s="99"/>
      <c r="D94" s="108" t="s">
        <v>6</v>
      </c>
      <c r="E94" s="370"/>
      <c r="F94" s="108" t="s">
        <v>188</v>
      </c>
      <c r="H94" s="108" t="s">
        <v>1</v>
      </c>
    </row>
    <row r="95" spans="1:13" ht="15.75">
      <c r="E95" s="370"/>
    </row>
    <row r="96" spans="1:13" ht="15.75">
      <c r="B96" s="392" t="str">
        <f>+B$60</f>
        <v xml:space="preserve">  Secondary</v>
      </c>
      <c r="D96" s="472">
        <f>+D267</f>
        <v>41767</v>
      </c>
      <c r="E96" s="370"/>
      <c r="F96" s="481">
        <v>1.1299999999999999</v>
      </c>
      <c r="H96" s="396">
        <f>ROUND((F96*D96),0)</f>
        <v>47197</v>
      </c>
      <c r="L96" s="392" t="s">
        <v>535</v>
      </c>
    </row>
    <row r="97" spans="1:16" ht="15.75">
      <c r="B97" s="392" t="str">
        <f>+B$61</f>
        <v xml:space="preserve">  Primary</v>
      </c>
      <c r="D97" s="396">
        <f>+D277</f>
        <v>649744</v>
      </c>
      <c r="E97" s="370"/>
      <c r="F97" s="481">
        <v>1.1000000000000001</v>
      </c>
      <c r="H97" s="396">
        <f>ROUND((F97*D97),0)</f>
        <v>714718</v>
      </c>
      <c r="K97" s="396"/>
    </row>
    <row r="98" spans="1:16" ht="15.75">
      <c r="B98" s="392" t="str">
        <f>+B$62</f>
        <v xml:space="preserve">  Subtransmission</v>
      </c>
      <c r="D98" s="396">
        <f>+D287</f>
        <v>3845175</v>
      </c>
      <c r="E98" s="370"/>
      <c r="F98" s="481">
        <v>1.08</v>
      </c>
      <c r="H98" s="396">
        <f>ROUND((F98*D98),0)</f>
        <v>4152789</v>
      </c>
    </row>
    <row r="99" spans="1:16" ht="15.75">
      <c r="B99" s="392" t="str">
        <f>+B$63</f>
        <v xml:space="preserve">  Transmission</v>
      </c>
      <c r="D99" s="396">
        <f>+D297</f>
        <v>556997</v>
      </c>
      <c r="E99" s="370"/>
      <c r="F99" s="481">
        <v>1.07</v>
      </c>
      <c r="H99" s="396">
        <f>ROUND((F99*D99),0)</f>
        <v>595987</v>
      </c>
    </row>
    <row r="100" spans="1:16">
      <c r="D100" s="465" t="s">
        <v>80</v>
      </c>
      <c r="H100" s="465" t="s">
        <v>80</v>
      </c>
    </row>
    <row r="101" spans="1:16" ht="15.75">
      <c r="B101" s="392" t="str">
        <f>+B$65</f>
        <v xml:space="preserve">  Total</v>
      </c>
      <c r="D101" s="396">
        <f>SUM(D96:D99)</f>
        <v>5093683</v>
      </c>
      <c r="H101" s="393">
        <f>SUM(H96:H99)</f>
        <v>5510691</v>
      </c>
      <c r="M101" s="480"/>
      <c r="N101" s="480"/>
      <c r="O101" s="480"/>
      <c r="P101" s="480"/>
    </row>
    <row r="102" spans="1:16" ht="15.75">
      <c r="D102" s="396"/>
      <c r="H102" s="393"/>
      <c r="M102" s="480"/>
      <c r="N102" s="480"/>
      <c r="O102" s="480"/>
      <c r="P102" s="480"/>
    </row>
    <row r="103" spans="1:16" ht="15.75">
      <c r="D103" s="396"/>
      <c r="H103" s="393"/>
      <c r="M103" s="480"/>
      <c r="N103" s="480"/>
      <c r="O103" s="480"/>
      <c r="P103" s="480"/>
    </row>
    <row r="104" spans="1:16" ht="15.75">
      <c r="A104" s="99" t="s">
        <v>92</v>
      </c>
      <c r="B104" s="99" t="s">
        <v>391</v>
      </c>
      <c r="C104" s="99"/>
      <c r="M104" s="480"/>
      <c r="N104" s="480"/>
      <c r="O104" s="480"/>
      <c r="P104" s="480"/>
    </row>
    <row r="105" spans="1:16" ht="15.75">
      <c r="D105" s="416" t="s">
        <v>244</v>
      </c>
      <c r="F105" s="416" t="s">
        <v>401</v>
      </c>
      <c r="H105" s="416" t="s">
        <v>486</v>
      </c>
      <c r="J105" s="479"/>
      <c r="M105" s="480"/>
      <c r="N105" s="480"/>
      <c r="O105" s="480"/>
      <c r="P105" s="480"/>
    </row>
    <row r="106" spans="1:16">
      <c r="B106" s="99" t="s">
        <v>429</v>
      </c>
      <c r="C106" s="99"/>
      <c r="D106" s="108" t="s">
        <v>7</v>
      </c>
      <c r="F106" s="108" t="s">
        <v>400</v>
      </c>
      <c r="H106" s="108" t="s">
        <v>7</v>
      </c>
      <c r="J106" s="479"/>
    </row>
    <row r="107" spans="1:16">
      <c r="J107" s="479"/>
    </row>
    <row r="108" spans="1:16">
      <c r="B108" s="392" t="str">
        <f>+B96</f>
        <v xml:space="preserve">  Secondary</v>
      </c>
      <c r="D108" s="396">
        <f>+D47</f>
        <v>22421138</v>
      </c>
      <c r="F108" s="474">
        <v>1</v>
      </c>
      <c r="H108" s="396">
        <f>ROUND((D108*F108),0)</f>
        <v>22421138</v>
      </c>
      <c r="J108" s="479"/>
      <c r="L108" s="392" t="s">
        <v>546</v>
      </c>
    </row>
    <row r="109" spans="1:16">
      <c r="B109" s="392" t="str">
        <f>+B97</f>
        <v xml:space="preserve">  Primary</v>
      </c>
      <c r="D109" s="396">
        <f>+F47</f>
        <v>331215696</v>
      </c>
      <c r="F109" s="474">
        <v>0.96526000000000001</v>
      </c>
      <c r="H109" s="396">
        <f>ROUND((D109*F109),0)</f>
        <v>319709263</v>
      </c>
      <c r="J109" s="479"/>
    </row>
    <row r="110" spans="1:16">
      <c r="B110" s="392" t="str">
        <f>+B98</f>
        <v xml:space="preserve">  Subtransmission</v>
      </c>
      <c r="D110" s="396">
        <f>+H47</f>
        <v>2106931360</v>
      </c>
      <c r="F110" s="474">
        <v>0.95477000000000001</v>
      </c>
      <c r="H110" s="396">
        <f>ROUND((D110*F110),0)</f>
        <v>2011634855</v>
      </c>
      <c r="J110" s="479"/>
    </row>
    <row r="111" spans="1:16">
      <c r="B111" s="392" t="str">
        <f>+B99</f>
        <v xml:space="preserve">  Transmission</v>
      </c>
      <c r="D111" s="396">
        <f>+J47</f>
        <v>358657681</v>
      </c>
      <c r="F111" s="474">
        <v>0.94350000000000001</v>
      </c>
      <c r="H111" s="396">
        <f>ROUND((D111*F111),0)</f>
        <v>338393522</v>
      </c>
      <c r="J111" s="479"/>
    </row>
    <row r="112" spans="1:16">
      <c r="D112" s="406"/>
      <c r="H112" s="406"/>
      <c r="J112" s="479"/>
    </row>
    <row r="113" spans="2:10">
      <c r="B113" s="392" t="s">
        <v>9</v>
      </c>
      <c r="D113" s="396">
        <f>SUM(D108:D111)</f>
        <v>2819225875</v>
      </c>
      <c r="H113" s="396">
        <f>SUM(H108:H111)</f>
        <v>2692158778</v>
      </c>
      <c r="J113" s="479"/>
    </row>
    <row r="114" spans="2:10">
      <c r="D114" s="418"/>
      <c r="E114" s="416"/>
      <c r="F114" s="417"/>
      <c r="G114" s="416"/>
      <c r="H114" s="418"/>
      <c r="J114" s="479"/>
    </row>
    <row r="115" spans="2:10">
      <c r="D115" s="418"/>
      <c r="E115" s="416"/>
      <c r="F115" s="417"/>
      <c r="G115" s="416"/>
      <c r="H115" s="418"/>
      <c r="J115" s="479"/>
    </row>
    <row r="116" spans="2:10">
      <c r="B116" s="99" t="s">
        <v>479</v>
      </c>
      <c r="C116" s="99"/>
      <c r="D116" s="393">
        <f>+J6</f>
        <v>91425407</v>
      </c>
      <c r="E116" s="416"/>
      <c r="F116" s="417"/>
      <c r="G116" s="416"/>
      <c r="H116" s="418"/>
      <c r="J116" s="479"/>
    </row>
    <row r="117" spans="2:10">
      <c r="B117" s="99" t="s">
        <v>478</v>
      </c>
      <c r="C117" s="99"/>
      <c r="D117" s="396">
        <f>+H113</f>
        <v>2692158778</v>
      </c>
      <c r="E117" s="416"/>
      <c r="F117" s="417"/>
      <c r="G117" s="416"/>
      <c r="H117" s="418"/>
      <c r="J117" s="479"/>
    </row>
    <row r="118" spans="2:10">
      <c r="D118" s="406"/>
      <c r="E118" s="416"/>
      <c r="F118" s="417"/>
      <c r="G118" s="416"/>
      <c r="H118" s="418"/>
      <c r="J118" s="479"/>
    </row>
    <row r="119" spans="2:10">
      <c r="B119" s="99" t="s">
        <v>477</v>
      </c>
      <c r="C119" s="99"/>
      <c r="D119" s="400">
        <f>ROUND((D116/D117),5)</f>
        <v>3.3959999999999997E-2</v>
      </c>
      <c r="E119" s="416"/>
      <c r="F119" s="417"/>
      <c r="G119" s="416"/>
      <c r="H119" s="418"/>
      <c r="J119" s="479"/>
    </row>
    <row r="120" spans="2:10">
      <c r="D120" s="418"/>
      <c r="E120" s="416"/>
      <c r="F120" s="417"/>
      <c r="G120" s="416"/>
      <c r="H120" s="418"/>
      <c r="J120" s="479"/>
    </row>
    <row r="121" spans="2:10">
      <c r="D121" s="418"/>
      <c r="E121" s="416"/>
      <c r="F121" s="416" t="s">
        <v>141</v>
      </c>
      <c r="G121" s="416"/>
      <c r="H121" s="418"/>
      <c r="J121" s="479"/>
    </row>
    <row r="122" spans="2:10">
      <c r="C122" s="416" t="s">
        <v>380</v>
      </c>
      <c r="D122" s="416" t="s">
        <v>401</v>
      </c>
      <c r="F122" s="422" t="s">
        <v>7</v>
      </c>
      <c r="G122" s="422"/>
      <c r="H122" s="418"/>
      <c r="J122" s="479"/>
    </row>
    <row r="123" spans="2:10">
      <c r="C123" s="108" t="s">
        <v>188</v>
      </c>
      <c r="D123" s="108" t="s">
        <v>400</v>
      </c>
      <c r="F123" s="421" t="s">
        <v>188</v>
      </c>
      <c r="G123" s="421"/>
      <c r="H123" s="418"/>
      <c r="J123" s="479"/>
    </row>
    <row r="124" spans="2:10">
      <c r="H124" s="418"/>
      <c r="J124" s="479"/>
    </row>
    <row r="125" spans="2:10">
      <c r="B125" s="392" t="str">
        <f>+B$60</f>
        <v xml:space="preserve">  Secondary</v>
      </c>
      <c r="C125" s="420">
        <f>+D119</f>
        <v>3.3959999999999997E-2</v>
      </c>
      <c r="D125" s="417">
        <f>+F108</f>
        <v>1</v>
      </c>
      <c r="E125" s="416"/>
      <c r="F125" s="415">
        <f>ROUND(C125*D125,5)</f>
        <v>3.3959999999999997E-2</v>
      </c>
      <c r="H125" s="418"/>
      <c r="J125" s="479"/>
    </row>
    <row r="126" spans="2:10">
      <c r="B126" s="392" t="str">
        <f>+B$61</f>
        <v xml:space="preserve">  Primary</v>
      </c>
      <c r="C126" s="418">
        <f>+$C$125</f>
        <v>3.3959999999999997E-2</v>
      </c>
      <c r="D126" s="417">
        <f>+F109</f>
        <v>0.96526000000000001</v>
      </c>
      <c r="E126" s="416"/>
      <c r="F126" s="415">
        <f>ROUND(C126*D126,5)</f>
        <v>3.2779999999999997E-2</v>
      </c>
      <c r="H126" s="418"/>
      <c r="J126" s="479"/>
    </row>
    <row r="127" spans="2:10">
      <c r="B127" s="392" t="str">
        <f>+B$62</f>
        <v xml:space="preserve">  Subtransmission</v>
      </c>
      <c r="C127" s="418">
        <f>+$C$125</f>
        <v>3.3959999999999997E-2</v>
      </c>
      <c r="D127" s="417">
        <f>+F110</f>
        <v>0.95477000000000001</v>
      </c>
      <c r="E127" s="416"/>
      <c r="F127" s="415">
        <f>ROUND(C127*D127,5)</f>
        <v>3.2419999999999997E-2</v>
      </c>
      <c r="H127" s="418"/>
      <c r="J127" s="479"/>
    </row>
    <row r="128" spans="2:10">
      <c r="B128" s="392" t="str">
        <f>+B$63</f>
        <v xml:space="preserve">  Transmission</v>
      </c>
      <c r="C128" s="418">
        <f>+$C$125</f>
        <v>3.3959999999999997E-2</v>
      </c>
      <c r="D128" s="417">
        <f>+F111</f>
        <v>0.94350000000000001</v>
      </c>
      <c r="E128" s="416"/>
      <c r="F128" s="415">
        <f>ROUND(C128*D128,5)</f>
        <v>3.2039999999999999E-2</v>
      </c>
      <c r="H128" s="418"/>
      <c r="J128" s="479"/>
    </row>
    <row r="129" spans="1:10">
      <c r="D129" s="418"/>
      <c r="E129" s="416"/>
      <c r="F129" s="417"/>
      <c r="G129" s="416"/>
      <c r="H129" s="418"/>
      <c r="J129" s="479"/>
    </row>
    <row r="130" spans="1:10">
      <c r="D130" s="418"/>
      <c r="E130" s="416"/>
      <c r="F130" s="417"/>
      <c r="G130" s="416"/>
      <c r="H130" s="418"/>
      <c r="J130" s="479"/>
    </row>
    <row r="131" spans="1:10">
      <c r="D131" s="418"/>
      <c r="E131" s="416"/>
      <c r="F131" s="417"/>
      <c r="G131" s="416"/>
      <c r="H131" s="418"/>
      <c r="J131" s="479"/>
    </row>
    <row r="132" spans="1:10">
      <c r="B132" s="99" t="s">
        <v>545</v>
      </c>
    </row>
    <row r="133" spans="1:10">
      <c r="D133" s="416" t="s">
        <v>244</v>
      </c>
      <c r="F133" s="478" t="s">
        <v>141</v>
      </c>
    </row>
    <row r="134" spans="1:10">
      <c r="C134" s="99"/>
      <c r="D134" s="108" t="s">
        <v>7</v>
      </c>
      <c r="F134" s="477" t="s">
        <v>188</v>
      </c>
      <c r="H134" s="108" t="s">
        <v>1</v>
      </c>
    </row>
    <row r="135" spans="1:10">
      <c r="F135" s="394"/>
    </row>
    <row r="136" spans="1:10">
      <c r="B136" s="392" t="str">
        <f>+B$60</f>
        <v xml:space="preserve">  Secondary</v>
      </c>
      <c r="D136" s="476">
        <f>+D47</f>
        <v>22421138</v>
      </c>
      <c r="F136" s="475">
        <f>+F125</f>
        <v>3.3959999999999997E-2</v>
      </c>
      <c r="G136" s="396"/>
      <c r="H136" s="396">
        <f>ROUND((F136*D136),0)</f>
        <v>761422</v>
      </c>
    </row>
    <row r="137" spans="1:10">
      <c r="B137" s="392" t="str">
        <f>+B$61</f>
        <v xml:space="preserve">  Primary</v>
      </c>
      <c r="D137" s="476">
        <f>+F47</f>
        <v>331215696</v>
      </c>
      <c r="F137" s="475">
        <f>+F126</f>
        <v>3.2779999999999997E-2</v>
      </c>
      <c r="G137" s="396"/>
      <c r="H137" s="396">
        <f>ROUND((F137*D137),0)</f>
        <v>10857251</v>
      </c>
    </row>
    <row r="138" spans="1:10">
      <c r="B138" s="392" t="str">
        <f>+B$62</f>
        <v xml:space="preserve">  Subtransmission</v>
      </c>
      <c r="D138" s="476">
        <f>+H47</f>
        <v>2106931360</v>
      </c>
      <c r="F138" s="475">
        <f>+F127</f>
        <v>3.2419999999999997E-2</v>
      </c>
      <c r="H138" s="396">
        <f>ROUND((F138*D138),0)</f>
        <v>68306715</v>
      </c>
    </row>
    <row r="139" spans="1:10">
      <c r="B139" s="392" t="str">
        <f>+B$63</f>
        <v xml:space="preserve">  Transmission</v>
      </c>
      <c r="D139" s="476">
        <f>+J47</f>
        <v>358657681</v>
      </c>
      <c r="F139" s="475">
        <f>+F128</f>
        <v>3.2039999999999999E-2</v>
      </c>
      <c r="H139" s="396">
        <f>ROUND((F139*D139),0)</f>
        <v>11491392</v>
      </c>
    </row>
    <row r="140" spans="1:10">
      <c r="D140" s="465" t="s">
        <v>80</v>
      </c>
      <c r="H140" s="465" t="s">
        <v>80</v>
      </c>
    </row>
    <row r="141" spans="1:10">
      <c r="B141" s="392" t="str">
        <f>+B$65</f>
        <v xml:space="preserve">  Total</v>
      </c>
      <c r="D141" s="396">
        <f>SUM(D136:D139)</f>
        <v>2819225875</v>
      </c>
      <c r="H141" s="393">
        <f>SUM(H136:H139)</f>
        <v>91416780</v>
      </c>
      <c r="J141" s="405"/>
    </row>
    <row r="143" spans="1:10">
      <c r="H143" s="468"/>
    </row>
    <row r="144" spans="1:10">
      <c r="A144" s="99" t="s">
        <v>93</v>
      </c>
      <c r="B144" s="99" t="s">
        <v>544</v>
      </c>
      <c r="C144" s="99"/>
      <c r="H144" s="468"/>
    </row>
    <row r="145" spans="2:10">
      <c r="H145" s="468"/>
    </row>
    <row r="146" spans="2:10">
      <c r="D146" s="416" t="s">
        <v>543</v>
      </c>
      <c r="F146" s="416" t="s">
        <v>401</v>
      </c>
      <c r="H146" s="416" t="s">
        <v>486</v>
      </c>
    </row>
    <row r="147" spans="2:10">
      <c r="B147" s="99" t="s">
        <v>536</v>
      </c>
      <c r="C147" s="99"/>
      <c r="D147" s="108" t="s">
        <v>6</v>
      </c>
      <c r="F147" s="108" t="s">
        <v>400</v>
      </c>
      <c r="G147" s="426"/>
      <c r="H147" s="108" t="s">
        <v>6</v>
      </c>
    </row>
    <row r="149" spans="2:10">
      <c r="B149" s="392" t="str">
        <f>+B$60</f>
        <v xml:space="preserve">  Secondary</v>
      </c>
      <c r="D149" s="472">
        <f>D45</f>
        <v>52893</v>
      </c>
      <c r="F149" s="474">
        <v>1</v>
      </c>
      <c r="H149" s="396">
        <f>ROUND((D149*F149),0)</f>
        <v>52893</v>
      </c>
      <c r="J149" s="472"/>
    </row>
    <row r="150" spans="2:10">
      <c r="B150" s="392" t="str">
        <f>+B$61</f>
        <v xml:space="preserve">  Primary</v>
      </c>
      <c r="D150" s="396">
        <f>F45</f>
        <v>751620</v>
      </c>
      <c r="F150" s="474">
        <v>0.97121999999999997</v>
      </c>
      <c r="H150" s="396">
        <f>ROUND((D150*F150),0)</f>
        <v>729988</v>
      </c>
      <c r="J150" s="472"/>
    </row>
    <row r="151" spans="2:10">
      <c r="B151" s="392" t="str">
        <f>+B$62</f>
        <v xml:space="preserve">  Subtransmission</v>
      </c>
      <c r="D151" s="396">
        <f>H45</f>
        <v>3976217.5520500001</v>
      </c>
      <c r="F151" s="474">
        <v>0.95842000000000005</v>
      </c>
      <c r="H151" s="396">
        <f>ROUND((D151*F151),0)</f>
        <v>3810886</v>
      </c>
      <c r="J151" s="472"/>
    </row>
    <row r="152" spans="2:10">
      <c r="B152" s="392" t="str">
        <f>+B$63</f>
        <v xml:space="preserve">  Transmission</v>
      </c>
      <c r="D152" s="396">
        <f>J45</f>
        <v>577237.81311999995</v>
      </c>
      <c r="F152" s="474">
        <v>0.94415000000000004</v>
      </c>
      <c r="G152" s="426"/>
      <c r="H152" s="396">
        <f>ROUND((D152*F152),0)</f>
        <v>544999</v>
      </c>
      <c r="J152" s="472"/>
    </row>
    <row r="153" spans="2:10">
      <c r="D153" s="406"/>
      <c r="F153" s="453"/>
      <c r="H153" s="470"/>
      <c r="J153" s="472"/>
    </row>
    <row r="154" spans="2:10">
      <c r="B154" s="392" t="str">
        <f>+B$65</f>
        <v xml:space="preserve">  Total</v>
      </c>
      <c r="D154" s="396">
        <f>SUM(D149:D152)</f>
        <v>5357968.3651700001</v>
      </c>
      <c r="F154" s="453"/>
      <c r="H154" s="396">
        <f>SUM(H149:H152)</f>
        <v>5138766</v>
      </c>
    </row>
    <row r="155" spans="2:10">
      <c r="B155" s="413"/>
      <c r="C155" s="413"/>
      <c r="D155" s="396"/>
      <c r="E155" s="413"/>
      <c r="F155" s="453"/>
      <c r="G155" s="413"/>
      <c r="H155" s="396"/>
    </row>
    <row r="156" spans="2:10">
      <c r="F156" s="426"/>
      <c r="G156" s="426"/>
      <c r="H156" s="426"/>
    </row>
    <row r="157" spans="2:10">
      <c r="D157" s="416" t="s">
        <v>543</v>
      </c>
      <c r="F157" s="416" t="s">
        <v>485</v>
      </c>
      <c r="H157" s="416" t="s">
        <v>475</v>
      </c>
    </row>
    <row r="158" spans="2:10">
      <c r="B158" s="99" t="s">
        <v>484</v>
      </c>
      <c r="C158" s="99"/>
      <c r="D158" s="108" t="s">
        <v>6</v>
      </c>
      <c r="F158" s="108" t="s">
        <v>475</v>
      </c>
      <c r="H158" s="108" t="s">
        <v>1</v>
      </c>
    </row>
    <row r="159" spans="2:10">
      <c r="F159" s="426"/>
      <c r="G159" s="426"/>
      <c r="H159" s="426"/>
    </row>
    <row r="160" spans="2:10">
      <c r="B160" s="392" t="str">
        <f>+B$60</f>
        <v xml:space="preserve">  Secondary</v>
      </c>
      <c r="D160" s="396">
        <f>D149</f>
        <v>52893</v>
      </c>
      <c r="F160" s="473">
        <f>0*C256</f>
        <v>0</v>
      </c>
      <c r="G160" s="426"/>
      <c r="H160" s="398">
        <f>ROUND((D160*F160),0)</f>
        <v>0</v>
      </c>
    </row>
    <row r="161" spans="2:12">
      <c r="B161" s="392" t="str">
        <f>+B$61</f>
        <v xml:space="preserve">  Primary</v>
      </c>
      <c r="D161" s="396">
        <f>D150</f>
        <v>751620</v>
      </c>
      <c r="F161" s="473">
        <v>-2.63</v>
      </c>
      <c r="H161" s="398">
        <f>ROUND((D161*F161),0)</f>
        <v>-1976761</v>
      </c>
    </row>
    <row r="162" spans="2:12">
      <c r="B162" s="392" t="str">
        <f>+B$62</f>
        <v xml:space="preserve">  Subtransmission</v>
      </c>
      <c r="D162" s="396">
        <f>D151</f>
        <v>3976217.5520500001</v>
      </c>
      <c r="F162" s="473">
        <v>-9.07</v>
      </c>
      <c r="H162" s="398">
        <f>ROUND((D162*F162),0)</f>
        <v>-36064293</v>
      </c>
    </row>
    <row r="163" spans="2:12">
      <c r="B163" s="392" t="str">
        <f>+B$63</f>
        <v xml:space="preserve">  Transmission</v>
      </c>
      <c r="D163" s="396">
        <f>D152</f>
        <v>577237.81311999995</v>
      </c>
      <c r="F163" s="473">
        <v>-9.07</v>
      </c>
      <c r="H163" s="398">
        <f>ROUND((D163*F163),0)</f>
        <v>-5235547</v>
      </c>
    </row>
    <row r="164" spans="2:12">
      <c r="D164" s="406"/>
      <c r="H164" s="445"/>
    </row>
    <row r="165" spans="2:12">
      <c r="B165" s="392" t="str">
        <f>+B$206</f>
        <v xml:space="preserve">  Total</v>
      </c>
      <c r="D165" s="396">
        <f>SUM(D160:D163)</f>
        <v>5357968.3651700001</v>
      </c>
      <c r="H165" s="398">
        <f>SUM(H160:H163)</f>
        <v>-43276601</v>
      </c>
    </row>
    <row r="166" spans="2:12">
      <c r="H166" s="468"/>
    </row>
    <row r="167" spans="2:12">
      <c r="H167" s="468"/>
    </row>
    <row r="168" spans="2:12">
      <c r="B168" s="99" t="s">
        <v>542</v>
      </c>
      <c r="C168" s="99"/>
      <c r="D168" s="393">
        <f>J5</f>
        <v>70083904</v>
      </c>
      <c r="F168" s="9"/>
      <c r="G168" s="99"/>
      <c r="H168" s="99"/>
      <c r="I168" s="99"/>
      <c r="J168" s="12"/>
      <c r="K168" s="99"/>
    </row>
    <row r="169" spans="2:12">
      <c r="B169" s="99" t="s">
        <v>541</v>
      </c>
      <c r="C169" s="99"/>
      <c r="D169" s="467">
        <f>H165</f>
        <v>-43276601</v>
      </c>
      <c r="F169" s="11"/>
      <c r="G169" s="99"/>
      <c r="H169" s="99"/>
      <c r="I169" s="99"/>
      <c r="J169" s="12"/>
      <c r="K169" s="99"/>
    </row>
    <row r="170" spans="2:12">
      <c r="D170" s="452"/>
      <c r="F170" s="99"/>
      <c r="G170" s="99"/>
      <c r="H170" s="99"/>
      <c r="I170" s="99"/>
      <c r="J170" s="12"/>
      <c r="K170" s="99"/>
    </row>
    <row r="171" spans="2:12">
      <c r="B171" s="99" t="s">
        <v>526</v>
      </c>
      <c r="C171" s="99"/>
      <c r="D171" s="393">
        <f>D168-SUM(D169:D169)</f>
        <v>113360505</v>
      </c>
      <c r="F171" s="9"/>
      <c r="G171" s="99"/>
      <c r="H171" s="9"/>
      <c r="I171" s="99"/>
      <c r="J171" s="99"/>
      <c r="K171" s="99"/>
    </row>
    <row r="172" spans="2:12">
      <c r="B172" s="99" t="s">
        <v>540</v>
      </c>
      <c r="C172" s="99"/>
      <c r="D172" s="396">
        <f>H154</f>
        <v>5138766</v>
      </c>
      <c r="F172" s="9"/>
      <c r="G172" s="99"/>
      <c r="H172" s="9"/>
      <c r="I172" s="99"/>
      <c r="J172" s="9"/>
      <c r="K172" s="99"/>
    </row>
    <row r="173" spans="2:12">
      <c r="D173" s="406"/>
      <c r="F173" s="99"/>
      <c r="G173" s="99"/>
      <c r="H173" s="99"/>
      <c r="I173" s="99"/>
      <c r="J173" s="99"/>
      <c r="K173" s="99"/>
    </row>
    <row r="174" spans="2:12">
      <c r="B174" s="99" t="s">
        <v>524</v>
      </c>
      <c r="C174" s="466"/>
      <c r="D174" s="399">
        <f>ROUND(D171/D172,2)</f>
        <v>22.06</v>
      </c>
      <c r="F174" s="15"/>
      <c r="G174" s="99"/>
      <c r="H174" s="99"/>
      <c r="I174" s="99"/>
      <c r="J174" s="15"/>
      <c r="K174" s="99"/>
    </row>
    <row r="175" spans="2:12">
      <c r="B175" s="408"/>
      <c r="C175" s="408"/>
      <c r="D175" s="432"/>
    </row>
    <row r="176" spans="2:12">
      <c r="D176" s="416" t="s">
        <v>380</v>
      </c>
      <c r="F176" s="416" t="s">
        <v>401</v>
      </c>
      <c r="H176" s="416" t="s">
        <v>6</v>
      </c>
      <c r="J176" s="416" t="s">
        <v>485</v>
      </c>
      <c r="L176" s="416" t="s">
        <v>141</v>
      </c>
    </row>
    <row r="177" spans="2:13">
      <c r="B177" s="99" t="s">
        <v>488</v>
      </c>
      <c r="C177" s="99"/>
      <c r="D177" s="108" t="s">
        <v>188</v>
      </c>
      <c r="F177" s="108" t="s">
        <v>400</v>
      </c>
      <c r="H177" s="108" t="s">
        <v>188</v>
      </c>
      <c r="J177" s="108" t="s">
        <v>475</v>
      </c>
      <c r="L177" s="108" t="s">
        <v>188</v>
      </c>
    </row>
    <row r="179" spans="2:13">
      <c r="B179" s="392" t="str">
        <f>+B$60</f>
        <v xml:space="preserve">  Secondary</v>
      </c>
      <c r="D179" s="53">
        <f>D174</f>
        <v>22.06</v>
      </c>
      <c r="F179" s="417">
        <f>F149</f>
        <v>1</v>
      </c>
      <c r="G179" s="410"/>
      <c r="H179" s="53">
        <f>ROUND((D179*F179),2)</f>
        <v>22.06</v>
      </c>
      <c r="I179" s="410"/>
      <c r="J179" s="430">
        <f>F160</f>
        <v>0</v>
      </c>
      <c r="L179" s="53">
        <f>H179+J179</f>
        <v>22.06</v>
      </c>
    </row>
    <row r="180" spans="2:13">
      <c r="B180" s="392" t="str">
        <f>+B$61</f>
        <v xml:space="preserve">  Primary</v>
      </c>
      <c r="D180" s="53">
        <f>D179</f>
        <v>22.06</v>
      </c>
      <c r="F180" s="417">
        <f>F150</f>
        <v>0.97121999999999997</v>
      </c>
      <c r="G180" s="410"/>
      <c r="H180" s="53">
        <f>ROUND((D180*F180),2)</f>
        <v>21.43</v>
      </c>
      <c r="I180" s="410"/>
      <c r="J180" s="430">
        <f>F161</f>
        <v>-2.63</v>
      </c>
      <c r="L180" s="53">
        <f>H180+J180</f>
        <v>18.8</v>
      </c>
      <c r="M180" s="451"/>
    </row>
    <row r="181" spans="2:13">
      <c r="B181" s="392" t="str">
        <f>+B$62</f>
        <v xml:space="preserve">  Subtransmission</v>
      </c>
      <c r="D181" s="53">
        <f>D180</f>
        <v>22.06</v>
      </c>
      <c r="F181" s="417">
        <f>F151</f>
        <v>0.95842000000000005</v>
      </c>
      <c r="G181" s="410"/>
      <c r="H181" s="53">
        <f>ROUND((D181*F181),2)</f>
        <v>21.14</v>
      </c>
      <c r="I181" s="410"/>
      <c r="J181" s="430">
        <f>F162</f>
        <v>-9.07</v>
      </c>
      <c r="L181" s="53">
        <f>H181+J181</f>
        <v>12.07</v>
      </c>
      <c r="M181" s="451"/>
    </row>
    <row r="182" spans="2:13">
      <c r="B182" s="392" t="str">
        <f>+B$63</f>
        <v xml:space="preserve">  Transmission</v>
      </c>
      <c r="D182" s="53">
        <f>D181</f>
        <v>22.06</v>
      </c>
      <c r="F182" s="417">
        <f>F152</f>
        <v>0.94415000000000004</v>
      </c>
      <c r="G182" s="410"/>
      <c r="H182" s="53">
        <f>ROUND((D182*F182),2)</f>
        <v>20.83</v>
      </c>
      <c r="I182" s="410"/>
      <c r="J182" s="430">
        <f>F163</f>
        <v>-9.07</v>
      </c>
      <c r="L182" s="53">
        <f>H182+J182</f>
        <v>11.759999999999998</v>
      </c>
      <c r="M182" s="451"/>
    </row>
    <row r="183" spans="2:13">
      <c r="D183" s="53"/>
      <c r="F183" s="417"/>
      <c r="G183" s="410"/>
      <c r="H183" s="53"/>
      <c r="I183" s="410"/>
      <c r="J183" s="430"/>
      <c r="L183" s="53"/>
      <c r="M183" s="451"/>
    </row>
    <row r="184" spans="2:13">
      <c r="B184" s="99" t="s">
        <v>539</v>
      </c>
    </row>
    <row r="185" spans="2:13">
      <c r="D185" s="416" t="s">
        <v>538</v>
      </c>
      <c r="F185" s="422" t="s">
        <v>141</v>
      </c>
    </row>
    <row r="186" spans="2:13">
      <c r="C186" s="99"/>
      <c r="D186" s="108" t="s">
        <v>6</v>
      </c>
      <c r="F186" s="108" t="s">
        <v>188</v>
      </c>
      <c r="H186" s="108" t="s">
        <v>1</v>
      </c>
    </row>
    <row r="188" spans="2:13">
      <c r="B188" s="392" t="str">
        <f>+B$60</f>
        <v xml:space="preserve">  Secondary</v>
      </c>
      <c r="D188" s="396">
        <f>D44</f>
        <v>0</v>
      </c>
      <c r="F188" s="53">
        <f>L179</f>
        <v>22.06</v>
      </c>
      <c r="G188" s="396"/>
      <c r="H188" s="396">
        <f>ROUND((F188*D188),0)</f>
        <v>0</v>
      </c>
    </row>
    <row r="189" spans="2:13">
      <c r="B189" s="392" t="str">
        <f>+B$61</f>
        <v xml:space="preserve">  Primary</v>
      </c>
      <c r="D189" s="396">
        <f>F44</f>
        <v>0</v>
      </c>
      <c r="F189" s="53">
        <f>L180</f>
        <v>18.8</v>
      </c>
      <c r="G189" s="396"/>
      <c r="H189" s="396">
        <f>ROUND((F189*D189),0)</f>
        <v>0</v>
      </c>
      <c r="J189" s="451"/>
    </row>
    <row r="190" spans="2:13">
      <c r="B190" s="392" t="str">
        <f>+B$62</f>
        <v xml:space="preserve">  Subtransmission</v>
      </c>
      <c r="D190" s="396">
        <f>H44</f>
        <v>87948</v>
      </c>
      <c r="F190" s="53">
        <f>L181</f>
        <v>12.07</v>
      </c>
      <c r="H190" s="396">
        <f>ROUND((F190*D190),0)</f>
        <v>1061532</v>
      </c>
      <c r="J190" s="451"/>
    </row>
    <row r="191" spans="2:13">
      <c r="B191" s="392" t="str">
        <f>+B$63</f>
        <v xml:space="preserve">  Transmission</v>
      </c>
      <c r="D191" s="396">
        <f>J44</f>
        <v>124559</v>
      </c>
      <c r="F191" s="53">
        <f>L182</f>
        <v>11.759999999999998</v>
      </c>
      <c r="H191" s="396">
        <f>ROUND((F191*D191),0)</f>
        <v>1464814</v>
      </c>
      <c r="J191" s="451"/>
    </row>
    <row r="192" spans="2:13">
      <c r="D192" s="465" t="s">
        <v>80</v>
      </c>
      <c r="H192" s="465" t="s">
        <v>80</v>
      </c>
    </row>
    <row r="193" spans="1:256">
      <c r="B193" s="392" t="str">
        <f>+B$65</f>
        <v xml:space="preserve">  Total</v>
      </c>
      <c r="D193" s="396">
        <f>SUM(D188:D191)</f>
        <v>212507</v>
      </c>
      <c r="H193" s="393">
        <f>SUM(H188:H191)</f>
        <v>2526346</v>
      </c>
    </row>
    <row r="194" spans="1:256">
      <c r="D194" s="396"/>
      <c r="H194" s="393"/>
    </row>
    <row r="195" spans="1:256">
      <c r="D195" s="396"/>
      <c r="H195" s="393"/>
    </row>
    <row r="196" spans="1:256">
      <c r="A196" s="99" t="s">
        <v>93</v>
      </c>
      <c r="B196" s="99" t="s">
        <v>537</v>
      </c>
      <c r="C196" s="99"/>
    </row>
    <row r="198" spans="1:256">
      <c r="D198" s="416" t="s">
        <v>244</v>
      </c>
      <c r="F198" s="416" t="s">
        <v>401</v>
      </c>
      <c r="H198" s="416" t="s">
        <v>486</v>
      </c>
    </row>
    <row r="199" spans="1:256">
      <c r="B199" s="99" t="s">
        <v>536</v>
      </c>
      <c r="C199" s="99"/>
      <c r="D199" s="108" t="s">
        <v>6</v>
      </c>
      <c r="F199" s="108" t="s">
        <v>400</v>
      </c>
      <c r="G199" s="426"/>
      <c r="H199" s="108" t="s">
        <v>6</v>
      </c>
    </row>
    <row r="201" spans="1:256">
      <c r="B201" s="392" t="str">
        <f>+B$60</f>
        <v xml:space="preserve">  Secondary</v>
      </c>
      <c r="D201" s="472">
        <f>+D41</f>
        <v>52430</v>
      </c>
      <c r="F201" s="471">
        <f>F149</f>
        <v>1</v>
      </c>
      <c r="H201" s="396">
        <f>ROUND((D201*F201),0)</f>
        <v>52430</v>
      </c>
    </row>
    <row r="202" spans="1:256">
      <c r="B202" s="392" t="str">
        <f>+B$61</f>
        <v xml:space="preserve">  Primary</v>
      </c>
      <c r="D202" s="396">
        <f>+F41</f>
        <v>747347</v>
      </c>
      <c r="F202" s="471">
        <f>F150</f>
        <v>0.97121999999999997</v>
      </c>
      <c r="H202" s="396">
        <f>ROUND((D202*F202),0)</f>
        <v>725838</v>
      </c>
    </row>
    <row r="203" spans="1:256">
      <c r="B203" s="392" t="str">
        <f>+B$62</f>
        <v xml:space="preserve">  Subtransmission</v>
      </c>
      <c r="D203" s="396">
        <f>+H41</f>
        <v>3842719</v>
      </c>
      <c r="F203" s="471">
        <f>F151</f>
        <v>0.95842000000000005</v>
      </c>
      <c r="H203" s="396">
        <f>ROUND((D203*F203),0)</f>
        <v>3682939</v>
      </c>
    </row>
    <row r="204" spans="1:256">
      <c r="B204" s="392" t="str">
        <f>+B$63</f>
        <v xml:space="preserve">  Transmission</v>
      </c>
      <c r="D204" s="396">
        <f>+J41</f>
        <v>574709</v>
      </c>
      <c r="F204" s="471">
        <f>F152</f>
        <v>0.94415000000000004</v>
      </c>
      <c r="G204" s="426"/>
      <c r="H204" s="396">
        <f>ROUND((D204*F204),0)</f>
        <v>542612</v>
      </c>
    </row>
    <row r="205" spans="1:256">
      <c r="D205" s="406"/>
      <c r="F205" s="453"/>
      <c r="H205" s="470"/>
    </row>
    <row r="206" spans="1:256">
      <c r="B206" s="392" t="str">
        <f>+B$65</f>
        <v xml:space="preserve">  Total</v>
      </c>
      <c r="D206" s="396">
        <f>SUM(D201:D204)</f>
        <v>5217205</v>
      </c>
      <c r="F206" s="453"/>
      <c r="H206" s="396">
        <f>SUM(H201:H204)</f>
        <v>5003819</v>
      </c>
    </row>
    <row r="207" spans="1:256">
      <c r="A207" s="413"/>
      <c r="B207" s="413"/>
      <c r="C207" s="413"/>
      <c r="D207" s="396"/>
      <c r="E207" s="413"/>
      <c r="F207" s="453"/>
      <c r="G207" s="413"/>
      <c r="H207" s="396"/>
      <c r="I207" s="413"/>
      <c r="J207" s="413"/>
      <c r="K207" s="413"/>
      <c r="L207" s="413"/>
      <c r="M207" s="413"/>
      <c r="N207" s="413"/>
      <c r="O207" s="413"/>
      <c r="P207" s="413"/>
      <c r="Q207" s="413"/>
      <c r="R207" s="413"/>
      <c r="S207" s="413"/>
      <c r="T207" s="413"/>
      <c r="U207" s="413"/>
      <c r="V207" s="413"/>
      <c r="W207" s="413"/>
      <c r="X207" s="413"/>
      <c r="Y207" s="413"/>
      <c r="Z207" s="413"/>
      <c r="AA207" s="413"/>
      <c r="AB207" s="413"/>
      <c r="AC207" s="413"/>
      <c r="AD207" s="413"/>
      <c r="AE207" s="413"/>
      <c r="AF207" s="413"/>
      <c r="AG207" s="413"/>
      <c r="AH207" s="413"/>
      <c r="AI207" s="413"/>
      <c r="AJ207" s="413"/>
      <c r="AK207" s="413"/>
      <c r="AL207" s="413"/>
      <c r="AM207" s="413"/>
      <c r="AN207" s="413"/>
      <c r="AO207" s="413"/>
      <c r="AP207" s="413"/>
      <c r="AQ207" s="413"/>
      <c r="AR207" s="413"/>
      <c r="AS207" s="413"/>
      <c r="AT207" s="413"/>
      <c r="AU207" s="413"/>
      <c r="AV207" s="413"/>
      <c r="AW207" s="413"/>
      <c r="AX207" s="413"/>
      <c r="AY207" s="413"/>
      <c r="AZ207" s="413"/>
      <c r="BA207" s="413"/>
      <c r="BB207" s="413"/>
      <c r="BC207" s="413"/>
      <c r="BD207" s="413"/>
      <c r="BE207" s="413"/>
      <c r="BF207" s="413"/>
      <c r="BG207" s="413"/>
      <c r="BH207" s="413"/>
      <c r="BI207" s="413"/>
      <c r="BJ207" s="413"/>
      <c r="BK207" s="413"/>
      <c r="BL207" s="413"/>
      <c r="BM207" s="413"/>
      <c r="BN207" s="413"/>
      <c r="BO207" s="413"/>
      <c r="BP207" s="413"/>
      <c r="BQ207" s="413"/>
      <c r="BR207" s="413"/>
      <c r="BS207" s="413"/>
      <c r="BT207" s="413"/>
      <c r="BU207" s="413"/>
      <c r="BV207" s="413"/>
      <c r="BW207" s="413"/>
      <c r="BX207" s="413"/>
      <c r="BY207" s="413"/>
      <c r="BZ207" s="413"/>
      <c r="CA207" s="413"/>
      <c r="CB207" s="413"/>
      <c r="CC207" s="413"/>
      <c r="CD207" s="413"/>
      <c r="CE207" s="413"/>
      <c r="CF207" s="413"/>
      <c r="CG207" s="413"/>
      <c r="CH207" s="413"/>
      <c r="CI207" s="413"/>
      <c r="CJ207" s="413"/>
      <c r="CK207" s="413"/>
      <c r="CL207" s="413"/>
      <c r="CM207" s="413"/>
      <c r="CN207" s="413"/>
      <c r="CO207" s="413"/>
      <c r="CP207" s="413"/>
      <c r="CQ207" s="413"/>
      <c r="CR207" s="413"/>
      <c r="CS207" s="413"/>
      <c r="CT207" s="413"/>
      <c r="CU207" s="413"/>
      <c r="CV207" s="413"/>
      <c r="CW207" s="413"/>
      <c r="CX207" s="413"/>
      <c r="CY207" s="413"/>
      <c r="CZ207" s="413"/>
      <c r="DA207" s="413"/>
      <c r="DB207" s="413"/>
      <c r="DC207" s="413"/>
      <c r="DD207" s="413"/>
      <c r="DE207" s="413"/>
      <c r="DF207" s="413"/>
      <c r="DG207" s="413"/>
      <c r="DH207" s="413"/>
      <c r="DI207" s="413"/>
      <c r="DJ207" s="413"/>
      <c r="DK207" s="413"/>
      <c r="DL207" s="413"/>
      <c r="DM207" s="413"/>
      <c r="DN207" s="413"/>
      <c r="DO207" s="413"/>
      <c r="DP207" s="413"/>
      <c r="DQ207" s="413"/>
      <c r="DR207" s="413"/>
      <c r="DS207" s="413"/>
      <c r="DT207" s="413"/>
      <c r="DU207" s="413"/>
      <c r="DV207" s="413"/>
      <c r="DW207" s="413"/>
      <c r="DX207" s="413"/>
      <c r="DY207" s="413"/>
      <c r="DZ207" s="413"/>
      <c r="EA207" s="413"/>
      <c r="EB207" s="413"/>
      <c r="EC207" s="413"/>
      <c r="ED207" s="413"/>
      <c r="EE207" s="413"/>
      <c r="EF207" s="413"/>
      <c r="EG207" s="413"/>
      <c r="EH207" s="413"/>
      <c r="EI207" s="413"/>
      <c r="EJ207" s="413"/>
      <c r="EK207" s="413"/>
      <c r="EL207" s="413"/>
      <c r="EM207" s="413"/>
      <c r="EN207" s="413"/>
      <c r="EO207" s="413"/>
      <c r="EP207" s="413"/>
      <c r="EQ207" s="413"/>
      <c r="ER207" s="413"/>
      <c r="ES207" s="413"/>
      <c r="ET207" s="413"/>
      <c r="EU207" s="413"/>
      <c r="EV207" s="413"/>
      <c r="EW207" s="413"/>
      <c r="EX207" s="413"/>
      <c r="EY207" s="413"/>
      <c r="EZ207" s="413"/>
      <c r="FA207" s="413"/>
      <c r="FB207" s="413"/>
      <c r="FC207" s="413"/>
      <c r="FD207" s="413"/>
      <c r="FE207" s="413"/>
      <c r="FF207" s="413"/>
      <c r="FG207" s="413"/>
      <c r="FH207" s="413"/>
      <c r="FI207" s="413"/>
      <c r="FJ207" s="413"/>
      <c r="FK207" s="413"/>
      <c r="FL207" s="413"/>
      <c r="FM207" s="413"/>
      <c r="FN207" s="413"/>
      <c r="FO207" s="413"/>
      <c r="FP207" s="413"/>
      <c r="FQ207" s="413"/>
      <c r="FR207" s="413"/>
      <c r="FS207" s="413"/>
      <c r="FT207" s="413"/>
      <c r="FU207" s="413"/>
      <c r="FV207" s="413"/>
      <c r="FW207" s="413"/>
      <c r="FX207" s="413"/>
      <c r="FY207" s="413"/>
      <c r="FZ207" s="413"/>
      <c r="GA207" s="413"/>
      <c r="GB207" s="413"/>
      <c r="GC207" s="413"/>
      <c r="GD207" s="413"/>
      <c r="GE207" s="413"/>
      <c r="GF207" s="413"/>
      <c r="GG207" s="413"/>
      <c r="GH207" s="413"/>
      <c r="GI207" s="413"/>
      <c r="GJ207" s="413"/>
      <c r="GK207" s="413"/>
      <c r="GL207" s="413"/>
      <c r="GM207" s="413"/>
      <c r="GN207" s="413"/>
      <c r="GO207" s="413"/>
      <c r="GP207" s="413"/>
      <c r="GQ207" s="413"/>
      <c r="GR207" s="413"/>
      <c r="GS207" s="413"/>
      <c r="GT207" s="413"/>
      <c r="GU207" s="413"/>
      <c r="GV207" s="413"/>
      <c r="GW207" s="413"/>
      <c r="GX207" s="413"/>
      <c r="GY207" s="413"/>
      <c r="GZ207" s="413"/>
      <c r="HA207" s="413"/>
      <c r="HB207" s="413"/>
      <c r="HC207" s="413"/>
      <c r="HD207" s="413"/>
      <c r="HE207" s="413"/>
      <c r="HF207" s="413"/>
      <c r="HG207" s="413"/>
      <c r="HH207" s="413"/>
      <c r="HI207" s="413"/>
      <c r="HJ207" s="413"/>
      <c r="HK207" s="413"/>
      <c r="HL207" s="413"/>
      <c r="HM207" s="413"/>
      <c r="HN207" s="413"/>
      <c r="HO207" s="413"/>
      <c r="HP207" s="413"/>
      <c r="HQ207" s="413"/>
      <c r="HR207" s="413"/>
      <c r="HS207" s="413"/>
      <c r="HT207" s="413"/>
      <c r="HU207" s="413"/>
      <c r="HV207" s="413"/>
      <c r="HW207" s="413"/>
      <c r="HX207" s="413"/>
      <c r="HY207" s="413"/>
      <c r="HZ207" s="413"/>
      <c r="IA207" s="413"/>
      <c r="IB207" s="413"/>
      <c r="IC207" s="413"/>
      <c r="ID207" s="413"/>
      <c r="IE207" s="413"/>
      <c r="IF207" s="413"/>
      <c r="IG207" s="413"/>
      <c r="IH207" s="413"/>
      <c r="II207" s="413"/>
      <c r="IJ207" s="413"/>
      <c r="IK207" s="413"/>
      <c r="IL207" s="413"/>
      <c r="IM207" s="413"/>
      <c r="IN207" s="413"/>
      <c r="IO207" s="413"/>
      <c r="IP207" s="413"/>
      <c r="IQ207" s="413"/>
      <c r="IR207" s="413"/>
      <c r="IS207" s="413"/>
      <c r="IT207" s="413"/>
      <c r="IU207" s="413"/>
      <c r="IV207" s="413"/>
    </row>
    <row r="208" spans="1:256">
      <c r="F208" s="426"/>
      <c r="G208" s="426"/>
      <c r="H208" s="426"/>
    </row>
    <row r="209" spans="2:14">
      <c r="D209" s="416" t="s">
        <v>244</v>
      </c>
      <c r="F209" s="416" t="s">
        <v>485</v>
      </c>
      <c r="H209" s="416" t="s">
        <v>475</v>
      </c>
    </row>
    <row r="210" spans="2:14">
      <c r="B210" s="99" t="s">
        <v>484</v>
      </c>
      <c r="C210" s="99"/>
      <c r="D210" s="108" t="s">
        <v>6</v>
      </c>
      <c r="F210" s="108" t="s">
        <v>475</v>
      </c>
      <c r="H210" s="108" t="s">
        <v>1</v>
      </c>
    </row>
    <row r="211" spans="2:14">
      <c r="F211" s="426"/>
      <c r="G211" s="426"/>
      <c r="H211" s="426"/>
    </row>
    <row r="212" spans="2:14">
      <c r="B212" s="392" t="str">
        <f>+B$60</f>
        <v xml:space="preserve">  Secondary</v>
      </c>
      <c r="D212" s="396">
        <f>+D$201</f>
        <v>52430</v>
      </c>
      <c r="F212" s="469">
        <f>F160</f>
        <v>0</v>
      </c>
      <c r="G212" s="426"/>
      <c r="H212" s="398">
        <f>ROUND((D212*F212),0)</f>
        <v>0</v>
      </c>
      <c r="M212" s="392" t="s">
        <v>535</v>
      </c>
    </row>
    <row r="213" spans="2:14">
      <c r="B213" s="392" t="str">
        <f>+B$61</f>
        <v xml:space="preserve">  Primary</v>
      </c>
      <c r="D213" s="396">
        <f>+D$202</f>
        <v>747347</v>
      </c>
      <c r="F213" s="469">
        <f>F161</f>
        <v>-2.63</v>
      </c>
      <c r="H213" s="398">
        <f>ROUND((D213*F213),0)</f>
        <v>-1965523</v>
      </c>
      <c r="N213" s="392" t="s">
        <v>534</v>
      </c>
    </row>
    <row r="214" spans="2:14">
      <c r="B214" s="392" t="str">
        <f>+B$62</f>
        <v xml:space="preserve">  Subtransmission</v>
      </c>
      <c r="D214" s="396">
        <f>+D$203</f>
        <v>3842719</v>
      </c>
      <c r="F214" s="469">
        <f>F162</f>
        <v>-9.07</v>
      </c>
      <c r="H214" s="398">
        <f>ROUND((D214*F214),0)</f>
        <v>-34853461</v>
      </c>
    </row>
    <row r="215" spans="2:14">
      <c r="B215" s="392" t="str">
        <f>+B$63</f>
        <v xml:space="preserve">  Transmission</v>
      </c>
      <c r="D215" s="396">
        <f>+D$204</f>
        <v>574709</v>
      </c>
      <c r="F215" s="469">
        <f>F163</f>
        <v>-9.07</v>
      </c>
      <c r="H215" s="398">
        <f>ROUND((D215*F215),0)</f>
        <v>-5212611</v>
      </c>
    </row>
    <row r="216" spans="2:14">
      <c r="D216" s="406"/>
      <c r="H216" s="445"/>
    </row>
    <row r="217" spans="2:14">
      <c r="B217" s="392" t="str">
        <f>+B$206</f>
        <v xml:space="preserve">  Total</v>
      </c>
      <c r="D217" s="396">
        <f>SUM(D212:D215)</f>
        <v>5217205</v>
      </c>
      <c r="H217" s="398">
        <f>SUM(H212:H215)</f>
        <v>-42031595</v>
      </c>
    </row>
    <row r="218" spans="2:14">
      <c r="H218" s="468"/>
    </row>
    <row r="219" spans="2:14">
      <c r="H219" s="468"/>
    </row>
    <row r="220" spans="2:14">
      <c r="B220" s="99" t="s">
        <v>533</v>
      </c>
      <c r="C220" s="99"/>
      <c r="D220" s="393">
        <f>J9</f>
        <v>161934097</v>
      </c>
      <c r="F220" s="9"/>
      <c r="G220" s="99"/>
      <c r="H220" s="99"/>
      <c r="I220" s="99"/>
      <c r="J220" s="12"/>
      <c r="K220" s="99"/>
    </row>
    <row r="221" spans="2:14">
      <c r="B221" s="392" t="s">
        <v>532</v>
      </c>
      <c r="D221" s="405">
        <f>J75</f>
        <v>594168</v>
      </c>
      <c r="F221" s="405"/>
    </row>
    <row r="222" spans="2:14">
      <c r="B222" s="99" t="s">
        <v>531</v>
      </c>
      <c r="C222" s="99"/>
      <c r="D222" s="396">
        <f>H88</f>
        <v>472330</v>
      </c>
      <c r="F222" s="12"/>
      <c r="G222" s="99"/>
      <c r="H222" s="99"/>
      <c r="I222" s="99"/>
      <c r="J222" s="15"/>
      <c r="K222" s="99"/>
    </row>
    <row r="223" spans="2:14">
      <c r="B223" s="99" t="s">
        <v>530</v>
      </c>
      <c r="C223" s="99"/>
      <c r="D223" s="396">
        <f>H101</f>
        <v>5510691</v>
      </c>
      <c r="F223" s="12"/>
      <c r="G223" s="99"/>
      <c r="H223" s="99"/>
      <c r="I223" s="99"/>
      <c r="J223" s="15"/>
      <c r="K223" s="99"/>
    </row>
    <row r="224" spans="2:14">
      <c r="B224" s="99" t="s">
        <v>529</v>
      </c>
      <c r="C224" s="99"/>
      <c r="D224" s="396">
        <f>H141</f>
        <v>91416780</v>
      </c>
      <c r="F224" s="9"/>
      <c r="G224" s="99"/>
      <c r="H224" s="9"/>
      <c r="I224" s="99"/>
      <c r="J224" s="15"/>
      <c r="K224" s="99"/>
    </row>
    <row r="225" spans="2:13">
      <c r="B225" s="99" t="s">
        <v>528</v>
      </c>
      <c r="C225" s="99"/>
      <c r="D225" s="396">
        <f>H193</f>
        <v>2526346</v>
      </c>
      <c r="F225" s="9"/>
      <c r="G225" s="99"/>
      <c r="H225" s="9"/>
      <c r="I225" s="99"/>
      <c r="J225" s="15"/>
      <c r="K225" s="99"/>
    </row>
    <row r="226" spans="2:13">
      <c r="B226" s="99" t="s">
        <v>527</v>
      </c>
      <c r="C226" s="99"/>
      <c r="D226" s="467">
        <f>+H217</f>
        <v>-42031595</v>
      </c>
      <c r="F226" s="11"/>
      <c r="G226" s="99"/>
      <c r="H226" s="99"/>
      <c r="I226" s="99"/>
      <c r="J226" s="12"/>
      <c r="K226" s="99"/>
    </row>
    <row r="227" spans="2:13">
      <c r="D227" s="452"/>
      <c r="F227" s="99"/>
      <c r="G227" s="99"/>
      <c r="H227" s="99"/>
      <c r="I227" s="99"/>
      <c r="J227" s="12"/>
      <c r="K227" s="99"/>
    </row>
    <row r="228" spans="2:13">
      <c r="B228" s="99" t="s">
        <v>526</v>
      </c>
      <c r="C228" s="99"/>
      <c r="D228" s="393">
        <f>D220-SUM(D221:D226)</f>
        <v>103445377</v>
      </c>
      <c r="F228" s="9"/>
      <c r="G228" s="99"/>
      <c r="H228" s="9"/>
      <c r="I228" s="99"/>
      <c r="J228" s="99"/>
      <c r="K228" s="99"/>
    </row>
    <row r="229" spans="2:13">
      <c r="B229" s="99" t="s">
        <v>525</v>
      </c>
      <c r="C229" s="99"/>
      <c r="D229" s="396">
        <f>+H206</f>
        <v>5003819</v>
      </c>
      <c r="F229" s="9"/>
      <c r="G229" s="99"/>
      <c r="H229" s="9"/>
      <c r="I229" s="99"/>
      <c r="J229" s="9"/>
      <c r="K229" s="99"/>
    </row>
    <row r="230" spans="2:13">
      <c r="D230" s="406"/>
      <c r="F230" s="99"/>
      <c r="G230" s="99"/>
      <c r="H230" s="99"/>
      <c r="I230" s="99"/>
      <c r="J230" s="99"/>
      <c r="K230" s="99"/>
    </row>
    <row r="231" spans="2:13">
      <c r="B231" s="99" t="s">
        <v>524</v>
      </c>
      <c r="C231" s="99"/>
      <c r="D231" s="399">
        <f>ROUND((D228/D229),2)</f>
        <v>20.67</v>
      </c>
      <c r="F231" s="9"/>
      <c r="G231" s="99"/>
      <c r="H231" s="99"/>
      <c r="I231" s="99"/>
      <c r="J231" s="15"/>
      <c r="K231" s="99"/>
    </row>
    <row r="232" spans="2:13">
      <c r="B232" s="99" t="s">
        <v>523</v>
      </c>
      <c r="C232" s="466">
        <v>1</v>
      </c>
      <c r="D232" s="399">
        <f>ROUND(D231*C232,2)</f>
        <v>20.67</v>
      </c>
      <c r="F232" s="15"/>
      <c r="G232" s="99"/>
      <c r="H232" s="99"/>
      <c r="I232" s="99"/>
      <c r="J232" s="15"/>
      <c r="K232" s="99"/>
    </row>
    <row r="233" spans="2:13">
      <c r="B233" s="408"/>
      <c r="C233" s="408"/>
      <c r="D233" s="432"/>
    </row>
    <row r="234" spans="2:13">
      <c r="D234" s="416" t="s">
        <v>380</v>
      </c>
      <c r="F234" s="416" t="s">
        <v>401</v>
      </c>
      <c r="H234" s="416" t="s">
        <v>6</v>
      </c>
      <c r="J234" s="416" t="s">
        <v>485</v>
      </c>
      <c r="L234" s="416" t="s">
        <v>141</v>
      </c>
    </row>
    <row r="235" spans="2:13">
      <c r="B235" s="99" t="s">
        <v>488</v>
      </c>
      <c r="C235" s="99"/>
      <c r="D235" s="108" t="s">
        <v>188</v>
      </c>
      <c r="F235" s="108" t="s">
        <v>400</v>
      </c>
      <c r="H235" s="108" t="s">
        <v>188</v>
      </c>
      <c r="J235" s="108" t="s">
        <v>475</v>
      </c>
      <c r="L235" s="108" t="s">
        <v>188</v>
      </c>
    </row>
    <row r="237" spans="2:13">
      <c r="B237" s="392" t="str">
        <f>+B$60</f>
        <v xml:space="preserve">  Secondary</v>
      </c>
      <c r="D237" s="53">
        <f>D232</f>
        <v>20.67</v>
      </c>
      <c r="F237" s="417">
        <f>F201</f>
        <v>1</v>
      </c>
      <c r="G237" s="410"/>
      <c r="H237" s="53">
        <f>ROUND((D237*F237),2)</f>
        <v>20.67</v>
      </c>
      <c r="I237" s="410"/>
      <c r="J237" s="430">
        <f>F212</f>
        <v>0</v>
      </c>
      <c r="L237" s="53">
        <f>H237+J237</f>
        <v>20.67</v>
      </c>
    </row>
    <row r="238" spans="2:13">
      <c r="B238" s="392" t="str">
        <f>+B$61</f>
        <v xml:space="preserve">  Primary</v>
      </c>
      <c r="D238" s="53">
        <f>D237</f>
        <v>20.67</v>
      </c>
      <c r="F238" s="417">
        <f>F202</f>
        <v>0.97121999999999997</v>
      </c>
      <c r="G238" s="410"/>
      <c r="H238" s="53">
        <f>ROUND((D238*F238),2)</f>
        <v>20.079999999999998</v>
      </c>
      <c r="I238" s="410"/>
      <c r="J238" s="430">
        <f>F213</f>
        <v>-2.63</v>
      </c>
      <c r="L238" s="53">
        <f>H238+J238</f>
        <v>17.45</v>
      </c>
      <c r="M238" s="451"/>
    </row>
    <row r="239" spans="2:13">
      <c r="B239" s="392" t="str">
        <f>+B$62</f>
        <v xml:space="preserve">  Subtransmission</v>
      </c>
      <c r="D239" s="53">
        <f>D238</f>
        <v>20.67</v>
      </c>
      <c r="F239" s="417">
        <f>F203</f>
        <v>0.95842000000000005</v>
      </c>
      <c r="G239" s="410"/>
      <c r="H239" s="53">
        <f>ROUND((D239*F239),2)</f>
        <v>19.809999999999999</v>
      </c>
      <c r="I239" s="410"/>
      <c r="J239" s="430">
        <f>F214</f>
        <v>-9.07</v>
      </c>
      <c r="L239" s="53">
        <f>H239+J239</f>
        <v>10.739999999999998</v>
      </c>
      <c r="M239" s="451"/>
    </row>
    <row r="240" spans="2:13">
      <c r="B240" s="392" t="str">
        <f>+B$63</f>
        <v xml:space="preserve">  Transmission</v>
      </c>
      <c r="D240" s="53">
        <f>D239</f>
        <v>20.67</v>
      </c>
      <c r="F240" s="417">
        <f>F204</f>
        <v>0.94415000000000004</v>
      </c>
      <c r="G240" s="410"/>
      <c r="H240" s="53">
        <f>ROUND((D240*F240),2)</f>
        <v>19.52</v>
      </c>
      <c r="I240" s="410"/>
      <c r="J240" s="430">
        <f>F215</f>
        <v>-9.07</v>
      </c>
      <c r="L240" s="53">
        <f>H240+J240</f>
        <v>10.45</v>
      </c>
      <c r="M240" s="451"/>
    </row>
    <row r="241" spans="2:13">
      <c r="D241" s="53"/>
      <c r="F241" s="417"/>
      <c r="G241" s="410"/>
      <c r="H241" s="53"/>
      <c r="I241" s="410"/>
      <c r="J241" s="430"/>
      <c r="L241" s="53"/>
      <c r="M241" s="451"/>
    </row>
    <row r="242" spans="2:13">
      <c r="B242" s="99" t="s">
        <v>522</v>
      </c>
    </row>
    <row r="243" spans="2:13">
      <c r="D243" s="416" t="s">
        <v>43</v>
      </c>
      <c r="F243" s="422" t="s">
        <v>141</v>
      </c>
    </row>
    <row r="244" spans="2:13">
      <c r="C244" s="99"/>
      <c r="D244" s="108" t="s">
        <v>6</v>
      </c>
      <c r="F244" s="108" t="s">
        <v>188</v>
      </c>
      <c r="H244" s="108" t="s">
        <v>1</v>
      </c>
    </row>
    <row r="246" spans="2:13">
      <c r="B246" s="392" t="str">
        <f>+B$60</f>
        <v xml:space="preserve">  Secondary</v>
      </c>
      <c r="D246" s="396">
        <f>D201</f>
        <v>52430</v>
      </c>
      <c r="F246" s="53">
        <f>L237</f>
        <v>20.67</v>
      </c>
      <c r="G246" s="396"/>
      <c r="H246" s="396">
        <f>ROUND((F246*D246),0)</f>
        <v>1083728</v>
      </c>
    </row>
    <row r="247" spans="2:13">
      <c r="B247" s="392" t="str">
        <f>+B$61</f>
        <v xml:space="preserve">  Primary</v>
      </c>
      <c r="D247" s="396">
        <f>D202</f>
        <v>747347</v>
      </c>
      <c r="F247" s="53">
        <f>L238</f>
        <v>17.45</v>
      </c>
      <c r="G247" s="396"/>
      <c r="H247" s="396">
        <f>ROUND((F247*D247),0)</f>
        <v>13041205</v>
      </c>
      <c r="J247" s="451"/>
    </row>
    <row r="248" spans="2:13">
      <c r="B248" s="392" t="str">
        <f>+B$62</f>
        <v xml:space="preserve">  Subtransmission</v>
      </c>
      <c r="D248" s="396">
        <f>D203</f>
        <v>3842719</v>
      </c>
      <c r="F248" s="53">
        <f>L239</f>
        <v>10.739999999999998</v>
      </c>
      <c r="H248" s="396">
        <f>ROUND((F248*D248),0)</f>
        <v>41270802</v>
      </c>
      <c r="J248" s="451"/>
    </row>
    <row r="249" spans="2:13">
      <c r="B249" s="392" t="str">
        <f>+B$63</f>
        <v xml:space="preserve">  Transmission</v>
      </c>
      <c r="D249" s="396">
        <f>D204</f>
        <v>574709</v>
      </c>
      <c r="F249" s="53">
        <f>L240</f>
        <v>10.45</v>
      </c>
      <c r="H249" s="396">
        <f>ROUND((F249*D249),0)</f>
        <v>6005709</v>
      </c>
      <c r="J249" s="451"/>
    </row>
    <row r="250" spans="2:13">
      <c r="D250" s="465" t="s">
        <v>80</v>
      </c>
      <c r="H250" s="465" t="s">
        <v>80</v>
      </c>
    </row>
    <row r="251" spans="2:13">
      <c r="B251" s="392" t="str">
        <f>+B$65</f>
        <v xml:space="preserve">  Total</v>
      </c>
      <c r="D251" s="396">
        <f>SUM(D246:D249)</f>
        <v>5217205</v>
      </c>
      <c r="H251" s="393">
        <f>SUM(H246:H249)</f>
        <v>61401444</v>
      </c>
    </row>
    <row r="252" spans="2:13">
      <c r="D252" s="396"/>
      <c r="H252" s="393"/>
    </row>
    <row r="253" spans="2:13" hidden="1">
      <c r="B253" s="464"/>
      <c r="C253" s="456"/>
      <c r="D253" s="459"/>
      <c r="E253" s="456"/>
      <c r="F253" s="456"/>
      <c r="G253" s="456"/>
      <c r="H253" s="455"/>
    </row>
    <row r="254" spans="2:13" hidden="1">
      <c r="B254" s="456"/>
      <c r="C254" s="456"/>
      <c r="D254" s="463"/>
      <c r="E254" s="456"/>
      <c r="F254" s="462"/>
      <c r="G254" s="456"/>
      <c r="H254" s="455"/>
    </row>
    <row r="255" spans="2:13" hidden="1">
      <c r="B255" s="456"/>
      <c r="C255" s="456"/>
      <c r="D255" s="461"/>
      <c r="E255" s="456"/>
      <c r="F255" s="460"/>
      <c r="G255" s="456"/>
      <c r="H255" s="460"/>
    </row>
    <row r="256" spans="2:13" hidden="1">
      <c r="B256" s="456"/>
      <c r="C256" s="456"/>
      <c r="D256" s="459"/>
      <c r="E256" s="456"/>
      <c r="F256" s="456"/>
      <c r="G256" s="456"/>
      <c r="H256" s="455"/>
    </row>
    <row r="257" spans="1:12" hidden="1">
      <c r="B257" s="456"/>
      <c r="C257" s="456"/>
      <c r="D257" s="459"/>
      <c r="E257" s="456"/>
      <c r="F257" s="457"/>
      <c r="G257" s="456"/>
      <c r="H257" s="455"/>
    </row>
    <row r="258" spans="1:12" hidden="1">
      <c r="B258" s="456"/>
      <c r="C258" s="456"/>
      <c r="D258" s="459"/>
      <c r="E258" s="456"/>
      <c r="F258" s="457"/>
      <c r="G258" s="456"/>
      <c r="H258" s="455"/>
    </row>
    <row r="259" spans="1:12" hidden="1">
      <c r="B259" s="456"/>
      <c r="C259" s="456"/>
      <c r="D259" s="459"/>
      <c r="E259" s="456"/>
      <c r="F259" s="457"/>
      <c r="G259" s="456"/>
      <c r="H259" s="455"/>
    </row>
    <row r="260" spans="1:12" hidden="1">
      <c r="B260" s="456"/>
      <c r="C260" s="456"/>
      <c r="D260" s="458"/>
      <c r="E260" s="456"/>
      <c r="F260" s="457"/>
      <c r="G260" s="456"/>
      <c r="H260" s="455"/>
    </row>
    <row r="261" spans="1:12">
      <c r="D261" s="396"/>
      <c r="H261" s="393"/>
    </row>
    <row r="262" spans="1:12">
      <c r="D262" s="53"/>
      <c r="F262" s="417"/>
      <c r="G262" s="410"/>
      <c r="H262" s="53"/>
      <c r="I262" s="410"/>
      <c r="J262" s="429"/>
      <c r="L262" s="53"/>
    </row>
    <row r="263" spans="1:12">
      <c r="D263" s="53"/>
      <c r="F263" s="417"/>
      <c r="G263" s="410"/>
      <c r="H263" s="53"/>
      <c r="I263" s="410"/>
      <c r="J263" s="429"/>
      <c r="L263" s="53"/>
    </row>
    <row r="264" spans="1:12">
      <c r="A264" s="99" t="s">
        <v>94</v>
      </c>
      <c r="B264" s="99" t="s">
        <v>39</v>
      </c>
      <c r="C264" s="99"/>
      <c r="D264" s="108" t="s">
        <v>40</v>
      </c>
      <c r="F264" s="108" t="s">
        <v>188</v>
      </c>
      <c r="H264" s="108" t="s">
        <v>1</v>
      </c>
      <c r="J264" s="108" t="s">
        <v>381</v>
      </c>
      <c r="L264" s="108" t="s">
        <v>42</v>
      </c>
    </row>
    <row r="266" spans="1:12">
      <c r="B266" s="99" t="s">
        <v>380</v>
      </c>
      <c r="C266" s="99" t="s">
        <v>521</v>
      </c>
      <c r="D266" s="396">
        <f>D41</f>
        <v>52430</v>
      </c>
      <c r="E266" s="99" t="s">
        <v>234</v>
      </c>
      <c r="F266" s="399">
        <f>L237+0.02</f>
        <v>20.69</v>
      </c>
      <c r="G266" s="99" t="s">
        <v>961</v>
      </c>
      <c r="H266" s="393">
        <f t="shared" ref="H266:H271" si="0">ROUND((D266*F266),0)</f>
        <v>1084777</v>
      </c>
    </row>
    <row r="267" spans="1:12">
      <c r="B267" s="99"/>
      <c r="C267" s="99" t="s">
        <v>520</v>
      </c>
      <c r="D267" s="396">
        <f>D42</f>
        <v>41767</v>
      </c>
      <c r="E267" s="99" t="s">
        <v>234</v>
      </c>
      <c r="F267" s="409">
        <f>+F96</f>
        <v>1.1299999999999999</v>
      </c>
      <c r="G267" s="99" t="s">
        <v>374</v>
      </c>
      <c r="H267" s="396">
        <f t="shared" si="0"/>
        <v>47197</v>
      </c>
    </row>
    <row r="268" spans="1:12">
      <c r="B268" s="99"/>
      <c r="C268" s="99" t="s">
        <v>519</v>
      </c>
      <c r="D268" s="396">
        <f>D44</f>
        <v>0</v>
      </c>
      <c r="E268" s="99" t="s">
        <v>234</v>
      </c>
      <c r="F268" s="409">
        <f>F188</f>
        <v>22.06</v>
      </c>
      <c r="G268" s="99" t="s">
        <v>374</v>
      </c>
      <c r="H268" s="396">
        <f t="shared" si="0"/>
        <v>0</v>
      </c>
    </row>
    <row r="269" spans="1:12">
      <c r="B269" s="99"/>
      <c r="C269" s="99" t="s">
        <v>518</v>
      </c>
      <c r="D269" s="396">
        <f>D46</f>
        <v>4387</v>
      </c>
      <c r="E269" s="99" t="s">
        <v>517</v>
      </c>
      <c r="F269" s="409">
        <f>+D83</f>
        <v>0.69</v>
      </c>
      <c r="G269" s="99" t="s">
        <v>516</v>
      </c>
      <c r="H269" s="396">
        <f t="shared" si="0"/>
        <v>3027</v>
      </c>
    </row>
    <row r="270" spans="1:12">
      <c r="B270" s="99"/>
      <c r="C270" s="99" t="s">
        <v>7</v>
      </c>
      <c r="D270" s="396">
        <f>D47</f>
        <v>22421138</v>
      </c>
      <c r="E270" s="99" t="s">
        <v>44</v>
      </c>
      <c r="F270" s="408">
        <f>F136+0.00002</f>
        <v>3.3979999999999996E-2</v>
      </c>
      <c r="G270" s="99" t="s">
        <v>474</v>
      </c>
      <c r="H270" s="396">
        <f t="shared" si="0"/>
        <v>761870</v>
      </c>
    </row>
    <row r="271" spans="1:12">
      <c r="B271" s="99"/>
      <c r="C271" s="99" t="s">
        <v>8</v>
      </c>
      <c r="D271" s="396">
        <f>D50</f>
        <v>71</v>
      </c>
      <c r="E271" s="99" t="s">
        <v>46</v>
      </c>
      <c r="F271" s="407">
        <f>+F$70</f>
        <v>276</v>
      </c>
      <c r="G271" s="99" t="s">
        <v>459</v>
      </c>
      <c r="H271" s="396">
        <f t="shared" si="0"/>
        <v>19596</v>
      </c>
    </row>
    <row r="272" spans="1:12">
      <c r="F272" s="411"/>
      <c r="H272" s="406"/>
    </row>
    <row r="273" spans="2:15">
      <c r="B273" s="99"/>
      <c r="C273" s="99" t="s">
        <v>79</v>
      </c>
      <c r="F273" s="410"/>
      <c r="H273" s="393">
        <f>SUM(H266:H271)</f>
        <v>1916467</v>
      </c>
    </row>
    <row r="276" spans="2:15">
      <c r="B276" s="99" t="s">
        <v>379</v>
      </c>
      <c r="C276" s="99" t="s">
        <v>521</v>
      </c>
      <c r="D276" s="396">
        <f>F41</f>
        <v>747347</v>
      </c>
      <c r="E276" s="99" t="s">
        <v>234</v>
      </c>
      <c r="F276" s="399">
        <f>L238+0.01</f>
        <v>17.46</v>
      </c>
      <c r="G276" s="99" t="s">
        <v>961</v>
      </c>
      <c r="H276" s="393">
        <f t="shared" ref="H276:H281" si="1">ROUND((D276*F276),0)</f>
        <v>13048679</v>
      </c>
      <c r="J276" s="451"/>
    </row>
    <row r="277" spans="2:15">
      <c r="B277" s="99"/>
      <c r="C277" s="99" t="s">
        <v>520</v>
      </c>
      <c r="D277" s="396">
        <f>F42</f>
        <v>649744</v>
      </c>
      <c r="E277" s="99" t="s">
        <v>234</v>
      </c>
      <c r="F277" s="409">
        <f>+F97</f>
        <v>1.1000000000000001</v>
      </c>
      <c r="G277" s="99" t="s">
        <v>374</v>
      </c>
      <c r="H277" s="396">
        <f t="shared" si="1"/>
        <v>714718</v>
      </c>
      <c r="J277" s="451"/>
    </row>
    <row r="278" spans="2:15">
      <c r="B278" s="99"/>
      <c r="C278" s="99" t="s">
        <v>519</v>
      </c>
      <c r="D278" s="396">
        <f>F44</f>
        <v>0</v>
      </c>
      <c r="E278" s="99" t="s">
        <v>234</v>
      </c>
      <c r="F278" s="409">
        <f>F189</f>
        <v>18.8</v>
      </c>
      <c r="G278" s="99" t="s">
        <v>374</v>
      </c>
      <c r="H278" s="396">
        <f t="shared" si="1"/>
        <v>0</v>
      </c>
      <c r="J278" s="451"/>
    </row>
    <row r="279" spans="2:15">
      <c r="B279" s="99"/>
      <c r="C279" s="99" t="s">
        <v>518</v>
      </c>
      <c r="D279" s="396">
        <f>F46</f>
        <v>114172</v>
      </c>
      <c r="E279" s="99" t="s">
        <v>517</v>
      </c>
      <c r="F279" s="409">
        <f>+D84</f>
        <v>0.69</v>
      </c>
      <c r="G279" s="99" t="s">
        <v>516</v>
      </c>
      <c r="H279" s="396">
        <f t="shared" si="1"/>
        <v>78779</v>
      </c>
      <c r="J279" s="451"/>
    </row>
    <row r="280" spans="2:15">
      <c r="B280" s="99"/>
      <c r="C280" s="99" t="s">
        <v>7</v>
      </c>
      <c r="D280" s="396">
        <f>F47</f>
        <v>331215696</v>
      </c>
      <c r="E280" s="99" t="s">
        <v>44</v>
      </c>
      <c r="F280" s="408">
        <f>F137+0.00001</f>
        <v>3.279E-2</v>
      </c>
      <c r="G280" s="99" t="s">
        <v>474</v>
      </c>
      <c r="H280" s="396">
        <f t="shared" si="1"/>
        <v>10860563</v>
      </c>
    </row>
    <row r="281" spans="2:15">
      <c r="B281" s="99"/>
      <c r="C281" s="99" t="s">
        <v>8</v>
      </c>
      <c r="D281" s="396">
        <f>F50</f>
        <v>479</v>
      </c>
      <c r="E281" s="99" t="s">
        <v>46</v>
      </c>
      <c r="F281" s="407">
        <f>+F$71</f>
        <v>276</v>
      </c>
      <c r="G281" s="99" t="s">
        <v>459</v>
      </c>
      <c r="H281" s="396">
        <f t="shared" si="1"/>
        <v>132204</v>
      </c>
    </row>
    <row r="282" spans="2:15">
      <c r="F282" s="411"/>
      <c r="H282" s="406"/>
    </row>
    <row r="283" spans="2:15">
      <c r="B283" s="99"/>
      <c r="C283" s="99" t="s">
        <v>79</v>
      </c>
      <c r="F283" s="410"/>
      <c r="H283" s="393">
        <f>SUM(H276:H281)</f>
        <v>24834943</v>
      </c>
    </row>
    <row r="284" spans="2:15">
      <c r="B284" s="99"/>
      <c r="C284" s="99"/>
      <c r="F284" s="410"/>
      <c r="H284" s="393"/>
    </row>
    <row r="286" spans="2:15">
      <c r="B286" s="99" t="s">
        <v>435</v>
      </c>
      <c r="C286" s="99" t="s">
        <v>521</v>
      </c>
      <c r="D286" s="396">
        <f>+H41</f>
        <v>3842719</v>
      </c>
      <c r="E286" s="392" t="str">
        <f>+E276</f>
        <v>kW</v>
      </c>
      <c r="F286" s="399">
        <f>L239</f>
        <v>10.739999999999998</v>
      </c>
      <c r="G286" s="99" t="s">
        <v>374</v>
      </c>
      <c r="H286" s="393">
        <f t="shared" ref="H286:H291" si="2">ROUND((D286*F286),0)</f>
        <v>41270802</v>
      </c>
      <c r="J286" s="451"/>
      <c r="L286" s="454"/>
      <c r="M286" s="454"/>
      <c r="N286" s="454"/>
      <c r="O286" s="454"/>
    </row>
    <row r="287" spans="2:15">
      <c r="B287" s="99"/>
      <c r="C287" s="99" t="s">
        <v>520</v>
      </c>
      <c r="D287" s="396">
        <f>+H42</f>
        <v>3845175</v>
      </c>
      <c r="E287" s="99" t="s">
        <v>234</v>
      </c>
      <c r="F287" s="409">
        <f>+F98</f>
        <v>1.08</v>
      </c>
      <c r="G287" s="99" t="s">
        <v>374</v>
      </c>
      <c r="H287" s="396">
        <f t="shared" si="2"/>
        <v>4152789</v>
      </c>
    </row>
    <row r="288" spans="2:15">
      <c r="B288" s="99"/>
      <c r="C288" s="99" t="s">
        <v>519</v>
      </c>
      <c r="D288" s="396">
        <f>+H44</f>
        <v>87948</v>
      </c>
      <c r="E288" s="99" t="s">
        <v>234</v>
      </c>
      <c r="F288" s="409">
        <f>F190</f>
        <v>12.07</v>
      </c>
      <c r="G288" s="99" t="s">
        <v>374</v>
      </c>
      <c r="H288" s="396">
        <f t="shared" si="2"/>
        <v>1061532</v>
      </c>
      <c r="L288" s="454"/>
    </row>
    <row r="289" spans="2:12">
      <c r="B289" s="99"/>
      <c r="C289" s="99" t="s">
        <v>518</v>
      </c>
      <c r="D289" s="396">
        <f>+H46</f>
        <v>468823</v>
      </c>
      <c r="E289" s="99" t="s">
        <v>517</v>
      </c>
      <c r="F289" s="409">
        <f>+D85</f>
        <v>0.69</v>
      </c>
      <c r="G289" s="99" t="s">
        <v>516</v>
      </c>
      <c r="H289" s="396">
        <f t="shared" si="2"/>
        <v>323488</v>
      </c>
      <c r="L289" s="454"/>
    </row>
    <row r="290" spans="2:12">
      <c r="B290" s="99"/>
      <c r="C290" s="99" t="s">
        <v>7</v>
      </c>
      <c r="D290" s="396">
        <f>+H47</f>
        <v>2106931360</v>
      </c>
      <c r="E290" s="392" t="str">
        <f>+E280</f>
        <v>kWh</v>
      </c>
      <c r="F290" s="408">
        <f>F138</f>
        <v>3.2419999999999997E-2</v>
      </c>
      <c r="G290" s="99" t="s">
        <v>23</v>
      </c>
      <c r="H290" s="396">
        <f t="shared" si="2"/>
        <v>68306715</v>
      </c>
      <c r="L290" s="454"/>
    </row>
    <row r="291" spans="2:12">
      <c r="B291" s="99"/>
      <c r="C291" s="99" t="s">
        <v>8</v>
      </c>
      <c r="D291" s="396">
        <f>+H50</f>
        <v>414</v>
      </c>
      <c r="E291" s="392" t="str">
        <f>+E281</f>
        <v>Bills</v>
      </c>
      <c r="F291" s="407">
        <f>+F$72</f>
        <v>794</v>
      </c>
      <c r="G291" s="99" t="s">
        <v>459</v>
      </c>
      <c r="H291" s="396">
        <f t="shared" si="2"/>
        <v>328716</v>
      </c>
      <c r="L291" s="454"/>
    </row>
    <row r="292" spans="2:12">
      <c r="H292" s="406"/>
    </row>
    <row r="293" spans="2:12">
      <c r="B293" s="99"/>
      <c r="C293" s="99" t="s">
        <v>79</v>
      </c>
      <c r="H293" s="393">
        <f>SUM(H286:H291)</f>
        <v>115444042</v>
      </c>
    </row>
    <row r="294" spans="2:12">
      <c r="F294" s="453"/>
      <c r="H294" s="452"/>
    </row>
    <row r="296" spans="2:12">
      <c r="B296" s="99" t="s">
        <v>473</v>
      </c>
      <c r="C296" s="99" t="s">
        <v>521</v>
      </c>
      <c r="D296" s="396">
        <f>+J41</f>
        <v>574709</v>
      </c>
      <c r="E296" s="392" t="str">
        <f>+E286</f>
        <v>kW</v>
      </c>
      <c r="F296" s="399">
        <f>L240</f>
        <v>10.45</v>
      </c>
      <c r="G296" s="99" t="s">
        <v>374</v>
      </c>
      <c r="H296" s="393">
        <f t="shared" ref="H296:H301" si="3">ROUND((D296*F296),0)</f>
        <v>6005709</v>
      </c>
      <c r="J296" s="451"/>
    </row>
    <row r="297" spans="2:12">
      <c r="B297" s="99"/>
      <c r="C297" s="99" t="s">
        <v>520</v>
      </c>
      <c r="D297" s="396">
        <f>+J42</f>
        <v>556997</v>
      </c>
      <c r="E297" s="99" t="s">
        <v>234</v>
      </c>
      <c r="F297" s="409">
        <f>+F99</f>
        <v>1.07</v>
      </c>
      <c r="G297" s="99" t="s">
        <v>374</v>
      </c>
      <c r="H297" s="396">
        <f t="shared" si="3"/>
        <v>595987</v>
      </c>
    </row>
    <row r="298" spans="2:12">
      <c r="B298" s="99"/>
      <c r="C298" s="99" t="s">
        <v>519</v>
      </c>
      <c r="D298" s="396">
        <f>+J44</f>
        <v>124559</v>
      </c>
      <c r="E298" s="99" t="s">
        <v>234</v>
      </c>
      <c r="F298" s="409">
        <f>F191</f>
        <v>11.759999999999998</v>
      </c>
      <c r="G298" s="99" t="s">
        <v>374</v>
      </c>
      <c r="H298" s="396">
        <f t="shared" si="3"/>
        <v>1464814</v>
      </c>
    </row>
    <row r="299" spans="2:12">
      <c r="B299" s="99"/>
      <c r="C299" s="99" t="s">
        <v>518</v>
      </c>
      <c r="D299" s="396">
        <f>+J46</f>
        <v>97153</v>
      </c>
      <c r="E299" s="99" t="s">
        <v>517</v>
      </c>
      <c r="F299" s="409">
        <f>+D86</f>
        <v>0.69</v>
      </c>
      <c r="G299" s="99" t="s">
        <v>516</v>
      </c>
      <c r="H299" s="396">
        <f t="shared" si="3"/>
        <v>67036</v>
      </c>
    </row>
    <row r="300" spans="2:12">
      <c r="B300" s="99"/>
      <c r="C300" s="99" t="s">
        <v>7</v>
      </c>
      <c r="D300" s="396">
        <f>+J47</f>
        <v>358657681</v>
      </c>
      <c r="E300" s="392" t="str">
        <f>+E290</f>
        <v>kWh</v>
      </c>
      <c r="F300" s="408">
        <f>F139</f>
        <v>3.2039999999999999E-2</v>
      </c>
      <c r="G300" s="99" t="s">
        <v>23</v>
      </c>
      <c r="H300" s="396">
        <f t="shared" si="3"/>
        <v>11491392</v>
      </c>
    </row>
    <row r="301" spans="2:12">
      <c r="B301" s="99"/>
      <c r="C301" s="99" t="s">
        <v>8</v>
      </c>
      <c r="D301" s="396">
        <f>+J50</f>
        <v>84</v>
      </c>
      <c r="E301" s="392" t="str">
        <f>+E291</f>
        <v>Bills</v>
      </c>
      <c r="F301" s="409">
        <f>+F73</f>
        <v>1353</v>
      </c>
      <c r="G301" s="99" t="s">
        <v>459</v>
      </c>
      <c r="H301" s="396">
        <f t="shared" si="3"/>
        <v>113652</v>
      </c>
    </row>
    <row r="302" spans="2:12">
      <c r="H302" s="406"/>
    </row>
    <row r="303" spans="2:12">
      <c r="B303" s="99"/>
      <c r="C303" s="99" t="s">
        <v>79</v>
      </c>
      <c r="H303" s="393">
        <f>SUM(H296:H301)</f>
        <v>19738590</v>
      </c>
    </row>
    <row r="305" spans="2:12">
      <c r="B305" s="99" t="s">
        <v>515</v>
      </c>
      <c r="C305" s="99"/>
      <c r="H305" s="393">
        <f>H273+H283+H293+H303</f>
        <v>161934042</v>
      </c>
      <c r="I305" s="393"/>
      <c r="J305" s="393">
        <f>J9</f>
        <v>161934097</v>
      </c>
      <c r="L305" s="398">
        <f>H305-J305</f>
        <v>-55</v>
      </c>
    </row>
    <row r="306" spans="2:12">
      <c r="B306" s="99"/>
      <c r="C306" s="99"/>
      <c r="H306" s="398"/>
    </row>
    <row r="307" spans="2:12">
      <c r="B307" s="392" t="s">
        <v>193</v>
      </c>
    </row>
    <row r="308" spans="2:12">
      <c r="B308" s="392" t="s">
        <v>80</v>
      </c>
    </row>
    <row r="309" spans="2:12">
      <c r="D309" s="421"/>
      <c r="E309" s="421"/>
      <c r="F309" s="421"/>
    </row>
  </sheetData>
  <printOptions horizontalCentered="1"/>
  <pageMargins left="0.75" right="0.5" top="1.25" bottom="0.5" header="0.5" footer="0.5"/>
  <pageSetup scale="58" fitToHeight="12" orientation="portrait" r:id="rId1"/>
  <headerFooter alignWithMargins="0">
    <oddHeader>&amp;L&amp;"Arial,Regular"&amp;F
Page &amp;P of &amp;N&amp;C&amp;"Arial,Regular"KENTUCKY POWER COMPANY
QP Rate Design
Twelve Months Ended March 31, 2013</oddHeader>
  </headerFooter>
  <rowBreaks count="1" manualBreakCount="1">
    <brk id="263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50"/>
  <sheetViews>
    <sheetView showOutlineSymbols="0" topLeftCell="A25" zoomScale="87" workbookViewId="0">
      <selection activeCell="D58" sqref="D58"/>
    </sheetView>
  </sheetViews>
  <sheetFormatPr defaultColWidth="9.75" defaultRowHeight="15"/>
  <cols>
    <col min="1" max="1" width="26.75" style="392" customWidth="1"/>
    <col min="2" max="2" width="15.625" style="392" customWidth="1"/>
    <col min="3" max="3" width="11.75" style="392" customWidth="1"/>
    <col min="4" max="4" width="11.375" style="392" bestFit="1" customWidth="1"/>
    <col min="5" max="6" width="12.625" style="392" customWidth="1"/>
    <col min="7" max="16384" width="9.75" style="392"/>
  </cols>
  <sheetData>
    <row r="1" spans="1:6">
      <c r="A1" s="535" t="s">
        <v>611</v>
      </c>
      <c r="B1" s="535"/>
      <c r="C1" s="535"/>
      <c r="D1" s="535"/>
      <c r="E1" s="535"/>
      <c r="F1" s="535"/>
    </row>
    <row r="2" spans="1:6">
      <c r="A2" s="535" t="s">
        <v>610</v>
      </c>
      <c r="B2" s="535"/>
      <c r="C2" s="535"/>
      <c r="D2" s="535"/>
      <c r="E2" s="535"/>
      <c r="F2" s="535"/>
    </row>
    <row r="3" spans="1:6">
      <c r="A3" s="535" t="s">
        <v>619</v>
      </c>
      <c r="B3" s="535"/>
      <c r="C3" s="535"/>
      <c r="D3" s="535"/>
      <c r="E3" s="535"/>
      <c r="F3" s="535"/>
    </row>
    <row r="7" spans="1:6">
      <c r="A7" s="526" t="s">
        <v>618</v>
      </c>
      <c r="E7" s="416" t="s">
        <v>586</v>
      </c>
      <c r="F7" s="416"/>
    </row>
    <row r="8" spans="1:6">
      <c r="B8" s="416" t="s">
        <v>380</v>
      </c>
      <c r="C8" s="416" t="s">
        <v>379</v>
      </c>
      <c r="D8" s="416" t="s">
        <v>435</v>
      </c>
      <c r="E8" s="416" t="s">
        <v>473</v>
      </c>
      <c r="F8" s="416" t="s">
        <v>151</v>
      </c>
    </row>
    <row r="10" spans="1:6">
      <c r="A10" s="99" t="s">
        <v>608</v>
      </c>
      <c r="B10" s="396">
        <f>C44+F45+F46+F47</f>
        <v>2103122</v>
      </c>
      <c r="C10" s="534">
        <f>38082+2671</f>
        <v>40753</v>
      </c>
      <c r="D10" s="534">
        <f>2508+314</f>
        <v>2822</v>
      </c>
      <c r="E10" s="396"/>
      <c r="F10" s="396"/>
    </row>
    <row r="11" spans="1:6">
      <c r="A11" s="99" t="s">
        <v>607</v>
      </c>
      <c r="B11" s="396">
        <f>C49+F50</f>
        <v>1698961</v>
      </c>
      <c r="C11" s="534">
        <v>386863</v>
      </c>
      <c r="D11" s="534">
        <v>110848</v>
      </c>
      <c r="E11" s="396"/>
      <c r="F11" s="396"/>
    </row>
    <row r="12" spans="1:6">
      <c r="A12" s="99" t="s">
        <v>606</v>
      </c>
      <c r="B12" s="534">
        <v>52430</v>
      </c>
      <c r="C12" s="534">
        <v>747348</v>
      </c>
      <c r="D12" s="534">
        <v>927247</v>
      </c>
      <c r="E12" s="534">
        <v>145830</v>
      </c>
      <c r="F12" s="396"/>
    </row>
    <row r="13" spans="1:6">
      <c r="A13" s="99" t="s">
        <v>605</v>
      </c>
      <c r="B13" s="533">
        <v>0</v>
      </c>
      <c r="C13" s="533">
        <v>0</v>
      </c>
      <c r="D13" s="533">
        <v>2915472</v>
      </c>
      <c r="E13" s="533">
        <v>428879</v>
      </c>
      <c r="F13" s="45"/>
    </row>
    <row r="14" spans="1:6">
      <c r="A14" s="465" t="s">
        <v>54</v>
      </c>
      <c r="B14" s="428">
        <f>SUM(B10:B13)</f>
        <v>3854513</v>
      </c>
      <c r="C14" s="428">
        <f>SUM(C10:C13)</f>
        <v>1174964</v>
      </c>
      <c r="D14" s="428">
        <f>SUM(D10:D13)</f>
        <v>3956389</v>
      </c>
      <c r="E14" s="428">
        <f>SUM(E10:E13)</f>
        <v>574709</v>
      </c>
      <c r="F14" s="401"/>
    </row>
    <row r="16" spans="1:6">
      <c r="A16" s="99" t="s">
        <v>604</v>
      </c>
      <c r="B16" s="532">
        <v>1</v>
      </c>
      <c r="C16" s="532">
        <v>0.97121999999999997</v>
      </c>
      <c r="D16" s="532">
        <v>0.95842000000000005</v>
      </c>
      <c r="E16" s="532">
        <v>0.94415000000000004</v>
      </c>
      <c r="F16" s="411"/>
    </row>
    <row r="18" spans="1:6">
      <c r="A18" s="99" t="s">
        <v>617</v>
      </c>
      <c r="B18" s="396">
        <f>ROUND((B14*B16),0)</f>
        <v>3854513</v>
      </c>
      <c r="C18" s="396">
        <f>ROUND((C14*C16),0)</f>
        <v>1141149</v>
      </c>
      <c r="D18" s="396">
        <f>ROUND((D14*D16),0)</f>
        <v>3791882</v>
      </c>
      <c r="E18" s="396">
        <f>ROUND((E14*E16),0)</f>
        <v>542612</v>
      </c>
      <c r="F18" s="396"/>
    </row>
    <row r="19" spans="1:6">
      <c r="B19" s="541">
        <v>0.754</v>
      </c>
      <c r="C19" s="531">
        <f>B19</f>
        <v>0.754</v>
      </c>
    </row>
    <row r="20" spans="1:6">
      <c r="A20" s="99" t="s">
        <v>616</v>
      </c>
      <c r="B20" s="396">
        <f>ROUND(B19*B18,0)</f>
        <v>2906303</v>
      </c>
      <c r="C20" s="396">
        <f>ROUND(C19*C18,0)</f>
        <v>860426</v>
      </c>
      <c r="D20" s="396">
        <f>D18</f>
        <v>3791882</v>
      </c>
    </row>
    <row r="23" spans="1:6">
      <c r="A23" s="99" t="s">
        <v>601</v>
      </c>
      <c r="B23" s="534">
        <v>10120808</v>
      </c>
      <c r="C23" s="534">
        <v>32150397</v>
      </c>
      <c r="D23" s="534">
        <v>0</v>
      </c>
      <c r="E23" s="534">
        <v>0</v>
      </c>
      <c r="F23" s="534">
        <v>105286552</v>
      </c>
    </row>
    <row r="25" spans="1:6">
      <c r="A25" s="99" t="s">
        <v>615</v>
      </c>
      <c r="B25" s="396">
        <f>+B18</f>
        <v>3854513</v>
      </c>
      <c r="C25" s="396">
        <f>B25+C18</f>
        <v>4995662</v>
      </c>
      <c r="D25" s="396">
        <f>SUM(B20:D20)</f>
        <v>7558611</v>
      </c>
      <c r="E25" s="396">
        <f>SUM(B18:E18)</f>
        <v>9330156</v>
      </c>
      <c r="F25" s="396">
        <f>E25</f>
        <v>9330156</v>
      </c>
    </row>
    <row r="27" spans="1:6">
      <c r="A27" s="99" t="s">
        <v>599</v>
      </c>
      <c r="B27" s="540">
        <f>ROUND((B23/B25),2)</f>
        <v>2.63</v>
      </c>
      <c r="C27" s="392">
        <f>ROUND((C23/C25),2)</f>
        <v>6.44</v>
      </c>
      <c r="D27" s="540">
        <f>ROUND((D23/D25),2)</f>
        <v>0</v>
      </c>
      <c r="E27" s="409">
        <f>ROUND((E23/E25),2)</f>
        <v>0</v>
      </c>
      <c r="F27" s="409">
        <f>ROUND((F23/F25),2)</f>
        <v>11.28</v>
      </c>
    </row>
    <row r="28" spans="1:6">
      <c r="A28" s="99"/>
      <c r="E28" s="409"/>
      <c r="F28" s="409"/>
    </row>
    <row r="29" spans="1:6">
      <c r="A29" s="99"/>
      <c r="B29" s="392" t="s">
        <v>80</v>
      </c>
      <c r="C29" s="392" t="s">
        <v>80</v>
      </c>
      <c r="D29" s="392" t="s">
        <v>80</v>
      </c>
      <c r="E29" s="409"/>
      <c r="F29" s="409"/>
    </row>
    <row r="30" spans="1:6">
      <c r="A30" s="99"/>
      <c r="E30" s="409"/>
      <c r="F30" s="409"/>
    </row>
    <row r="31" spans="1:6">
      <c r="A31" s="526" t="s">
        <v>614</v>
      </c>
      <c r="F31" s="409"/>
    </row>
    <row r="32" spans="1:6">
      <c r="B32" s="416" t="s">
        <v>380</v>
      </c>
      <c r="C32" s="416" t="s">
        <v>379</v>
      </c>
      <c r="D32" s="416" t="s">
        <v>435</v>
      </c>
      <c r="E32" s="416" t="s">
        <v>9</v>
      </c>
      <c r="F32" s="409"/>
    </row>
    <row r="33" spans="1:6" ht="15.75">
      <c r="A33" s="99" t="s">
        <v>379</v>
      </c>
      <c r="B33" s="538">
        <f>+B27</f>
        <v>2.63</v>
      </c>
      <c r="C33" s="539"/>
      <c r="D33" s="539"/>
      <c r="E33" s="537">
        <f>SUM(B33:D33)</f>
        <v>2.63</v>
      </c>
      <c r="F33" s="409"/>
    </row>
    <row r="34" spans="1:6" ht="15.75">
      <c r="A34" s="99" t="s">
        <v>377</v>
      </c>
      <c r="B34" s="538">
        <f>+B33</f>
        <v>2.63</v>
      </c>
      <c r="C34" s="538">
        <f>+C27</f>
        <v>6.44</v>
      </c>
      <c r="D34" s="539"/>
      <c r="E34" s="537">
        <f>SUM(B34:D34)</f>
        <v>9.07</v>
      </c>
      <c r="F34" s="409"/>
    </row>
    <row r="35" spans="1:6" ht="15.75">
      <c r="A35" s="99" t="s">
        <v>507</v>
      </c>
      <c r="B35" s="538">
        <f>+B33</f>
        <v>2.63</v>
      </c>
      <c r="C35" s="538">
        <f>+C34</f>
        <v>6.44</v>
      </c>
      <c r="D35" s="538">
        <f>+D27</f>
        <v>0</v>
      </c>
      <c r="E35" s="537">
        <f>SUM(B35:D35)</f>
        <v>9.07</v>
      </c>
      <c r="F35" s="409"/>
    </row>
    <row r="38" spans="1:6">
      <c r="A38" s="526"/>
    </row>
    <row r="39" spans="1:6">
      <c r="B39" s="416"/>
      <c r="C39" s="416"/>
      <c r="D39" s="416"/>
      <c r="E39" s="416"/>
    </row>
    <row r="40" spans="1:6">
      <c r="A40" s="526" t="s">
        <v>613</v>
      </c>
      <c r="B40" s="535" t="s">
        <v>612</v>
      </c>
      <c r="C40" s="535"/>
      <c r="E40" s="841" t="s">
        <v>177</v>
      </c>
      <c r="F40" s="841"/>
    </row>
    <row r="41" spans="1:6">
      <c r="B41" s="536" t="s">
        <v>596</v>
      </c>
      <c r="C41" s="536" t="s">
        <v>244</v>
      </c>
      <c r="E41" s="536" t="s">
        <v>596</v>
      </c>
      <c r="F41" s="536" t="s">
        <v>244</v>
      </c>
    </row>
    <row r="42" spans="1:6">
      <c r="B42" s="416" t="s">
        <v>44</v>
      </c>
      <c r="C42" s="416" t="s">
        <v>6</v>
      </c>
      <c r="E42" s="416" t="s">
        <v>44</v>
      </c>
      <c r="F42" s="416" t="s">
        <v>6</v>
      </c>
    </row>
    <row r="43" spans="1:6">
      <c r="B43" s="396"/>
      <c r="C43" s="396"/>
      <c r="E43" s="396"/>
      <c r="F43" s="396"/>
    </row>
    <row r="44" spans="1:6">
      <c r="A44" s="99" t="s">
        <v>595</v>
      </c>
      <c r="B44" s="534">
        <v>496793837</v>
      </c>
      <c r="C44" s="534">
        <v>2076023</v>
      </c>
      <c r="E44" s="396"/>
      <c r="F44" s="396"/>
    </row>
    <row r="45" spans="1:6">
      <c r="A45" s="99" t="s">
        <v>351</v>
      </c>
      <c r="B45" s="396"/>
      <c r="C45" s="396"/>
      <c r="E45" s="534">
        <v>3866566</v>
      </c>
      <c r="F45" s="396">
        <f>ROUND(((E45/B44)*C44),0)</f>
        <v>16158</v>
      </c>
    </row>
    <row r="46" spans="1:6">
      <c r="A46" s="99" t="s">
        <v>350</v>
      </c>
      <c r="B46" s="396"/>
      <c r="C46" s="396"/>
      <c r="E46" s="534">
        <v>1055011</v>
      </c>
      <c r="F46" s="396">
        <f>ROUND(((E46/B44)*C44),0)</f>
        <v>4409</v>
      </c>
    </row>
    <row r="47" spans="1:6">
      <c r="A47" s="99" t="s">
        <v>594</v>
      </c>
      <c r="B47" s="396"/>
      <c r="C47" s="396"/>
      <c r="E47" s="534">
        <v>1563141</v>
      </c>
      <c r="F47" s="396">
        <f>ROUND(((E47/B44)*C44),0)</f>
        <v>6532</v>
      </c>
    </row>
    <row r="49" spans="1:6">
      <c r="A49" s="99" t="s">
        <v>592</v>
      </c>
      <c r="B49" s="534">
        <v>558821755</v>
      </c>
      <c r="C49" s="534">
        <v>1666281</v>
      </c>
      <c r="E49" s="396"/>
      <c r="F49" s="396"/>
    </row>
    <row r="50" spans="1:6">
      <c r="A50" s="99" t="s">
        <v>458</v>
      </c>
      <c r="B50" s="396"/>
      <c r="C50" s="396"/>
      <c r="E50" s="534">
        <v>10959939</v>
      </c>
      <c r="F50" s="396">
        <f>ROUND(((E50/B49)*C49),0)</f>
        <v>32680</v>
      </c>
    </row>
  </sheetData>
  <mergeCells count="1">
    <mergeCell ref="E40:F40"/>
  </mergeCells>
  <printOptions horizontalCentered="1"/>
  <pageMargins left="0.5" right="0.5" top="0.5" bottom="0.5" header="0.5" footer="0.5"/>
  <pageSetup scale="98" orientation="portrait" r:id="rId1"/>
  <headerFooter alignWithMargins="0">
    <oddHeader xml:space="preserve">&amp;L&amp;F
&amp;A&amp;C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53"/>
  <sheetViews>
    <sheetView showOutlineSymbols="0" zoomScale="87" zoomScaleNormal="87" workbookViewId="0">
      <selection activeCell="G33" sqref="G33"/>
    </sheetView>
  </sheetViews>
  <sheetFormatPr defaultColWidth="9.75" defaultRowHeight="15"/>
  <cols>
    <col min="1" max="1" width="26" style="392" customWidth="1"/>
    <col min="2" max="2" width="15.625" style="392" customWidth="1"/>
    <col min="3" max="3" width="15" style="392" customWidth="1"/>
    <col min="4" max="4" width="14.375" style="392" bestFit="1" customWidth="1"/>
    <col min="5" max="5" width="15.375" style="392" customWidth="1"/>
    <col min="6" max="6" width="15.875" style="392" customWidth="1"/>
    <col min="7" max="16384" width="9.75" style="392"/>
  </cols>
  <sheetData>
    <row r="1" spans="1:6">
      <c r="A1" s="535" t="s">
        <v>611</v>
      </c>
      <c r="B1" s="535"/>
      <c r="C1" s="535"/>
      <c r="D1" s="535"/>
      <c r="E1" s="535"/>
      <c r="F1" s="535"/>
    </row>
    <row r="2" spans="1:6">
      <c r="A2" s="535" t="s">
        <v>610</v>
      </c>
      <c r="B2" s="535"/>
      <c r="C2" s="535"/>
      <c r="D2" s="535"/>
      <c r="E2" s="535"/>
      <c r="F2" s="535"/>
    </row>
    <row r="3" spans="1:6">
      <c r="A3" s="535" t="str">
        <f>'Equip Cr Demand Basis'!A3</f>
        <v>Twelve Months Ended September 30, 2014</v>
      </c>
      <c r="B3" s="535"/>
      <c r="C3" s="535"/>
      <c r="D3" s="535"/>
      <c r="E3" s="535"/>
      <c r="F3" s="535"/>
    </row>
    <row r="7" spans="1:6">
      <c r="A7" s="526" t="s">
        <v>609</v>
      </c>
      <c r="E7" s="416" t="s">
        <v>586</v>
      </c>
      <c r="F7" s="416"/>
    </row>
    <row r="8" spans="1:6">
      <c r="B8" s="416" t="s">
        <v>380</v>
      </c>
      <c r="C8" s="416" t="s">
        <v>379</v>
      </c>
      <c r="D8" s="416" t="s">
        <v>435</v>
      </c>
      <c r="E8" s="416" t="s">
        <v>473</v>
      </c>
      <c r="F8" s="416" t="s">
        <v>151</v>
      </c>
    </row>
    <row r="10" spans="1:6">
      <c r="A10" s="99" t="s">
        <v>608</v>
      </c>
      <c r="B10" s="396">
        <f>B48</f>
        <v>503278555</v>
      </c>
      <c r="C10" s="534">
        <v>9357099</v>
      </c>
      <c r="D10" s="534">
        <v>1007768</v>
      </c>
      <c r="E10" s="396"/>
      <c r="F10" s="396"/>
    </row>
    <row r="11" spans="1:6">
      <c r="A11" s="99" t="s">
        <v>607</v>
      </c>
      <c r="B11" s="396">
        <f>B53</f>
        <v>569781694</v>
      </c>
      <c r="C11" s="534">
        <v>112185685</v>
      </c>
      <c r="D11" s="534">
        <v>33725194</v>
      </c>
      <c r="E11" s="396"/>
      <c r="F11" s="396"/>
    </row>
    <row r="12" spans="1:6">
      <c r="A12" s="99" t="s">
        <v>606</v>
      </c>
      <c r="B12" s="534">
        <v>22421138</v>
      </c>
      <c r="C12" s="534">
        <v>331170851</v>
      </c>
      <c r="D12" s="534">
        <v>342410874</v>
      </c>
      <c r="E12" s="534">
        <v>66272717</v>
      </c>
      <c r="F12" s="396"/>
    </row>
    <row r="13" spans="1:6">
      <c r="A13" s="99" t="s">
        <v>605</v>
      </c>
      <c r="B13" s="533">
        <v>0</v>
      </c>
      <c r="C13" s="533">
        <v>0</v>
      </c>
      <c r="D13" s="533">
        <v>1764053671</v>
      </c>
      <c r="E13" s="533">
        <v>292348340</v>
      </c>
      <c r="F13" s="45"/>
    </row>
    <row r="14" spans="1:6">
      <c r="A14" s="465" t="s">
        <v>54</v>
      </c>
      <c r="B14" s="428">
        <f>SUM(B10:B13)</f>
        <v>1095481387</v>
      </c>
      <c r="C14" s="428">
        <f>SUM(C10:C13)</f>
        <v>452713635</v>
      </c>
      <c r="D14" s="428">
        <f>SUM(D10:D13)</f>
        <v>2141197507</v>
      </c>
      <c r="E14" s="428">
        <f>SUM(E10:E13)</f>
        <v>358621057</v>
      </c>
      <c r="F14" s="401"/>
    </row>
    <row r="16" spans="1:6">
      <c r="A16" s="99" t="s">
        <v>604</v>
      </c>
      <c r="B16" s="532">
        <v>1</v>
      </c>
      <c r="C16" s="532">
        <v>0.96526000000000001</v>
      </c>
      <c r="D16" s="532">
        <v>0.95477000000000001</v>
      </c>
      <c r="E16" s="532">
        <v>0.94350000000000001</v>
      </c>
      <c r="F16" s="411"/>
    </row>
    <row r="18" spans="1:6">
      <c r="A18" s="99" t="s">
        <v>603</v>
      </c>
      <c r="B18" s="396">
        <f>ROUND((B14*B16),0)</f>
        <v>1095481387</v>
      </c>
      <c r="C18" s="396">
        <f>ROUND((C14*C16),0)</f>
        <v>436986363</v>
      </c>
      <c r="D18" s="396">
        <f>ROUND((D14*D16),0)</f>
        <v>2044351144</v>
      </c>
      <c r="E18" s="396">
        <f>ROUND((E14*E16),0)</f>
        <v>338358967</v>
      </c>
      <c r="F18" s="396"/>
    </row>
    <row r="19" spans="1:6">
      <c r="B19" s="531">
        <f>'Equip Cr Demand Basis'!B19</f>
        <v>0.754</v>
      </c>
      <c r="C19" s="531">
        <f>B19</f>
        <v>0.754</v>
      </c>
    </row>
    <row r="20" spans="1:6">
      <c r="A20" s="99" t="s">
        <v>602</v>
      </c>
      <c r="B20" s="396">
        <f>ROUND(B19*B18,0)</f>
        <v>825992966</v>
      </c>
      <c r="C20" s="396">
        <f>ROUND(C19*C18,0)</f>
        <v>329487718</v>
      </c>
      <c r="D20" s="396">
        <f>D18</f>
        <v>2044351144</v>
      </c>
    </row>
    <row r="23" spans="1:6">
      <c r="A23" s="99" t="s">
        <v>601</v>
      </c>
      <c r="B23" s="530">
        <f>'Equip Cr Demand Basis'!B23</f>
        <v>10120808</v>
      </c>
      <c r="C23" s="530">
        <f>'Equip Cr Demand Basis'!C23</f>
        <v>32150397</v>
      </c>
      <c r="D23" s="530">
        <f>'Equip Cr Demand Basis'!D23</f>
        <v>0</v>
      </c>
      <c r="E23" s="530">
        <f>'Equip Cr Demand Basis'!E23</f>
        <v>0</v>
      </c>
      <c r="F23" s="530">
        <f>'Equip Cr Demand Basis'!F23</f>
        <v>105286552</v>
      </c>
    </row>
    <row r="25" spans="1:6">
      <c r="A25" s="99" t="s">
        <v>600</v>
      </c>
      <c r="B25" s="396">
        <f>+B18</f>
        <v>1095481387</v>
      </c>
      <c r="C25" s="396">
        <f>B25+C18</f>
        <v>1532467750</v>
      </c>
      <c r="D25" s="396">
        <f>SUM(B20:D20)</f>
        <v>3199831828</v>
      </c>
      <c r="E25" s="396">
        <f>SUM(B18:E18)</f>
        <v>3915177861</v>
      </c>
      <c r="F25" s="396">
        <f>E25</f>
        <v>3915177861</v>
      </c>
    </row>
    <row r="27" spans="1:6">
      <c r="A27" s="99" t="s">
        <v>599</v>
      </c>
      <c r="B27" s="529">
        <f>ROUND((B23/B25),5)</f>
        <v>9.2399999999999999E-3</v>
      </c>
      <c r="C27" s="529">
        <f>ROUND((C23/C25),5)</f>
        <v>2.0979999999999999E-2</v>
      </c>
      <c r="D27" s="529">
        <f>ROUND((D23/D25),5)</f>
        <v>0</v>
      </c>
      <c r="E27" s="408">
        <f>ROUND((E23/E25),5)</f>
        <v>0</v>
      </c>
      <c r="F27" s="408">
        <f>ROUND((F23/F25),5)</f>
        <v>2.6890000000000001E-2</v>
      </c>
    </row>
    <row r="28" spans="1:6">
      <c r="A28" s="99"/>
      <c r="E28" s="409"/>
      <c r="F28" s="409"/>
    </row>
    <row r="29" spans="1:6">
      <c r="A29" s="99"/>
      <c r="E29" s="409"/>
      <c r="F29" s="409"/>
    </row>
    <row r="30" spans="1:6">
      <c r="A30" s="99"/>
      <c r="E30" s="409"/>
      <c r="F30" s="409"/>
    </row>
    <row r="31" spans="1:6">
      <c r="A31" s="526" t="s">
        <v>598</v>
      </c>
      <c r="F31" s="409"/>
    </row>
    <row r="32" spans="1:6">
      <c r="B32" s="416" t="s">
        <v>380</v>
      </c>
      <c r="C32" s="416" t="s">
        <v>379</v>
      </c>
      <c r="D32" s="416" t="s">
        <v>435</v>
      </c>
      <c r="E32" s="416" t="s">
        <v>9</v>
      </c>
      <c r="F32" s="409"/>
    </row>
    <row r="33" spans="1:6">
      <c r="A33" s="99" t="s">
        <v>379</v>
      </c>
      <c r="B33" s="419">
        <f>+B27</f>
        <v>9.2399999999999999E-3</v>
      </c>
      <c r="C33" s="528"/>
      <c r="D33" s="528"/>
      <c r="E33" s="527">
        <f>SUM(B33:D33)</f>
        <v>9.2399999999999999E-3</v>
      </c>
      <c r="F33" s="409"/>
    </row>
    <row r="34" spans="1:6">
      <c r="A34" s="99" t="s">
        <v>377</v>
      </c>
      <c r="B34" s="419">
        <f>+B33</f>
        <v>9.2399999999999999E-3</v>
      </c>
      <c r="C34" s="419">
        <f>+C27</f>
        <v>2.0979999999999999E-2</v>
      </c>
      <c r="D34" s="528"/>
      <c r="E34" s="527">
        <f>SUM(B34:D34)</f>
        <v>3.0219999999999997E-2</v>
      </c>
      <c r="F34" s="409"/>
    </row>
    <row r="35" spans="1:6">
      <c r="A35" s="99" t="s">
        <v>507</v>
      </c>
      <c r="B35" s="419">
        <f>+B33</f>
        <v>9.2399999999999999E-3</v>
      </c>
      <c r="C35" s="419">
        <f>+C34</f>
        <v>2.0979999999999999E-2</v>
      </c>
      <c r="D35" s="419">
        <f>+D27</f>
        <v>0</v>
      </c>
      <c r="E35" s="527">
        <f>SUM(B35:D35)</f>
        <v>3.0219999999999997E-2</v>
      </c>
      <c r="F35" s="409"/>
    </row>
    <row r="39" spans="1:6">
      <c r="A39" s="526" t="s">
        <v>597</v>
      </c>
      <c r="B39" s="525"/>
      <c r="C39" s="525"/>
      <c r="E39" s="842"/>
      <c r="F39" s="842"/>
    </row>
    <row r="40" spans="1:6">
      <c r="B40" s="524" t="s">
        <v>596</v>
      </c>
      <c r="C40" s="524"/>
      <c r="E40" s="524"/>
      <c r="F40" s="524"/>
    </row>
    <row r="41" spans="1:6">
      <c r="B41" s="416" t="s">
        <v>44</v>
      </c>
      <c r="C41" s="416"/>
      <c r="E41" s="416"/>
      <c r="F41" s="416"/>
    </row>
    <row r="42" spans="1:6">
      <c r="B42" s="396"/>
      <c r="C42" s="396"/>
      <c r="E42" s="396"/>
      <c r="F42" s="396"/>
    </row>
    <row r="43" spans="1:6">
      <c r="A43" s="99" t="s">
        <v>595</v>
      </c>
      <c r="B43" s="396">
        <f>'Equip Cr Demand Basis'!B44</f>
        <v>496793837</v>
      </c>
      <c r="C43" s="396"/>
      <c r="E43" s="396"/>
      <c r="F43" s="396"/>
    </row>
    <row r="44" spans="1:6">
      <c r="A44" s="99" t="s">
        <v>351</v>
      </c>
      <c r="B44" s="396">
        <f>'Equip Cr Demand Basis'!E45</f>
        <v>3866566</v>
      </c>
      <c r="C44" s="396"/>
      <c r="E44" s="396"/>
      <c r="F44" s="396"/>
    </row>
    <row r="45" spans="1:6">
      <c r="A45" s="99" t="s">
        <v>350</v>
      </c>
      <c r="B45" s="396">
        <f>'Equip Cr Demand Basis'!E46</f>
        <v>1055011</v>
      </c>
      <c r="C45" s="396"/>
      <c r="E45" s="396"/>
      <c r="F45" s="396"/>
    </row>
    <row r="46" spans="1:6">
      <c r="A46" s="99" t="s">
        <v>594</v>
      </c>
      <c r="B46" s="395">
        <f>'Equip Cr Demand Basis'!E47</f>
        <v>1563141</v>
      </c>
      <c r="C46" s="396"/>
      <c r="E46" s="396"/>
      <c r="F46" s="396"/>
    </row>
    <row r="47" spans="1:6">
      <c r="A47" s="99"/>
      <c r="B47" s="396"/>
      <c r="C47" s="396"/>
      <c r="E47" s="396"/>
      <c r="F47" s="396"/>
    </row>
    <row r="48" spans="1:6">
      <c r="A48" s="99" t="s">
        <v>593</v>
      </c>
      <c r="B48" s="396">
        <f>SUM(B43:B46)</f>
        <v>503278555</v>
      </c>
      <c r="C48" s="396"/>
      <c r="E48" s="396"/>
      <c r="F48" s="396"/>
    </row>
    <row r="50" spans="1:6">
      <c r="A50" s="99" t="s">
        <v>592</v>
      </c>
      <c r="B50" s="396">
        <f>'Equip Cr Demand Basis'!B49</f>
        <v>558821755</v>
      </c>
      <c r="C50" s="396"/>
      <c r="E50" s="396"/>
      <c r="F50" s="396"/>
    </row>
    <row r="51" spans="1:6">
      <c r="A51" s="99" t="s">
        <v>458</v>
      </c>
      <c r="B51" s="395">
        <f>'Equip Cr Demand Basis'!E50</f>
        <v>10959939</v>
      </c>
      <c r="C51" s="396"/>
      <c r="E51" s="396"/>
      <c r="F51" s="396"/>
    </row>
    <row r="53" spans="1:6">
      <c r="A53" s="392" t="s">
        <v>591</v>
      </c>
      <c r="B53" s="472">
        <f>SUM(B50:B51)</f>
        <v>569781694</v>
      </c>
    </row>
  </sheetData>
  <mergeCells count="1">
    <mergeCell ref="E39:F39"/>
  </mergeCells>
  <printOptions horizontalCentered="1"/>
  <pageMargins left="0.5" right="0.5" top="0.5" bottom="0.5" header="0.5" footer="0.5"/>
  <pageSetup scale="86" orientation="portrait" r:id="rId1"/>
  <headerFooter alignWithMargins="0">
    <oddHeader xml:space="preserve">&amp;L&amp;F
&amp;A&amp;C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37" sqref="I37"/>
    </sheetView>
  </sheetViews>
  <sheetFormatPr defaultRowHeight="15.75"/>
  <cols>
    <col min="1" max="1" width="24" style="370" bestFit="1" customWidth="1"/>
    <col min="2" max="16384" width="9" style="370"/>
  </cols>
  <sheetData>
    <row r="1" spans="1:10">
      <c r="A1" s="523" t="str">
        <f>'Equip Cr Demand Basis'!$A$1</f>
        <v>KENTUCKY POWER COMPANY</v>
      </c>
      <c r="B1" s="523"/>
      <c r="C1" s="523"/>
      <c r="D1" s="523"/>
      <c r="E1" s="523"/>
      <c r="F1" s="507"/>
      <c r="G1" s="507"/>
      <c r="H1" s="507"/>
      <c r="I1" s="507"/>
      <c r="J1" s="507"/>
    </row>
    <row r="2" spans="1:10">
      <c r="A2" s="523" t="s">
        <v>590</v>
      </c>
      <c r="B2" s="523"/>
      <c r="C2" s="523"/>
      <c r="D2" s="523"/>
      <c r="E2" s="523"/>
      <c r="F2" s="507"/>
      <c r="G2" s="507"/>
      <c r="H2" s="507"/>
      <c r="I2" s="507"/>
      <c r="J2" s="507"/>
    </row>
    <row r="3" spans="1:10">
      <c r="A3" s="523" t="str">
        <f>'Equip Cr Demand Basis'!$A$3</f>
        <v>Twelve Months Ended September 30, 2014</v>
      </c>
      <c r="B3" s="523"/>
      <c r="C3" s="523"/>
      <c r="D3" s="523"/>
      <c r="E3" s="523"/>
      <c r="F3" s="507"/>
      <c r="G3" s="507"/>
      <c r="H3" s="507"/>
      <c r="I3" s="507"/>
      <c r="J3" s="507"/>
    </row>
    <row r="4" spans="1:10">
      <c r="A4" s="523"/>
      <c r="B4" s="523"/>
      <c r="C4" s="523"/>
      <c r="D4" s="523"/>
      <c r="E4" s="523"/>
      <c r="F4" s="507"/>
      <c r="G4" s="507"/>
      <c r="H4" s="507"/>
      <c r="I4" s="507"/>
      <c r="J4" s="507"/>
    </row>
    <row r="5" spans="1:10">
      <c r="A5" s="507"/>
      <c r="B5" s="507"/>
      <c r="C5" s="507"/>
      <c r="D5" s="507"/>
      <c r="E5" s="507"/>
      <c r="F5" s="507"/>
      <c r="G5" s="507"/>
      <c r="H5" s="507"/>
      <c r="I5" s="507"/>
      <c r="J5" s="507"/>
    </row>
    <row r="6" spans="1:10">
      <c r="A6" s="507"/>
      <c r="B6" s="507"/>
      <c r="C6" s="507"/>
      <c r="D6" s="507"/>
      <c r="E6" s="507"/>
      <c r="F6" s="507"/>
      <c r="G6" s="507"/>
      <c r="H6" s="507"/>
      <c r="I6" s="507"/>
      <c r="J6" s="507"/>
    </row>
    <row r="7" spans="1:10">
      <c r="A7" s="507"/>
      <c r="B7" s="520" t="s">
        <v>6</v>
      </c>
      <c r="C7" s="507"/>
      <c r="D7" s="507"/>
      <c r="E7" s="520" t="s">
        <v>588</v>
      </c>
      <c r="F7" s="507"/>
      <c r="G7" s="507"/>
      <c r="H7" s="507"/>
      <c r="I7" s="507"/>
      <c r="J7" s="507"/>
    </row>
    <row r="8" spans="1:10">
      <c r="A8" s="507"/>
      <c r="B8" s="520" t="s">
        <v>401</v>
      </c>
      <c r="C8" s="507"/>
      <c r="D8" s="507"/>
      <c r="E8" s="520" t="s">
        <v>585</v>
      </c>
      <c r="F8" s="507"/>
      <c r="G8" s="507"/>
      <c r="H8" s="507"/>
      <c r="I8" s="507"/>
      <c r="J8" s="507"/>
    </row>
    <row r="9" spans="1:10">
      <c r="A9" s="507"/>
      <c r="B9" s="521" t="s">
        <v>584</v>
      </c>
      <c r="C9" s="521" t="s">
        <v>151</v>
      </c>
      <c r="D9" s="508"/>
      <c r="E9" s="521" t="s">
        <v>385</v>
      </c>
      <c r="F9" s="507"/>
      <c r="G9" s="507"/>
      <c r="H9" s="507"/>
      <c r="I9" s="507"/>
      <c r="J9" s="507"/>
    </row>
    <row r="10" spans="1:10">
      <c r="A10" s="507"/>
      <c r="B10" s="520"/>
      <c r="C10" s="520"/>
      <c r="D10" s="507"/>
      <c r="E10" s="520"/>
      <c r="F10" s="507"/>
      <c r="G10" s="507"/>
      <c r="H10" s="507"/>
      <c r="I10" s="507"/>
      <c r="J10" s="507"/>
    </row>
    <row r="11" spans="1:10">
      <c r="A11" s="507"/>
      <c r="B11" s="507"/>
      <c r="C11" s="507"/>
      <c r="D11" s="507"/>
      <c r="E11" s="507"/>
      <c r="F11" s="507"/>
      <c r="G11" s="507"/>
      <c r="H11" s="507"/>
      <c r="I11" s="507"/>
      <c r="J11" s="507"/>
    </row>
    <row r="12" spans="1:10">
      <c r="A12" s="508" t="s">
        <v>583</v>
      </c>
      <c r="B12" s="511"/>
      <c r="C12" s="515">
        <f>+'Equip Cr Demand Basis'!$F$27</f>
        <v>11.28</v>
      </c>
      <c r="D12" s="511"/>
      <c r="E12" s="511"/>
      <c r="F12" s="507"/>
      <c r="G12" s="507"/>
      <c r="H12" s="507"/>
      <c r="I12" s="507"/>
      <c r="J12" s="507"/>
    </row>
    <row r="13" spans="1:10">
      <c r="A13" s="507"/>
      <c r="B13" s="511"/>
      <c r="C13" s="516"/>
      <c r="D13" s="511"/>
      <c r="E13" s="511"/>
      <c r="F13" s="507"/>
      <c r="G13" s="507"/>
      <c r="H13" s="507"/>
      <c r="I13" s="507"/>
      <c r="J13" s="507"/>
    </row>
    <row r="14" spans="1:10">
      <c r="A14" s="508" t="s">
        <v>582</v>
      </c>
      <c r="B14" s="511"/>
      <c r="C14" s="517">
        <v>0.1</v>
      </c>
      <c r="D14" s="511"/>
      <c r="E14" s="511"/>
      <c r="F14" s="507"/>
      <c r="G14" s="507"/>
      <c r="H14" s="507"/>
      <c r="I14" s="507"/>
      <c r="J14" s="507"/>
    </row>
    <row r="15" spans="1:10">
      <c r="A15" s="507"/>
      <c r="B15" s="511"/>
      <c r="C15" s="516"/>
      <c r="D15" s="511"/>
      <c r="E15" s="511"/>
      <c r="F15" s="507"/>
      <c r="G15" s="507"/>
      <c r="H15" s="507"/>
      <c r="I15" s="507"/>
      <c r="J15" s="507"/>
    </row>
    <row r="16" spans="1:10">
      <c r="A16" s="508" t="s">
        <v>581</v>
      </c>
      <c r="B16" s="511"/>
      <c r="C16" s="515">
        <f>ROUND((C12*C14),2)</f>
        <v>1.1299999999999999</v>
      </c>
      <c r="D16" s="511"/>
      <c r="E16" s="510"/>
      <c r="F16" s="507"/>
      <c r="G16" s="507"/>
      <c r="H16" s="507"/>
      <c r="I16" s="507"/>
      <c r="J16" s="507"/>
    </row>
    <row r="17" spans="1:10">
      <c r="A17" s="507"/>
      <c r="B17" s="511"/>
      <c r="C17" s="514"/>
      <c r="D17" s="511"/>
      <c r="E17" s="511"/>
      <c r="F17" s="507"/>
      <c r="G17" s="507"/>
      <c r="H17" s="507"/>
      <c r="I17" s="507"/>
      <c r="J17" s="507"/>
    </row>
    <row r="18" spans="1:10">
      <c r="A18" s="508" t="s">
        <v>580</v>
      </c>
      <c r="B18" s="513">
        <f>'Equip Cr Demand Basis'!$B$16</f>
        <v>1</v>
      </c>
      <c r="C18" s="512">
        <f>ROUND((C$16*$B18),2)</f>
        <v>1.1299999999999999</v>
      </c>
      <c r="D18" s="511"/>
      <c r="E18" s="510">
        <f>SUM(C18:C18)</f>
        <v>1.1299999999999999</v>
      </c>
      <c r="F18" s="507"/>
      <c r="G18" s="507"/>
      <c r="H18" s="507"/>
      <c r="I18" s="507"/>
      <c r="J18" s="507"/>
    </row>
    <row r="19" spans="1:10">
      <c r="A19" s="507"/>
      <c r="B19" s="513"/>
      <c r="C19" s="512"/>
      <c r="D19" s="511"/>
      <c r="E19" s="511"/>
      <c r="F19" s="507"/>
      <c r="G19" s="507"/>
      <c r="H19" s="507"/>
      <c r="I19" s="507"/>
      <c r="J19" s="507"/>
    </row>
    <row r="20" spans="1:10">
      <c r="A20" s="508" t="s">
        <v>579</v>
      </c>
      <c r="B20" s="513">
        <f>'Equip Cr Demand Basis'!$C$16</f>
        <v>0.97121999999999997</v>
      </c>
      <c r="C20" s="512">
        <f>ROUND((C$16*$B20),2)</f>
        <v>1.1000000000000001</v>
      </c>
      <c r="D20" s="511"/>
      <c r="E20" s="510">
        <f>SUM(C20:C20)</f>
        <v>1.1000000000000001</v>
      </c>
      <c r="F20" s="507"/>
      <c r="G20" s="507"/>
      <c r="H20" s="507"/>
      <c r="I20" s="507"/>
      <c r="J20" s="507"/>
    </row>
    <row r="21" spans="1:10">
      <c r="A21" s="507"/>
      <c r="B21" s="513"/>
      <c r="C21" s="512"/>
      <c r="D21" s="511"/>
      <c r="E21" s="511"/>
      <c r="F21" s="507"/>
      <c r="G21" s="507"/>
      <c r="H21" s="507"/>
      <c r="I21" s="507"/>
      <c r="J21" s="507"/>
    </row>
    <row r="22" spans="1:10">
      <c r="A22" s="508" t="s">
        <v>578</v>
      </c>
      <c r="B22" s="513">
        <f>'Equip Cr Demand Basis'!$D$16</f>
        <v>0.95842000000000005</v>
      </c>
      <c r="C22" s="512">
        <f>ROUND((C$16*$B22),2)</f>
        <v>1.08</v>
      </c>
      <c r="D22" s="511"/>
      <c r="E22" s="510">
        <f>SUM(C22:C22)</f>
        <v>1.08</v>
      </c>
      <c r="F22" s="507"/>
      <c r="G22" s="507"/>
      <c r="H22" s="507"/>
      <c r="I22" s="507"/>
      <c r="J22" s="507"/>
    </row>
    <row r="23" spans="1:10">
      <c r="A23" s="507"/>
      <c r="B23" s="513"/>
      <c r="C23" s="512"/>
      <c r="D23" s="514"/>
      <c r="E23" s="511"/>
      <c r="F23" s="507"/>
      <c r="G23" s="507"/>
      <c r="H23" s="507"/>
      <c r="I23" s="507"/>
      <c r="J23" s="507"/>
    </row>
    <row r="24" spans="1:10">
      <c r="A24" s="508" t="s">
        <v>577</v>
      </c>
      <c r="B24" s="513">
        <f>'Equip Cr Demand Basis'!$E$16</f>
        <v>0.94415000000000004</v>
      </c>
      <c r="C24" s="512">
        <f>ROUND((C$16*$B24),2)</f>
        <v>1.07</v>
      </c>
      <c r="D24" s="511"/>
      <c r="E24" s="510">
        <f>SUM(C24:C24)</f>
        <v>1.07</v>
      </c>
      <c r="F24" s="507"/>
      <c r="G24" s="507"/>
      <c r="H24" s="507"/>
      <c r="I24" s="507"/>
      <c r="J24" s="507"/>
    </row>
    <row r="25" spans="1:10">
      <c r="A25" s="507"/>
      <c r="B25" s="507"/>
      <c r="C25" s="507"/>
      <c r="D25" s="507"/>
      <c r="E25" s="507"/>
      <c r="F25" s="507"/>
      <c r="G25" s="507"/>
      <c r="H25" s="507"/>
      <c r="I25" s="507"/>
      <c r="J25" s="507"/>
    </row>
    <row r="26" spans="1:10">
      <c r="A26" s="508"/>
      <c r="B26" s="507"/>
      <c r="C26" s="507"/>
      <c r="D26" s="507"/>
      <c r="E26" s="507"/>
      <c r="F26" s="507"/>
      <c r="G26" s="507"/>
      <c r="H26" s="507"/>
      <c r="I26" s="507"/>
      <c r="J26" s="507"/>
    </row>
    <row r="27" spans="1:10">
      <c r="A27" s="508"/>
      <c r="B27" s="507"/>
      <c r="C27" s="507"/>
      <c r="D27" s="507"/>
      <c r="E27" s="507"/>
      <c r="F27" s="507"/>
      <c r="G27" s="507"/>
      <c r="H27" s="507"/>
      <c r="I27" s="507"/>
      <c r="J27" s="507"/>
    </row>
    <row r="28" spans="1:10">
      <c r="A28" s="507"/>
      <c r="B28" s="507"/>
      <c r="C28" s="507"/>
      <c r="D28" s="507"/>
      <c r="E28" s="507"/>
      <c r="F28" s="507"/>
      <c r="G28" s="507"/>
      <c r="H28" s="507"/>
      <c r="I28" s="507"/>
      <c r="J28" s="507"/>
    </row>
    <row r="29" spans="1:10">
      <c r="A29" s="507"/>
      <c r="B29" s="507"/>
      <c r="C29" s="507"/>
      <c r="D29" s="507"/>
      <c r="E29" s="507"/>
      <c r="F29" s="507"/>
      <c r="G29" s="507"/>
      <c r="H29" s="507"/>
      <c r="I29" s="507"/>
      <c r="J29" s="507"/>
    </row>
    <row r="30" spans="1:10">
      <c r="A30" s="507"/>
      <c r="B30" s="507"/>
      <c r="C30" s="507"/>
      <c r="D30" s="507"/>
      <c r="E30" s="507"/>
      <c r="F30" s="507"/>
      <c r="G30" s="507"/>
      <c r="H30" s="507"/>
      <c r="I30" s="507"/>
      <c r="J30" s="507"/>
    </row>
    <row r="31" spans="1:10">
      <c r="A31" s="507"/>
      <c r="B31" s="507"/>
      <c r="C31" s="507"/>
      <c r="D31" s="507"/>
      <c r="E31" s="507"/>
      <c r="F31" s="507"/>
      <c r="G31" s="507"/>
      <c r="H31" s="507"/>
      <c r="I31" s="507"/>
      <c r="J31" s="507"/>
    </row>
    <row r="32" spans="1:10">
      <c r="A32" s="507"/>
      <c r="B32" s="507"/>
      <c r="C32" s="507"/>
      <c r="D32" s="507"/>
      <c r="E32" s="507"/>
      <c r="F32" s="507"/>
      <c r="G32" s="507"/>
      <c r="H32" s="507"/>
      <c r="I32" s="507"/>
      <c r="J32" s="507"/>
    </row>
    <row r="33" spans="1:10">
      <c r="A33" s="507"/>
      <c r="B33" s="507"/>
      <c r="C33" s="507"/>
      <c r="D33" s="507"/>
      <c r="E33" s="507"/>
      <c r="F33" s="507"/>
      <c r="G33" s="507"/>
      <c r="H33" s="507"/>
      <c r="I33" s="507"/>
      <c r="J33" s="507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27"/>
  <sheetViews>
    <sheetView showOutlineSymbols="0" zoomScale="87" workbookViewId="0">
      <selection activeCell="I37" sqref="I37"/>
    </sheetView>
  </sheetViews>
  <sheetFormatPr defaultColWidth="9.75" defaultRowHeight="15"/>
  <cols>
    <col min="1" max="1" width="25" style="507" bestFit="1" customWidth="1"/>
    <col min="2" max="2" width="8.625" style="507" bestFit="1" customWidth="1"/>
    <col min="3" max="3" width="10.75" style="507" bestFit="1" customWidth="1"/>
    <col min="4" max="4" width="7.875" style="507" bestFit="1" customWidth="1"/>
    <col min="5" max="5" width="8.125" style="507" bestFit="1" customWidth="1"/>
    <col min="6" max="6" width="5.25" style="507" bestFit="1" customWidth="1"/>
    <col min="7" max="7" width="10.75" style="507" bestFit="1" customWidth="1"/>
    <col min="8" max="8" width="2.75" style="507" customWidth="1"/>
    <col min="9" max="9" width="8.75" style="507" bestFit="1" customWidth="1"/>
    <col min="10" max="16384" width="9.75" style="507"/>
  </cols>
  <sheetData>
    <row r="1" spans="1:9">
      <c r="A1" s="523" t="str">
        <f>'Equip Cr Demand Basis'!$A$1</f>
        <v>KENTUCKY POWER COMPANY</v>
      </c>
      <c r="B1" s="523"/>
      <c r="C1" s="523"/>
      <c r="D1" s="523"/>
      <c r="E1" s="523"/>
      <c r="F1" s="523"/>
      <c r="G1" s="523"/>
      <c r="H1" s="523"/>
      <c r="I1" s="523"/>
    </row>
    <row r="2" spans="1:9">
      <c r="A2" s="523" t="s">
        <v>589</v>
      </c>
      <c r="B2" s="523"/>
      <c r="C2" s="523"/>
      <c r="D2" s="523"/>
      <c r="E2" s="523"/>
      <c r="F2" s="523"/>
      <c r="G2" s="523"/>
      <c r="H2" s="523"/>
      <c r="I2" s="523"/>
    </row>
    <row r="3" spans="1:9">
      <c r="A3" s="523" t="str">
        <f>'Equip Cr Demand Basis'!$A$3</f>
        <v>Twelve Months Ended September 30, 2014</v>
      </c>
      <c r="B3" s="523"/>
      <c r="C3" s="523"/>
      <c r="D3" s="523"/>
      <c r="E3" s="523"/>
      <c r="F3" s="523"/>
      <c r="G3" s="523"/>
      <c r="H3" s="523"/>
      <c r="I3" s="523"/>
    </row>
    <row r="4" spans="1:9">
      <c r="A4" s="523"/>
      <c r="B4" s="523"/>
      <c r="C4" s="523"/>
      <c r="D4" s="523"/>
      <c r="E4" s="523"/>
      <c r="F4" s="523"/>
      <c r="G4" s="523"/>
      <c r="H4" s="523"/>
      <c r="I4" s="523"/>
    </row>
    <row r="7" spans="1:9">
      <c r="B7" s="520" t="s">
        <v>6</v>
      </c>
      <c r="I7" s="520" t="s">
        <v>588</v>
      </c>
    </row>
    <row r="8" spans="1:9">
      <c r="B8" s="520" t="s">
        <v>401</v>
      </c>
      <c r="C8" s="523" t="s">
        <v>587</v>
      </c>
      <c r="D8" s="523"/>
      <c r="F8" s="520" t="s">
        <v>586</v>
      </c>
      <c r="I8" s="520" t="s">
        <v>585</v>
      </c>
    </row>
    <row r="9" spans="1:9">
      <c r="B9" s="521" t="s">
        <v>584</v>
      </c>
      <c r="C9" s="522" t="s">
        <v>380</v>
      </c>
      <c r="D9" s="522" t="s">
        <v>379</v>
      </c>
      <c r="E9" s="521" t="s">
        <v>435</v>
      </c>
      <c r="F9" s="521" t="s">
        <v>473</v>
      </c>
      <c r="G9" s="521" t="s">
        <v>151</v>
      </c>
      <c r="H9" s="508"/>
      <c r="I9" s="521" t="s">
        <v>385</v>
      </c>
    </row>
    <row r="10" spans="1:9">
      <c r="B10" s="520"/>
      <c r="C10" s="520"/>
      <c r="D10" s="520"/>
      <c r="E10" s="520"/>
      <c r="F10" s="520"/>
      <c r="G10" s="520"/>
      <c r="I10" s="520"/>
    </row>
    <row r="11" spans="1:9">
      <c r="C11" s="519"/>
      <c r="D11" s="519"/>
      <c r="E11" s="519"/>
      <c r="F11" s="519"/>
    </row>
    <row r="12" spans="1:9">
      <c r="A12" s="508" t="s">
        <v>583</v>
      </c>
      <c r="B12" s="511"/>
      <c r="C12" s="512">
        <f>+'Equip Cr Demand Basis'!$B$27</f>
        <v>2.63</v>
      </c>
      <c r="D12" s="512">
        <f>+'Equip Cr Demand Basis'!$C$27</f>
        <v>6.44</v>
      </c>
      <c r="E12" s="512">
        <f>+'Equip Cr Demand Basis'!$D$27</f>
        <v>0</v>
      </c>
      <c r="F12" s="512">
        <f>+'Equip Cr Demand Basis'!$E$27</f>
        <v>0</v>
      </c>
      <c r="G12" s="515">
        <f>+'Equip Cr Demand Basis'!$F$27</f>
        <v>11.28</v>
      </c>
      <c r="H12" s="511"/>
      <c r="I12" s="511"/>
    </row>
    <row r="13" spans="1:9">
      <c r="B13" s="511"/>
      <c r="C13" s="514"/>
      <c r="D13" s="514"/>
      <c r="E13" s="514"/>
      <c r="F13" s="514"/>
      <c r="G13" s="516"/>
      <c r="H13" s="511"/>
      <c r="I13" s="511"/>
    </row>
    <row r="14" spans="1:9">
      <c r="A14" s="508" t="s">
        <v>582</v>
      </c>
      <c r="B14" s="511"/>
      <c r="C14" s="518">
        <v>1</v>
      </c>
      <c r="D14" s="518">
        <v>1</v>
      </c>
      <c r="E14" s="518">
        <v>0.1</v>
      </c>
      <c r="F14" s="518">
        <f>E14</f>
        <v>0.1</v>
      </c>
      <c r="G14" s="517">
        <f>F14</f>
        <v>0.1</v>
      </c>
      <c r="H14" s="511"/>
      <c r="I14" s="511"/>
    </row>
    <row r="15" spans="1:9">
      <c r="B15" s="511"/>
      <c r="C15" s="511"/>
      <c r="D15" s="511"/>
      <c r="E15" s="511"/>
      <c r="F15" s="511"/>
      <c r="G15" s="516"/>
      <c r="H15" s="511"/>
      <c r="I15" s="511"/>
    </row>
    <row r="16" spans="1:9">
      <c r="A16" s="508" t="s">
        <v>581</v>
      </c>
      <c r="B16" s="511"/>
      <c r="C16" s="512">
        <f>ROUND((C12*C14),2)</f>
        <v>2.63</v>
      </c>
      <c r="D16" s="512">
        <f>ROUND((D12*D14),2)</f>
        <v>6.44</v>
      </c>
      <c r="E16" s="512">
        <f>ROUND((E12*E14),2)</f>
        <v>0</v>
      </c>
      <c r="F16" s="512">
        <f>ROUND((F12*F14),2)</f>
        <v>0</v>
      </c>
      <c r="G16" s="515">
        <f>ROUND((G12*G14),2)</f>
        <v>1.1299999999999999</v>
      </c>
      <c r="H16" s="511"/>
      <c r="I16" s="510"/>
    </row>
    <row r="17" spans="1:9">
      <c r="B17" s="511"/>
      <c r="C17" s="514"/>
      <c r="D17" s="514"/>
      <c r="E17" s="514"/>
      <c r="F17" s="514"/>
      <c r="G17" s="514"/>
      <c r="H17" s="511"/>
      <c r="I17" s="511"/>
    </row>
    <row r="18" spans="1:9">
      <c r="A18" s="508" t="s">
        <v>580</v>
      </c>
      <c r="B18" s="513">
        <f>'Equip Cr Demand Basis'!$B$16</f>
        <v>1</v>
      </c>
      <c r="C18" s="512">
        <f>ROUND((C$16*$B18),2)</f>
        <v>2.63</v>
      </c>
      <c r="D18" s="512">
        <f>ROUND((D$16*$B18),2)</f>
        <v>6.44</v>
      </c>
      <c r="E18" s="512">
        <f>ROUND((E$16*$B18),2)</f>
        <v>0</v>
      </c>
      <c r="F18" s="512">
        <f>ROUND((F$16*$B18),2)</f>
        <v>0</v>
      </c>
      <c r="G18" s="512">
        <f>ROUND((G$16*$B18),2)</f>
        <v>1.1299999999999999</v>
      </c>
      <c r="H18" s="511"/>
      <c r="I18" s="510">
        <f>SUM(C18:G18)</f>
        <v>10.199999999999999</v>
      </c>
    </row>
    <row r="19" spans="1:9">
      <c r="B19" s="513"/>
      <c r="C19" s="512"/>
      <c r="D19" s="512"/>
      <c r="E19" s="512"/>
      <c r="F19" s="512"/>
      <c r="G19" s="512"/>
      <c r="H19" s="511"/>
      <c r="I19" s="511"/>
    </row>
    <row r="20" spans="1:9">
      <c r="A20" s="508" t="s">
        <v>579</v>
      </c>
      <c r="B20" s="513">
        <f>'Equip Cr Demand Basis'!$C$16</f>
        <v>0.97121999999999997</v>
      </c>
      <c r="C20" s="512"/>
      <c r="D20" s="512">
        <f>ROUND((D$16*$B20),2)</f>
        <v>6.25</v>
      </c>
      <c r="E20" s="512">
        <f>ROUND((E$16*$B20),2)</f>
        <v>0</v>
      </c>
      <c r="F20" s="512">
        <f>ROUND((F$16*$B20),2)</f>
        <v>0</v>
      </c>
      <c r="G20" s="512">
        <f>ROUND((G$16*$B20),2)</f>
        <v>1.1000000000000001</v>
      </c>
      <c r="H20" s="511"/>
      <c r="I20" s="510">
        <f>SUM(C20:G20)</f>
        <v>7.35</v>
      </c>
    </row>
    <row r="21" spans="1:9">
      <c r="B21" s="513"/>
      <c r="C21" s="512"/>
      <c r="D21" s="512"/>
      <c r="E21" s="512"/>
      <c r="F21" s="512"/>
      <c r="G21" s="512"/>
      <c r="H21" s="511"/>
      <c r="I21" s="511"/>
    </row>
    <row r="22" spans="1:9">
      <c r="A22" s="508" t="s">
        <v>578</v>
      </c>
      <c r="B22" s="513">
        <f>'Equip Cr Demand Basis'!$D$16</f>
        <v>0.95842000000000005</v>
      </c>
      <c r="C22" s="512"/>
      <c r="D22" s="512"/>
      <c r="E22" s="512">
        <f>ROUND((E$16*$B22),2)</f>
        <v>0</v>
      </c>
      <c r="F22" s="512">
        <f>ROUND((F$16*$B22),2)</f>
        <v>0</v>
      </c>
      <c r="G22" s="512">
        <f>ROUND((G$16*$B22),2)</f>
        <v>1.08</v>
      </c>
      <c r="H22" s="511"/>
      <c r="I22" s="510">
        <f>SUM(C22:G22)</f>
        <v>1.08</v>
      </c>
    </row>
    <row r="23" spans="1:9">
      <c r="B23" s="513"/>
      <c r="C23" s="512"/>
      <c r="D23" s="512"/>
      <c r="E23" s="512"/>
      <c r="F23" s="512"/>
      <c r="G23" s="512"/>
      <c r="H23" s="514"/>
      <c r="I23" s="511"/>
    </row>
    <row r="24" spans="1:9">
      <c r="A24" s="508" t="s">
        <v>577</v>
      </c>
      <c r="B24" s="513">
        <f>'Equip Cr Demand Basis'!$E$16</f>
        <v>0.94415000000000004</v>
      </c>
      <c r="C24" s="512"/>
      <c r="D24" s="512"/>
      <c r="E24" s="512"/>
      <c r="F24" s="512">
        <f>ROUND((F$16*$B24),2)</f>
        <v>0</v>
      </c>
      <c r="G24" s="512">
        <f>ROUND((G$16*$B24),2)</f>
        <v>1.07</v>
      </c>
      <c r="H24" s="511"/>
      <c r="I24" s="510">
        <f>SUM(C24:G24)</f>
        <v>1.07</v>
      </c>
    </row>
    <row r="26" spans="1:9">
      <c r="A26" s="508"/>
      <c r="E26" s="509"/>
    </row>
    <row r="27" spans="1:9">
      <c r="A27" s="508"/>
    </row>
  </sheetData>
  <printOptions horizontalCentered="1"/>
  <pageMargins left="0.5" right="0.5" top="0.5" bottom="0.5" header="0.5" footer="0.5"/>
  <pageSetup orientation="portrait" r:id="rId1"/>
  <headerFooter alignWithMargins="0">
    <oddHeader xml:space="preserve">&amp;L&amp;F
&amp;A&amp;C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H36"/>
  <sheetViews>
    <sheetView showOutlineSymbols="0" topLeftCell="A10" zoomScaleNormal="100" workbookViewId="0">
      <selection activeCell="G31" sqref="G31:G32"/>
    </sheetView>
  </sheetViews>
  <sheetFormatPr defaultColWidth="9.75" defaultRowHeight="15.75"/>
  <cols>
    <col min="1" max="1" width="7.25" style="542" customWidth="1"/>
    <col min="2" max="2" width="27.625" style="542" customWidth="1"/>
    <col min="3" max="3" width="13.125" style="542" customWidth="1"/>
    <col min="4" max="4" width="11.5" style="542" customWidth="1"/>
    <col min="5" max="5" width="8.875" style="542" customWidth="1"/>
    <col min="6" max="6" width="13.375" style="542" bestFit="1" customWidth="1"/>
    <col min="7" max="7" width="8.75" style="543" customWidth="1"/>
    <col min="8" max="8" width="9.625" style="542" customWidth="1"/>
    <col min="9" max="16384" width="9.75" style="542"/>
  </cols>
  <sheetData>
    <row r="3" spans="1:8">
      <c r="A3" s="559" t="s">
        <v>611</v>
      </c>
      <c r="B3" s="559"/>
      <c r="C3" s="559"/>
      <c r="D3" s="559"/>
      <c r="E3" s="559"/>
      <c r="F3" s="559"/>
      <c r="H3" s="558"/>
    </row>
    <row r="4" spans="1:8" ht="18">
      <c r="A4" s="560" t="s">
        <v>634</v>
      </c>
      <c r="B4" s="559"/>
      <c r="C4" s="559"/>
      <c r="D4" s="559"/>
      <c r="E4" s="559"/>
      <c r="F4" s="559"/>
      <c r="H4" s="558"/>
    </row>
    <row r="5" spans="1:8" ht="18">
      <c r="A5" s="560" t="s">
        <v>619</v>
      </c>
      <c r="B5" s="559"/>
      <c r="C5" s="559"/>
      <c r="D5" s="559"/>
      <c r="E5" s="559"/>
      <c r="F5" s="559"/>
      <c r="H5" s="558"/>
    </row>
    <row r="6" spans="1:8">
      <c r="A6" s="558"/>
      <c r="B6" s="558"/>
      <c r="C6" s="558"/>
      <c r="D6" s="558"/>
      <c r="E6" s="558"/>
      <c r="F6" s="558"/>
      <c r="H6" s="558"/>
    </row>
    <row r="10" spans="1:8">
      <c r="A10" s="552" t="s">
        <v>633</v>
      </c>
    </row>
    <row r="13" spans="1:8">
      <c r="A13" s="542" t="s">
        <v>632</v>
      </c>
      <c r="B13" s="542" t="s">
        <v>631</v>
      </c>
      <c r="F13" s="557">
        <v>32150397</v>
      </c>
    </row>
    <row r="14" spans="1:8">
      <c r="F14" s="554"/>
    </row>
    <row r="15" spans="1:8">
      <c r="B15" s="549" t="s">
        <v>630</v>
      </c>
      <c r="C15" s="549"/>
      <c r="D15" s="549"/>
      <c r="E15" s="548" t="s">
        <v>622</v>
      </c>
      <c r="F15" s="556">
        <v>4995662</v>
      </c>
    </row>
    <row r="16" spans="1:8">
      <c r="F16" s="554"/>
    </row>
    <row r="17" spans="1:6">
      <c r="B17" s="542" t="s">
        <v>629</v>
      </c>
      <c r="E17" s="545" t="s">
        <v>620</v>
      </c>
      <c r="F17" s="546">
        <f>F13/F15</f>
        <v>6.4356629812024915</v>
      </c>
    </row>
    <row r="18" spans="1:6">
      <c r="F18" s="554"/>
    </row>
    <row r="19" spans="1:6">
      <c r="F19" s="554"/>
    </row>
    <row r="20" spans="1:6">
      <c r="B20" s="549" t="s">
        <v>628</v>
      </c>
      <c r="C20" s="549"/>
      <c r="D20" s="549"/>
      <c r="E20" s="548" t="s">
        <v>627</v>
      </c>
      <c r="F20" s="555">
        <v>0.97121999999999997</v>
      </c>
    </row>
    <row r="21" spans="1:6">
      <c r="F21" s="554"/>
    </row>
    <row r="22" spans="1:6">
      <c r="F22" s="554"/>
    </row>
    <row r="23" spans="1:6">
      <c r="B23" s="542" t="s">
        <v>626</v>
      </c>
      <c r="E23" s="545" t="s">
        <v>620</v>
      </c>
      <c r="F23" s="553">
        <f>F17*F20</f>
        <v>6.2504446006034833</v>
      </c>
    </row>
    <row r="28" spans="1:6">
      <c r="A28" s="552" t="s">
        <v>625</v>
      </c>
    </row>
    <row r="31" spans="1:6">
      <c r="B31" s="542" t="s">
        <v>624</v>
      </c>
      <c r="E31" s="546"/>
      <c r="F31" s="551">
        <v>171</v>
      </c>
    </row>
    <row r="32" spans="1:6">
      <c r="E32" s="546"/>
      <c r="F32" s="550"/>
    </row>
    <row r="33" spans="2:6">
      <c r="B33" s="549" t="s">
        <v>623</v>
      </c>
      <c r="C33" s="549"/>
      <c r="D33" s="549"/>
      <c r="E33" s="548" t="s">
        <v>622</v>
      </c>
      <c r="F33" s="547">
        <v>12</v>
      </c>
    </row>
    <row r="34" spans="2:6">
      <c r="E34" s="546"/>
    </row>
    <row r="35" spans="2:6">
      <c r="E35" s="546"/>
    </row>
    <row r="36" spans="2:6">
      <c r="B36" s="542" t="s">
        <v>621</v>
      </c>
      <c r="E36" s="545" t="s">
        <v>620</v>
      </c>
      <c r="F36" s="544">
        <f>ROUND(F31/F33,2)</f>
        <v>14.25</v>
      </c>
    </row>
  </sheetData>
  <printOptions horizontalCentered="1"/>
  <pageMargins left="0.25" right="0.25" top="0.75" bottom="0.5" header="0.5" footer="0.5"/>
  <pageSetup orientation="portrait" r:id="rId1"/>
  <headerFooter alignWithMargins="0">
    <oddHeader xml:space="preserve">&amp;L&amp;F
&amp;A&amp;C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zoomScaleNormal="100" workbookViewId="0">
      <selection activeCell="B2" sqref="B2:I2"/>
    </sheetView>
  </sheetViews>
  <sheetFormatPr defaultRowHeight="12.75"/>
  <cols>
    <col min="1" max="1" width="4.125" style="561" customWidth="1"/>
    <col min="2" max="2" width="26.875" style="561" bestFit="1" customWidth="1"/>
    <col min="3" max="3" width="10" style="561" bestFit="1" customWidth="1"/>
    <col min="4" max="4" width="10.375" style="561" bestFit="1" customWidth="1"/>
    <col min="5" max="5" width="1.5" style="561" bestFit="1" customWidth="1"/>
    <col min="6" max="6" width="9" style="561" bestFit="1" customWidth="1"/>
    <col min="7" max="7" width="2.375" style="561" bestFit="1" customWidth="1"/>
    <col min="8" max="8" width="9.75" style="561" bestFit="1" customWidth="1"/>
    <col min="9" max="9" width="9" style="561"/>
    <col min="10" max="10" width="4.125" style="561" bestFit="1" customWidth="1"/>
    <col min="11" max="11" width="11.125" style="561" bestFit="1" customWidth="1"/>
    <col min="12" max="12" width="9.25" style="561" bestFit="1" customWidth="1"/>
    <col min="13" max="13" width="9.25" style="561" customWidth="1"/>
    <col min="14" max="14" width="10.25" style="561" bestFit="1" customWidth="1"/>
    <col min="15" max="16384" width="9" style="561"/>
  </cols>
  <sheetData>
    <row r="1" spans="1:14">
      <c r="B1" s="843" t="s">
        <v>656</v>
      </c>
      <c r="C1" s="843"/>
      <c r="D1" s="843"/>
      <c r="E1" s="843"/>
      <c r="F1" s="843"/>
      <c r="G1" s="843"/>
      <c r="H1" s="843"/>
      <c r="I1" s="843"/>
    </row>
    <row r="2" spans="1:14">
      <c r="B2" s="843" t="s">
        <v>655</v>
      </c>
      <c r="C2" s="843"/>
      <c r="D2" s="843"/>
      <c r="E2" s="843"/>
      <c r="F2" s="843"/>
      <c r="G2" s="843"/>
      <c r="H2" s="843"/>
      <c r="I2" s="843"/>
    </row>
    <row r="3" spans="1:14">
      <c r="B3" s="844" t="s">
        <v>619</v>
      </c>
      <c r="C3" s="843"/>
      <c r="D3" s="843"/>
      <c r="E3" s="843"/>
      <c r="F3" s="843"/>
      <c r="G3" s="843"/>
      <c r="H3" s="843"/>
      <c r="I3" s="843"/>
    </row>
    <row r="4" spans="1:14">
      <c r="B4" s="843"/>
      <c r="C4" s="843"/>
      <c r="D4" s="843"/>
      <c r="E4" s="843"/>
      <c r="F4" s="843"/>
      <c r="G4" s="843"/>
      <c r="H4" s="843"/>
      <c r="I4" s="843"/>
    </row>
    <row r="5" spans="1:14">
      <c r="B5" s="606"/>
      <c r="C5" s="606"/>
      <c r="D5" s="606"/>
      <c r="E5" s="606"/>
      <c r="F5" s="606"/>
      <c r="G5" s="606"/>
      <c r="H5" s="606"/>
      <c r="I5" s="606"/>
    </row>
    <row r="6" spans="1:14">
      <c r="B6" s="603"/>
      <c r="C6" s="603"/>
      <c r="D6" s="602"/>
      <c r="E6" s="602"/>
      <c r="F6" s="603"/>
      <c r="G6" s="603"/>
      <c r="H6" s="603"/>
      <c r="I6" s="603"/>
      <c r="J6" s="603"/>
    </row>
    <row r="7" spans="1:14">
      <c r="A7" s="561" t="s">
        <v>654</v>
      </c>
      <c r="B7" s="604" t="s">
        <v>1</v>
      </c>
      <c r="C7" s="602" t="s">
        <v>2</v>
      </c>
      <c r="D7" s="602"/>
      <c r="E7" s="602"/>
    </row>
    <row r="8" spans="1:14">
      <c r="B8" s="604"/>
      <c r="C8" s="602" t="s">
        <v>3</v>
      </c>
      <c r="D8" s="602"/>
      <c r="E8" s="602"/>
      <c r="F8" s="574" t="s">
        <v>653</v>
      </c>
      <c r="G8" s="574"/>
    </row>
    <row r="9" spans="1:14">
      <c r="B9" s="604"/>
      <c r="C9" s="605" t="s">
        <v>1</v>
      </c>
      <c r="D9" s="605" t="s">
        <v>82</v>
      </c>
      <c r="E9" s="605"/>
      <c r="F9" s="575" t="s">
        <v>1</v>
      </c>
      <c r="G9" s="575"/>
    </row>
    <row r="10" spans="1:14">
      <c r="B10" s="604"/>
      <c r="C10" s="603"/>
      <c r="D10" s="602"/>
      <c r="E10" s="602"/>
    </row>
    <row r="11" spans="1:14">
      <c r="B11" s="574"/>
      <c r="C11" s="562"/>
      <c r="D11" s="574"/>
      <c r="E11" s="574"/>
    </row>
    <row r="12" spans="1:14">
      <c r="B12" s="595" t="s">
        <v>6</v>
      </c>
      <c r="C12" s="587">
        <f>103875+73792+24925</f>
        <v>202592</v>
      </c>
      <c r="D12" s="601">
        <f>D15-D13-D14</f>
        <v>0</v>
      </c>
      <c r="E12" s="601"/>
      <c r="F12" s="594">
        <f>C12-D12</f>
        <v>202592</v>
      </c>
      <c r="G12" s="594"/>
    </row>
    <row r="13" spans="1:14">
      <c r="B13" s="595" t="s">
        <v>7</v>
      </c>
      <c r="C13" s="587">
        <v>142805</v>
      </c>
      <c r="D13" s="601">
        <f>D15</f>
        <v>7887</v>
      </c>
      <c r="E13" s="601"/>
      <c r="F13" s="594">
        <f>C13-D13</f>
        <v>134918</v>
      </c>
      <c r="G13" s="594"/>
    </row>
    <row r="14" spans="1:14">
      <c r="B14" s="600" t="s">
        <v>8</v>
      </c>
      <c r="C14" s="599">
        <v>1760</v>
      </c>
      <c r="D14" s="598">
        <v>0</v>
      </c>
      <c r="E14" s="598"/>
      <c r="F14" s="597">
        <f>C14-D14</f>
        <v>1760</v>
      </c>
      <c r="G14" s="596"/>
    </row>
    <row r="15" spans="1:14">
      <c r="B15" s="595" t="s">
        <v>9</v>
      </c>
      <c r="C15" s="565">
        <f>SUM(C12:C14)</f>
        <v>347157</v>
      </c>
      <c r="D15" s="587">
        <v>7887</v>
      </c>
      <c r="E15" s="565"/>
      <c r="F15" s="594">
        <f>SUM(F12:F14)</f>
        <v>339270</v>
      </c>
      <c r="G15" s="594"/>
    </row>
    <row r="16" spans="1:14">
      <c r="B16" s="562"/>
      <c r="C16" s="565"/>
      <c r="D16" s="565"/>
      <c r="E16" s="565"/>
      <c r="F16" s="565"/>
      <c r="G16" s="565"/>
      <c r="H16" s="565"/>
      <c r="I16" s="565"/>
      <c r="J16" s="565"/>
      <c r="K16" s="594"/>
      <c r="L16" s="594"/>
      <c r="M16" s="594"/>
      <c r="N16" s="594"/>
    </row>
    <row r="17" spans="1:10">
      <c r="B17" s="562"/>
      <c r="C17" s="562"/>
      <c r="D17" s="562"/>
      <c r="E17" s="562"/>
      <c r="F17" s="562"/>
      <c r="G17" s="562"/>
      <c r="H17" s="562"/>
      <c r="I17" s="562"/>
      <c r="J17" s="562"/>
    </row>
    <row r="18" spans="1:10">
      <c r="A18" s="561" t="s">
        <v>332</v>
      </c>
      <c r="B18" s="562" t="s">
        <v>13</v>
      </c>
      <c r="C18" s="562"/>
      <c r="D18" s="562"/>
      <c r="E18" s="562"/>
      <c r="F18" s="562"/>
      <c r="G18" s="562"/>
      <c r="H18" s="562"/>
      <c r="I18" s="562"/>
      <c r="J18" s="562"/>
    </row>
    <row r="19" spans="1:10">
      <c r="B19" s="562"/>
      <c r="C19" s="562"/>
      <c r="D19" s="562"/>
      <c r="E19" s="562"/>
      <c r="F19" s="562"/>
      <c r="G19" s="562"/>
      <c r="H19" s="562"/>
      <c r="I19" s="562"/>
      <c r="J19" s="562"/>
    </row>
    <row r="20" spans="1:10">
      <c r="B20" s="562" t="s">
        <v>652</v>
      </c>
      <c r="C20" s="837">
        <f>F14</f>
        <v>1760</v>
      </c>
      <c r="D20" s="574" t="s">
        <v>249</v>
      </c>
      <c r="E20" s="574"/>
      <c r="F20" s="593">
        <v>132</v>
      </c>
      <c r="G20" s="592"/>
      <c r="H20" s="562" t="s">
        <v>371</v>
      </c>
      <c r="I20" s="591">
        <f>C20/F20</f>
        <v>13.333333333333334</v>
      </c>
      <c r="J20" s="567" t="s">
        <v>14</v>
      </c>
    </row>
    <row r="21" spans="1:10">
      <c r="B21" s="562"/>
      <c r="C21" s="562"/>
      <c r="D21" s="562"/>
      <c r="E21" s="562"/>
      <c r="F21" s="562"/>
      <c r="G21" s="562"/>
      <c r="H21" s="562"/>
      <c r="I21" s="562"/>
      <c r="J21" s="562"/>
    </row>
    <row r="22" spans="1:10">
      <c r="B22" s="562"/>
      <c r="C22" s="562"/>
      <c r="F22" s="562"/>
      <c r="G22" s="562"/>
      <c r="H22" s="590" t="s">
        <v>651</v>
      </c>
      <c r="I22" s="589">
        <v>22.9</v>
      </c>
      <c r="J22" s="567" t="s">
        <v>14</v>
      </c>
    </row>
    <row r="23" spans="1:10">
      <c r="C23" s="562"/>
      <c r="D23" s="562"/>
      <c r="E23" s="562"/>
      <c r="F23" s="562"/>
      <c r="G23" s="562"/>
      <c r="H23" s="562"/>
      <c r="I23" s="562"/>
      <c r="J23" s="562"/>
    </row>
    <row r="24" spans="1:10">
      <c r="B24" s="562" t="s">
        <v>17</v>
      </c>
      <c r="C24" s="563">
        <f>F20</f>
        <v>132</v>
      </c>
      <c r="D24" s="562" t="s">
        <v>650</v>
      </c>
      <c r="E24" s="562"/>
      <c r="F24" s="588">
        <f>I22</f>
        <v>22.9</v>
      </c>
      <c r="G24" s="588"/>
      <c r="H24" s="567" t="s">
        <v>14</v>
      </c>
      <c r="I24" s="580">
        <f>ROUND(C24*F24,0)</f>
        <v>3023</v>
      </c>
      <c r="J24" s="562"/>
    </row>
    <row r="25" spans="1:10">
      <c r="B25" s="562"/>
      <c r="C25" s="562"/>
      <c r="D25" s="562"/>
      <c r="E25" s="562"/>
      <c r="F25" s="562"/>
      <c r="G25" s="562"/>
      <c r="H25" s="562"/>
      <c r="I25" s="562"/>
      <c r="J25" s="562"/>
    </row>
    <row r="26" spans="1:10">
      <c r="B26" s="562"/>
      <c r="C26" s="562"/>
      <c r="D26" s="562"/>
      <c r="E26" s="562"/>
      <c r="F26" s="562"/>
      <c r="G26" s="562"/>
      <c r="H26" s="562"/>
      <c r="I26" s="562"/>
      <c r="J26" s="562"/>
    </row>
    <row r="27" spans="1:10">
      <c r="A27" s="561" t="s">
        <v>18</v>
      </c>
      <c r="B27" s="562" t="s">
        <v>445</v>
      </c>
      <c r="C27" s="562"/>
      <c r="D27" s="562"/>
      <c r="E27" s="562"/>
      <c r="F27" s="562"/>
      <c r="G27" s="562"/>
      <c r="H27" s="562"/>
      <c r="I27" s="562"/>
      <c r="J27" s="562"/>
    </row>
    <row r="28" spans="1:10">
      <c r="B28" s="562"/>
      <c r="C28" s="562"/>
      <c r="D28" s="562"/>
      <c r="E28" s="562"/>
      <c r="F28" s="562"/>
      <c r="G28" s="562"/>
      <c r="H28" s="562"/>
      <c r="I28" s="562"/>
      <c r="J28" s="562"/>
    </row>
    <row r="29" spans="1:10">
      <c r="B29" s="562" t="s">
        <v>649</v>
      </c>
      <c r="C29" s="837">
        <f>F12</f>
        <v>202592</v>
      </c>
      <c r="D29" s="562"/>
      <c r="E29" s="562"/>
      <c r="F29" s="562"/>
      <c r="G29" s="562"/>
      <c r="H29" s="562"/>
      <c r="I29" s="562"/>
      <c r="J29" s="562"/>
    </row>
    <row r="30" spans="1:10">
      <c r="B30" s="562" t="s">
        <v>648</v>
      </c>
      <c r="C30" s="587">
        <v>7671</v>
      </c>
      <c r="D30" s="586"/>
      <c r="E30" s="562"/>
      <c r="F30" s="562"/>
      <c r="G30" s="562"/>
      <c r="H30" s="562"/>
      <c r="I30" s="562"/>
      <c r="J30" s="562"/>
    </row>
    <row r="31" spans="1:10">
      <c r="B31" s="562" t="s">
        <v>534</v>
      </c>
      <c r="C31" s="582">
        <f>C29/C30</f>
        <v>26.410116021379221</v>
      </c>
      <c r="D31" s="562"/>
      <c r="E31" s="562"/>
      <c r="F31" s="574"/>
      <c r="G31" s="574"/>
      <c r="H31" s="562"/>
      <c r="I31" s="562"/>
      <c r="J31" s="562"/>
    </row>
    <row r="32" spans="1:10">
      <c r="B32" s="562"/>
      <c r="C32" s="582"/>
      <c r="D32" s="562"/>
      <c r="E32" s="562"/>
      <c r="F32" s="575"/>
      <c r="G32" s="575"/>
      <c r="H32" s="562"/>
      <c r="I32" s="562"/>
      <c r="J32" s="562"/>
    </row>
    <row r="33" spans="1:10">
      <c r="B33" s="562" t="s">
        <v>647</v>
      </c>
      <c r="C33" s="585">
        <v>4.0999999999999996</v>
      </c>
      <c r="D33" s="574"/>
      <c r="E33" s="574"/>
      <c r="F33" s="584"/>
      <c r="G33" s="583"/>
      <c r="H33" s="572"/>
      <c r="I33" s="562"/>
      <c r="J33" s="562"/>
    </row>
    <row r="34" spans="1:10">
      <c r="B34" s="562" t="s">
        <v>646</v>
      </c>
      <c r="C34" s="582">
        <f>C33*2</f>
        <v>8.1999999999999993</v>
      </c>
      <c r="D34" s="562"/>
      <c r="E34" s="562"/>
      <c r="F34" s="562"/>
      <c r="G34" s="562"/>
      <c r="H34" s="562"/>
      <c r="I34" s="562"/>
      <c r="J34" s="562"/>
    </row>
    <row r="35" spans="1:10">
      <c r="B35" s="562"/>
      <c r="C35" s="582"/>
      <c r="D35" s="562"/>
      <c r="E35" s="562"/>
      <c r="F35" s="562"/>
      <c r="G35" s="562"/>
      <c r="H35" s="562"/>
      <c r="I35" s="562"/>
      <c r="J35" s="562"/>
    </row>
    <row r="36" spans="1:10" ht="15.75">
      <c r="B36" s="562" t="s">
        <v>645</v>
      </c>
      <c r="C36" s="581">
        <v>714</v>
      </c>
      <c r="D36" s="562"/>
      <c r="E36" s="562"/>
      <c r="F36" s="570"/>
      <c r="G36" s="570"/>
      <c r="H36" s="564"/>
      <c r="I36" s="579"/>
      <c r="J36" s="562"/>
    </row>
    <row r="37" spans="1:10">
      <c r="B37" s="562"/>
      <c r="C37" s="570"/>
      <c r="D37" s="562"/>
      <c r="E37" s="562"/>
      <c r="F37" s="570"/>
      <c r="G37" s="570"/>
      <c r="H37" s="563"/>
      <c r="I37" s="564"/>
      <c r="J37" s="562"/>
    </row>
    <row r="38" spans="1:10">
      <c r="B38" s="562" t="s">
        <v>644</v>
      </c>
      <c r="C38" s="580">
        <f>C36*C34</f>
        <v>5854.7999999999993</v>
      </c>
      <c r="D38" s="562"/>
      <c r="E38" s="562"/>
      <c r="F38" s="570"/>
      <c r="G38" s="570"/>
      <c r="H38" s="563"/>
      <c r="I38" s="564"/>
      <c r="J38" s="562"/>
    </row>
    <row r="39" spans="1:10">
      <c r="B39" s="562"/>
      <c r="C39" s="570"/>
      <c r="D39" s="562"/>
      <c r="E39" s="562"/>
      <c r="F39" s="570"/>
      <c r="G39" s="570"/>
      <c r="H39" s="563"/>
      <c r="I39" s="564"/>
      <c r="J39" s="562"/>
    </row>
    <row r="40" spans="1:10">
      <c r="A40" s="561" t="s">
        <v>643</v>
      </c>
      <c r="B40" s="562" t="s">
        <v>642</v>
      </c>
      <c r="C40" s="562"/>
      <c r="D40" s="562"/>
      <c r="E40" s="562"/>
      <c r="F40" s="562"/>
      <c r="G40" s="562"/>
      <c r="H40" s="562"/>
      <c r="I40" s="562"/>
      <c r="J40" s="562"/>
    </row>
    <row r="41" spans="1:10">
      <c r="B41" s="562"/>
      <c r="C41" s="562"/>
      <c r="D41" s="562"/>
      <c r="E41" s="562"/>
      <c r="F41" s="562"/>
      <c r="G41" s="562"/>
      <c r="H41" s="562"/>
      <c r="I41" s="562"/>
      <c r="J41" s="562"/>
    </row>
    <row r="42" spans="1:10">
      <c r="B42" s="562" t="s">
        <v>20</v>
      </c>
      <c r="C42" s="562"/>
      <c r="D42" s="562"/>
      <c r="E42" s="562"/>
      <c r="F42" s="562"/>
      <c r="G42" s="562"/>
      <c r="H42" s="562"/>
      <c r="I42" s="562"/>
      <c r="J42" s="562"/>
    </row>
    <row r="43" spans="1:10">
      <c r="B43" s="562" t="s">
        <v>641</v>
      </c>
      <c r="C43" s="837">
        <f>F15</f>
        <v>339270</v>
      </c>
      <c r="D43" s="562"/>
      <c r="E43" s="562"/>
      <c r="F43" s="562"/>
      <c r="G43" s="562"/>
      <c r="H43" s="562"/>
      <c r="I43" s="562"/>
      <c r="J43" s="562"/>
    </row>
    <row r="44" spans="1:10">
      <c r="B44" s="562" t="s">
        <v>32</v>
      </c>
      <c r="C44" s="563">
        <f>I24</f>
        <v>3023</v>
      </c>
      <c r="D44" s="562"/>
      <c r="E44" s="562"/>
      <c r="F44" s="562"/>
      <c r="G44" s="562"/>
      <c r="H44" s="562"/>
      <c r="I44" s="562"/>
      <c r="J44" s="562"/>
    </row>
    <row r="45" spans="1:10">
      <c r="B45" s="562" t="s">
        <v>640</v>
      </c>
      <c r="C45" s="568">
        <f>C38</f>
        <v>5854.7999999999993</v>
      </c>
      <c r="D45" s="562"/>
      <c r="E45" s="562"/>
      <c r="F45" s="562"/>
      <c r="G45" s="562"/>
      <c r="H45" s="562"/>
      <c r="I45" s="562"/>
      <c r="J45" s="562"/>
    </row>
    <row r="46" spans="1:10">
      <c r="B46" s="562" t="s">
        <v>639</v>
      </c>
      <c r="C46" s="837">
        <f>C43-C44-C45</f>
        <v>330392.2</v>
      </c>
      <c r="D46" s="562"/>
      <c r="E46" s="562"/>
      <c r="F46" s="562"/>
      <c r="G46" s="562"/>
      <c r="H46" s="562"/>
      <c r="I46" s="562"/>
      <c r="J46" s="562"/>
    </row>
    <row r="47" spans="1:10" ht="15.75">
      <c r="B47" s="562"/>
      <c r="C47" s="579"/>
      <c r="D47" s="562"/>
      <c r="E47" s="562"/>
      <c r="F47" s="562"/>
      <c r="G47" s="562"/>
      <c r="H47" s="562"/>
      <c r="I47" s="562"/>
      <c r="J47" s="562"/>
    </row>
    <row r="48" spans="1:10">
      <c r="B48" s="562" t="s">
        <v>638</v>
      </c>
      <c r="C48" s="578">
        <v>3841169</v>
      </c>
      <c r="D48" s="562"/>
      <c r="E48" s="562"/>
      <c r="F48" s="562"/>
      <c r="G48" s="562"/>
      <c r="H48" s="562"/>
      <c r="I48" s="562"/>
      <c r="J48" s="562"/>
    </row>
    <row r="49" spans="1:10">
      <c r="B49" s="562"/>
      <c r="C49" s="563"/>
      <c r="D49" s="562"/>
      <c r="E49" s="562"/>
      <c r="F49" s="562"/>
      <c r="G49" s="562"/>
      <c r="H49" s="562"/>
      <c r="I49" s="562"/>
      <c r="J49" s="562"/>
    </row>
    <row r="50" spans="1:10">
      <c r="B50" s="562" t="s">
        <v>637</v>
      </c>
      <c r="C50" s="577">
        <f>ROUND(C46/C48,5)</f>
        <v>8.6010000000000003E-2</v>
      </c>
      <c r="D50" s="562"/>
      <c r="E50" s="562"/>
      <c r="F50" s="562"/>
      <c r="G50" s="562"/>
      <c r="H50" s="562"/>
      <c r="I50" s="562"/>
      <c r="J50" s="562"/>
    </row>
    <row r="51" spans="1:10">
      <c r="B51" s="562"/>
      <c r="C51" s="564"/>
      <c r="D51" s="562"/>
      <c r="E51" s="562"/>
      <c r="F51" s="562"/>
      <c r="G51" s="562"/>
      <c r="H51" s="562"/>
      <c r="I51" s="562"/>
      <c r="J51" s="562"/>
    </row>
    <row r="52" spans="1:10">
      <c r="B52" s="562"/>
      <c r="C52" s="562"/>
      <c r="D52" s="562"/>
      <c r="E52" s="562"/>
      <c r="F52" s="562"/>
      <c r="G52" s="562"/>
      <c r="H52" s="562"/>
      <c r="I52" s="562"/>
      <c r="J52" s="562"/>
    </row>
    <row r="53" spans="1:10">
      <c r="A53" s="561" t="s">
        <v>291</v>
      </c>
      <c r="B53" s="562" t="s">
        <v>39</v>
      </c>
      <c r="D53" s="574" t="s">
        <v>443</v>
      </c>
      <c r="E53" s="574"/>
      <c r="F53" s="562"/>
      <c r="G53" s="562"/>
      <c r="H53" s="574" t="s">
        <v>636</v>
      </c>
      <c r="I53" s="574"/>
      <c r="J53" s="562"/>
    </row>
    <row r="54" spans="1:10">
      <c r="B54" s="567"/>
      <c r="C54" s="576" t="s">
        <v>40</v>
      </c>
      <c r="D54" s="575" t="s">
        <v>385</v>
      </c>
      <c r="E54" s="574"/>
      <c r="F54" s="575" t="s">
        <v>1</v>
      </c>
      <c r="G54" s="575"/>
      <c r="H54" s="575" t="s">
        <v>1</v>
      </c>
      <c r="I54" s="575" t="s">
        <v>42</v>
      </c>
      <c r="J54" s="567"/>
    </row>
    <row r="55" spans="1:10">
      <c r="B55" s="567"/>
      <c r="C55" s="562"/>
      <c r="D55" s="574"/>
      <c r="E55" s="574"/>
      <c r="F55" s="574"/>
      <c r="G55" s="574"/>
      <c r="H55" s="574"/>
      <c r="I55" s="574"/>
      <c r="J55" s="567"/>
    </row>
    <row r="56" spans="1:10">
      <c r="B56" s="562" t="s">
        <v>7</v>
      </c>
      <c r="C56" s="570">
        <f>C48</f>
        <v>3841169</v>
      </c>
      <c r="D56" s="573">
        <f>C50</f>
        <v>8.6010000000000003E-2</v>
      </c>
      <c r="E56" s="571"/>
      <c r="F56" s="563">
        <f>ROUND(C56*D56,0)</f>
        <v>330379</v>
      </c>
      <c r="G56" s="563"/>
      <c r="H56" s="562"/>
      <c r="I56" s="562"/>
      <c r="J56" s="562"/>
    </row>
    <row r="57" spans="1:10">
      <c r="B57" s="562" t="s">
        <v>6</v>
      </c>
      <c r="C57" s="570">
        <f>C36</f>
        <v>714</v>
      </c>
      <c r="D57" s="572">
        <f>C34</f>
        <v>8.1999999999999993</v>
      </c>
      <c r="E57" s="571"/>
      <c r="F57" s="563">
        <f>ROUND(C57*D57,0)</f>
        <v>5855</v>
      </c>
      <c r="G57" s="563"/>
      <c r="H57" s="562"/>
      <c r="I57" s="562"/>
      <c r="J57" s="562"/>
    </row>
    <row r="58" spans="1:10">
      <c r="B58" s="562" t="s">
        <v>8</v>
      </c>
      <c r="C58" s="570">
        <f>F20</f>
        <v>132</v>
      </c>
      <c r="D58" s="569">
        <f>I22</f>
        <v>22.9</v>
      </c>
      <c r="E58" s="569"/>
      <c r="F58" s="568">
        <f>ROUND(C58*D58,0)</f>
        <v>3023</v>
      </c>
      <c r="G58" s="563"/>
      <c r="H58" s="562"/>
      <c r="I58" s="562"/>
      <c r="J58" s="562"/>
    </row>
    <row r="59" spans="1:10">
      <c r="B59" s="562"/>
      <c r="C59" s="562"/>
      <c r="D59" s="562"/>
      <c r="E59" s="562"/>
      <c r="F59" s="562"/>
      <c r="G59" s="562"/>
      <c r="H59" s="562"/>
      <c r="I59" s="562"/>
      <c r="J59" s="562"/>
    </row>
    <row r="60" spans="1:10">
      <c r="B60" s="562" t="s">
        <v>635</v>
      </c>
      <c r="C60" s="563"/>
      <c r="D60" s="562"/>
      <c r="E60" s="562"/>
      <c r="F60" s="563">
        <f>SUM(F56:F58)</f>
        <v>339257</v>
      </c>
      <c r="G60" s="563"/>
      <c r="H60" s="565">
        <f>F15</f>
        <v>339270</v>
      </c>
      <c r="I60" s="563">
        <f>F60-H60</f>
        <v>-13</v>
      </c>
      <c r="J60" s="562"/>
    </row>
    <row r="61" spans="1:10">
      <c r="B61" s="562"/>
      <c r="C61" s="563"/>
      <c r="D61" s="562"/>
      <c r="E61" s="562"/>
      <c r="F61" s="563"/>
      <c r="G61" s="563"/>
      <c r="H61" s="562"/>
      <c r="I61" s="562"/>
      <c r="J61" s="562"/>
    </row>
    <row r="62" spans="1:10">
      <c r="B62" s="562"/>
      <c r="C62" s="562"/>
      <c r="D62" s="567"/>
      <c r="E62" s="567"/>
      <c r="F62" s="566"/>
      <c r="G62" s="566"/>
      <c r="H62" s="566"/>
      <c r="I62" s="565"/>
      <c r="J62" s="562"/>
    </row>
    <row r="63" spans="1:10">
      <c r="B63" s="562" t="s">
        <v>81</v>
      </c>
      <c r="C63" s="562"/>
      <c r="D63" s="562"/>
      <c r="E63" s="562"/>
      <c r="F63" s="564"/>
      <c r="G63" s="564"/>
      <c r="H63" s="562"/>
      <c r="I63" s="562"/>
      <c r="J63" s="562"/>
    </row>
    <row r="64" spans="1:10">
      <c r="B64" s="562"/>
      <c r="C64" s="562"/>
      <c r="D64" s="562"/>
      <c r="E64" s="562"/>
      <c r="F64" s="563"/>
      <c r="G64" s="563"/>
      <c r="H64" s="562"/>
      <c r="I64" s="562"/>
      <c r="J64" s="562"/>
    </row>
    <row r="65" spans="2:10">
      <c r="B65" s="562"/>
      <c r="C65" s="562"/>
      <c r="D65" s="562"/>
      <c r="E65" s="562"/>
      <c r="F65" s="562"/>
      <c r="G65" s="562"/>
      <c r="H65" s="562"/>
      <c r="I65" s="562"/>
      <c r="J65" s="562"/>
    </row>
    <row r="66" spans="2:10">
      <c r="B66" s="562"/>
      <c r="C66" s="562"/>
      <c r="D66" s="562"/>
      <c r="E66" s="562"/>
      <c r="F66" s="562"/>
      <c r="G66" s="562"/>
      <c r="H66" s="562"/>
      <c r="I66" s="562"/>
      <c r="J66" s="562"/>
    </row>
    <row r="67" spans="2:10">
      <c r="B67" s="562"/>
      <c r="C67" s="562"/>
      <c r="D67" s="562"/>
      <c r="E67" s="562"/>
      <c r="F67" s="562"/>
      <c r="G67" s="562"/>
      <c r="H67" s="562"/>
      <c r="I67" s="562"/>
      <c r="J67" s="562"/>
    </row>
    <row r="68" spans="2:10">
      <c r="B68" s="562"/>
      <c r="C68" s="562"/>
      <c r="D68" s="562"/>
      <c r="E68" s="562"/>
      <c r="F68" s="562"/>
      <c r="G68" s="562"/>
      <c r="H68" s="562"/>
      <c r="I68" s="562"/>
      <c r="J68" s="562"/>
    </row>
    <row r="69" spans="2:10">
      <c r="B69" s="562"/>
      <c r="C69" s="562"/>
      <c r="D69" s="562"/>
      <c r="E69" s="562"/>
      <c r="F69" s="562"/>
      <c r="G69" s="562"/>
      <c r="H69" s="562"/>
      <c r="I69" s="562"/>
      <c r="J69" s="562"/>
    </row>
    <row r="70" spans="2:10">
      <c r="B70" s="562"/>
      <c r="C70" s="562"/>
      <c r="D70" s="562"/>
      <c r="E70" s="562"/>
      <c r="F70" s="562"/>
      <c r="G70" s="562"/>
      <c r="H70" s="562"/>
      <c r="I70" s="562"/>
      <c r="J70" s="562"/>
    </row>
    <row r="71" spans="2:10">
      <c r="B71" s="562"/>
      <c r="C71" s="562"/>
      <c r="D71" s="562"/>
      <c r="E71" s="562"/>
      <c r="F71" s="562"/>
      <c r="G71" s="562"/>
      <c r="H71" s="562"/>
      <c r="I71" s="562"/>
      <c r="J71" s="562"/>
    </row>
    <row r="72" spans="2:10">
      <c r="B72" s="562"/>
      <c r="C72" s="562"/>
      <c r="D72" s="562"/>
      <c r="E72" s="562"/>
      <c r="F72" s="562"/>
      <c r="G72" s="562"/>
      <c r="H72" s="562"/>
      <c r="I72" s="562"/>
      <c r="J72" s="562"/>
    </row>
    <row r="73" spans="2:10">
      <c r="B73" s="562"/>
      <c r="C73" s="562"/>
      <c r="D73" s="562"/>
      <c r="E73" s="562"/>
      <c r="F73" s="562"/>
      <c r="G73" s="562"/>
      <c r="H73" s="562"/>
      <c r="I73" s="562"/>
      <c r="J73" s="562"/>
    </row>
    <row r="74" spans="2:10">
      <c r="B74" s="562"/>
      <c r="C74" s="562"/>
      <c r="D74" s="562"/>
      <c r="E74" s="562"/>
      <c r="F74" s="562"/>
      <c r="G74" s="562"/>
      <c r="H74" s="562"/>
      <c r="I74" s="562"/>
      <c r="J74" s="562"/>
    </row>
    <row r="75" spans="2:10">
      <c r="B75" s="562"/>
      <c r="C75" s="562"/>
      <c r="D75" s="562"/>
      <c r="E75" s="562"/>
      <c r="F75" s="562"/>
      <c r="G75" s="562"/>
      <c r="H75" s="562"/>
      <c r="I75" s="562"/>
      <c r="J75" s="562"/>
    </row>
    <row r="76" spans="2:10">
      <c r="B76" s="562"/>
      <c r="C76" s="562"/>
      <c r="D76" s="562"/>
      <c r="E76" s="562"/>
      <c r="F76" s="562"/>
      <c r="G76" s="562"/>
      <c r="H76" s="562"/>
      <c r="I76" s="562"/>
      <c r="J76" s="562"/>
    </row>
    <row r="77" spans="2:10">
      <c r="B77" s="562"/>
      <c r="C77" s="562"/>
      <c r="D77" s="562"/>
      <c r="E77" s="562"/>
      <c r="F77" s="562"/>
      <c r="G77" s="562"/>
      <c r="H77" s="562"/>
      <c r="I77" s="562"/>
      <c r="J77" s="562"/>
    </row>
    <row r="78" spans="2:10">
      <c r="B78" s="562"/>
      <c r="C78" s="562"/>
      <c r="D78" s="562"/>
      <c r="E78" s="562"/>
      <c r="F78" s="562"/>
      <c r="G78" s="562"/>
      <c r="H78" s="562"/>
      <c r="I78" s="562"/>
      <c r="J78" s="562"/>
    </row>
    <row r="79" spans="2:10">
      <c r="B79" s="562"/>
      <c r="C79" s="562"/>
      <c r="D79" s="562"/>
      <c r="E79" s="562"/>
      <c r="F79" s="562"/>
      <c r="G79" s="562"/>
      <c r="H79" s="562"/>
      <c r="I79" s="562"/>
      <c r="J79" s="562"/>
    </row>
    <row r="80" spans="2:10">
      <c r="B80" s="562"/>
      <c r="C80" s="562"/>
      <c r="D80" s="562"/>
      <c r="E80" s="562"/>
      <c r="F80" s="562"/>
      <c r="G80" s="562"/>
      <c r="H80" s="562"/>
      <c r="I80" s="562"/>
      <c r="J80" s="562"/>
    </row>
    <row r="81" spans="2:10">
      <c r="B81" s="562"/>
      <c r="C81" s="562"/>
      <c r="D81" s="562"/>
      <c r="E81" s="562"/>
      <c r="F81" s="562"/>
      <c r="G81" s="562"/>
      <c r="H81" s="562"/>
      <c r="I81" s="562"/>
      <c r="J81" s="562"/>
    </row>
    <row r="82" spans="2:10">
      <c r="B82" s="562"/>
      <c r="C82" s="562"/>
      <c r="D82" s="562"/>
      <c r="E82" s="562"/>
      <c r="F82" s="562"/>
      <c r="G82" s="562"/>
      <c r="H82" s="562"/>
      <c r="I82" s="562"/>
      <c r="J82" s="562"/>
    </row>
    <row r="83" spans="2:10">
      <c r="B83" s="562"/>
      <c r="C83" s="562"/>
      <c r="D83" s="562"/>
      <c r="E83" s="562"/>
      <c r="F83" s="562"/>
      <c r="G83" s="562"/>
      <c r="H83" s="562"/>
      <c r="I83" s="562"/>
      <c r="J83" s="562"/>
    </row>
    <row r="84" spans="2:10">
      <c r="B84" s="562"/>
      <c r="C84" s="562"/>
      <c r="D84" s="562"/>
      <c r="E84" s="562"/>
      <c r="F84" s="562"/>
      <c r="G84" s="562"/>
      <c r="H84" s="562"/>
      <c r="I84" s="562"/>
      <c r="J84" s="562"/>
    </row>
    <row r="85" spans="2:10">
      <c r="B85" s="562"/>
      <c r="C85" s="562"/>
      <c r="D85" s="562"/>
      <c r="E85" s="562"/>
      <c r="F85" s="562"/>
      <c r="G85" s="562"/>
      <c r="H85" s="562"/>
      <c r="I85" s="562"/>
      <c r="J85" s="562"/>
    </row>
    <row r="86" spans="2:10">
      <c r="B86" s="562"/>
      <c r="C86" s="562"/>
      <c r="D86" s="562"/>
      <c r="E86" s="562"/>
      <c r="F86" s="562"/>
      <c r="G86" s="562"/>
      <c r="H86" s="562"/>
      <c r="I86" s="562"/>
      <c r="J86" s="562"/>
    </row>
    <row r="87" spans="2:10">
      <c r="B87" s="562"/>
      <c r="C87" s="562"/>
      <c r="D87" s="562"/>
      <c r="E87" s="562"/>
      <c r="F87" s="562"/>
      <c r="G87" s="562"/>
      <c r="H87" s="562"/>
      <c r="I87" s="562"/>
      <c r="J87" s="562"/>
    </row>
    <row r="88" spans="2:10">
      <c r="B88" s="562"/>
      <c r="C88" s="562"/>
      <c r="D88" s="562"/>
      <c r="E88" s="562"/>
      <c r="F88" s="562"/>
      <c r="G88" s="562"/>
      <c r="H88" s="562"/>
      <c r="I88" s="562"/>
      <c r="J88" s="562"/>
    </row>
    <row r="89" spans="2:10">
      <c r="B89" s="562"/>
      <c r="C89" s="562"/>
      <c r="D89" s="562"/>
      <c r="E89" s="562"/>
      <c r="F89" s="562"/>
      <c r="G89" s="562"/>
      <c r="H89" s="562"/>
      <c r="I89" s="562"/>
      <c r="J89" s="562"/>
    </row>
    <row r="90" spans="2:10">
      <c r="B90" s="562"/>
      <c r="C90" s="562"/>
      <c r="D90" s="562"/>
      <c r="E90" s="562"/>
      <c r="F90" s="562"/>
      <c r="G90" s="562"/>
      <c r="H90" s="562"/>
      <c r="I90" s="562"/>
      <c r="J90" s="562"/>
    </row>
    <row r="91" spans="2:10">
      <c r="B91" s="562"/>
      <c r="C91" s="562"/>
      <c r="D91" s="562"/>
      <c r="E91" s="562"/>
      <c r="F91" s="562"/>
      <c r="G91" s="562"/>
      <c r="H91" s="562"/>
      <c r="I91" s="562"/>
      <c r="J91" s="562"/>
    </row>
    <row r="92" spans="2:10">
      <c r="B92" s="562"/>
      <c r="C92" s="562"/>
      <c r="D92" s="562"/>
      <c r="E92" s="562"/>
      <c r="F92" s="562"/>
      <c r="G92" s="562"/>
      <c r="H92" s="562"/>
      <c r="I92" s="562"/>
      <c r="J92" s="562"/>
    </row>
    <row r="93" spans="2:10">
      <c r="B93" s="562"/>
      <c r="C93" s="562"/>
      <c r="D93" s="562"/>
      <c r="E93" s="562"/>
      <c r="F93" s="562"/>
      <c r="G93" s="562"/>
      <c r="H93" s="562"/>
      <c r="I93" s="562"/>
      <c r="J93" s="562"/>
    </row>
    <row r="94" spans="2:10">
      <c r="B94" s="562"/>
      <c r="C94" s="562"/>
      <c r="D94" s="562"/>
      <c r="E94" s="562"/>
      <c r="F94" s="562"/>
      <c r="G94" s="562"/>
      <c r="H94" s="562"/>
      <c r="I94" s="562"/>
      <c r="J94" s="562"/>
    </row>
    <row r="95" spans="2:10">
      <c r="B95" s="562"/>
      <c r="C95" s="562"/>
      <c r="D95" s="562"/>
      <c r="E95" s="562"/>
      <c r="F95" s="562"/>
      <c r="G95" s="562"/>
      <c r="H95" s="562"/>
      <c r="I95" s="562"/>
      <c r="J95" s="562"/>
    </row>
    <row r="96" spans="2:10">
      <c r="B96" s="562"/>
      <c r="C96" s="562"/>
      <c r="D96" s="562"/>
      <c r="E96" s="562"/>
      <c r="F96" s="562"/>
      <c r="G96" s="562"/>
      <c r="H96" s="562"/>
      <c r="I96" s="562"/>
      <c r="J96" s="562"/>
    </row>
    <row r="97" spans="2:10">
      <c r="B97" s="562"/>
      <c r="C97" s="562"/>
      <c r="D97" s="562"/>
      <c r="E97" s="562"/>
      <c r="F97" s="562"/>
      <c r="G97" s="562"/>
      <c r="H97" s="562"/>
      <c r="I97" s="562"/>
      <c r="J97" s="562"/>
    </row>
    <row r="98" spans="2:10">
      <c r="B98" s="562"/>
      <c r="C98" s="562"/>
      <c r="D98" s="562"/>
      <c r="E98" s="562"/>
      <c r="F98" s="562"/>
      <c r="G98" s="562"/>
      <c r="H98" s="562"/>
      <c r="I98" s="562"/>
      <c r="J98" s="562"/>
    </row>
    <row r="99" spans="2:10">
      <c r="B99" s="562"/>
      <c r="C99" s="562"/>
      <c r="D99" s="562"/>
      <c r="E99" s="562"/>
      <c r="F99" s="562"/>
      <c r="G99" s="562"/>
      <c r="H99" s="562"/>
      <c r="I99" s="562"/>
      <c r="J99" s="562"/>
    </row>
    <row r="100" spans="2:10">
      <c r="B100" s="562"/>
      <c r="C100" s="562"/>
      <c r="D100" s="562"/>
      <c r="E100" s="562"/>
      <c r="F100" s="562"/>
      <c r="G100" s="562"/>
      <c r="H100" s="562"/>
      <c r="I100" s="562"/>
      <c r="J100" s="562"/>
    </row>
    <row r="101" spans="2:10">
      <c r="B101" s="562"/>
      <c r="C101" s="562"/>
      <c r="D101" s="562"/>
      <c r="E101" s="562"/>
      <c r="F101" s="562"/>
      <c r="G101" s="562"/>
      <c r="H101" s="562"/>
      <c r="I101" s="562"/>
      <c r="J101" s="562"/>
    </row>
    <row r="102" spans="2:10">
      <c r="B102" s="562"/>
      <c r="C102" s="562"/>
      <c r="D102" s="562"/>
      <c r="E102" s="562"/>
      <c r="F102" s="562"/>
      <c r="G102" s="562"/>
      <c r="H102" s="562"/>
      <c r="I102" s="562"/>
      <c r="J102" s="562"/>
    </row>
    <row r="103" spans="2:10">
      <c r="B103" s="562"/>
      <c r="C103" s="562"/>
      <c r="D103" s="562"/>
      <c r="E103" s="562"/>
      <c r="F103" s="562"/>
      <c r="G103" s="562"/>
      <c r="H103" s="562"/>
      <c r="I103" s="562"/>
      <c r="J103" s="562"/>
    </row>
    <row r="104" spans="2:10">
      <c r="B104" s="562"/>
      <c r="C104" s="562"/>
      <c r="D104" s="562"/>
      <c r="E104" s="562"/>
      <c r="F104" s="562"/>
      <c r="G104" s="562"/>
      <c r="H104" s="562"/>
      <c r="I104" s="562"/>
      <c r="J104" s="562"/>
    </row>
    <row r="105" spans="2:10">
      <c r="B105" s="562"/>
      <c r="C105" s="562"/>
      <c r="D105" s="562"/>
      <c r="E105" s="562"/>
      <c r="F105" s="562"/>
      <c r="G105" s="562"/>
      <c r="H105" s="562"/>
      <c r="I105" s="562"/>
      <c r="J105" s="562"/>
    </row>
    <row r="106" spans="2:10">
      <c r="B106" s="562"/>
      <c r="C106" s="562"/>
      <c r="D106" s="562"/>
      <c r="E106" s="562"/>
      <c r="F106" s="562"/>
      <c r="G106" s="562"/>
      <c r="H106" s="562"/>
      <c r="I106" s="562"/>
      <c r="J106" s="562"/>
    </row>
    <row r="107" spans="2:10">
      <c r="B107" s="562"/>
      <c r="C107" s="562"/>
      <c r="D107" s="562"/>
      <c r="E107" s="562"/>
      <c r="F107" s="562"/>
      <c r="G107" s="562"/>
      <c r="H107" s="562"/>
      <c r="I107" s="562"/>
      <c r="J107" s="562"/>
    </row>
    <row r="108" spans="2:10">
      <c r="B108" s="562"/>
      <c r="C108" s="562"/>
      <c r="D108" s="562"/>
      <c r="E108" s="562"/>
      <c r="F108" s="562"/>
      <c r="G108" s="562"/>
      <c r="H108" s="562"/>
      <c r="I108" s="562"/>
      <c r="J108" s="562"/>
    </row>
    <row r="109" spans="2:10">
      <c r="B109" s="562"/>
      <c r="C109" s="562"/>
      <c r="D109" s="562"/>
      <c r="E109" s="562"/>
      <c r="F109" s="562"/>
      <c r="G109" s="562"/>
      <c r="H109" s="562"/>
      <c r="I109" s="562"/>
      <c r="J109" s="562"/>
    </row>
    <row r="110" spans="2:10">
      <c r="B110" s="562"/>
      <c r="C110" s="562"/>
      <c r="D110" s="562"/>
      <c r="E110" s="562"/>
      <c r="F110" s="562"/>
      <c r="G110" s="562"/>
      <c r="H110" s="562"/>
      <c r="I110" s="562"/>
      <c r="J110" s="562"/>
    </row>
    <row r="111" spans="2:10">
      <c r="B111" s="562"/>
      <c r="C111" s="562"/>
      <c r="D111" s="562"/>
      <c r="E111" s="562"/>
      <c r="F111" s="562"/>
      <c r="G111" s="562"/>
      <c r="H111" s="562"/>
      <c r="I111" s="562"/>
      <c r="J111" s="562"/>
    </row>
  </sheetData>
  <mergeCells count="4">
    <mergeCell ref="B1:I1"/>
    <mergeCell ref="B2:I2"/>
    <mergeCell ref="B3:I3"/>
    <mergeCell ref="B4:I4"/>
  </mergeCells>
  <printOptions horizontalCentered="1"/>
  <pageMargins left="0.75" right="0.5" top="0.5" bottom="0.5" header="0.5" footer="0.5"/>
  <pageSetup scale="90" orientation="portrait" r:id="rId1"/>
  <headerFooter alignWithMargins="0">
    <oddHeader>&amp;L&amp;F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1"/>
  <sheetViews>
    <sheetView showOutlineSymbols="0" zoomScale="70" zoomScaleNormal="70" workbookViewId="0">
      <selection activeCell="K19" sqref="K19:Q19"/>
    </sheetView>
  </sheetViews>
  <sheetFormatPr defaultColWidth="15.5" defaultRowHeight="15"/>
  <cols>
    <col min="1" max="1" width="12.625" style="607" customWidth="1"/>
    <col min="2" max="2" width="37.25" style="607" bestFit="1" customWidth="1"/>
    <col min="3" max="3" width="10.375" style="607" bestFit="1" customWidth="1"/>
    <col min="4" max="4" width="2.125" style="607" customWidth="1"/>
    <col min="5" max="5" width="7.25" style="607" bestFit="1" customWidth="1"/>
    <col min="6" max="6" width="2" style="607" customWidth="1"/>
    <col min="7" max="7" width="11.375" style="607" bestFit="1" customWidth="1"/>
    <col min="8" max="8" width="2" style="607" customWidth="1"/>
    <col min="9" max="9" width="7.25" style="607" customWidth="1"/>
    <col min="10" max="10" width="2" style="607" customWidth="1"/>
    <col min="11" max="11" width="9.125" style="607" bestFit="1" customWidth="1"/>
    <col min="12" max="12" width="2" style="607" customWidth="1"/>
    <col min="13" max="13" width="11.375" style="607" bestFit="1" customWidth="1"/>
    <col min="14" max="14" width="2" style="607" customWidth="1"/>
    <col min="15" max="15" width="11.375" style="607" bestFit="1" customWidth="1"/>
    <col min="16" max="16" width="2" style="607" customWidth="1"/>
    <col min="17" max="17" width="9" style="607" bestFit="1" customWidth="1"/>
    <col min="18" max="16384" width="15.5" style="607"/>
  </cols>
  <sheetData>
    <row r="1" spans="1:17" ht="15.75">
      <c r="B1" s="613"/>
      <c r="C1" s="641" t="s">
        <v>700</v>
      </c>
      <c r="D1" s="641"/>
      <c r="G1" s="613"/>
      <c r="H1" s="643"/>
      <c r="I1" s="641" t="s">
        <v>585</v>
      </c>
      <c r="J1" s="641"/>
      <c r="K1" s="614"/>
      <c r="L1" s="614"/>
      <c r="M1" s="613"/>
      <c r="N1" s="613"/>
      <c r="O1" s="613"/>
      <c r="P1" s="613"/>
      <c r="Q1" s="613"/>
    </row>
    <row r="2" spans="1:17" ht="15.75">
      <c r="B2" s="641" t="s">
        <v>704</v>
      </c>
      <c r="C2" s="641" t="s">
        <v>703</v>
      </c>
      <c r="D2" s="641"/>
      <c r="E2" s="648" t="s">
        <v>702</v>
      </c>
      <c r="F2" s="648"/>
      <c r="G2" s="647"/>
      <c r="H2" s="643"/>
      <c r="I2" s="641" t="s">
        <v>701</v>
      </c>
      <c r="J2" s="641"/>
      <c r="K2" s="648" t="s">
        <v>141</v>
      </c>
      <c r="L2" s="648"/>
      <c r="M2" s="647"/>
      <c r="N2" s="647"/>
      <c r="O2" s="642" t="s">
        <v>700</v>
      </c>
      <c r="P2" s="642"/>
      <c r="Q2" s="642" t="s">
        <v>699</v>
      </c>
    </row>
    <row r="3" spans="1:17" ht="15.75">
      <c r="B3" s="644" t="s">
        <v>698</v>
      </c>
      <c r="C3" s="644" t="s">
        <v>697</v>
      </c>
      <c r="D3" s="644"/>
      <c r="E3" s="645" t="s">
        <v>188</v>
      </c>
      <c r="F3" s="645"/>
      <c r="G3" s="645" t="s">
        <v>1</v>
      </c>
      <c r="H3" s="643"/>
      <c r="I3" s="646" t="s">
        <v>188</v>
      </c>
      <c r="J3" s="646"/>
      <c r="K3" s="645" t="s">
        <v>188</v>
      </c>
      <c r="L3" s="645"/>
      <c r="M3" s="645" t="s">
        <v>1</v>
      </c>
      <c r="N3" s="645"/>
      <c r="O3" s="644" t="s">
        <v>404</v>
      </c>
      <c r="P3" s="644"/>
      <c r="Q3" s="644" t="s">
        <v>404</v>
      </c>
    </row>
    <row r="4" spans="1:17" ht="15.75">
      <c r="B4" s="642" t="s">
        <v>153</v>
      </c>
      <c r="C4" s="642" t="s">
        <v>154</v>
      </c>
      <c r="D4" s="642"/>
      <c r="E4" s="642" t="s">
        <v>696</v>
      </c>
      <c r="F4" s="642"/>
      <c r="G4" s="642" t="s">
        <v>695</v>
      </c>
      <c r="H4" s="643"/>
      <c r="I4" s="642" t="s">
        <v>694</v>
      </c>
      <c r="J4" s="642"/>
      <c r="K4" s="642" t="s">
        <v>693</v>
      </c>
      <c r="L4" s="642"/>
      <c r="M4" s="642" t="s">
        <v>692</v>
      </c>
      <c r="N4" s="642"/>
      <c r="O4" s="642" t="s">
        <v>691</v>
      </c>
      <c r="P4" s="642"/>
      <c r="Q4" s="641" t="s">
        <v>690</v>
      </c>
    </row>
    <row r="6" spans="1:17" ht="15.75">
      <c r="A6" s="640" t="s">
        <v>689</v>
      </c>
      <c r="B6" s="633" t="s">
        <v>688</v>
      </c>
      <c r="K6" s="610"/>
      <c r="L6" s="614"/>
    </row>
    <row r="7" spans="1:17">
      <c r="A7" s="612">
        <v>94</v>
      </c>
      <c r="B7" s="614" t="s">
        <v>687</v>
      </c>
      <c r="C7" s="632">
        <v>235073</v>
      </c>
      <c r="D7" s="611"/>
      <c r="E7" s="625">
        <v>8.75</v>
      </c>
      <c r="F7" s="610"/>
      <c r="G7" s="609">
        <f>ROUND((C7*E7),0)</f>
        <v>2056889</v>
      </c>
      <c r="H7" s="609"/>
      <c r="I7" s="610">
        <f>'OL 2'!$Q$8</f>
        <v>10.645</v>
      </c>
      <c r="J7" s="610"/>
      <c r="K7" s="624">
        <f>ROUND(IF(I7*$C$50&gt;(1+C48)*E7,(1+C48)*E7,MAX(I7,E7)*$C$50)*20,0)/20</f>
        <v>9.65</v>
      </c>
      <c r="L7" s="610" t="s">
        <v>80</v>
      </c>
      <c r="M7" s="609">
        <f t="shared" ref="M7:M18" si="0">ROUND((C7*K7),0)</f>
        <v>2268454</v>
      </c>
      <c r="N7" s="609"/>
      <c r="O7" s="609">
        <f t="shared" ref="O7:O18" si="1">M7-G7</f>
        <v>211565</v>
      </c>
      <c r="P7" s="609"/>
      <c r="Q7" s="608">
        <f t="shared" ref="Q7:Q18" si="2">ROUND(((K7/E7)-1),4)</f>
        <v>0.10290000000000001</v>
      </c>
    </row>
    <row r="8" spans="1:17">
      <c r="A8" s="612">
        <v>113</v>
      </c>
      <c r="B8" s="614" t="s">
        <v>686</v>
      </c>
      <c r="C8" s="632">
        <v>221760</v>
      </c>
      <c r="D8" s="611"/>
      <c r="E8" s="625">
        <v>9.9</v>
      </c>
      <c r="F8" s="610"/>
      <c r="G8" s="609">
        <f>ROUND((C8*E8),0)</f>
        <v>2195424</v>
      </c>
      <c r="H8" s="609"/>
      <c r="I8" s="610">
        <f>'OL 2'!$Q$9</f>
        <v>12.148333333333333</v>
      </c>
      <c r="J8" s="610"/>
      <c r="K8" s="624">
        <f>ROUND(IF(I8*$C$50&gt;(1+C48)*E8,(1+C48)*E8,MAX(I8,E8)*$C$50)*20,0)/20</f>
        <v>10.95</v>
      </c>
      <c r="L8" s="610"/>
      <c r="M8" s="609">
        <f t="shared" si="0"/>
        <v>2428272</v>
      </c>
      <c r="N8" s="609"/>
      <c r="O8" s="609">
        <f t="shared" si="1"/>
        <v>232848</v>
      </c>
      <c r="P8" s="609"/>
      <c r="Q8" s="608">
        <f t="shared" si="2"/>
        <v>0.1061</v>
      </c>
    </row>
    <row r="9" spans="1:17">
      <c r="A9" s="612">
        <v>97</v>
      </c>
      <c r="B9" s="614" t="s">
        <v>685</v>
      </c>
      <c r="C9" s="632">
        <v>21655</v>
      </c>
      <c r="D9" s="611"/>
      <c r="E9" s="625">
        <v>12.2</v>
      </c>
      <c r="F9" s="610"/>
      <c r="G9" s="609">
        <f>ROUND((C9*E9),0)</f>
        <v>264191</v>
      </c>
      <c r="H9" s="609"/>
      <c r="I9" s="610">
        <f>'OL 2'!$Q$10</f>
        <v>14.150833333333335</v>
      </c>
      <c r="J9" s="610"/>
      <c r="K9" s="624">
        <f>ROUND(IF(I9*$C$50&gt;(1+C48)*E9,(1+C48)*E9,MAX(I9,E9)*$C$50)*20,0)/20</f>
        <v>13.45</v>
      </c>
      <c r="L9" s="610"/>
      <c r="M9" s="609">
        <f t="shared" si="0"/>
        <v>291260</v>
      </c>
      <c r="N9" s="609"/>
      <c r="O9" s="609">
        <f t="shared" si="1"/>
        <v>27069</v>
      </c>
      <c r="P9" s="609"/>
      <c r="Q9" s="608">
        <f t="shared" si="2"/>
        <v>0.10249999999999999</v>
      </c>
    </row>
    <row r="10" spans="1:17">
      <c r="A10" s="612">
        <v>103</v>
      </c>
      <c r="B10" s="614" t="s">
        <v>684</v>
      </c>
      <c r="C10" s="636">
        <v>0</v>
      </c>
      <c r="D10" s="630"/>
      <c r="E10" s="625">
        <v>13.35</v>
      </c>
      <c r="F10" s="610"/>
      <c r="G10" s="609"/>
      <c r="H10" s="609"/>
      <c r="I10" s="610">
        <f>'OL 2'!$Q$11</f>
        <v>18.120833333333334</v>
      </c>
      <c r="J10" s="610"/>
      <c r="K10" s="624">
        <f>ROUND((I10)*20,0)/20</f>
        <v>18.100000000000001</v>
      </c>
      <c r="L10" s="610"/>
      <c r="M10" s="609">
        <f t="shared" si="0"/>
        <v>0</v>
      </c>
      <c r="N10" s="609"/>
      <c r="O10" s="609">
        <f t="shared" si="1"/>
        <v>0</v>
      </c>
      <c r="P10" s="609"/>
      <c r="Q10" s="608">
        <f t="shared" si="2"/>
        <v>0.35580000000000001</v>
      </c>
    </row>
    <row r="11" spans="1:17">
      <c r="A11" s="612">
        <v>98</v>
      </c>
      <c r="B11" s="614" t="s">
        <v>669</v>
      </c>
      <c r="C11" s="632">
        <v>2062</v>
      </c>
      <c r="D11" s="611"/>
      <c r="E11" s="625">
        <v>19.149999999999999</v>
      </c>
      <c r="F11" s="610"/>
      <c r="G11" s="609">
        <f t="shared" ref="G11:G18" si="3">ROUND((C11*E11),0)</f>
        <v>39487</v>
      </c>
      <c r="H11" s="609"/>
      <c r="I11" s="610">
        <f>'OL 2'!$Q$12</f>
        <v>21.464166666666667</v>
      </c>
      <c r="J11" s="610"/>
      <c r="K11" s="624">
        <f>ROUND(IF(I11*$C$50&gt;(1+C48)*E11,(1+C48)*E11,MAX(I11,E11)*$C$50)*20,0)/20-0.1</f>
        <v>21.049999999999997</v>
      </c>
      <c r="L11" s="607" t="s">
        <v>354</v>
      </c>
      <c r="M11" s="609">
        <f t="shared" si="0"/>
        <v>43405</v>
      </c>
      <c r="N11" s="609"/>
      <c r="O11" s="609">
        <f t="shared" si="1"/>
        <v>3918</v>
      </c>
      <c r="P11" s="609"/>
      <c r="Q11" s="608">
        <f t="shared" si="2"/>
        <v>9.9199999999999997E-2</v>
      </c>
    </row>
    <row r="12" spans="1:17">
      <c r="A12" s="612">
        <v>111</v>
      </c>
      <c r="B12" s="614" t="s">
        <v>683</v>
      </c>
      <c r="C12" s="632">
        <v>8322</v>
      </c>
      <c r="D12" s="626"/>
      <c r="E12" s="625">
        <v>13.1</v>
      </c>
      <c r="F12" s="610"/>
      <c r="G12" s="609">
        <f t="shared" si="3"/>
        <v>109018</v>
      </c>
      <c r="H12" s="609"/>
      <c r="I12" s="610">
        <f>'OL 2'!$Q$14</f>
        <v>30.405000000000001</v>
      </c>
      <c r="J12" s="610"/>
      <c r="K12" s="624">
        <f>ROUND(IF(I12*$C$50&gt;(1+C48)*E12,(1+C48)*E12,MAX(I12,E12)*$C$50)*20,0)/20</f>
        <v>14.45</v>
      </c>
      <c r="M12" s="609">
        <f t="shared" si="0"/>
        <v>120253</v>
      </c>
      <c r="N12" s="609"/>
      <c r="O12" s="609">
        <f t="shared" si="1"/>
        <v>11235</v>
      </c>
      <c r="P12" s="609"/>
      <c r="Q12" s="608">
        <f t="shared" si="2"/>
        <v>0.1031</v>
      </c>
    </row>
    <row r="13" spans="1:17">
      <c r="A13" s="612">
        <v>122</v>
      </c>
      <c r="B13" s="614" t="s">
        <v>682</v>
      </c>
      <c r="C13" s="632">
        <v>735</v>
      </c>
      <c r="D13" s="626"/>
      <c r="E13" s="625">
        <v>21.45</v>
      </c>
      <c r="F13" s="610"/>
      <c r="G13" s="609">
        <f t="shared" si="3"/>
        <v>15766</v>
      </c>
      <c r="H13" s="609"/>
      <c r="I13" s="610">
        <f>'OL 2'!$Q$15</f>
        <v>31.62833333333333</v>
      </c>
      <c r="J13" s="610"/>
      <c r="K13" s="624">
        <f>ROUND(IF(I13*$C$50&gt;(1+C48)*E13,(1+C48)*E13,MAX(I13,E13)*$C$50)*20,0)/20</f>
        <v>23.7</v>
      </c>
      <c r="L13" s="610"/>
      <c r="M13" s="609">
        <f t="shared" si="0"/>
        <v>17420</v>
      </c>
      <c r="N13" s="609"/>
      <c r="O13" s="609">
        <f t="shared" si="1"/>
        <v>1654</v>
      </c>
      <c r="P13" s="609"/>
      <c r="Q13" s="608">
        <f t="shared" si="2"/>
        <v>0.10489999999999999</v>
      </c>
    </row>
    <row r="14" spans="1:17">
      <c r="A14" s="612">
        <v>107</v>
      </c>
      <c r="B14" s="614" t="s">
        <v>681</v>
      </c>
      <c r="C14" s="632">
        <v>18371</v>
      </c>
      <c r="D14" s="626"/>
      <c r="E14" s="625">
        <v>13.6</v>
      </c>
      <c r="F14" s="635"/>
      <c r="G14" s="609">
        <f t="shared" si="3"/>
        <v>249846</v>
      </c>
      <c r="H14" s="609"/>
      <c r="I14" s="610">
        <f>'OL 2'!$Q$17</f>
        <v>16.470833333333335</v>
      </c>
      <c r="J14" s="610"/>
      <c r="K14" s="624">
        <f>ROUND(IF(I14*$C$50&gt;(1+C48)*E14,(1+C48)*E14,MAX(I14,E14)*$C$50)*20,0)/20</f>
        <v>15</v>
      </c>
      <c r="L14" s="610"/>
      <c r="M14" s="609">
        <f t="shared" si="0"/>
        <v>275565</v>
      </c>
      <c r="N14" s="609"/>
      <c r="O14" s="609">
        <f t="shared" si="1"/>
        <v>25719</v>
      </c>
      <c r="P14" s="609"/>
      <c r="Q14" s="608">
        <f t="shared" si="2"/>
        <v>0.10290000000000001</v>
      </c>
    </row>
    <row r="15" spans="1:17">
      <c r="A15" s="612">
        <v>109</v>
      </c>
      <c r="B15" s="614" t="s">
        <v>675</v>
      </c>
      <c r="C15" s="632">
        <v>45422</v>
      </c>
      <c r="D15" s="626"/>
      <c r="E15" s="625">
        <v>18.850000000000001</v>
      </c>
      <c r="F15" s="635"/>
      <c r="G15" s="609">
        <f t="shared" si="3"/>
        <v>856205</v>
      </c>
      <c r="H15" s="609"/>
      <c r="I15" s="610">
        <f>'OL 2'!$Q$18</f>
        <v>23.274166666666666</v>
      </c>
      <c r="J15" s="610"/>
      <c r="K15" s="624">
        <f>ROUND(IF(I15*$C$50&gt;(1+C48)*E15,(1+C48)*E15,MAX(I15,E15)*$C$50)*20,0)/20</f>
        <v>20.8</v>
      </c>
      <c r="L15" s="610"/>
      <c r="M15" s="609">
        <f t="shared" si="0"/>
        <v>944778</v>
      </c>
      <c r="N15" s="609"/>
      <c r="O15" s="609">
        <f t="shared" si="1"/>
        <v>88573</v>
      </c>
      <c r="P15" s="609"/>
      <c r="Q15" s="608">
        <f t="shared" si="2"/>
        <v>0.10340000000000001</v>
      </c>
    </row>
    <row r="16" spans="1:17">
      <c r="A16" s="612">
        <v>121</v>
      </c>
      <c r="B16" s="637" t="s">
        <v>680</v>
      </c>
      <c r="C16" s="636">
        <v>0</v>
      </c>
      <c r="D16" s="630"/>
      <c r="E16" s="625">
        <v>20</v>
      </c>
      <c r="F16" s="635"/>
      <c r="G16" s="609">
        <f t="shared" si="3"/>
        <v>0</v>
      </c>
      <c r="H16" s="609"/>
      <c r="I16" s="610">
        <f>'OL 2'!$Q$20</f>
        <v>33.515000000000001</v>
      </c>
      <c r="J16" s="610"/>
      <c r="K16" s="624">
        <f>ROUND((I16)*20,0)/20</f>
        <v>33.5</v>
      </c>
      <c r="L16" s="610"/>
      <c r="M16" s="609">
        <f t="shared" si="0"/>
        <v>0</v>
      </c>
      <c r="N16" s="609"/>
      <c r="O16" s="609">
        <f t="shared" si="1"/>
        <v>0</v>
      </c>
      <c r="P16" s="609"/>
      <c r="Q16" s="608">
        <f t="shared" si="2"/>
        <v>0.67500000000000004</v>
      </c>
    </row>
    <row r="17" spans="1:17">
      <c r="A17" s="612">
        <v>120</v>
      </c>
      <c r="B17" s="637" t="s">
        <v>679</v>
      </c>
      <c r="C17" s="632">
        <v>10</v>
      </c>
      <c r="D17" s="626"/>
      <c r="E17" s="625">
        <v>24</v>
      </c>
      <c r="F17" s="635"/>
      <c r="G17" s="609">
        <f t="shared" si="3"/>
        <v>240</v>
      </c>
      <c r="H17" s="609"/>
      <c r="I17" s="610">
        <f>'OL 2'!$Q$21</f>
        <v>38.780833333333334</v>
      </c>
      <c r="J17" s="610"/>
      <c r="K17" s="624">
        <f>ROUND(IF(I17*$C$50&gt;(1+C50)*E17,(1+C50)*E17,MAX(I17,E17)*$C$50)*20,0)/20</f>
        <v>50.05</v>
      </c>
      <c r="L17" s="610"/>
      <c r="M17" s="609">
        <f t="shared" si="0"/>
        <v>501</v>
      </c>
      <c r="N17" s="609"/>
      <c r="O17" s="609">
        <f t="shared" si="1"/>
        <v>261</v>
      </c>
      <c r="P17" s="609"/>
      <c r="Q17" s="608">
        <f t="shared" si="2"/>
        <v>1.0853999999999999</v>
      </c>
    </row>
    <row r="18" spans="1:17">
      <c r="A18" s="612">
        <v>126</v>
      </c>
      <c r="B18" s="637" t="s">
        <v>678</v>
      </c>
      <c r="C18" s="636">
        <v>0</v>
      </c>
      <c r="D18" s="630"/>
      <c r="E18" s="625">
        <v>27.9</v>
      </c>
      <c r="F18" s="635"/>
      <c r="G18" s="609">
        <f t="shared" si="3"/>
        <v>0</v>
      </c>
      <c r="H18" s="609"/>
      <c r="I18" s="610">
        <f>'OL 2'!$Q$22</f>
        <v>44.094166666666666</v>
      </c>
      <c r="J18" s="610"/>
      <c r="K18" s="624">
        <f>ROUND((I18)*20,0)/20</f>
        <v>44.1</v>
      </c>
      <c r="L18" s="610"/>
      <c r="M18" s="609">
        <f t="shared" si="0"/>
        <v>0</v>
      </c>
      <c r="N18" s="609"/>
      <c r="O18" s="609">
        <f t="shared" si="1"/>
        <v>0</v>
      </c>
      <c r="P18" s="609"/>
      <c r="Q18" s="608">
        <f t="shared" si="2"/>
        <v>0.5806</v>
      </c>
    </row>
    <row r="19" spans="1:17">
      <c r="A19" s="612"/>
      <c r="B19" s="639"/>
      <c r="C19" s="630"/>
      <c r="D19" s="630"/>
      <c r="E19" s="629"/>
      <c r="F19" s="610"/>
      <c r="G19" s="609"/>
      <c r="H19" s="609"/>
      <c r="I19" s="610"/>
      <c r="J19" s="610"/>
      <c r="K19" s="610" t="s">
        <v>80</v>
      </c>
      <c r="L19" s="610"/>
      <c r="M19" s="609"/>
      <c r="N19" s="609"/>
      <c r="O19" s="609"/>
      <c r="P19" s="609"/>
      <c r="Q19" s="608"/>
    </row>
    <row r="20" spans="1:17" ht="15.75">
      <c r="A20" s="612"/>
      <c r="B20" s="638" t="s">
        <v>677</v>
      </c>
      <c r="C20" s="630"/>
      <c r="D20" s="630"/>
      <c r="E20" s="629"/>
      <c r="F20" s="610"/>
      <c r="G20" s="609"/>
      <c r="H20" s="609"/>
      <c r="I20" s="610"/>
      <c r="J20" s="610"/>
      <c r="K20" s="610" t="s">
        <v>80</v>
      </c>
      <c r="L20" s="610"/>
      <c r="M20" s="609"/>
      <c r="N20" s="609"/>
      <c r="O20" s="609"/>
      <c r="P20" s="609"/>
      <c r="Q20" s="608"/>
    </row>
    <row r="21" spans="1:17">
      <c r="A21" s="612">
        <v>110</v>
      </c>
      <c r="B21" s="637" t="s">
        <v>676</v>
      </c>
      <c r="C21" s="632">
        <v>1383</v>
      </c>
      <c r="D21" s="626"/>
      <c r="E21" s="625">
        <v>18.2</v>
      </c>
      <c r="F21" s="610"/>
      <c r="G21" s="609">
        <f>ROUND((C21*E21),0)</f>
        <v>25171</v>
      </c>
      <c r="H21" s="609"/>
      <c r="I21" s="610">
        <f>+'OL 2'!Q27</f>
        <v>18.370833333333334</v>
      </c>
      <c r="J21" s="610"/>
      <c r="K21" s="624">
        <f>ROUND(IF(I21*$C$50&gt;(1+C48)*E21,(1+C48)*E21,MAX(I21,E21)*$C$50)*20,0)/20</f>
        <v>20.100000000000001</v>
      </c>
      <c r="L21" s="610"/>
      <c r="M21" s="609">
        <f>ROUND((C21*K21),0)</f>
        <v>27798</v>
      </c>
      <c r="N21" s="609"/>
      <c r="O21" s="609">
        <f>M21-G21</f>
        <v>2627</v>
      </c>
      <c r="P21" s="609"/>
      <c r="Q21" s="608">
        <f>ROUND(((K21/E21)-1),4)</f>
        <v>0.10440000000000001</v>
      </c>
    </row>
    <row r="22" spans="1:17">
      <c r="A22" s="612">
        <v>116</v>
      </c>
      <c r="B22" s="637" t="s">
        <v>675</v>
      </c>
      <c r="C22" s="632">
        <v>9594</v>
      </c>
      <c r="D22" s="626"/>
      <c r="E22" s="625">
        <v>24.1</v>
      </c>
      <c r="F22" s="635"/>
      <c r="G22" s="609">
        <f>ROUND((C22*E22),0)</f>
        <v>231215</v>
      </c>
      <c r="H22" s="609"/>
      <c r="I22" s="610">
        <f>'OL 2'!$Q$28</f>
        <v>23.265833333333337</v>
      </c>
      <c r="J22" s="610"/>
      <c r="K22" s="624">
        <f>ROUND(IF(I22*$C$50&gt;(1+C48)*E22,(1+C48)*E22,MAX(I22,E22)*$C$50)*20,0)/20</f>
        <v>26.6</v>
      </c>
      <c r="L22" s="610"/>
      <c r="M22" s="609">
        <f>ROUND((C22*K22),0)</f>
        <v>255200</v>
      </c>
      <c r="N22" s="609"/>
      <c r="O22" s="609">
        <f>M22-G22</f>
        <v>23985</v>
      </c>
      <c r="P22" s="609"/>
      <c r="Q22" s="608">
        <f>ROUND(((K22/E22)-1),4)</f>
        <v>0.1037</v>
      </c>
    </row>
    <row r="23" spans="1:17">
      <c r="A23" s="612">
        <v>131</v>
      </c>
      <c r="B23" s="637" t="s">
        <v>674</v>
      </c>
      <c r="C23" s="632">
        <v>694</v>
      </c>
      <c r="D23" s="626"/>
      <c r="E23" s="625">
        <v>52.2</v>
      </c>
      <c r="F23" s="635"/>
      <c r="G23" s="609">
        <f>ROUND((C23*E23),0)</f>
        <v>36227</v>
      </c>
      <c r="H23" s="609"/>
      <c r="I23" s="610">
        <f>'OL 2'!$Q$29</f>
        <v>42.610833333333332</v>
      </c>
      <c r="J23" s="610"/>
      <c r="K23" s="624">
        <f>ROUND(IF(I23*$C$50&gt;(1+C48)*E23,(1+C48)*E23,MAX(I23,E23)*$C$50)*20,0)/20</f>
        <v>67.349999999999994</v>
      </c>
      <c r="L23" s="610"/>
      <c r="M23" s="609">
        <f>ROUND((C23*K23),0)</f>
        <v>46741</v>
      </c>
      <c r="N23" s="609"/>
      <c r="O23" s="609">
        <f>M23-G23</f>
        <v>10514</v>
      </c>
      <c r="P23" s="609"/>
      <c r="Q23" s="608">
        <f>ROUND(((K23/E23)-1),4)</f>
        <v>0.29020000000000001</v>
      </c>
    </row>
    <row r="24" spans="1:17">
      <c r="A24" s="612">
        <v>130</v>
      </c>
      <c r="B24" s="637" t="s">
        <v>673</v>
      </c>
      <c r="C24" s="636">
        <v>0</v>
      </c>
      <c r="D24" s="626"/>
      <c r="E24" s="625">
        <v>21.8</v>
      </c>
      <c r="F24" s="635"/>
      <c r="G24" s="609">
        <f>ROUND((C24*E24),0)</f>
        <v>0</v>
      </c>
      <c r="H24" s="609"/>
      <c r="I24" s="610">
        <f>'OL 2'!$Q$31</f>
        <v>25.28083333333333</v>
      </c>
      <c r="J24" s="610"/>
      <c r="K24" s="624">
        <f>ROUND((I24)*20,0)/20</f>
        <v>25.3</v>
      </c>
      <c r="L24" s="610"/>
      <c r="M24" s="609">
        <f>ROUND((C24*K24),0)</f>
        <v>0</v>
      </c>
      <c r="N24" s="609"/>
      <c r="O24" s="609">
        <f>M24-G24</f>
        <v>0</v>
      </c>
      <c r="P24" s="609"/>
      <c r="Q24" s="608">
        <f>ROUND(((K24/E24)-1),4)</f>
        <v>0.16059999999999999</v>
      </c>
    </row>
    <row r="25" spans="1:17">
      <c r="A25" s="612">
        <v>136</v>
      </c>
      <c r="B25" s="637" t="s">
        <v>672</v>
      </c>
      <c r="C25" s="636">
        <v>0</v>
      </c>
      <c r="D25" s="630"/>
      <c r="E25" s="625">
        <v>25.5</v>
      </c>
      <c r="F25" s="635"/>
      <c r="G25" s="609">
        <f>ROUND((C25*E25),0)</f>
        <v>0</v>
      </c>
      <c r="H25" s="609"/>
      <c r="I25" s="610">
        <f>'OL 2'!$Q$32</f>
        <v>30.275833333333335</v>
      </c>
      <c r="J25" s="610"/>
      <c r="K25" s="624">
        <f>ROUND((I25)*20,0)/20</f>
        <v>30.3</v>
      </c>
      <c r="L25" s="610"/>
      <c r="M25" s="609">
        <f>ROUND((C25*K25),0)</f>
        <v>0</v>
      </c>
      <c r="N25" s="609"/>
      <c r="O25" s="609">
        <f>M25-G25</f>
        <v>0</v>
      </c>
      <c r="P25" s="609"/>
      <c r="Q25" s="608">
        <f>ROUND(((K25/E25)-1),4)</f>
        <v>0.18820000000000001</v>
      </c>
    </row>
    <row r="26" spans="1:17">
      <c r="A26" s="612"/>
      <c r="B26" s="614"/>
      <c r="C26" s="630"/>
      <c r="D26" s="630"/>
      <c r="E26" s="629"/>
      <c r="F26" s="635"/>
      <c r="G26" s="609"/>
      <c r="H26" s="609"/>
      <c r="I26" s="610"/>
      <c r="J26" s="610"/>
      <c r="K26" s="610"/>
      <c r="L26" s="610"/>
      <c r="M26" s="609"/>
      <c r="N26" s="609"/>
      <c r="O26" s="609"/>
      <c r="P26" s="609"/>
      <c r="Q26" s="634"/>
    </row>
    <row r="27" spans="1:17">
      <c r="A27" s="612"/>
      <c r="C27" s="630"/>
      <c r="D27" s="630"/>
      <c r="E27" s="629"/>
      <c r="F27" s="610"/>
      <c r="G27" s="609"/>
      <c r="H27" s="609"/>
      <c r="I27" s="610"/>
      <c r="J27" s="610"/>
      <c r="K27" s="610"/>
      <c r="L27" s="610"/>
      <c r="M27" s="609"/>
      <c r="N27" s="609"/>
      <c r="O27" s="609"/>
      <c r="P27" s="609"/>
      <c r="Q27" s="634"/>
    </row>
    <row r="28" spans="1:17" ht="15.75">
      <c r="A28" s="612"/>
      <c r="B28" s="633" t="s">
        <v>671</v>
      </c>
      <c r="C28" s="630"/>
      <c r="D28" s="630"/>
      <c r="E28" s="629"/>
      <c r="F28" s="610"/>
      <c r="G28" s="609"/>
      <c r="H28" s="609"/>
      <c r="I28" s="610"/>
      <c r="J28" s="610"/>
      <c r="K28" s="610"/>
      <c r="L28" s="610"/>
      <c r="M28" s="609"/>
      <c r="N28" s="609"/>
      <c r="O28" s="609"/>
      <c r="P28" s="609"/>
      <c r="Q28" s="608"/>
    </row>
    <row r="29" spans="1:17">
      <c r="A29" s="612">
        <v>93</v>
      </c>
      <c r="B29" s="614" t="s">
        <v>670</v>
      </c>
      <c r="C29" s="632">
        <v>10578</v>
      </c>
      <c r="D29" s="626"/>
      <c r="E29" s="625">
        <v>9.75</v>
      </c>
      <c r="F29" s="610"/>
      <c r="G29" s="609">
        <f>ROUND((C29*E29),0)</f>
        <v>103136</v>
      </c>
      <c r="H29" s="609"/>
      <c r="I29" s="631"/>
      <c r="K29" s="624">
        <f>ROUND(E29*(1+C$48)*20,0)/20</f>
        <v>10.75</v>
      </c>
      <c r="M29" s="609">
        <f>ROUND((C29*K29),0)</f>
        <v>113714</v>
      </c>
      <c r="N29" s="609"/>
      <c r="O29" s="609">
        <f>M29-G29</f>
        <v>10578</v>
      </c>
      <c r="P29" s="609"/>
      <c r="Q29" s="608">
        <f>ROUND(((K29/E29)-1),4)</f>
        <v>0.1026</v>
      </c>
    </row>
    <row r="30" spans="1:17">
      <c r="A30" s="612">
        <v>95</v>
      </c>
      <c r="B30" s="614" t="s">
        <v>669</v>
      </c>
      <c r="C30" s="632">
        <v>1023</v>
      </c>
      <c r="D30" s="626"/>
      <c r="E30" s="625">
        <v>16.850000000000001</v>
      </c>
      <c r="F30" s="610"/>
      <c r="G30" s="609">
        <f>ROUND((C30*E30),0)</f>
        <v>17238</v>
      </c>
      <c r="H30" s="609"/>
      <c r="I30" s="631"/>
      <c r="K30" s="624">
        <f>CEILING(E30*(1+C$48),0.05)</f>
        <v>18.600000000000001</v>
      </c>
      <c r="L30" s="610" t="s">
        <v>80</v>
      </c>
      <c r="M30" s="609">
        <f>ROUND((C30*K30),0)</f>
        <v>19028</v>
      </c>
      <c r="N30" s="609"/>
      <c r="O30" s="609">
        <f>M30-G30</f>
        <v>1790</v>
      </c>
      <c r="P30" s="609"/>
      <c r="Q30" s="608">
        <f>ROUND(((K30/E30)-1),4)</f>
        <v>0.10390000000000001</v>
      </c>
    </row>
    <row r="31" spans="1:17">
      <c r="A31" s="612">
        <v>99</v>
      </c>
      <c r="B31" s="614" t="s">
        <v>668</v>
      </c>
      <c r="C31" s="632">
        <v>93</v>
      </c>
      <c r="D31" s="626"/>
      <c r="E31" s="625">
        <v>11.2</v>
      </c>
      <c r="F31" s="610"/>
      <c r="G31" s="609">
        <f>ROUND((C31*E31),0)</f>
        <v>1042</v>
      </c>
      <c r="H31" s="609"/>
      <c r="I31" s="631"/>
      <c r="K31" s="624">
        <f>CEILING(E31*(1+C$48),0.05)-0.1</f>
        <v>12.3</v>
      </c>
      <c r="L31" s="607" t="s">
        <v>354</v>
      </c>
      <c r="M31" s="609">
        <f>ROUND((C31*K31),0)</f>
        <v>1144</v>
      </c>
      <c r="N31" s="609"/>
      <c r="O31" s="609">
        <f>M31-G31</f>
        <v>102</v>
      </c>
      <c r="P31" s="609"/>
      <c r="Q31" s="608">
        <f>ROUND(((K31/E31)-1),4)</f>
        <v>9.8199999999999996E-2</v>
      </c>
    </row>
    <row r="32" spans="1:17">
      <c r="A32" s="612"/>
      <c r="B32" s="614"/>
      <c r="C32" s="630"/>
      <c r="D32" s="630"/>
      <c r="E32" s="629"/>
      <c r="F32" s="610"/>
      <c r="G32" s="609"/>
      <c r="H32" s="609"/>
      <c r="I32" s="610"/>
      <c r="J32" s="610"/>
      <c r="K32" s="610"/>
      <c r="L32" s="610"/>
      <c r="M32" s="609"/>
      <c r="N32" s="609"/>
      <c r="O32" s="609"/>
      <c r="P32" s="609"/>
      <c r="Q32" s="608"/>
    </row>
    <row r="33" spans="1:17">
      <c r="A33" s="612"/>
      <c r="B33" s="628" t="s">
        <v>667</v>
      </c>
      <c r="C33" s="630"/>
      <c r="D33" s="630"/>
      <c r="E33" s="629"/>
      <c r="F33" s="610"/>
      <c r="G33" s="609"/>
      <c r="H33" s="609"/>
      <c r="I33" s="610"/>
      <c r="J33" s="610"/>
      <c r="K33" s="610"/>
      <c r="L33" s="610"/>
      <c r="M33" s="609"/>
      <c r="N33" s="609"/>
      <c r="O33" s="609"/>
      <c r="P33" s="609"/>
      <c r="Q33" s="608"/>
    </row>
    <row r="34" spans="1:17">
      <c r="A34" s="612"/>
      <c r="B34" s="628" t="s">
        <v>666</v>
      </c>
      <c r="C34" s="627">
        <v>45138</v>
      </c>
      <c r="D34" s="626"/>
      <c r="E34" s="625">
        <v>2.85</v>
      </c>
      <c r="F34" s="610"/>
      <c r="G34" s="609">
        <f>C34*E34</f>
        <v>128643.3</v>
      </c>
      <c r="H34" s="609"/>
      <c r="I34" s="610">
        <f>'OL Detail'!D8</f>
        <v>11.175000000000001</v>
      </c>
      <c r="J34" s="610"/>
      <c r="K34" s="624">
        <f>ROUND(IF(I34*$C$50&gt;(1+C48)*E34,(1+C48)*E34,MAX(I34,E34)*$C$50)*20,0)/20</f>
        <v>3.15</v>
      </c>
      <c r="L34" s="610"/>
      <c r="M34" s="609">
        <f>ROUND((C34*K34),0)</f>
        <v>142185</v>
      </c>
      <c r="N34" s="609"/>
      <c r="O34" s="609">
        <f>M34-G34</f>
        <v>13541.699999999997</v>
      </c>
      <c r="P34" s="609"/>
      <c r="Q34" s="608">
        <f>ROUND(((K34/E34)-1),4)</f>
        <v>0.1053</v>
      </c>
    </row>
    <row r="35" spans="1:17">
      <c r="A35" s="612"/>
      <c r="B35" s="628" t="s">
        <v>665</v>
      </c>
      <c r="C35" s="627">
        <v>48868</v>
      </c>
      <c r="D35" s="626"/>
      <c r="E35" s="625">
        <v>1.6</v>
      </c>
      <c r="F35" s="610"/>
      <c r="G35" s="609">
        <f>C35*E35</f>
        <v>78188.800000000003</v>
      </c>
      <c r="H35" s="609"/>
      <c r="I35" s="610">
        <f>'OL Detail'!D11</f>
        <v>2.4300000000000002</v>
      </c>
      <c r="J35" s="610"/>
      <c r="K35" s="624">
        <f>ROUND(IF(I35*$C$50&gt;(1+C48)*E35,(1+C48)*E35,MAX(I35,E35)*$C$50)*20,0)/20</f>
        <v>1.75</v>
      </c>
      <c r="L35" s="610"/>
      <c r="M35" s="609">
        <f>ROUND((C35*K35),0)</f>
        <v>85519</v>
      </c>
      <c r="N35" s="609"/>
      <c r="O35" s="609">
        <f>M35-G35</f>
        <v>7330.1999999999971</v>
      </c>
      <c r="P35" s="609"/>
      <c r="Q35" s="608">
        <f>ROUND(((K35/E35)-1),4)</f>
        <v>9.3799999999999994E-2</v>
      </c>
    </row>
    <row r="36" spans="1:17">
      <c r="A36" s="612"/>
      <c r="B36" s="628" t="s">
        <v>664</v>
      </c>
      <c r="C36" s="627">
        <v>642</v>
      </c>
      <c r="D36" s="626"/>
      <c r="E36" s="625">
        <v>6.25</v>
      </c>
      <c r="F36" s="610"/>
      <c r="G36" s="609">
        <f>C36*E36</f>
        <v>4012.5</v>
      </c>
      <c r="H36" s="609"/>
      <c r="I36" s="610">
        <f>'OL Detail'!D14</f>
        <v>8.51</v>
      </c>
      <c r="J36" s="610"/>
      <c r="K36" s="624">
        <f>ROUND(IF(I36*$C$50&gt;(1+C48)*E36,(1+C48)*E36,MAX(I36,E36)*$C$50)*20,0)/20</f>
        <v>6.9</v>
      </c>
      <c r="L36" s="610"/>
      <c r="M36" s="609">
        <f>ROUND((C36*K36),0)</f>
        <v>4430</v>
      </c>
      <c r="N36" s="609"/>
      <c r="O36" s="609">
        <f>M36-G36</f>
        <v>417.5</v>
      </c>
      <c r="P36" s="609"/>
      <c r="Q36" s="608">
        <f>ROUND(((K36/E36)-1),4)</f>
        <v>0.104</v>
      </c>
    </row>
    <row r="37" spans="1:17">
      <c r="A37" s="612"/>
      <c r="B37" s="614"/>
      <c r="C37" s="611"/>
      <c r="D37" s="611"/>
      <c r="E37" s="610"/>
      <c r="F37" s="610"/>
      <c r="G37" s="609"/>
      <c r="H37" s="609"/>
      <c r="I37" s="610"/>
      <c r="J37" s="610"/>
      <c r="K37" s="610"/>
      <c r="L37" s="610"/>
      <c r="M37" s="609"/>
      <c r="N37" s="609"/>
      <c r="O37" s="609"/>
      <c r="P37" s="609"/>
      <c r="Q37" s="608"/>
    </row>
    <row r="38" spans="1:17" ht="15.75" thickBot="1">
      <c r="A38" s="612"/>
      <c r="B38" s="614"/>
      <c r="C38" s="611"/>
      <c r="D38" s="611"/>
      <c r="E38" s="610"/>
      <c r="F38" s="610"/>
      <c r="G38" s="609"/>
      <c r="H38" s="609"/>
      <c r="I38" s="610"/>
      <c r="J38" s="610"/>
      <c r="K38" s="610"/>
      <c r="L38" s="610"/>
      <c r="M38" s="609"/>
      <c r="N38" s="609"/>
      <c r="O38" s="609"/>
      <c r="P38" s="609"/>
      <c r="Q38" s="608"/>
    </row>
    <row r="39" spans="1:17" ht="12.75" customHeight="1" thickTop="1">
      <c r="A39" s="612"/>
      <c r="B39" s="623"/>
      <c r="C39" s="611"/>
      <c r="D39" s="611"/>
      <c r="E39" s="610"/>
      <c r="F39" s="610"/>
      <c r="G39" s="621"/>
      <c r="I39" s="610"/>
      <c r="J39" s="610"/>
      <c r="K39" s="610"/>
      <c r="L39" s="610"/>
      <c r="M39" s="621"/>
      <c r="N39" s="621"/>
      <c r="O39" s="621"/>
      <c r="Q39" s="608"/>
    </row>
    <row r="40" spans="1:17">
      <c r="A40" s="612"/>
      <c r="B40" s="614" t="s">
        <v>663</v>
      </c>
      <c r="C40" s="611"/>
      <c r="D40" s="611"/>
      <c r="E40" s="610"/>
      <c r="F40" s="610"/>
      <c r="G40" s="622"/>
      <c r="I40" s="610"/>
      <c r="J40" s="610"/>
      <c r="K40" s="609"/>
      <c r="L40" s="610"/>
      <c r="M40" s="609">
        <f>SUM(M7:M36)</f>
        <v>7085667</v>
      </c>
      <c r="N40" s="609"/>
      <c r="O40" s="609">
        <f>SUM(O7:O36)</f>
        <v>673727.39999999991</v>
      </c>
      <c r="Q40" s="608"/>
    </row>
    <row r="41" spans="1:17" ht="15.75" thickBot="1">
      <c r="A41" s="612"/>
      <c r="B41" s="614" t="s">
        <v>662</v>
      </c>
      <c r="C41" s="611"/>
      <c r="D41" s="611"/>
      <c r="E41" s="610"/>
      <c r="F41" s="610"/>
      <c r="J41" s="610"/>
      <c r="K41" s="610"/>
      <c r="L41" s="610"/>
      <c r="M41" s="619">
        <v>76829</v>
      </c>
      <c r="N41" s="609"/>
      <c r="O41" s="609"/>
      <c r="Q41" s="608"/>
    </row>
    <row r="42" spans="1:17" ht="15.75" thickTop="1">
      <c r="A42" s="612"/>
      <c r="B42" s="614" t="s">
        <v>9</v>
      </c>
      <c r="C42" s="611"/>
      <c r="D42" s="611"/>
      <c r="E42" s="610"/>
      <c r="F42" s="610"/>
      <c r="I42" s="610"/>
      <c r="J42" s="610"/>
      <c r="K42" s="610"/>
      <c r="L42" s="610"/>
      <c r="M42" s="621">
        <f>SUM(M40:M41)</f>
        <v>7162496</v>
      </c>
      <c r="N42" s="609"/>
      <c r="O42" s="609"/>
      <c r="P42" s="609"/>
      <c r="Q42" s="608"/>
    </row>
    <row r="43" spans="1:17">
      <c r="A43" s="612"/>
      <c r="C43" s="611"/>
      <c r="D43" s="611"/>
      <c r="E43" s="610"/>
      <c r="F43" s="610"/>
      <c r="G43" s="609"/>
      <c r="I43" s="610"/>
      <c r="J43" s="610"/>
      <c r="K43" s="620"/>
      <c r="L43" s="610"/>
      <c r="M43" s="609"/>
      <c r="N43" s="609"/>
      <c r="O43" s="609"/>
      <c r="P43" s="609"/>
      <c r="Q43" s="608"/>
    </row>
    <row r="44" spans="1:17">
      <c r="A44" s="612"/>
      <c r="B44" s="614" t="s">
        <v>661</v>
      </c>
      <c r="M44" s="619">
        <v>7162499</v>
      </c>
      <c r="N44" s="609"/>
      <c r="O44" s="609"/>
      <c r="P44" s="609"/>
      <c r="Q44" s="608"/>
    </row>
    <row r="45" spans="1:17">
      <c r="A45" s="612"/>
      <c r="B45" s="614" t="s">
        <v>80</v>
      </c>
      <c r="C45" s="618"/>
      <c r="D45" s="618"/>
      <c r="E45" s="610"/>
      <c r="F45" s="610"/>
      <c r="G45" s="609"/>
      <c r="H45" s="609"/>
      <c r="I45" s="610"/>
      <c r="J45" s="610"/>
      <c r="K45" s="610"/>
      <c r="L45" s="610"/>
      <c r="M45" s="609"/>
      <c r="N45" s="609"/>
      <c r="O45" s="609"/>
      <c r="P45" s="609"/>
      <c r="Q45" s="608"/>
    </row>
    <row r="46" spans="1:17">
      <c r="A46" s="612"/>
      <c r="B46" s="614" t="s">
        <v>42</v>
      </c>
      <c r="C46" s="611"/>
      <c r="D46" s="611"/>
      <c r="E46" s="610"/>
      <c r="F46" s="610"/>
      <c r="G46" s="609"/>
      <c r="H46" s="609"/>
      <c r="I46" s="610"/>
      <c r="J46" s="610"/>
      <c r="K46" s="610"/>
      <c r="L46" s="610"/>
      <c r="M46" s="609">
        <f>M42-M44</f>
        <v>-3</v>
      </c>
      <c r="N46" s="609"/>
      <c r="O46" s="609"/>
      <c r="P46" s="609"/>
      <c r="Q46" s="608"/>
    </row>
    <row r="47" spans="1:17">
      <c r="A47" s="612"/>
      <c r="B47" s="614"/>
      <c r="C47" s="611"/>
      <c r="D47" s="611"/>
      <c r="E47" s="610"/>
      <c r="F47" s="610"/>
      <c r="G47" s="609"/>
      <c r="H47" s="609"/>
      <c r="I47" s="610"/>
      <c r="J47" s="610"/>
      <c r="K47" s="610"/>
      <c r="L47" s="610"/>
      <c r="M47" s="609"/>
      <c r="N47" s="609"/>
      <c r="O47" s="609"/>
      <c r="P47" s="609"/>
      <c r="Q47" s="608"/>
    </row>
    <row r="48" spans="1:17">
      <c r="A48" s="612"/>
      <c r="B48" s="607" t="s">
        <v>660</v>
      </c>
      <c r="C48" s="617">
        <v>0.1038</v>
      </c>
      <c r="D48" s="611"/>
      <c r="E48" s="610"/>
      <c r="F48" s="610"/>
      <c r="G48" s="609"/>
      <c r="H48" s="609"/>
      <c r="I48" s="610"/>
      <c r="J48" s="610"/>
      <c r="K48" s="610"/>
      <c r="L48" s="610"/>
      <c r="M48" s="609"/>
      <c r="N48" s="609"/>
      <c r="O48" s="609"/>
      <c r="P48" s="609"/>
      <c r="Q48" s="608"/>
    </row>
    <row r="49" spans="1:17">
      <c r="A49" s="612"/>
      <c r="C49" s="611"/>
      <c r="D49" s="611"/>
      <c r="E49" s="610"/>
      <c r="F49" s="610"/>
      <c r="G49" s="609"/>
      <c r="H49" s="609"/>
      <c r="I49" s="610"/>
      <c r="J49" s="610"/>
      <c r="K49" s="610"/>
      <c r="L49" s="610"/>
      <c r="M49" s="610"/>
      <c r="N49" s="609"/>
      <c r="O49" s="609"/>
      <c r="P49" s="609"/>
      <c r="Q49" s="608"/>
    </row>
    <row r="50" spans="1:17">
      <c r="A50" s="612"/>
      <c r="B50" s="614" t="s">
        <v>659</v>
      </c>
      <c r="C50" s="616">
        <v>1.29</v>
      </c>
      <c r="D50" s="615"/>
      <c r="E50" s="610"/>
      <c r="F50" s="610"/>
      <c r="G50" s="609"/>
      <c r="H50" s="609"/>
      <c r="I50" s="610"/>
      <c r="J50" s="610"/>
      <c r="K50" s="610"/>
      <c r="L50" s="610"/>
      <c r="M50" s="609" t="s">
        <v>80</v>
      </c>
      <c r="N50" s="609"/>
      <c r="O50" s="609"/>
      <c r="P50" s="609"/>
      <c r="Q50" s="608"/>
    </row>
    <row r="51" spans="1:17">
      <c r="A51" s="612"/>
      <c r="C51" s="615"/>
      <c r="D51" s="615"/>
      <c r="E51" s="610"/>
      <c r="F51" s="610"/>
      <c r="G51" s="609"/>
      <c r="H51" s="609"/>
      <c r="I51" s="610"/>
      <c r="J51" s="610"/>
      <c r="K51" s="610"/>
      <c r="L51" s="610"/>
      <c r="M51" s="609"/>
      <c r="N51" s="609"/>
      <c r="O51" s="609"/>
      <c r="P51" s="609"/>
      <c r="Q51" s="608"/>
    </row>
    <row r="52" spans="1:17">
      <c r="A52" s="612"/>
      <c r="B52" s="614" t="s">
        <v>658</v>
      </c>
      <c r="C52" s="611"/>
      <c r="D52" s="611"/>
      <c r="E52" s="610"/>
      <c r="F52" s="610"/>
      <c r="G52" s="613"/>
      <c r="H52" s="613"/>
      <c r="I52" s="610"/>
      <c r="J52" s="610"/>
      <c r="K52" s="610"/>
      <c r="L52" s="610"/>
      <c r="M52" s="609"/>
      <c r="N52" s="609"/>
      <c r="O52" s="609"/>
      <c r="P52" s="609"/>
      <c r="Q52" s="608"/>
    </row>
    <row r="53" spans="1:17">
      <c r="A53" s="612"/>
      <c r="B53" s="607" t="s">
        <v>657</v>
      </c>
      <c r="C53" s="611"/>
      <c r="D53" s="611"/>
      <c r="E53" s="610"/>
      <c r="F53" s="610"/>
      <c r="G53" s="609"/>
      <c r="H53" s="609"/>
      <c r="I53" s="610"/>
      <c r="J53" s="610"/>
      <c r="K53" s="610"/>
      <c r="L53" s="610"/>
      <c r="M53" s="609"/>
      <c r="N53" s="609"/>
      <c r="O53" s="609"/>
      <c r="P53" s="609"/>
      <c r="Q53" s="608"/>
    </row>
    <row r="54" spans="1:17">
      <c r="B54" s="607" t="s">
        <v>80</v>
      </c>
      <c r="C54" s="611"/>
      <c r="D54" s="611"/>
      <c r="E54" s="610"/>
      <c r="F54" s="610"/>
      <c r="G54" s="609"/>
      <c r="H54" s="609"/>
      <c r="I54" s="610"/>
      <c r="J54" s="610"/>
      <c r="K54" s="610"/>
      <c r="L54" s="610"/>
      <c r="M54" s="609"/>
      <c r="N54" s="609"/>
      <c r="O54" s="609"/>
      <c r="P54" s="609"/>
      <c r="Q54" s="608"/>
    </row>
    <row r="55" spans="1:17">
      <c r="C55" s="611"/>
      <c r="D55" s="611"/>
      <c r="E55" s="610"/>
      <c r="F55" s="610"/>
      <c r="G55" s="609"/>
      <c r="H55" s="609"/>
      <c r="I55" s="610"/>
      <c r="J55" s="610"/>
      <c r="K55" s="610"/>
      <c r="L55" s="610"/>
      <c r="M55" s="609"/>
      <c r="N55" s="609"/>
      <c r="O55" s="609"/>
      <c r="P55" s="609"/>
      <c r="Q55" s="608"/>
    </row>
    <row r="56" spans="1:17">
      <c r="C56" s="611"/>
      <c r="D56" s="611"/>
      <c r="E56" s="610"/>
      <c r="F56" s="610"/>
      <c r="G56" s="609"/>
      <c r="H56" s="609"/>
      <c r="I56" s="610"/>
      <c r="J56" s="610"/>
      <c r="K56" s="610"/>
      <c r="L56" s="610"/>
      <c r="M56" s="609"/>
      <c r="N56" s="609"/>
      <c r="O56" s="609"/>
      <c r="P56" s="609"/>
      <c r="Q56" s="608"/>
    </row>
    <row r="57" spans="1:17">
      <c r="C57" s="611"/>
      <c r="D57" s="611"/>
      <c r="E57" s="610"/>
      <c r="F57" s="610"/>
      <c r="G57" s="609"/>
      <c r="H57" s="609"/>
      <c r="I57" s="610"/>
      <c r="J57" s="610"/>
      <c r="K57" s="610"/>
      <c r="L57" s="610"/>
      <c r="M57" s="609"/>
      <c r="N57" s="609"/>
      <c r="O57" s="609"/>
      <c r="P57" s="609"/>
      <c r="Q57" s="608"/>
    </row>
    <row r="58" spans="1:17">
      <c r="C58" s="611"/>
      <c r="D58" s="611"/>
      <c r="E58" s="610"/>
      <c r="F58" s="610"/>
      <c r="G58" s="609"/>
      <c r="H58" s="609"/>
      <c r="I58" s="610"/>
      <c r="J58" s="610"/>
      <c r="K58" s="610"/>
      <c r="L58" s="610"/>
      <c r="M58" s="609"/>
      <c r="N58" s="609"/>
      <c r="O58" s="609"/>
      <c r="P58" s="609"/>
      <c r="Q58" s="608"/>
    </row>
    <row r="59" spans="1:17">
      <c r="C59" s="611"/>
      <c r="D59" s="611"/>
      <c r="E59" s="610"/>
      <c r="F59" s="610"/>
      <c r="G59" s="609"/>
      <c r="H59" s="609"/>
      <c r="I59" s="610"/>
      <c r="J59" s="610"/>
      <c r="K59" s="610"/>
      <c r="L59" s="610"/>
      <c r="M59" s="609"/>
      <c r="N59" s="609"/>
      <c r="O59" s="609"/>
      <c r="P59" s="609"/>
      <c r="Q59" s="608"/>
    </row>
    <row r="60" spans="1:17">
      <c r="C60" s="611"/>
      <c r="D60" s="611"/>
      <c r="E60" s="610"/>
      <c r="F60" s="610"/>
      <c r="G60" s="609"/>
      <c r="H60" s="609"/>
      <c r="I60" s="610"/>
      <c r="J60" s="610"/>
      <c r="K60" s="610"/>
      <c r="L60" s="610"/>
      <c r="M60" s="609"/>
      <c r="N60" s="609"/>
      <c r="O60" s="609"/>
      <c r="P60" s="609"/>
      <c r="Q60" s="608"/>
    </row>
    <row r="61" spans="1:17">
      <c r="C61" s="611"/>
      <c r="D61" s="611"/>
      <c r="E61" s="610"/>
      <c r="F61" s="610"/>
      <c r="G61" s="609"/>
      <c r="H61" s="609"/>
      <c r="I61" s="610"/>
      <c r="J61" s="610"/>
      <c r="K61" s="610"/>
      <c r="L61" s="610"/>
      <c r="M61" s="609"/>
      <c r="N61" s="609"/>
      <c r="O61" s="609"/>
      <c r="P61" s="609"/>
      <c r="Q61" s="608"/>
    </row>
  </sheetData>
  <printOptions horizontalCentered="1"/>
  <pageMargins left="0.5" right="0.5" top="1.25" bottom="0.5" header="0.5" footer="0.5"/>
  <pageSetup scale="65" orientation="portrait" r:id="rId1"/>
  <headerFooter alignWithMargins="0">
    <oddHeader>&amp;L&amp;F
Page &amp;P of &amp;N&amp;CKentucky Power Company 
OL Rate Design
Twelve Months Ended March 31, 2013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49"/>
  <sheetViews>
    <sheetView showOutlineSymbols="0" zoomScale="63" zoomScaleNormal="63" workbookViewId="0">
      <selection activeCell="H44" sqref="H44"/>
    </sheetView>
  </sheetViews>
  <sheetFormatPr defaultColWidth="23.375" defaultRowHeight="15"/>
  <cols>
    <col min="1" max="1" width="23.375" style="607" customWidth="1"/>
    <col min="2" max="2" width="2" style="607" customWidth="1"/>
    <col min="3" max="3" width="10.125" style="607" bestFit="1" customWidth="1"/>
    <col min="4" max="4" width="2" style="607" customWidth="1"/>
    <col min="5" max="5" width="13.625" style="607" bestFit="1" customWidth="1"/>
    <col min="6" max="6" width="2" style="607" customWidth="1"/>
    <col min="7" max="7" width="12.625" style="607" customWidth="1"/>
    <col min="8" max="8" width="2" style="607" customWidth="1"/>
    <col min="9" max="9" width="7.25" style="607" bestFit="1" customWidth="1"/>
    <col min="10" max="10" width="2" style="607" customWidth="1"/>
    <col min="11" max="11" width="14.375" style="607" customWidth="1"/>
    <col min="12" max="12" width="2" style="607" customWidth="1"/>
    <col min="13" max="13" width="14.875" style="607" customWidth="1"/>
    <col min="14" max="14" width="2" style="607" customWidth="1"/>
    <col min="15" max="15" width="12.625" style="607" bestFit="1" customWidth="1"/>
    <col min="16" max="16" width="2" style="607" customWidth="1"/>
    <col min="17" max="17" width="11.875" style="607" bestFit="1" customWidth="1"/>
    <col min="18" max="16384" width="23.375" style="607"/>
  </cols>
  <sheetData>
    <row r="1" spans="1:17">
      <c r="C1" s="641" t="s">
        <v>734</v>
      </c>
      <c r="E1" s="641" t="s">
        <v>729</v>
      </c>
      <c r="G1" s="641" t="s">
        <v>700</v>
      </c>
      <c r="M1" s="641" t="s">
        <v>735</v>
      </c>
      <c r="O1" s="641" t="s">
        <v>734</v>
      </c>
      <c r="Q1" s="641" t="s">
        <v>733</v>
      </c>
    </row>
    <row r="2" spans="1:17">
      <c r="A2" s="641" t="s">
        <v>704</v>
      </c>
      <c r="C2" s="641" t="s">
        <v>732</v>
      </c>
      <c r="E2" s="641" t="s">
        <v>731</v>
      </c>
      <c r="G2" s="641" t="s">
        <v>727</v>
      </c>
      <c r="I2" s="648" t="s">
        <v>730</v>
      </c>
      <c r="J2" s="648"/>
      <c r="K2" s="648"/>
      <c r="M2" s="673">
        <f>O49</f>
        <v>8.0479999999999996E-2</v>
      </c>
      <c r="O2" s="641" t="s">
        <v>729</v>
      </c>
      <c r="Q2" s="641" t="s">
        <v>585</v>
      </c>
    </row>
    <row r="3" spans="1:17">
      <c r="A3" s="646" t="s">
        <v>698</v>
      </c>
      <c r="B3" s="670"/>
      <c r="C3" s="646" t="s">
        <v>585</v>
      </c>
      <c r="D3" s="670"/>
      <c r="E3" s="646" t="s">
        <v>585</v>
      </c>
      <c r="F3" s="670"/>
      <c r="G3" s="646" t="s">
        <v>585</v>
      </c>
      <c r="H3" s="670"/>
      <c r="I3" s="671" t="s">
        <v>700</v>
      </c>
      <c r="J3" s="672"/>
      <c r="K3" s="671" t="s">
        <v>729</v>
      </c>
      <c r="L3" s="670"/>
      <c r="M3" s="646" t="s">
        <v>728</v>
      </c>
      <c r="N3" s="670"/>
      <c r="O3" s="646" t="s">
        <v>727</v>
      </c>
      <c r="P3" s="670"/>
      <c r="Q3" s="646" t="s">
        <v>726</v>
      </c>
    </row>
    <row r="4" spans="1:17">
      <c r="A4" s="642" t="s">
        <v>153</v>
      </c>
      <c r="C4" s="642" t="s">
        <v>154</v>
      </c>
      <c r="E4" s="641" t="s">
        <v>725</v>
      </c>
      <c r="G4" s="642" t="s">
        <v>185</v>
      </c>
      <c r="I4" s="642" t="s">
        <v>173</v>
      </c>
      <c r="K4" s="642" t="s">
        <v>693</v>
      </c>
      <c r="M4" s="641" t="s">
        <v>724</v>
      </c>
      <c r="O4" s="642" t="s">
        <v>691</v>
      </c>
      <c r="Q4" s="641" t="s">
        <v>723</v>
      </c>
    </row>
    <row r="5" spans="1:17">
      <c r="E5" s="614"/>
      <c r="M5" s="641"/>
      <c r="Q5" s="641"/>
    </row>
    <row r="6" spans="1:17" ht="15.75">
      <c r="A6" s="633" t="s">
        <v>722</v>
      </c>
      <c r="C6" s="610"/>
    </row>
    <row r="7" spans="1:17">
      <c r="O7" s="610"/>
    </row>
    <row r="8" spans="1:17">
      <c r="A8" s="614" t="s">
        <v>687</v>
      </c>
      <c r="C8" s="668">
        <v>282.39</v>
      </c>
      <c r="E8" s="610">
        <f>ROUND(C8*$C45,2)</f>
        <v>4.43</v>
      </c>
      <c r="G8" s="668">
        <f>ROUND((88.67+89.82)*2/10,2)</f>
        <v>35.700000000000003</v>
      </c>
      <c r="I8" s="611">
        <v>484</v>
      </c>
      <c r="K8" s="665">
        <f>ROUND(I8/12,1)</f>
        <v>40.299999999999997</v>
      </c>
      <c r="M8" s="610">
        <f>ROUND(K8*$O$49,2)</f>
        <v>3.24</v>
      </c>
      <c r="O8" s="610">
        <f>G8/12</f>
        <v>2.9750000000000001</v>
      </c>
      <c r="Q8" s="610">
        <f>E8+M8+O8</f>
        <v>10.645</v>
      </c>
    </row>
    <row r="9" spans="1:17">
      <c r="A9" s="607" t="s">
        <v>686</v>
      </c>
      <c r="C9" s="668">
        <v>281.26</v>
      </c>
      <c r="E9" s="610">
        <f>ROUND(C9*$C45,2)</f>
        <v>4.42</v>
      </c>
      <c r="G9" s="668">
        <f>ROUND((90.68+89.82)*2/10,2)</f>
        <v>36.1</v>
      </c>
      <c r="I9" s="611">
        <v>704</v>
      </c>
      <c r="K9" s="665">
        <f>ROUND(I9/12,1)</f>
        <v>58.7</v>
      </c>
      <c r="M9" s="610">
        <f>ROUND(K9*$O$49,2)</f>
        <v>4.72</v>
      </c>
      <c r="O9" s="610">
        <f>G9/12</f>
        <v>3.0083333333333333</v>
      </c>
      <c r="Q9" s="610">
        <f>E9+M9+O9</f>
        <v>12.148333333333333</v>
      </c>
    </row>
    <row r="10" spans="1:17">
      <c r="A10" s="614" t="s">
        <v>685</v>
      </c>
      <c r="C10" s="668">
        <v>287.99</v>
      </c>
      <c r="E10" s="610">
        <f>ROUND(C10*$C45,2)</f>
        <v>4.5199999999999996</v>
      </c>
      <c r="G10" s="668">
        <f>ROUND((81.23+89.82)*2/10,2)</f>
        <v>34.21</v>
      </c>
      <c r="I10" s="611">
        <v>1012</v>
      </c>
      <c r="K10" s="665">
        <f>ROUND(I10/12,1)</f>
        <v>84.3</v>
      </c>
      <c r="M10" s="610">
        <f>ROUND(K10*$O$49,2)</f>
        <v>6.78</v>
      </c>
      <c r="O10" s="610">
        <f>G10/12</f>
        <v>2.8508333333333336</v>
      </c>
      <c r="Q10" s="610">
        <f>E10+M10+O10</f>
        <v>14.150833333333335</v>
      </c>
    </row>
    <row r="11" spans="1:17">
      <c r="A11" s="614" t="s">
        <v>684</v>
      </c>
      <c r="C11" s="668">
        <v>444.91</v>
      </c>
      <c r="E11" s="610">
        <f>ROUND(C11*$C45,2)</f>
        <v>6.99</v>
      </c>
      <c r="G11" s="668">
        <f>ROUND((80.62+89.82)*2/10,2)</f>
        <v>34.090000000000003</v>
      </c>
      <c r="I11" s="611">
        <v>1236</v>
      </c>
      <c r="K11" s="665">
        <f>ROUND(I11/12,1)</f>
        <v>103</v>
      </c>
      <c r="M11" s="610">
        <f>ROUND(K11*$O$49,2)</f>
        <v>8.2899999999999991</v>
      </c>
      <c r="O11" s="610">
        <f>G11/12</f>
        <v>2.8408333333333338</v>
      </c>
      <c r="Q11" s="610">
        <f>E11+M11+O11</f>
        <v>18.120833333333334</v>
      </c>
    </row>
    <row r="12" spans="1:17">
      <c r="A12" s="614" t="s">
        <v>669</v>
      </c>
      <c r="C12" s="668">
        <v>329.03</v>
      </c>
      <c r="E12" s="610">
        <f>ROUND(C12*$C$45,2)</f>
        <v>5.17</v>
      </c>
      <c r="G12" s="668">
        <f>ROUND((82.61+89.82)*2/10,2)</f>
        <v>34.49</v>
      </c>
      <c r="I12" s="611">
        <v>2000</v>
      </c>
      <c r="K12" s="665">
        <f>ROUND(I12/12,1)</f>
        <v>166.7</v>
      </c>
      <c r="M12" s="610">
        <f>ROUND(K12*$O$49,2)</f>
        <v>13.42</v>
      </c>
      <c r="O12" s="610">
        <f>G12/12</f>
        <v>2.874166666666667</v>
      </c>
      <c r="Q12" s="610">
        <f>E12+M12+O12</f>
        <v>21.464166666666667</v>
      </c>
    </row>
    <row r="13" spans="1:17">
      <c r="A13" s="614"/>
      <c r="B13" s="614"/>
      <c r="C13" s="614"/>
      <c r="D13" s="614"/>
      <c r="E13" s="614"/>
      <c r="F13" s="614"/>
      <c r="G13" s="614"/>
      <c r="I13" s="611"/>
      <c r="K13" s="665"/>
      <c r="M13" s="610"/>
      <c r="O13" s="610"/>
      <c r="Q13" s="610"/>
    </row>
    <row r="14" spans="1:17">
      <c r="A14" s="614" t="s">
        <v>683</v>
      </c>
      <c r="C14" s="668">
        <v>1540.84</v>
      </c>
      <c r="E14" s="610">
        <f>ROUND(C14*$C$45,2)</f>
        <v>24.19</v>
      </c>
      <c r="G14" s="668">
        <f>ROUND((88.67+89.82)*2/10,2)</f>
        <v>35.700000000000003</v>
      </c>
      <c r="I14" s="611">
        <v>484</v>
      </c>
      <c r="K14" s="665">
        <f>ROUND(I14/12,1)</f>
        <v>40.299999999999997</v>
      </c>
      <c r="M14" s="610">
        <f>ROUND(K14*$O$49,2)</f>
        <v>3.24</v>
      </c>
      <c r="O14" s="610">
        <f>G14/12</f>
        <v>2.9750000000000001</v>
      </c>
      <c r="Q14" s="610">
        <f>E14+M14+O14</f>
        <v>30.405000000000001</v>
      </c>
    </row>
    <row r="15" spans="1:17">
      <c r="A15" s="614" t="s">
        <v>682</v>
      </c>
      <c r="C15" s="668">
        <v>1522.4</v>
      </c>
      <c r="E15" s="610">
        <f>ROUND(C15*$C$45,2)</f>
        <v>23.9</v>
      </c>
      <c r="G15" s="668">
        <f>ROUND((90.68+89.82)*2/10,2)</f>
        <v>36.1</v>
      </c>
      <c r="I15" s="611">
        <v>704</v>
      </c>
      <c r="K15" s="665">
        <f>ROUND(I15/12,1)</f>
        <v>58.7</v>
      </c>
      <c r="M15" s="610">
        <f>ROUND(K15*$O$49,2)</f>
        <v>4.72</v>
      </c>
      <c r="O15" s="610">
        <f>G15/12</f>
        <v>3.0083333333333333</v>
      </c>
      <c r="Q15" s="610">
        <f>E15+M15+O15</f>
        <v>31.62833333333333</v>
      </c>
    </row>
    <row r="16" spans="1:17">
      <c r="A16" s="614"/>
      <c r="B16" s="614"/>
      <c r="C16" s="614"/>
      <c r="D16" s="614"/>
      <c r="E16" s="614"/>
      <c r="F16" s="614"/>
      <c r="G16" s="614"/>
      <c r="I16" s="611"/>
      <c r="K16" s="665"/>
      <c r="M16" s="610"/>
      <c r="O16" s="610"/>
      <c r="Q16" s="610"/>
    </row>
    <row r="17" spans="1:17">
      <c r="A17" s="614" t="s">
        <v>681</v>
      </c>
      <c r="C17" s="668">
        <v>435.5</v>
      </c>
      <c r="E17" s="610">
        <f>ROUND(C17*$C$45,2)</f>
        <v>6.84</v>
      </c>
      <c r="G17" s="668">
        <f>ROUND((81.23+89.82)*2/10,2)</f>
        <v>34.21</v>
      </c>
      <c r="I17" s="611">
        <v>1012</v>
      </c>
      <c r="K17" s="669">
        <f>ROUND(I17/12,1)</f>
        <v>84.3</v>
      </c>
      <c r="M17" s="610">
        <f>ROUND(K17*$O$49,2)</f>
        <v>6.78</v>
      </c>
      <c r="O17" s="610">
        <f>G17/12</f>
        <v>2.8508333333333336</v>
      </c>
      <c r="Q17" s="610">
        <f>E17+M17+O17</f>
        <v>16.470833333333335</v>
      </c>
    </row>
    <row r="18" spans="1:17">
      <c r="A18" s="614" t="s">
        <v>675</v>
      </c>
      <c r="C18" s="668">
        <v>444.76</v>
      </c>
      <c r="E18" s="610">
        <f>ROUND(C18*$C$45,2)</f>
        <v>6.98</v>
      </c>
      <c r="G18" s="668">
        <f>ROUND((82.61+89.82)*2/10,2)</f>
        <v>34.49</v>
      </c>
      <c r="I18" s="611">
        <v>2000</v>
      </c>
      <c r="K18" s="665">
        <f>ROUND(I18/12,1)</f>
        <v>166.7</v>
      </c>
      <c r="M18" s="610">
        <f>ROUND(K18*$O$49,2)</f>
        <v>13.42</v>
      </c>
      <c r="O18" s="610">
        <f>G18/12</f>
        <v>2.874166666666667</v>
      </c>
      <c r="Q18" s="610">
        <f>E18+M18+O18</f>
        <v>23.274166666666666</v>
      </c>
    </row>
    <row r="19" spans="1:17">
      <c r="A19" s="614"/>
      <c r="B19" s="614"/>
      <c r="C19" s="614"/>
      <c r="D19" s="614"/>
      <c r="E19" s="614"/>
      <c r="F19" s="614"/>
      <c r="G19" s="614"/>
      <c r="H19" s="614"/>
      <c r="I19" s="611"/>
      <c r="K19" s="665"/>
      <c r="M19" s="610"/>
      <c r="O19" s="610"/>
      <c r="Q19" s="610"/>
    </row>
    <row r="20" spans="1:17">
      <c r="A20" s="667" t="s">
        <v>680</v>
      </c>
      <c r="C20" s="668">
        <v>1738.61</v>
      </c>
      <c r="E20" s="610">
        <f>ROUND(C20*$C$45,2)</f>
        <v>27.3</v>
      </c>
      <c r="G20" s="668">
        <f>ROUND((88.67+89.82)*2/10,2)</f>
        <v>35.700000000000003</v>
      </c>
      <c r="I20" s="630">
        <v>484</v>
      </c>
      <c r="K20" s="665">
        <f>ROUND(I20/12,1)</f>
        <v>40.299999999999997</v>
      </c>
      <c r="M20" s="610">
        <f>ROUND(K20*$O$49,2)</f>
        <v>3.24</v>
      </c>
      <c r="O20" s="610">
        <f>G20/12</f>
        <v>2.9750000000000001</v>
      </c>
      <c r="Q20" s="610">
        <f>E20+M20+O20</f>
        <v>33.515000000000001</v>
      </c>
    </row>
    <row r="21" spans="1:17">
      <c r="A21" s="667" t="s">
        <v>679</v>
      </c>
      <c r="C21" s="668">
        <v>1760.85</v>
      </c>
      <c r="E21" s="610">
        <f>ROUND(C21*$C$45,2)</f>
        <v>27.65</v>
      </c>
      <c r="G21" s="668">
        <f>ROUND((80.62+89.82)*2/10,2)</f>
        <v>34.090000000000003</v>
      </c>
      <c r="I21" s="630">
        <v>1236</v>
      </c>
      <c r="K21" s="665">
        <f>ROUND(I21/12,1)</f>
        <v>103</v>
      </c>
      <c r="M21" s="610">
        <f>ROUND(K21*$O$49,2)</f>
        <v>8.2899999999999991</v>
      </c>
      <c r="O21" s="610">
        <f>G21/12</f>
        <v>2.8408333333333338</v>
      </c>
      <c r="Q21" s="610">
        <f>E21+M21+O21</f>
        <v>38.780833333333334</v>
      </c>
    </row>
    <row r="22" spans="1:17">
      <c r="A22" s="667" t="s">
        <v>678</v>
      </c>
      <c r="C22" s="668">
        <v>1770.83</v>
      </c>
      <c r="E22" s="610">
        <f>ROUND(C22*$C$45,2)</f>
        <v>27.8</v>
      </c>
      <c r="G22" s="668">
        <f>ROUND((82.61+89.82)*2/10,2)</f>
        <v>34.49</v>
      </c>
      <c r="I22" s="630">
        <v>2000</v>
      </c>
      <c r="K22" s="665">
        <f>ROUND(I22/12,1)</f>
        <v>166.7</v>
      </c>
      <c r="M22" s="610">
        <f>ROUND(K22*$O$49,2)</f>
        <v>13.42</v>
      </c>
      <c r="O22" s="610">
        <f>G22/12</f>
        <v>2.874166666666667</v>
      </c>
      <c r="Q22" s="610">
        <f>E22+M22+O22</f>
        <v>44.094166666666666</v>
      </c>
    </row>
    <row r="23" spans="1:17">
      <c r="C23" s="610"/>
      <c r="E23" s="610"/>
      <c r="G23" s="610"/>
      <c r="I23" s="630"/>
      <c r="K23" s="612"/>
      <c r="M23" s="610"/>
      <c r="O23" s="610"/>
      <c r="Q23" s="610"/>
    </row>
    <row r="24" spans="1:17">
      <c r="C24" s="610"/>
      <c r="E24" s="610"/>
      <c r="G24" s="610"/>
      <c r="I24" s="630"/>
      <c r="K24" s="612"/>
      <c r="M24" s="610"/>
      <c r="O24" s="610"/>
      <c r="Q24" s="610"/>
    </row>
    <row r="25" spans="1:17" ht="15.75">
      <c r="A25" s="633" t="s">
        <v>677</v>
      </c>
      <c r="C25" s="610"/>
      <c r="E25" s="610"/>
      <c r="G25" s="610"/>
      <c r="I25" s="630"/>
      <c r="K25" s="612"/>
      <c r="M25" s="610"/>
      <c r="O25" s="610"/>
      <c r="Q25" s="610"/>
    </row>
    <row r="26" spans="1:17">
      <c r="C26" s="610"/>
      <c r="E26" s="610"/>
      <c r="G26" s="610"/>
      <c r="I26" s="630"/>
      <c r="K26" s="612"/>
      <c r="M26" s="610"/>
      <c r="O26" s="610"/>
      <c r="Q26" s="610"/>
    </row>
    <row r="27" spans="1:17">
      <c r="A27" s="607" t="s">
        <v>676</v>
      </c>
      <c r="C27" s="668">
        <v>463.85</v>
      </c>
      <c r="E27" s="610">
        <f>ROUND(C27*$C$45,2)</f>
        <v>7.28</v>
      </c>
      <c r="G27" s="668">
        <f>ROUND((91.42+89.82)*2/10,2)</f>
        <v>36.25</v>
      </c>
      <c r="I27" s="630">
        <v>1204</v>
      </c>
      <c r="K27" s="669">
        <f>ROUND(I27/12,1)</f>
        <v>100.3</v>
      </c>
      <c r="M27" s="610">
        <f>ROUND(K27*$O$49,2)</f>
        <v>8.07</v>
      </c>
      <c r="O27" s="610">
        <f>G27/12</f>
        <v>3.0208333333333335</v>
      </c>
      <c r="Q27" s="610">
        <f>E27+M27+O27</f>
        <v>18.370833333333334</v>
      </c>
    </row>
    <row r="28" spans="1:17">
      <c r="A28" s="614" t="s">
        <v>675</v>
      </c>
      <c r="C28" s="668">
        <v>476.56</v>
      </c>
      <c r="E28" s="610">
        <f>ROUND(C28*$C$45,2)</f>
        <v>7.48</v>
      </c>
      <c r="G28" s="668">
        <f>ROUND((94.14+89.82)*2/10,2)</f>
        <v>36.79</v>
      </c>
      <c r="I28" s="630">
        <v>1896</v>
      </c>
      <c r="K28" s="669">
        <f>ROUND(I28/12,1)</f>
        <v>158</v>
      </c>
      <c r="M28" s="610">
        <f>ROUND(K28*$O$49,2)</f>
        <v>12.72</v>
      </c>
      <c r="O28" s="610">
        <f>G28/12</f>
        <v>3.0658333333333334</v>
      </c>
      <c r="Q28" s="610">
        <f>E28+M28+O28</f>
        <v>23.265833333333337</v>
      </c>
    </row>
    <row r="29" spans="1:17">
      <c r="A29" s="614" t="s">
        <v>674</v>
      </c>
      <c r="C29" s="668">
        <v>582.51</v>
      </c>
      <c r="E29" s="610">
        <f>ROUND(C29*$C$45,2)</f>
        <v>9.15</v>
      </c>
      <c r="G29" s="668">
        <f>ROUND((90.82+89.82)*2/10,2)</f>
        <v>36.130000000000003</v>
      </c>
      <c r="I29" s="630">
        <v>4540</v>
      </c>
      <c r="K29" s="612">
        <f>ROUND(I29/12,1)</f>
        <v>378.3</v>
      </c>
      <c r="M29" s="610">
        <f>ROUND(K29*$O$49,2)</f>
        <v>30.45</v>
      </c>
      <c r="O29" s="610">
        <f>G29/12</f>
        <v>3.0108333333333337</v>
      </c>
      <c r="Q29" s="610">
        <f>E29+M29+O29</f>
        <v>42.610833333333332</v>
      </c>
    </row>
    <row r="30" spans="1:17">
      <c r="A30" s="614"/>
      <c r="B30" s="614"/>
      <c r="C30" s="614"/>
      <c r="D30" s="614"/>
      <c r="E30" s="614"/>
      <c r="F30" s="614"/>
      <c r="G30" s="614"/>
      <c r="H30" s="614"/>
      <c r="I30" s="630"/>
      <c r="K30" s="612"/>
      <c r="M30" s="610"/>
      <c r="O30" s="610"/>
      <c r="Q30" s="610"/>
    </row>
    <row r="31" spans="1:17">
      <c r="A31" s="667" t="s">
        <v>673</v>
      </c>
      <c r="C31" s="624">
        <v>903.89</v>
      </c>
      <c r="E31" s="610">
        <f>ROUND(C31*$C$45,2)</f>
        <v>14.19</v>
      </c>
      <c r="G31" s="666">
        <f>+G27</f>
        <v>36.25</v>
      </c>
      <c r="I31" s="630">
        <v>1204</v>
      </c>
      <c r="K31" s="665">
        <f>ROUND(I31/12,1)</f>
        <v>100.3</v>
      </c>
      <c r="M31" s="610">
        <f>ROUND(K31*$O$49,2)</f>
        <v>8.07</v>
      </c>
      <c r="O31" s="610">
        <f>G31/12</f>
        <v>3.0208333333333335</v>
      </c>
      <c r="Q31" s="610">
        <f>E31+M31+O31</f>
        <v>25.28083333333333</v>
      </c>
    </row>
    <row r="32" spans="1:17">
      <c r="A32" s="667" t="s">
        <v>672</v>
      </c>
      <c r="C32" s="624">
        <v>922.89</v>
      </c>
      <c r="E32" s="610">
        <f>ROUND(C32*$C$45,2)</f>
        <v>14.49</v>
      </c>
      <c r="G32" s="666">
        <f>+G28</f>
        <v>36.79</v>
      </c>
      <c r="I32" s="630">
        <v>1896</v>
      </c>
      <c r="K32" s="665">
        <f>ROUND(I32/12,1)</f>
        <v>158</v>
      </c>
      <c r="M32" s="610">
        <f>ROUND(K32*$O$49,2)</f>
        <v>12.72</v>
      </c>
      <c r="O32" s="610">
        <f>G32/12</f>
        <v>3.0658333333333334</v>
      </c>
      <c r="Q32" s="610">
        <f>E32+M32+O32</f>
        <v>30.275833333333335</v>
      </c>
    </row>
    <row r="33" spans="1:17">
      <c r="A33" s="614"/>
      <c r="C33" s="610"/>
      <c r="E33" s="610"/>
      <c r="G33" s="610"/>
      <c r="I33" s="630"/>
      <c r="M33" s="610"/>
      <c r="O33" s="610"/>
      <c r="Q33" s="610"/>
    </row>
    <row r="34" spans="1:17">
      <c r="C34" s="610"/>
      <c r="E34" s="610"/>
      <c r="G34" s="610"/>
      <c r="I34" s="611"/>
      <c r="M34" s="610"/>
      <c r="O34" s="610"/>
      <c r="Q34" s="610"/>
    </row>
    <row r="36" spans="1:17">
      <c r="C36" s="642" t="s">
        <v>721</v>
      </c>
      <c r="G36" s="664"/>
      <c r="K36" s="663" t="s">
        <v>720</v>
      </c>
    </row>
    <row r="37" spans="1:17">
      <c r="C37" s="644" t="s">
        <v>719</v>
      </c>
      <c r="G37" s="662"/>
      <c r="K37" s="614" t="s">
        <v>80</v>
      </c>
    </row>
    <row r="39" spans="1:17">
      <c r="A39" s="614" t="s">
        <v>718</v>
      </c>
      <c r="C39" s="659">
        <v>7.7100000000000002E-2</v>
      </c>
      <c r="D39" s="608"/>
      <c r="E39" s="661"/>
      <c r="F39" s="658"/>
      <c r="G39" s="658"/>
      <c r="K39" s="614" t="s">
        <v>649</v>
      </c>
      <c r="O39" s="619">
        <v>445738</v>
      </c>
    </row>
    <row r="40" spans="1:17">
      <c r="A40" s="614" t="s">
        <v>717</v>
      </c>
      <c r="C40" s="659">
        <v>7.8200000000000006E-2</v>
      </c>
      <c r="D40" s="608"/>
      <c r="E40" s="661"/>
      <c r="F40" s="658"/>
      <c r="G40" s="658"/>
      <c r="K40" s="614" t="s">
        <v>20</v>
      </c>
      <c r="O40" s="619">
        <v>1118464</v>
      </c>
    </row>
    <row r="41" spans="1:17">
      <c r="A41" s="614" t="s">
        <v>716</v>
      </c>
      <c r="C41" s="659">
        <v>1.6500000000000001E-2</v>
      </c>
      <c r="D41" s="608"/>
      <c r="E41" s="661"/>
      <c r="F41" s="658"/>
      <c r="G41" s="658"/>
      <c r="K41" s="614" t="s">
        <v>715</v>
      </c>
      <c r="O41" s="660"/>
    </row>
    <row r="42" spans="1:17">
      <c r="A42" s="614" t="s">
        <v>714</v>
      </c>
      <c r="C42" s="659">
        <v>1.6199999999999999E-2</v>
      </c>
      <c r="D42" s="608"/>
      <c r="E42" s="658"/>
      <c r="F42" s="658"/>
      <c r="G42" s="658"/>
      <c r="K42" s="614" t="s">
        <v>713</v>
      </c>
      <c r="O42" s="619">
        <v>1281340</v>
      </c>
    </row>
    <row r="43" spans="1:17">
      <c r="A43" s="654" t="s">
        <v>712</v>
      </c>
      <c r="B43" s="654"/>
      <c r="C43" s="655">
        <f>C39+C40+C41+C42</f>
        <v>0.188</v>
      </c>
      <c r="D43" s="654"/>
      <c r="E43" s="657"/>
      <c r="F43" s="657"/>
      <c r="G43" s="656"/>
      <c r="K43" s="614" t="s">
        <v>711</v>
      </c>
      <c r="O43" s="619">
        <v>213164</v>
      </c>
    </row>
    <row r="44" spans="1:17">
      <c r="A44" s="654"/>
      <c r="B44" s="654"/>
      <c r="C44" s="655"/>
      <c r="D44" s="654"/>
      <c r="E44" s="653"/>
      <c r="F44" s="653"/>
      <c r="G44" s="652"/>
      <c r="K44" s="614" t="s">
        <v>710</v>
      </c>
      <c r="O44" s="619">
        <v>160290</v>
      </c>
    </row>
    <row r="45" spans="1:17">
      <c r="A45" s="614" t="s">
        <v>709</v>
      </c>
      <c r="C45" s="608">
        <f>ROUND(C43/12,4)</f>
        <v>1.5699999999999999E-2</v>
      </c>
      <c r="D45" s="608"/>
      <c r="F45" s="608"/>
      <c r="G45" s="608"/>
      <c r="K45" s="614" t="s">
        <v>708</v>
      </c>
      <c r="O45" s="619">
        <v>189656</v>
      </c>
    </row>
    <row r="46" spans="1:17">
      <c r="K46" s="614" t="s">
        <v>707</v>
      </c>
      <c r="O46" s="651">
        <f>SUM(O39:O44)-SUM(O45:O45)</f>
        <v>3029340</v>
      </c>
    </row>
    <row r="47" spans="1:17">
      <c r="K47" s="614" t="s">
        <v>706</v>
      </c>
      <c r="O47" s="650">
        <v>37640598</v>
      </c>
    </row>
    <row r="48" spans="1:17">
      <c r="O48" s="639"/>
    </row>
    <row r="49" spans="11:15">
      <c r="K49" s="614" t="s">
        <v>705</v>
      </c>
      <c r="O49" s="649">
        <f>ROUND(O46/O47,5)</f>
        <v>8.0479999999999996E-2</v>
      </c>
    </row>
  </sheetData>
  <printOptions horizontalCentered="1"/>
  <pageMargins left="0.5" right="0.5" top="1.25" bottom="0.5" header="0.5" footer="0.5"/>
  <pageSetup scale="65" orientation="portrait" r:id="rId1"/>
  <headerFooter alignWithMargins="0">
    <oddHeader>&amp;L&amp;F
Page &amp;P of &amp;N&amp;CKentucky Power Company 
OL Rate Design
Twelve Months Ended March 31, 2013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="81" zoomScaleNormal="81" workbookViewId="0">
      <selection activeCell="F14" sqref="F14:G15"/>
    </sheetView>
  </sheetViews>
  <sheetFormatPr defaultRowHeight="15"/>
  <cols>
    <col min="1" max="1" width="35.75" style="607" bestFit="1" customWidth="1"/>
    <col min="2" max="2" width="8.125" style="607" bestFit="1" customWidth="1"/>
    <col min="3" max="3" width="13.5" style="607" bestFit="1" customWidth="1"/>
    <col min="4" max="4" width="9.875" style="607" customWidth="1"/>
    <col min="5" max="5" width="15.625" style="607" customWidth="1"/>
    <col min="6" max="6" width="10.875" style="607" bestFit="1" customWidth="1"/>
    <col min="7" max="16384" width="9" style="607"/>
  </cols>
  <sheetData>
    <row r="1" spans="1:4">
      <c r="A1" s="607" t="s">
        <v>740</v>
      </c>
    </row>
    <row r="4" spans="1:4" ht="15.75">
      <c r="A4" s="643"/>
      <c r="B4" s="612" t="s">
        <v>732</v>
      </c>
    </row>
    <row r="5" spans="1:4" ht="15.75">
      <c r="A5" s="643"/>
      <c r="B5" s="612" t="s">
        <v>585</v>
      </c>
      <c r="C5" s="607" t="s">
        <v>253</v>
      </c>
    </row>
    <row r="6" spans="1:4">
      <c r="A6" s="607" t="s">
        <v>739</v>
      </c>
      <c r="B6" s="676">
        <v>547.55999999999995</v>
      </c>
      <c r="C6" s="675">
        <f>'OL 2'!$C$45</f>
        <v>1.5699999999999999E-2</v>
      </c>
      <c r="D6" s="674">
        <f>ROUND(B6*C6,2)</f>
        <v>8.6</v>
      </c>
    </row>
    <row r="7" spans="1:4">
      <c r="A7" s="607" t="s">
        <v>738</v>
      </c>
      <c r="B7" s="676">
        <v>875.83</v>
      </c>
      <c r="C7" s="675">
        <f>'OL 2'!$C$45</f>
        <v>1.5699999999999999E-2</v>
      </c>
      <c r="D7" s="678">
        <f>ROUND(B7*C7,2)</f>
        <v>13.75</v>
      </c>
    </row>
    <row r="8" spans="1:4">
      <c r="A8" s="607" t="s">
        <v>211</v>
      </c>
      <c r="C8" s="675"/>
      <c r="D8" s="607">
        <f>AVERAGE(D6:D7)</f>
        <v>11.175000000000001</v>
      </c>
    </row>
    <row r="9" spans="1:4">
      <c r="C9" s="675"/>
      <c r="D9" s="674"/>
    </row>
    <row r="11" spans="1:4">
      <c r="A11" s="607" t="s">
        <v>737</v>
      </c>
      <c r="B11" s="677">
        <v>154.77000000000001</v>
      </c>
      <c r="C11" s="675">
        <f>'OL 2'!$C$45</f>
        <v>1.5699999999999999E-2</v>
      </c>
      <c r="D11" s="674">
        <f>ROUND(B11*C11,2)</f>
        <v>2.4300000000000002</v>
      </c>
    </row>
    <row r="12" spans="1:4">
      <c r="B12" s="674"/>
      <c r="C12" s="675"/>
    </row>
    <row r="13" spans="1:4">
      <c r="B13" s="674"/>
      <c r="C13" s="675"/>
    </row>
    <row r="14" spans="1:4">
      <c r="A14" s="607" t="s">
        <v>736</v>
      </c>
      <c r="B14" s="676">
        <v>541.75</v>
      </c>
      <c r="C14" s="675">
        <f>'OL 2'!$C$45</f>
        <v>1.5699999999999999E-2</v>
      </c>
      <c r="D14" s="674">
        <f>ROUND(B14*C14,2)</f>
        <v>8.51</v>
      </c>
    </row>
  </sheetData>
  <printOptions horizontalCentered="1"/>
  <pageMargins left="0.5" right="0.5" top="1.25" bottom="0.5" header="0.5" footer="0.5"/>
  <pageSetup orientation="portrait" r:id="rId1"/>
  <headerFooter alignWithMargins="0">
    <oddHeader>&amp;L&amp;F
Page &amp;P of &amp;N&amp;CKentucky Power Company 
OL Rate Design
Twelve Months Ended March 31,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70"/>
  <sheetViews>
    <sheetView showOutlineSymbols="0" zoomScale="70" zoomScaleNormal="70" workbookViewId="0">
      <selection activeCell="K27" sqref="A27:K27"/>
    </sheetView>
  </sheetViews>
  <sheetFormatPr defaultRowHeight="15"/>
  <cols>
    <col min="1" max="1" width="3.375" style="3" bestFit="1" customWidth="1"/>
    <col min="2" max="2" width="24.625" style="3" customWidth="1"/>
    <col min="3" max="3" width="14.375" style="3" bestFit="1" customWidth="1"/>
    <col min="4" max="4" width="2.625" style="3" customWidth="1"/>
    <col min="5" max="5" width="15.625" style="3" bestFit="1" customWidth="1"/>
    <col min="6" max="6" width="5" style="3" bestFit="1" customWidth="1"/>
    <col min="7" max="7" width="16.25" style="3" bestFit="1" customWidth="1"/>
    <col min="8" max="8" width="2.5" style="3" customWidth="1"/>
    <col min="9" max="9" width="18.375" style="3" bestFit="1" customWidth="1"/>
    <col min="10" max="10" width="2.5" style="3" customWidth="1"/>
    <col min="11" max="11" width="14.375" style="36" bestFit="1" customWidth="1"/>
    <col min="12" max="12" width="2.5" style="3" customWidth="1"/>
    <col min="13" max="13" width="15.625" style="3" bestFit="1" customWidth="1"/>
    <col min="14" max="16384" width="9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62"/>
      <c r="L1" s="1"/>
      <c r="M1" s="1"/>
    </row>
    <row r="2" spans="1:13">
      <c r="A2" s="1"/>
      <c r="B2" s="2"/>
      <c r="C2" s="1"/>
      <c r="D2" s="1"/>
      <c r="E2" s="1"/>
      <c r="F2" s="1"/>
      <c r="G2" s="1"/>
      <c r="H2" s="1"/>
      <c r="I2" s="1"/>
      <c r="J2" s="1"/>
      <c r="K2" s="62"/>
      <c r="L2" s="1"/>
      <c r="M2" s="1"/>
    </row>
    <row r="3" spans="1:13">
      <c r="A3" s="1"/>
      <c r="B3" s="2"/>
      <c r="C3" s="1"/>
      <c r="D3" s="1"/>
      <c r="E3" s="1"/>
      <c r="F3" s="1"/>
      <c r="G3" s="1"/>
      <c r="H3" s="1"/>
      <c r="I3" s="1"/>
      <c r="J3" s="1"/>
      <c r="K3" s="62"/>
      <c r="L3" s="1"/>
      <c r="M3" s="1"/>
    </row>
    <row r="4" spans="1:13">
      <c r="A4" s="1"/>
      <c r="B4" s="2"/>
      <c r="C4" s="1"/>
      <c r="D4" s="1"/>
      <c r="E4" s="1"/>
      <c r="F4" s="1"/>
      <c r="G4" s="1"/>
      <c r="H4" s="1"/>
      <c r="I4" s="1"/>
      <c r="J4" s="1"/>
      <c r="K4" s="62"/>
      <c r="L4" s="1"/>
      <c r="M4" s="1"/>
    </row>
    <row r="5" spans="1:13">
      <c r="A5" s="1"/>
      <c r="B5" s="2"/>
      <c r="C5" s="1"/>
      <c r="D5" s="1"/>
      <c r="E5" s="1"/>
      <c r="F5" s="1"/>
      <c r="G5" s="1"/>
      <c r="H5" s="1"/>
      <c r="I5" s="1"/>
      <c r="J5" s="1"/>
      <c r="K5" s="62"/>
      <c r="L5" s="1"/>
      <c r="M5" s="1"/>
    </row>
    <row r="6" spans="1:13">
      <c r="A6" s="1"/>
      <c r="B6" s="2"/>
      <c r="C6" s="1"/>
      <c r="D6" s="1"/>
      <c r="E6" s="1"/>
      <c r="F6" s="1"/>
      <c r="G6" s="1"/>
      <c r="H6" s="1"/>
      <c r="I6" s="1"/>
      <c r="J6" s="1"/>
      <c r="K6" s="62"/>
      <c r="L6" s="1"/>
      <c r="M6" s="1"/>
    </row>
    <row r="7" spans="1:13">
      <c r="A7" s="3" t="s">
        <v>150</v>
      </c>
      <c r="B7" s="3" t="s">
        <v>101</v>
      </c>
    </row>
    <row r="8" spans="1:13">
      <c r="C8" s="6"/>
      <c r="D8" s="34"/>
      <c r="E8" s="34" t="s">
        <v>9</v>
      </c>
      <c r="F8" s="34"/>
      <c r="G8" s="63" t="s">
        <v>151</v>
      </c>
      <c r="H8" s="34"/>
      <c r="I8" s="34" t="s">
        <v>152</v>
      </c>
    </row>
    <row r="9" spans="1:13">
      <c r="C9" s="6"/>
      <c r="D9" s="34"/>
      <c r="E9" s="64" t="s">
        <v>153</v>
      </c>
      <c r="F9" s="6"/>
      <c r="G9" s="65" t="s">
        <v>154</v>
      </c>
      <c r="H9" s="6"/>
      <c r="I9" s="64" t="s">
        <v>155</v>
      </c>
    </row>
    <row r="10" spans="1:13">
      <c r="C10" s="6"/>
      <c r="D10" s="6"/>
      <c r="E10" s="64"/>
      <c r="F10" s="6"/>
      <c r="G10" s="66"/>
      <c r="H10" s="6"/>
    </row>
    <row r="11" spans="1:13">
      <c r="B11" s="3" t="s">
        <v>6</v>
      </c>
      <c r="D11" s="67"/>
      <c r="E11" s="69">
        <f>76396686+47203012+21937720</f>
        <v>145537418</v>
      </c>
      <c r="F11" s="67"/>
      <c r="G11" s="69">
        <v>76396686</v>
      </c>
      <c r="H11" s="67"/>
      <c r="I11" s="9">
        <f>+E11-G11</f>
        <v>69140732</v>
      </c>
      <c r="M11" s="22"/>
    </row>
    <row r="12" spans="1:13">
      <c r="B12" s="3" t="s">
        <v>7</v>
      </c>
      <c r="D12" s="70"/>
      <c r="E12" s="69">
        <v>77357442</v>
      </c>
      <c r="F12" s="70"/>
      <c r="G12" s="69">
        <v>77357442</v>
      </c>
      <c r="H12" s="70"/>
      <c r="I12" s="37">
        <f>+E12-G12</f>
        <v>0</v>
      </c>
      <c r="M12" s="22"/>
    </row>
    <row r="13" spans="1:13">
      <c r="B13" s="3" t="s">
        <v>8</v>
      </c>
      <c r="D13" s="70"/>
      <c r="E13" s="72">
        <v>12648538</v>
      </c>
      <c r="F13" s="70"/>
      <c r="G13" s="72">
        <v>0</v>
      </c>
      <c r="H13" s="70"/>
      <c r="I13" s="73">
        <f>+E13-G13</f>
        <v>12648538</v>
      </c>
      <c r="K13" s="74"/>
      <c r="L13" s="75"/>
      <c r="M13" s="22"/>
    </row>
    <row r="14" spans="1:13">
      <c r="B14" s="3" t="s">
        <v>9</v>
      </c>
      <c r="D14" s="67"/>
      <c r="E14" s="37">
        <f>SUM(E11:E13)</f>
        <v>235543398</v>
      </c>
      <c r="F14" s="67"/>
      <c r="G14" s="37">
        <f>SUM(G11:G13)</f>
        <v>153754128</v>
      </c>
      <c r="H14" s="67"/>
      <c r="I14" s="37">
        <f>SUM(I11:I13)</f>
        <v>81789270</v>
      </c>
      <c r="M14" s="22"/>
    </row>
    <row r="15" spans="1:13">
      <c r="C15" s="36"/>
      <c r="D15" s="36"/>
      <c r="E15" s="36"/>
      <c r="F15" s="36"/>
      <c r="G15" s="36"/>
      <c r="H15" s="36"/>
      <c r="I15" s="37"/>
    </row>
    <row r="16" spans="1:13">
      <c r="G16" s="36"/>
    </row>
    <row r="17" spans="1:7">
      <c r="A17" s="3" t="s">
        <v>18</v>
      </c>
      <c r="B17" s="3" t="s">
        <v>156</v>
      </c>
      <c r="G17" s="36"/>
    </row>
    <row r="18" spans="1:7">
      <c r="G18" s="36"/>
    </row>
    <row r="19" spans="1:7">
      <c r="B19" s="3" t="s">
        <v>157</v>
      </c>
      <c r="E19" s="9">
        <f>+I14</f>
        <v>81789270</v>
      </c>
      <c r="G19" s="36"/>
    </row>
    <row r="20" spans="1:7">
      <c r="G20" s="36"/>
    </row>
    <row r="21" spans="1:7">
      <c r="B21" s="3" t="s">
        <v>158</v>
      </c>
      <c r="E21" s="77">
        <f>I58</f>
        <v>26531344</v>
      </c>
      <c r="G21" s="37"/>
    </row>
    <row r="22" spans="1:7">
      <c r="B22" s="3" t="s">
        <v>159</v>
      </c>
      <c r="E22" s="77">
        <f>I59+I60</f>
        <v>37681</v>
      </c>
      <c r="G22" s="37"/>
    </row>
    <row r="23" spans="1:7">
      <c r="B23" s="3" t="s">
        <v>160</v>
      </c>
      <c r="E23" s="78">
        <v>249045</v>
      </c>
      <c r="G23" s="37"/>
    </row>
    <row r="24" spans="1:7">
      <c r="B24" s="3" t="s">
        <v>161</v>
      </c>
      <c r="E24" s="79">
        <v>61284</v>
      </c>
      <c r="G24" s="36"/>
    </row>
    <row r="25" spans="1:7" ht="30" customHeight="1">
      <c r="B25" s="838" t="s">
        <v>162</v>
      </c>
      <c r="C25" s="838"/>
      <c r="E25" s="37">
        <f>+E19-E21-E22-E23+E24</f>
        <v>55032484</v>
      </c>
      <c r="G25" s="36"/>
    </row>
    <row r="26" spans="1:7">
      <c r="G26" s="36"/>
    </row>
    <row r="27" spans="1:7">
      <c r="B27" s="3" t="s">
        <v>163</v>
      </c>
      <c r="E27" s="80">
        <f>+K40</f>
        <v>2260149747</v>
      </c>
      <c r="G27" s="36"/>
    </row>
    <row r="28" spans="1:7">
      <c r="B28" s="3" t="s">
        <v>164</v>
      </c>
      <c r="E28" s="81">
        <f>ROUND(+E25/E27,6)</f>
        <v>2.4348999999999999E-2</v>
      </c>
      <c r="G28" s="36"/>
    </row>
    <row r="31" spans="1:7">
      <c r="A31" s="3" t="s">
        <v>29</v>
      </c>
      <c r="B31" s="3" t="s">
        <v>165</v>
      </c>
    </row>
    <row r="33" spans="1:13">
      <c r="C33" s="839" t="s">
        <v>166</v>
      </c>
      <c r="D33" s="839"/>
      <c r="E33" s="839"/>
      <c r="F33" s="839"/>
      <c r="G33" s="839"/>
      <c r="H33" s="36"/>
      <c r="I33" s="36"/>
      <c r="J33" s="36"/>
      <c r="L33" s="36"/>
    </row>
    <row r="34" spans="1:13" ht="30">
      <c r="C34" s="82" t="s">
        <v>167</v>
      </c>
      <c r="D34" s="82"/>
      <c r="E34" s="82" t="s">
        <v>168</v>
      </c>
      <c r="F34" s="82"/>
      <c r="G34" s="83" t="s">
        <v>9</v>
      </c>
      <c r="H34" s="82"/>
      <c r="I34" s="82" t="s">
        <v>169</v>
      </c>
      <c r="J34" s="82"/>
      <c r="K34" s="82" t="s">
        <v>44</v>
      </c>
      <c r="L34" s="82"/>
      <c r="M34" s="84" t="s">
        <v>170</v>
      </c>
    </row>
    <row r="35" spans="1:13">
      <c r="C35" s="85" t="s">
        <v>153</v>
      </c>
      <c r="D35" s="84"/>
      <c r="E35" s="85" t="s">
        <v>154</v>
      </c>
      <c r="F35" s="84"/>
      <c r="G35" s="86" t="s">
        <v>171</v>
      </c>
      <c r="H35" s="84"/>
      <c r="I35" s="84" t="s">
        <v>172</v>
      </c>
      <c r="J35" s="84"/>
      <c r="K35" s="85" t="s">
        <v>173</v>
      </c>
      <c r="L35" s="84"/>
      <c r="M35" s="85" t="s">
        <v>174</v>
      </c>
    </row>
    <row r="36" spans="1:13">
      <c r="G36" s="36"/>
      <c r="K36" s="3"/>
    </row>
    <row r="37" spans="1:13">
      <c r="B37" s="3" t="s">
        <v>175</v>
      </c>
      <c r="C37" s="87">
        <v>6577273.8700000001</v>
      </c>
      <c r="E37" s="45">
        <f>+'RS-TOD2 Capacity Charge'!C50</f>
        <v>5572849.8600000003</v>
      </c>
      <c r="G37" s="45">
        <f>+E37+C37</f>
        <v>12150123.73</v>
      </c>
      <c r="I37" s="37">
        <f>ROUND(+G37/$G$40*$G$14,0)</f>
        <v>13781388</v>
      </c>
      <c r="K37" s="87">
        <v>159242130.69</v>
      </c>
      <c r="M37" s="81">
        <f>ROUND(+I37/K37,6)</f>
        <v>8.6543999999999996E-2</v>
      </c>
    </row>
    <row r="38" spans="1:13">
      <c r="B38" s="3" t="s">
        <v>176</v>
      </c>
      <c r="C38" s="87">
        <v>17848847.329999998</v>
      </c>
      <c r="E38" s="45">
        <f>+'RS-TOD2 Capacity Charge'!D50</f>
        <v>10156776.51</v>
      </c>
      <c r="G38" s="45">
        <f>+E38+C38</f>
        <v>28005623.839999996</v>
      </c>
      <c r="I38" s="37">
        <f>ROUND(+G38/$G$40*$G$14,0)</f>
        <v>31765634</v>
      </c>
      <c r="K38" s="87">
        <v>320817153.08999997</v>
      </c>
      <c r="M38" s="81">
        <f>ROUND(+I38/K38,6)</f>
        <v>9.9015000000000006E-2</v>
      </c>
    </row>
    <row r="39" spans="1:13">
      <c r="B39" s="3" t="s">
        <v>177</v>
      </c>
      <c r="C39" s="88">
        <v>91310456.819999993</v>
      </c>
      <c r="E39" s="89">
        <f>+'RS-TOD2 Capacity Charge'!E50</f>
        <v>4088474.13</v>
      </c>
      <c r="G39" s="89">
        <f>+E39+C39</f>
        <v>95398930.949999988</v>
      </c>
      <c r="I39" s="73">
        <f>ROUND(+G39/$G$40*$G$14,0)</f>
        <v>108207106</v>
      </c>
      <c r="K39" s="89">
        <f>+K40-K38-K37</f>
        <v>1780090463.22</v>
      </c>
      <c r="M39" s="81">
        <f>ROUND(+I39/K39,6)</f>
        <v>6.0787000000000001E-2</v>
      </c>
    </row>
    <row r="40" spans="1:13">
      <c r="C40" s="12">
        <f>SUM(C37:C39)</f>
        <v>115736578.02</v>
      </c>
      <c r="E40" s="12">
        <f>+'RS-TOD2 Capacity Charge'!D17</f>
        <v>19818100.5</v>
      </c>
      <c r="G40" s="45">
        <f>SUM(G37:G39)</f>
        <v>135554678.51999998</v>
      </c>
      <c r="I40" s="9">
        <f>SUM(I37:I39)</f>
        <v>153754128</v>
      </c>
      <c r="K40" s="87">
        <v>2260149747</v>
      </c>
    </row>
    <row r="41" spans="1:13">
      <c r="C41" s="12"/>
      <c r="E41" s="12"/>
      <c r="G41" s="45"/>
      <c r="I41" s="9"/>
      <c r="K41" s="45"/>
    </row>
    <row r="42" spans="1:13">
      <c r="H42" s="16" t="s">
        <v>178</v>
      </c>
      <c r="I42" s="19">
        <f>+ROUND(I40/G40:G40,4)</f>
        <v>1.1343000000000001</v>
      </c>
    </row>
    <row r="43" spans="1:13">
      <c r="I43" s="22"/>
    </row>
    <row r="44" spans="1:13">
      <c r="A44" s="3" t="s">
        <v>91</v>
      </c>
      <c r="B44" s="3" t="s">
        <v>179</v>
      </c>
    </row>
    <row r="46" spans="1:13" ht="29.25" customHeight="1">
      <c r="C46" s="76" t="s">
        <v>180</v>
      </c>
      <c r="D46" s="6"/>
      <c r="E46" s="76" t="s">
        <v>181</v>
      </c>
      <c r="F46" s="6"/>
      <c r="G46" s="63" t="s">
        <v>182</v>
      </c>
      <c r="H46" s="34"/>
      <c r="I46" s="34" t="s">
        <v>183</v>
      </c>
      <c r="J46" s="34"/>
      <c r="K46" s="34" t="s">
        <v>184</v>
      </c>
    </row>
    <row r="47" spans="1:13">
      <c r="C47" s="64" t="s">
        <v>153</v>
      </c>
      <c r="D47" s="6"/>
      <c r="E47" s="64" t="s">
        <v>154</v>
      </c>
      <c r="F47" s="6"/>
      <c r="G47" s="65" t="s">
        <v>171</v>
      </c>
      <c r="H47" s="6"/>
      <c r="I47" s="64" t="s">
        <v>185</v>
      </c>
      <c r="J47" s="6"/>
      <c r="K47" s="64" t="s">
        <v>186</v>
      </c>
    </row>
    <row r="48" spans="1:13">
      <c r="G48" s="36"/>
      <c r="K48" s="3"/>
    </row>
    <row r="49" spans="1:13">
      <c r="B49" s="3" t="s">
        <v>175</v>
      </c>
      <c r="C49" s="81">
        <f>+E28</f>
        <v>2.4348999999999999E-2</v>
      </c>
      <c r="E49" s="81">
        <f>+M37</f>
        <v>8.6543999999999996E-2</v>
      </c>
      <c r="G49" s="90">
        <f>+C49+E49</f>
        <v>0.11089299999999999</v>
      </c>
      <c r="I49" s="91">
        <v>2.0411000000000001E-3</v>
      </c>
      <c r="K49" s="18">
        <f>ROUND(+G49-I49,5)</f>
        <v>0.10885</v>
      </c>
    </row>
    <row r="50" spans="1:13">
      <c r="B50" s="3" t="s">
        <v>187</v>
      </c>
      <c r="C50" s="81">
        <f>+E28</f>
        <v>2.4348999999999999E-2</v>
      </c>
      <c r="E50" s="81">
        <f>+M38</f>
        <v>9.9015000000000006E-2</v>
      </c>
      <c r="G50" s="90">
        <f>+C50+E50</f>
        <v>0.123364</v>
      </c>
      <c r="I50" s="92">
        <f>I49</f>
        <v>2.0411000000000001E-3</v>
      </c>
      <c r="K50" s="18">
        <f>ROUND(+G50-I50,5)</f>
        <v>0.12132</v>
      </c>
    </row>
    <row r="51" spans="1:13">
      <c r="B51" s="3" t="s">
        <v>177</v>
      </c>
      <c r="C51" s="81">
        <f>+E28</f>
        <v>2.4348999999999999E-2</v>
      </c>
      <c r="E51" s="81">
        <f>+M39</f>
        <v>6.0787000000000001E-2</v>
      </c>
      <c r="G51" s="90">
        <f>+C51+E51</f>
        <v>8.5136000000000003E-2</v>
      </c>
      <c r="I51" s="92">
        <f>I49</f>
        <v>2.0411000000000001E-3</v>
      </c>
      <c r="K51" s="18">
        <f>ROUND(+G51-I51,5)</f>
        <v>8.3089999999999997E-2</v>
      </c>
    </row>
    <row r="54" spans="1:13">
      <c r="A54" s="3" t="s">
        <v>92</v>
      </c>
      <c r="B54" s="3" t="s">
        <v>39</v>
      </c>
      <c r="M54" s="9"/>
    </row>
    <row r="55" spans="1:13">
      <c r="D55" s="34"/>
      <c r="E55" s="34" t="s">
        <v>40</v>
      </c>
      <c r="F55" s="34"/>
      <c r="G55" s="63" t="s">
        <v>188</v>
      </c>
      <c r="H55" s="34"/>
      <c r="I55" s="34" t="s">
        <v>1</v>
      </c>
      <c r="J55" s="34"/>
      <c r="K55" s="3"/>
      <c r="L55" s="34"/>
    </row>
    <row r="56" spans="1:13">
      <c r="D56" s="6"/>
      <c r="E56" s="64" t="s">
        <v>153</v>
      </c>
      <c r="F56" s="6"/>
      <c r="G56" s="65" t="s">
        <v>154</v>
      </c>
      <c r="H56" s="6"/>
      <c r="I56" s="64" t="s">
        <v>189</v>
      </c>
      <c r="J56" s="6"/>
      <c r="K56" s="3"/>
      <c r="L56" s="6"/>
    </row>
    <row r="57" spans="1:13">
      <c r="D57" s="6"/>
      <c r="E57" s="64"/>
      <c r="F57" s="6"/>
      <c r="G57" s="66"/>
      <c r="H57" s="6"/>
      <c r="I57" s="64"/>
      <c r="J57" s="6"/>
      <c r="K57" s="3"/>
      <c r="L57" s="6"/>
    </row>
    <row r="58" spans="1:13">
      <c r="B58" s="3" t="s">
        <v>190</v>
      </c>
      <c r="D58" s="6"/>
      <c r="E58" s="68">
        <v>1658209</v>
      </c>
      <c r="F58" s="93" t="s">
        <v>46</v>
      </c>
      <c r="G58" s="94">
        <f>RS!G16</f>
        <v>16</v>
      </c>
      <c r="H58" s="6"/>
      <c r="I58" s="95">
        <f t="shared" ref="I58:I63" si="0">+ROUND(E58*G58,0)</f>
        <v>26531344</v>
      </c>
      <c r="J58" s="6"/>
      <c r="K58" s="3"/>
      <c r="L58" s="6"/>
    </row>
    <row r="59" spans="1:13">
      <c r="B59" s="3" t="s">
        <v>191</v>
      </c>
      <c r="D59" s="6"/>
      <c r="E59" s="68">
        <v>1993</v>
      </c>
      <c r="F59" s="93" t="s">
        <v>46</v>
      </c>
      <c r="G59" s="94">
        <f>RS!D77</f>
        <v>18.7</v>
      </c>
      <c r="H59" s="6"/>
      <c r="I59" s="95">
        <f t="shared" si="0"/>
        <v>37269</v>
      </c>
      <c r="J59" s="6"/>
      <c r="K59" s="3"/>
      <c r="L59" s="6"/>
    </row>
    <row r="60" spans="1:13">
      <c r="B60" s="3" t="s">
        <v>192</v>
      </c>
      <c r="D60" s="6"/>
      <c r="E60" s="68">
        <v>107</v>
      </c>
      <c r="F60" s="93" t="s">
        <v>46</v>
      </c>
      <c r="G60" s="94">
        <f>RS!F84</f>
        <v>3.85</v>
      </c>
      <c r="H60" s="6"/>
      <c r="I60" s="95">
        <f t="shared" si="0"/>
        <v>412</v>
      </c>
      <c r="J60" s="6"/>
      <c r="K60" s="3"/>
      <c r="L60" s="6"/>
    </row>
    <row r="61" spans="1:13">
      <c r="B61" s="3" t="s">
        <v>175</v>
      </c>
      <c r="E61" s="12">
        <f>+K37</f>
        <v>159242130.69</v>
      </c>
      <c r="F61" s="93" t="s">
        <v>44</v>
      </c>
      <c r="G61" s="96">
        <f>+K49</f>
        <v>0.10885</v>
      </c>
      <c r="I61" s="95">
        <f t="shared" si="0"/>
        <v>17333506</v>
      </c>
      <c r="K61" s="3"/>
    </row>
    <row r="62" spans="1:13">
      <c r="B62" s="3" t="s">
        <v>187</v>
      </c>
      <c r="E62" s="12">
        <f>+K38</f>
        <v>320817153.08999997</v>
      </c>
      <c r="F62" s="93" t="s">
        <v>44</v>
      </c>
      <c r="G62" s="96">
        <f>+K50</f>
        <v>0.12132</v>
      </c>
      <c r="I62" s="95">
        <f t="shared" si="0"/>
        <v>38921537</v>
      </c>
      <c r="K62" s="3"/>
    </row>
    <row r="63" spans="1:13">
      <c r="B63" s="3" t="s">
        <v>177</v>
      </c>
      <c r="E63" s="12">
        <f>+K39</f>
        <v>1780090463.22</v>
      </c>
      <c r="F63" s="93" t="s">
        <v>44</v>
      </c>
      <c r="G63" s="96">
        <f>+K51</f>
        <v>8.3089999999999997E-2</v>
      </c>
      <c r="I63" s="95">
        <f t="shared" si="0"/>
        <v>147907717</v>
      </c>
      <c r="K63" s="3"/>
    </row>
    <row r="64" spans="1:13">
      <c r="B64" s="3" t="s">
        <v>82</v>
      </c>
      <c r="E64" s="12">
        <f>+E27</f>
        <v>2260149747</v>
      </c>
      <c r="F64" s="93" t="s">
        <v>44</v>
      </c>
      <c r="G64" s="97">
        <f>+I51</f>
        <v>2.0411000000000001E-3</v>
      </c>
      <c r="I64" s="95">
        <f>ROUND(E64*G64,5)</f>
        <v>4613191.6486</v>
      </c>
      <c r="K64" s="3"/>
    </row>
    <row r="65" spans="2:13">
      <c r="B65" s="3" t="s">
        <v>127</v>
      </c>
      <c r="E65" s="12"/>
      <c r="F65" s="93"/>
      <c r="G65" s="97"/>
      <c r="I65" s="95">
        <f>E23</f>
        <v>249045</v>
      </c>
      <c r="K65" s="3"/>
    </row>
    <row r="66" spans="2:13">
      <c r="B66" s="3" t="s">
        <v>104</v>
      </c>
      <c r="E66" s="12"/>
      <c r="F66" s="93"/>
      <c r="G66" s="90"/>
      <c r="I66" s="98">
        <f>-E24</f>
        <v>-61284</v>
      </c>
      <c r="K66" s="3"/>
    </row>
    <row r="67" spans="2:13">
      <c r="G67" s="36"/>
      <c r="I67" s="8">
        <f>SUM(I58:I66)</f>
        <v>235532737.64860001</v>
      </c>
      <c r="K67" s="9">
        <f>+E14</f>
        <v>235543398</v>
      </c>
      <c r="M67" s="8">
        <f>+I67-K67</f>
        <v>-10660.351399987936</v>
      </c>
    </row>
    <row r="68" spans="2:13">
      <c r="M68" s="12"/>
    </row>
    <row r="70" spans="2:13">
      <c r="B70" s="3" t="s">
        <v>193</v>
      </c>
    </row>
  </sheetData>
  <mergeCells count="2">
    <mergeCell ref="B25:C25"/>
    <mergeCell ref="C33:G33"/>
  </mergeCells>
  <printOptions horizontalCentered="1"/>
  <pageMargins left="0.5" right="0.5" top="0.5" bottom="0.5" header="0.5" footer="0.5"/>
  <pageSetup scale="62" orientation="portrait" r:id="rId1"/>
  <headerFooter alignWithMargins="0">
    <oddHeader>&amp;C&amp;"Arial,Regular"KENTUCKY POWER COMPANY
Experimental RS-TOD 2 Rate Design
Twelve Months Ended, September 30, 2014
Rate Design&amp;RPage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3"/>
  <sheetViews>
    <sheetView showOutlineSymbols="0" zoomScaleNormal="100" workbookViewId="0"/>
  </sheetViews>
  <sheetFormatPr defaultColWidth="10.875" defaultRowHeight="15"/>
  <cols>
    <col min="1" max="1" width="19.875" style="679" customWidth="1"/>
    <col min="2" max="2" width="10.375" style="679" bestFit="1" customWidth="1"/>
    <col min="3" max="3" width="7.625" style="679" customWidth="1"/>
    <col min="4" max="4" width="9.125" style="679" bestFit="1" customWidth="1"/>
    <col min="5" max="5" width="2" style="679" customWidth="1"/>
    <col min="6" max="6" width="6.875" style="679" bestFit="1" customWidth="1"/>
    <col min="7" max="7" width="6.75" style="679" bestFit="1" customWidth="1"/>
    <col min="8" max="8" width="2" style="679" customWidth="1"/>
    <col min="9" max="9" width="7.25" style="679" bestFit="1" customWidth="1"/>
    <col min="10" max="10" width="1.875" style="679" bestFit="1" customWidth="1"/>
    <col min="11" max="11" width="13.375" style="679" bestFit="1" customWidth="1"/>
    <col min="12" max="12" width="2" style="679" customWidth="1"/>
    <col min="13" max="13" width="9.625" style="679" bestFit="1" customWidth="1"/>
    <col min="14" max="14" width="10.125" style="679" bestFit="1" customWidth="1"/>
    <col min="15" max="16384" width="10.875" style="679"/>
  </cols>
  <sheetData>
    <row r="1" spans="1:14">
      <c r="A1" s="706"/>
      <c r="B1" s="691" t="s">
        <v>700</v>
      </c>
      <c r="F1" s="728" t="s">
        <v>760</v>
      </c>
      <c r="G1" s="728"/>
      <c r="I1" s="731"/>
      <c r="J1" s="731"/>
    </row>
    <row r="2" spans="1:14">
      <c r="A2" s="730" t="s">
        <v>704</v>
      </c>
      <c r="B2" s="691" t="s">
        <v>703</v>
      </c>
      <c r="C2" s="728" t="s">
        <v>702</v>
      </c>
      <c r="D2" s="728"/>
      <c r="F2" s="729"/>
      <c r="G2" s="729" t="s">
        <v>704</v>
      </c>
      <c r="I2" s="728" t="s">
        <v>141</v>
      </c>
      <c r="J2" s="728"/>
      <c r="K2" s="728"/>
      <c r="M2" s="691" t="s">
        <v>700</v>
      </c>
      <c r="N2" s="689" t="s">
        <v>699</v>
      </c>
    </row>
    <row r="3" spans="1:14">
      <c r="A3" s="688" t="s">
        <v>698</v>
      </c>
      <c r="B3" s="688" t="s">
        <v>697</v>
      </c>
      <c r="C3" s="727" t="s">
        <v>188</v>
      </c>
      <c r="D3" s="727" t="s">
        <v>1</v>
      </c>
      <c r="F3" s="688" t="s">
        <v>704</v>
      </c>
      <c r="G3" s="688" t="s">
        <v>759</v>
      </c>
      <c r="I3" s="727" t="s">
        <v>188</v>
      </c>
      <c r="J3" s="727"/>
      <c r="K3" s="727" t="s">
        <v>1</v>
      </c>
      <c r="M3" s="688" t="s">
        <v>404</v>
      </c>
      <c r="N3" s="687" t="s">
        <v>404</v>
      </c>
    </row>
    <row r="4" spans="1:14">
      <c r="A4" s="689" t="s">
        <v>153</v>
      </c>
      <c r="B4" s="689" t="s">
        <v>154</v>
      </c>
      <c r="C4" s="689" t="s">
        <v>696</v>
      </c>
      <c r="D4" s="691" t="s">
        <v>695</v>
      </c>
      <c r="F4" s="689" t="s">
        <v>173</v>
      </c>
      <c r="G4" s="689" t="s">
        <v>693</v>
      </c>
      <c r="H4" s="689"/>
      <c r="I4" s="689" t="s">
        <v>758</v>
      </c>
      <c r="J4" s="689"/>
      <c r="K4" s="691" t="s">
        <v>757</v>
      </c>
      <c r="M4" s="689" t="s">
        <v>756</v>
      </c>
      <c r="N4" s="691" t="s">
        <v>755</v>
      </c>
    </row>
    <row r="6" spans="1:14" ht="15.75">
      <c r="A6" s="724" t="s">
        <v>754</v>
      </c>
    </row>
    <row r="7" spans="1:14" hidden="1">
      <c r="A7" s="681" t="s">
        <v>753</v>
      </c>
      <c r="B7" s="695">
        <v>0</v>
      </c>
      <c r="C7" s="685">
        <v>0</v>
      </c>
      <c r="D7" s="693">
        <f t="shared" ref="D7:D16" si="0">ROUND((B7*C7),0)</f>
        <v>0</v>
      </c>
      <c r="E7" s="693"/>
      <c r="F7" s="691" t="s">
        <v>747</v>
      </c>
      <c r="G7" s="691" t="s">
        <v>747</v>
      </c>
      <c r="H7" s="691"/>
      <c r="I7" s="721">
        <f t="shared" ref="I7:I12" si="1">C7</f>
        <v>0</v>
      </c>
      <c r="J7" s="721"/>
      <c r="K7" s="693">
        <f t="shared" ref="K7:K16" si="2">ROUND((B7*I7),0)</f>
        <v>0</v>
      </c>
      <c r="L7" s="693"/>
      <c r="M7" s="693">
        <f t="shared" ref="M7:M16" si="3">K7-D7</f>
        <v>0</v>
      </c>
      <c r="N7" s="692" t="e">
        <f t="shared" ref="N7:N16" si="4">ROUND(((I7/C7)-1),4)</f>
        <v>#DIV/0!</v>
      </c>
    </row>
    <row r="8" spans="1:14" hidden="1">
      <c r="A8" s="681" t="s">
        <v>752</v>
      </c>
      <c r="B8" s="695">
        <v>0</v>
      </c>
      <c r="C8" s="721">
        <v>0</v>
      </c>
      <c r="D8" s="720">
        <f t="shared" si="0"/>
        <v>0</v>
      </c>
      <c r="E8" s="720"/>
      <c r="F8" s="721" t="e">
        <f>'SL 2'!#REF!</f>
        <v>#REF!</v>
      </c>
      <c r="G8" s="725" t="s">
        <v>747</v>
      </c>
      <c r="H8" s="725"/>
      <c r="I8" s="721">
        <f t="shared" si="1"/>
        <v>0</v>
      </c>
      <c r="J8" s="721"/>
      <c r="K8" s="720">
        <f t="shared" si="2"/>
        <v>0</v>
      </c>
      <c r="L8" s="720"/>
      <c r="M8" s="720">
        <f t="shared" si="3"/>
        <v>0</v>
      </c>
      <c r="N8" s="692" t="e">
        <f t="shared" si="4"/>
        <v>#DIV/0!</v>
      </c>
    </row>
    <row r="9" spans="1:14" hidden="1">
      <c r="A9" s="681" t="s">
        <v>751</v>
      </c>
      <c r="B9" s="695">
        <v>0</v>
      </c>
      <c r="C9" s="721">
        <v>0</v>
      </c>
      <c r="D9" s="720">
        <f t="shared" si="0"/>
        <v>0</v>
      </c>
      <c r="E9" s="720"/>
      <c r="F9" s="721" t="e">
        <f>'SL 2'!#REF!</f>
        <v>#REF!</v>
      </c>
      <c r="G9" s="725" t="s">
        <v>747</v>
      </c>
      <c r="H9" s="725"/>
      <c r="I9" s="721">
        <f t="shared" si="1"/>
        <v>0</v>
      </c>
      <c r="J9" s="721"/>
      <c r="K9" s="720">
        <f t="shared" si="2"/>
        <v>0</v>
      </c>
      <c r="L9" s="720"/>
      <c r="M9" s="720">
        <f t="shared" si="3"/>
        <v>0</v>
      </c>
      <c r="N9" s="692" t="e">
        <f t="shared" si="4"/>
        <v>#DIV/0!</v>
      </c>
    </row>
    <row r="10" spans="1:14" hidden="1">
      <c r="A10" s="681" t="s">
        <v>750</v>
      </c>
      <c r="B10" s="695">
        <v>0</v>
      </c>
      <c r="C10" s="721">
        <v>0</v>
      </c>
      <c r="D10" s="720">
        <f t="shared" si="0"/>
        <v>0</v>
      </c>
      <c r="E10" s="720"/>
      <c r="F10" s="721" t="e">
        <f>'SL 2'!#REF!</f>
        <v>#REF!</v>
      </c>
      <c r="G10" s="725" t="s">
        <v>747</v>
      </c>
      <c r="H10" s="725"/>
      <c r="I10" s="721">
        <f t="shared" si="1"/>
        <v>0</v>
      </c>
      <c r="J10" s="721"/>
      <c r="K10" s="720">
        <f t="shared" si="2"/>
        <v>0</v>
      </c>
      <c r="L10" s="720"/>
      <c r="M10" s="720">
        <f t="shared" si="3"/>
        <v>0</v>
      </c>
      <c r="N10" s="692" t="e">
        <f t="shared" si="4"/>
        <v>#DIV/0!</v>
      </c>
    </row>
    <row r="11" spans="1:14" hidden="1">
      <c r="A11" s="681" t="s">
        <v>749</v>
      </c>
      <c r="B11" s="695">
        <v>0</v>
      </c>
      <c r="C11" s="721">
        <v>0</v>
      </c>
      <c r="D11" s="720">
        <f t="shared" si="0"/>
        <v>0</v>
      </c>
      <c r="E11" s="720"/>
      <c r="F11" s="721" t="e">
        <f>'SL 2'!#REF!</f>
        <v>#REF!</v>
      </c>
      <c r="G11" s="725" t="s">
        <v>747</v>
      </c>
      <c r="H11" s="725"/>
      <c r="I11" s="721">
        <f t="shared" si="1"/>
        <v>0</v>
      </c>
      <c r="J11" s="721"/>
      <c r="K11" s="720">
        <f t="shared" si="2"/>
        <v>0</v>
      </c>
      <c r="L11" s="720"/>
      <c r="M11" s="720">
        <f t="shared" si="3"/>
        <v>0</v>
      </c>
      <c r="N11" s="692" t="e">
        <f t="shared" si="4"/>
        <v>#DIV/0!</v>
      </c>
    </row>
    <row r="12" spans="1:14" hidden="1">
      <c r="A12" s="681" t="s">
        <v>748</v>
      </c>
      <c r="B12" s="695">
        <v>0</v>
      </c>
      <c r="C12" s="721">
        <v>0</v>
      </c>
      <c r="D12" s="720">
        <f t="shared" si="0"/>
        <v>0</v>
      </c>
      <c r="E12" s="720"/>
      <c r="F12" s="721" t="e">
        <f>'SL 2'!#REF!</f>
        <v>#REF!</v>
      </c>
      <c r="G12" s="725" t="s">
        <v>747</v>
      </c>
      <c r="H12" s="725"/>
      <c r="I12" s="721">
        <f t="shared" si="1"/>
        <v>0</v>
      </c>
      <c r="J12" s="721"/>
      <c r="K12" s="720">
        <f t="shared" si="2"/>
        <v>0</v>
      </c>
      <c r="L12" s="720"/>
      <c r="M12" s="720">
        <f t="shared" si="3"/>
        <v>0</v>
      </c>
      <c r="N12" s="692" t="e">
        <f t="shared" si="4"/>
        <v>#DIV/0!</v>
      </c>
    </row>
    <row r="13" spans="1:14">
      <c r="A13" s="681" t="s">
        <v>744</v>
      </c>
      <c r="B13" s="719">
        <v>95940</v>
      </c>
      <c r="C13" s="625">
        <v>7.25</v>
      </c>
      <c r="D13" s="720">
        <f t="shared" si="0"/>
        <v>695565</v>
      </c>
      <c r="E13" s="720"/>
      <c r="F13" s="721">
        <f>'SL 2'!$I$7</f>
        <v>9.200902666666666</v>
      </c>
      <c r="G13" s="725" t="s">
        <v>747</v>
      </c>
      <c r="H13" s="725"/>
      <c r="I13" s="726">
        <f>ROUND(IF(F13*$B$46&gt;(1+B44)*C13,(1+B44)*C13,MAX(F13,C13)*$B$46)*20,0)/20</f>
        <v>8.0500000000000007</v>
      </c>
      <c r="J13" s="666"/>
      <c r="K13" s="720">
        <f t="shared" si="2"/>
        <v>772317</v>
      </c>
      <c r="L13" s="720"/>
      <c r="M13" s="720">
        <f t="shared" si="3"/>
        <v>76752</v>
      </c>
      <c r="N13" s="692">
        <f t="shared" si="4"/>
        <v>0.1103</v>
      </c>
    </row>
    <row r="14" spans="1:14">
      <c r="A14" s="681" t="s">
        <v>743</v>
      </c>
      <c r="B14" s="719">
        <v>1038</v>
      </c>
      <c r="C14" s="625">
        <v>8.3000000000000007</v>
      </c>
      <c r="D14" s="720">
        <f t="shared" si="0"/>
        <v>8615</v>
      </c>
      <c r="E14" s="720"/>
      <c r="F14" s="721">
        <f>'SL 2'!$I$8</f>
        <v>10.428950666666665</v>
      </c>
      <c r="G14" s="725" t="s">
        <v>747</v>
      </c>
      <c r="H14" s="725"/>
      <c r="I14" s="624">
        <f>ROUND(IF(F14*$B$46&gt;(1+B44)*C14,(1+B44)*C14,MAX(F14,C14)*$B$46)*20,0)/20+0.05</f>
        <v>9.25</v>
      </c>
      <c r="J14" s="666" t="s">
        <v>195</v>
      </c>
      <c r="K14" s="720">
        <f t="shared" si="2"/>
        <v>9602</v>
      </c>
      <c r="L14" s="720"/>
      <c r="M14" s="720">
        <f t="shared" si="3"/>
        <v>987</v>
      </c>
      <c r="N14" s="692">
        <f t="shared" si="4"/>
        <v>0.1145</v>
      </c>
    </row>
    <row r="15" spans="1:14">
      <c r="A15" s="681" t="s">
        <v>742</v>
      </c>
      <c r="B15" s="719">
        <v>28868</v>
      </c>
      <c r="C15" s="625">
        <v>10.3</v>
      </c>
      <c r="D15" s="720">
        <f t="shared" si="0"/>
        <v>297340</v>
      </c>
      <c r="E15" s="720"/>
      <c r="F15" s="721">
        <f>'SL 2'!$I$9</f>
        <v>12.198670999999999</v>
      </c>
      <c r="G15" s="725" t="s">
        <v>747</v>
      </c>
      <c r="H15" s="725"/>
      <c r="I15" s="624">
        <f>ROUND(IF(F15*$B$46&gt;(1+B44)*C15,(1+B44)*C15,MAX(F15,C15)*$B$46)*20,0)/20+0.05</f>
        <v>11.450000000000001</v>
      </c>
      <c r="J15" s="666" t="s">
        <v>195</v>
      </c>
      <c r="K15" s="720">
        <f t="shared" si="2"/>
        <v>330539</v>
      </c>
      <c r="L15" s="720"/>
      <c r="M15" s="720">
        <f t="shared" si="3"/>
        <v>33199</v>
      </c>
      <c r="N15" s="692">
        <f t="shared" si="4"/>
        <v>0.11169999999999999</v>
      </c>
    </row>
    <row r="16" spans="1:14">
      <c r="A16" s="681" t="s">
        <v>741</v>
      </c>
      <c r="B16" s="719">
        <v>5702</v>
      </c>
      <c r="C16" s="625">
        <v>16.05</v>
      </c>
      <c r="D16" s="720">
        <f t="shared" si="0"/>
        <v>91517</v>
      </c>
      <c r="E16" s="720"/>
      <c r="F16" s="721">
        <f>'SL 2'!$I$10</f>
        <v>17.717234666666666</v>
      </c>
      <c r="G16" s="725" t="s">
        <v>747</v>
      </c>
      <c r="H16" s="725"/>
      <c r="I16" s="624">
        <f>ROUND(IF(F16*$B$46&gt;(1+B44)*C16,(1+B44)*C16,MAX(F16,C16)*$B$46)*20,0)/20</f>
        <v>17.8</v>
      </c>
      <c r="J16" s="666"/>
      <c r="K16" s="720">
        <f t="shared" si="2"/>
        <v>101496</v>
      </c>
      <c r="L16" s="720"/>
      <c r="M16" s="720">
        <f t="shared" si="3"/>
        <v>9979</v>
      </c>
      <c r="N16" s="692">
        <f t="shared" si="4"/>
        <v>0.109</v>
      </c>
    </row>
    <row r="17" spans="1:14">
      <c r="B17" s="723"/>
      <c r="C17" s="722"/>
      <c r="D17" s="693"/>
      <c r="E17" s="693"/>
      <c r="F17" s="694"/>
      <c r="G17" s="694"/>
      <c r="H17" s="694"/>
      <c r="I17" s="694"/>
      <c r="J17" s="666"/>
      <c r="K17" s="693"/>
      <c r="L17" s="693"/>
      <c r="M17" s="693"/>
      <c r="N17" s="692"/>
    </row>
    <row r="18" spans="1:14">
      <c r="B18" s="723"/>
      <c r="C18" s="722"/>
      <c r="D18" s="693"/>
      <c r="E18" s="693"/>
      <c r="F18" s="694"/>
      <c r="G18" s="682"/>
      <c r="H18" s="682"/>
      <c r="I18" s="694"/>
      <c r="J18" s="666"/>
      <c r="K18" s="693"/>
      <c r="L18" s="693"/>
      <c r="M18" s="693"/>
      <c r="N18" s="692"/>
    </row>
    <row r="19" spans="1:14">
      <c r="B19" s="723"/>
      <c r="C19" s="722"/>
      <c r="D19" s="693"/>
      <c r="E19" s="693"/>
      <c r="F19" s="694"/>
      <c r="G19" s="682"/>
      <c r="H19" s="682"/>
      <c r="I19" s="694"/>
      <c r="J19" s="666"/>
      <c r="K19" s="693"/>
      <c r="L19" s="693"/>
      <c r="M19" s="693"/>
      <c r="N19" s="692"/>
    </row>
    <row r="20" spans="1:14" ht="15.75">
      <c r="A20" s="724" t="s">
        <v>746</v>
      </c>
      <c r="B20" s="723"/>
      <c r="C20" s="722"/>
      <c r="D20" s="693"/>
      <c r="E20" s="693"/>
      <c r="F20" s="694"/>
      <c r="G20" s="682"/>
      <c r="H20" s="682"/>
      <c r="I20" s="694"/>
      <c r="J20" s="666"/>
      <c r="K20" s="693"/>
      <c r="L20" s="693"/>
      <c r="M20" s="693"/>
      <c r="N20" s="692"/>
    </row>
    <row r="21" spans="1:14">
      <c r="A21" s="681" t="s">
        <v>744</v>
      </c>
      <c r="B21" s="719">
        <v>4619</v>
      </c>
      <c r="C21" s="625">
        <v>10.25</v>
      </c>
      <c r="D21" s="720">
        <f>ROUND((B21*C21),0)</f>
        <v>47345</v>
      </c>
      <c r="E21" s="720"/>
      <c r="F21" s="721">
        <f>F13</f>
        <v>9.200902666666666</v>
      </c>
      <c r="G21" s="721">
        <f>'SL 2'!$L$22</f>
        <v>16.218381666666666</v>
      </c>
      <c r="H21" s="721"/>
      <c r="I21" s="624">
        <f>ROUND(IF(G21*$B$46&gt;(1+B44)*C21,(1+B44)*C21,MAX(G21,C21)*$B$46)*20,0)/20</f>
        <v>11.35</v>
      </c>
      <c r="J21" s="666"/>
      <c r="K21" s="720">
        <f>ROUND((B21*I21),0)</f>
        <v>52426</v>
      </c>
      <c r="L21" s="720"/>
      <c r="M21" s="720">
        <f>K21-D21</f>
        <v>5081</v>
      </c>
      <c r="N21" s="692">
        <f>ROUND(((I21/C21)-1),4)</f>
        <v>0.10730000000000001</v>
      </c>
    </row>
    <row r="22" spans="1:14">
      <c r="A22" s="681" t="s">
        <v>743</v>
      </c>
      <c r="B22" s="719">
        <v>242</v>
      </c>
      <c r="C22" s="625">
        <v>11.4</v>
      </c>
      <c r="D22" s="720">
        <f>ROUND((B22*C22),0)</f>
        <v>2759</v>
      </c>
      <c r="E22" s="720"/>
      <c r="F22" s="721">
        <f>F14</f>
        <v>10.428950666666665</v>
      </c>
      <c r="G22" s="721">
        <f>'SL 2'!$L$23</f>
        <v>17.446429666666663</v>
      </c>
      <c r="H22" s="721"/>
      <c r="I22" s="624">
        <f>ROUND(IF(G22*$B$46&gt;(1+B44)*C22,(1+B44)*C22,MAX(G22,C22)*$B$46)*20,0)/20-0.05</f>
        <v>12.6</v>
      </c>
      <c r="J22" s="666" t="s">
        <v>195</v>
      </c>
      <c r="K22" s="720">
        <f>ROUND((B22*I22),0)</f>
        <v>3049</v>
      </c>
      <c r="L22" s="720"/>
      <c r="M22" s="720">
        <f>K22-D22</f>
        <v>290</v>
      </c>
      <c r="N22" s="692">
        <f>ROUND(((I22/C22)-1),4)</f>
        <v>0.1053</v>
      </c>
    </row>
    <row r="23" spans="1:14">
      <c r="A23" s="681" t="s">
        <v>742</v>
      </c>
      <c r="B23" s="719">
        <v>5046</v>
      </c>
      <c r="C23" s="625">
        <v>13.15</v>
      </c>
      <c r="D23" s="720">
        <f>ROUND((B23*C23),0)</f>
        <v>66355</v>
      </c>
      <c r="E23" s="720"/>
      <c r="F23" s="721">
        <f>F15</f>
        <v>12.198670999999999</v>
      </c>
      <c r="G23" s="721">
        <f>'SL 2'!$L$24</f>
        <v>19.216149999999999</v>
      </c>
      <c r="H23" s="721"/>
      <c r="I23" s="624">
        <f>ROUND(IF(G23*$B$46&gt;(1+B44)*C23,(1+B44)*C23,MAX(G23,C23)*$B$46)*20,0)/20</f>
        <v>14.6</v>
      </c>
      <c r="J23" s="666"/>
      <c r="K23" s="720">
        <f>ROUND((B23*I23),0)</f>
        <v>73672</v>
      </c>
      <c r="L23" s="720"/>
      <c r="M23" s="720">
        <f>K23-D23</f>
        <v>7317</v>
      </c>
      <c r="N23" s="692">
        <f>ROUND(((I23/C23)-1),4)</f>
        <v>0.1103</v>
      </c>
    </row>
    <row r="24" spans="1:14">
      <c r="A24" s="681" t="s">
        <v>741</v>
      </c>
      <c r="B24" s="719">
        <v>955</v>
      </c>
      <c r="C24" s="625">
        <v>18.45</v>
      </c>
      <c r="D24" s="720">
        <f>ROUND((B24*C24),0)</f>
        <v>17620</v>
      </c>
      <c r="E24" s="720"/>
      <c r="F24" s="721">
        <f>F16</f>
        <v>17.717234666666666</v>
      </c>
      <c r="G24" s="721">
        <f>'SL 2'!$L$25</f>
        <v>24.734713666666664</v>
      </c>
      <c r="H24" s="721"/>
      <c r="I24" s="624">
        <f>ROUND(IF(G24*$B$46&gt;(1+B44)*C24,(1+B44)*C24,MAX(G24,C24)*$B$46)*20,0)/20</f>
        <v>20.45</v>
      </c>
      <c r="J24" s="666"/>
      <c r="K24" s="720">
        <f>ROUND((B24*I24),0)</f>
        <v>19530</v>
      </c>
      <c r="L24" s="720"/>
      <c r="M24" s="720">
        <f>K24-D24</f>
        <v>1910</v>
      </c>
      <c r="N24" s="692">
        <f>ROUND(((I24/C24)-1),4)</f>
        <v>0.1084</v>
      </c>
    </row>
    <row r="25" spans="1:14">
      <c r="B25" s="723"/>
      <c r="C25" s="722"/>
      <c r="D25" s="693"/>
      <c r="E25" s="693"/>
      <c r="F25" s="694"/>
      <c r="G25" s="694"/>
      <c r="H25" s="694"/>
      <c r="I25" s="694"/>
      <c r="J25" s="666"/>
      <c r="K25" s="693"/>
      <c r="L25" s="693"/>
      <c r="M25" s="693"/>
      <c r="N25" s="692"/>
    </row>
    <row r="26" spans="1:14">
      <c r="B26" s="723"/>
      <c r="C26" s="722"/>
      <c r="D26" s="693"/>
      <c r="E26" s="693"/>
      <c r="F26" s="694"/>
      <c r="G26" s="694"/>
      <c r="H26" s="694"/>
      <c r="I26" s="694"/>
      <c r="J26" s="666"/>
      <c r="K26" s="693"/>
      <c r="L26" s="693"/>
      <c r="M26" s="693"/>
      <c r="N26" s="692"/>
    </row>
    <row r="27" spans="1:14">
      <c r="B27" s="723"/>
      <c r="C27" s="722"/>
      <c r="D27" s="693"/>
      <c r="E27" s="693"/>
      <c r="F27" s="694"/>
      <c r="G27" s="694"/>
      <c r="H27" s="694"/>
      <c r="I27" s="694"/>
      <c r="J27" s="666"/>
      <c r="K27" s="693"/>
      <c r="L27" s="693"/>
      <c r="M27" s="693"/>
      <c r="N27" s="692"/>
    </row>
    <row r="28" spans="1:14" ht="15.75">
      <c r="A28" s="724" t="s">
        <v>745</v>
      </c>
      <c r="B28" s="723"/>
      <c r="C28" s="722"/>
      <c r="D28" s="693"/>
      <c r="E28" s="693"/>
      <c r="F28" s="694"/>
      <c r="G28" s="682"/>
      <c r="H28" s="682"/>
      <c r="I28" s="694"/>
      <c r="J28" s="666"/>
      <c r="K28" s="693"/>
      <c r="L28" s="693"/>
      <c r="M28" s="693"/>
      <c r="N28" s="692"/>
    </row>
    <row r="29" spans="1:14">
      <c r="A29" s="681" t="s">
        <v>744</v>
      </c>
      <c r="B29" s="719">
        <v>0</v>
      </c>
      <c r="C29" s="625">
        <v>18.899999999999999</v>
      </c>
      <c r="D29" s="720">
        <f>ROUND((B29*C29),0)</f>
        <v>0</v>
      </c>
      <c r="E29" s="720"/>
      <c r="F29" s="721">
        <f>F13</f>
        <v>9.200902666666666</v>
      </c>
      <c r="G29" s="721">
        <f>'SL 2'!L28</f>
        <v>30.74213366666666</v>
      </c>
      <c r="H29" s="721"/>
      <c r="I29" s="624">
        <f>ROUND(IF(G29*$B$46&gt;(1+B44)*C29,(1+B44)*C29,MAX(G29,C29)*$B$46)*20,0)/20</f>
        <v>20.95</v>
      </c>
      <c r="J29" s="666"/>
      <c r="K29" s="720">
        <f>ROUND((B29*I29),0)</f>
        <v>0</v>
      </c>
      <c r="L29" s="720"/>
      <c r="M29" s="720">
        <f>K29-D29</f>
        <v>0</v>
      </c>
      <c r="N29" s="692">
        <f>ROUND(((I29/C29)-1),4)</f>
        <v>0.1085</v>
      </c>
    </row>
    <row r="30" spans="1:14">
      <c r="A30" s="681" t="s">
        <v>743</v>
      </c>
      <c r="B30" s="719">
        <v>0</v>
      </c>
      <c r="C30" s="625">
        <v>19.850000000000001</v>
      </c>
      <c r="D30" s="720">
        <f>ROUND((B30*C30),0)</f>
        <v>0</v>
      </c>
      <c r="E30" s="720"/>
      <c r="F30" s="721">
        <f>F14</f>
        <v>10.428950666666665</v>
      </c>
      <c r="G30" s="721">
        <f>'SL 2'!L29</f>
        <v>31.970181666666662</v>
      </c>
      <c r="H30" s="721"/>
      <c r="I30" s="624">
        <f>ROUND(IF(G30*$B$46&gt;(1+B44)*C30,(1+B44)*C30,MAX(G30,C30)*$B$46)*20,0)/20</f>
        <v>22</v>
      </c>
      <c r="J30" s="666"/>
      <c r="K30" s="720">
        <f>ROUND((B30*I30),0)</f>
        <v>0</v>
      </c>
      <c r="L30" s="720"/>
      <c r="M30" s="720">
        <f>K30-D30</f>
        <v>0</v>
      </c>
      <c r="N30" s="692">
        <f>ROUND(((I30/C30)-1),4)</f>
        <v>0.10829999999999999</v>
      </c>
    </row>
    <row r="31" spans="1:14" ht="15" customHeight="1">
      <c r="A31" s="681" t="s">
        <v>742</v>
      </c>
      <c r="B31" s="719">
        <v>1080</v>
      </c>
      <c r="C31" s="625">
        <v>25.25</v>
      </c>
      <c r="D31" s="720">
        <f>ROUND((B31*C31),0)</f>
        <v>27270</v>
      </c>
      <c r="E31" s="720"/>
      <c r="F31" s="721">
        <f>F15</f>
        <v>12.198670999999999</v>
      </c>
      <c r="G31" s="721">
        <f>'SL 2'!L30</f>
        <v>33.739901999999994</v>
      </c>
      <c r="H31" s="721"/>
      <c r="I31" s="624">
        <f>ROUND(IF(G31*$B$46&gt;(1+B44)*C31,(1+B44)*C31,MAX(G31,C31)*$B$46)*20,0)/20</f>
        <v>28</v>
      </c>
      <c r="J31" s="666"/>
      <c r="K31" s="720">
        <f>ROUND((B31*I31),0)</f>
        <v>30240</v>
      </c>
      <c r="L31" s="720"/>
      <c r="M31" s="720">
        <f>K31-D31</f>
        <v>2970</v>
      </c>
      <c r="N31" s="692">
        <f>ROUND(((I31/C31)-1),4)</f>
        <v>0.1089</v>
      </c>
    </row>
    <row r="32" spans="1:14">
      <c r="A32" s="712" t="s">
        <v>741</v>
      </c>
      <c r="B32" s="719">
        <v>0</v>
      </c>
      <c r="C32" s="625">
        <v>27.45</v>
      </c>
      <c r="D32" s="717">
        <f>ROUND((B32*C32),0)</f>
        <v>0</v>
      </c>
      <c r="E32" s="717"/>
      <c r="F32" s="718">
        <f>F16</f>
        <v>17.717234666666666</v>
      </c>
      <c r="G32" s="718">
        <f>'SL 2'!L31</f>
        <v>39.258465666666666</v>
      </c>
      <c r="H32" s="718"/>
      <c r="I32" s="624">
        <f>ROUND(IF(G32*$B$46&gt;(1+B44)*C32,(1+B44)*C32,MAX(G32,C32)*$B$46)*20,0)/20</f>
        <v>30.45</v>
      </c>
      <c r="J32" s="666"/>
      <c r="K32" s="717">
        <f>ROUND((B32*I32),0)</f>
        <v>0</v>
      </c>
      <c r="L32" s="717"/>
      <c r="M32" s="717">
        <f>K32-D32</f>
        <v>0</v>
      </c>
      <c r="N32" s="707">
        <f>ROUND(((I32/C32)-1),4)</f>
        <v>0.10929999999999999</v>
      </c>
    </row>
    <row r="33" spans="1:14">
      <c r="A33" s="716"/>
      <c r="B33" s="715"/>
      <c r="C33" s="714"/>
      <c r="D33" s="713"/>
      <c r="E33" s="713"/>
      <c r="F33" s="714"/>
      <c r="G33" s="714"/>
      <c r="H33" s="714"/>
      <c r="I33" s="714"/>
      <c r="J33" s="714"/>
      <c r="K33" s="713"/>
      <c r="L33" s="713"/>
      <c r="M33" s="713"/>
      <c r="N33" s="707"/>
    </row>
    <row r="34" spans="1:14">
      <c r="A34" s="712" t="s">
        <v>182</v>
      </c>
      <c r="B34" s="710"/>
      <c r="C34" s="709"/>
      <c r="D34" s="702"/>
      <c r="E34" s="702"/>
      <c r="F34" s="709"/>
      <c r="G34" s="709"/>
      <c r="H34" s="709"/>
      <c r="I34" s="709"/>
      <c r="J34" s="709"/>
      <c r="K34" s="702">
        <f>SUM(K7:K32)</f>
        <v>1392871</v>
      </c>
      <c r="L34" s="702"/>
      <c r="M34" s="702">
        <f>SUM(M7:M32)</f>
        <v>138485</v>
      </c>
      <c r="N34" s="707"/>
    </row>
    <row r="35" spans="1:14">
      <c r="A35" s="712"/>
      <c r="B35" s="710"/>
      <c r="C35" s="709"/>
      <c r="D35" s="702"/>
      <c r="E35" s="702"/>
      <c r="F35" s="709"/>
      <c r="G35" s="709"/>
      <c r="H35" s="709"/>
      <c r="I35" s="709"/>
      <c r="J35" s="709"/>
      <c r="K35" s="702"/>
      <c r="L35" s="702"/>
      <c r="M35" s="702"/>
      <c r="N35" s="707"/>
    </row>
    <row r="36" spans="1:14">
      <c r="A36" s="711" t="s">
        <v>82</v>
      </c>
      <c r="B36" s="710"/>
      <c r="C36" s="709"/>
      <c r="D36" s="702"/>
      <c r="E36" s="702"/>
      <c r="F36" s="709"/>
      <c r="G36" s="709"/>
      <c r="H36" s="709"/>
      <c r="I36" s="709"/>
      <c r="J36" s="709"/>
      <c r="K36" s="708">
        <v>16717</v>
      </c>
      <c r="L36" s="702"/>
      <c r="M36" s="702"/>
      <c r="N36" s="707"/>
    </row>
    <row r="37" spans="1:14" ht="15.75" thickBot="1">
      <c r="A37" s="706"/>
      <c r="B37" s="695"/>
      <c r="C37" s="694"/>
      <c r="D37" s="705"/>
      <c r="E37" s="705"/>
      <c r="F37" s="694"/>
      <c r="G37" s="694"/>
      <c r="H37" s="694"/>
      <c r="I37" s="694"/>
      <c r="J37" s="694"/>
      <c r="K37" s="693"/>
      <c r="M37" s="693"/>
      <c r="N37" s="692"/>
    </row>
    <row r="38" spans="1:14" ht="15.75" thickTop="1">
      <c r="A38" s="704" t="s">
        <v>9</v>
      </c>
      <c r="B38" s="703"/>
      <c r="C38" s="701"/>
      <c r="D38" s="702"/>
      <c r="E38" s="702"/>
      <c r="F38" s="701"/>
      <c r="G38" s="701"/>
      <c r="H38" s="701"/>
      <c r="I38" s="701"/>
      <c r="J38" s="701"/>
      <c r="K38" s="700">
        <f>K34+K36</f>
        <v>1409588</v>
      </c>
      <c r="M38" s="693"/>
      <c r="N38" s="692"/>
    </row>
    <row r="39" spans="1:14">
      <c r="A39" s="681"/>
      <c r="B39" s="695"/>
      <c r="C39" s="694"/>
      <c r="D39" s="693"/>
      <c r="E39" s="693"/>
      <c r="F39" s="694" t="s">
        <v>80</v>
      </c>
      <c r="G39" s="694"/>
      <c r="H39" s="694"/>
      <c r="I39" s="694"/>
      <c r="J39" s="694"/>
      <c r="K39" s="693"/>
      <c r="L39" s="693"/>
      <c r="M39" s="693"/>
      <c r="N39" s="692"/>
    </row>
    <row r="40" spans="1:14">
      <c r="A40" s="681" t="s">
        <v>661</v>
      </c>
      <c r="B40" s="695"/>
      <c r="C40" s="694"/>
      <c r="D40" s="693"/>
      <c r="E40" s="693"/>
      <c r="F40" s="694"/>
      <c r="G40" s="694"/>
      <c r="H40" s="694"/>
      <c r="I40" s="694"/>
      <c r="J40" s="694"/>
      <c r="K40" s="699">
        <v>1409592</v>
      </c>
      <c r="L40" s="693"/>
      <c r="M40" s="693"/>
      <c r="N40" s="692"/>
    </row>
    <row r="41" spans="1:14">
      <c r="B41" s="695"/>
      <c r="C41" s="694"/>
      <c r="D41" s="693"/>
      <c r="E41" s="693"/>
      <c r="F41" s="694"/>
      <c r="G41" s="694"/>
      <c r="H41" s="694"/>
      <c r="I41" s="694"/>
      <c r="J41" s="694"/>
      <c r="K41" s="693"/>
      <c r="L41" s="693"/>
      <c r="M41" s="693"/>
      <c r="N41" s="692"/>
    </row>
    <row r="42" spans="1:14">
      <c r="A42" s="679" t="s">
        <v>42</v>
      </c>
      <c r="B42" s="695"/>
      <c r="C42" s="694"/>
      <c r="D42" s="693"/>
      <c r="E42" s="693"/>
      <c r="F42" s="694"/>
      <c r="G42" s="694"/>
      <c r="H42" s="694"/>
      <c r="I42" s="694"/>
      <c r="J42" s="694"/>
      <c r="K42" s="693">
        <f>ROUND(K38-K40,0)</f>
        <v>-4</v>
      </c>
      <c r="L42" s="693"/>
      <c r="M42" s="693"/>
      <c r="N42" s="692"/>
    </row>
    <row r="43" spans="1:14">
      <c r="B43" s="695"/>
      <c r="C43" s="694"/>
      <c r="D43" s="693"/>
      <c r="E43" s="693"/>
      <c r="F43" s="694"/>
      <c r="G43" s="694"/>
      <c r="H43" s="694"/>
      <c r="I43" s="694"/>
      <c r="J43" s="694"/>
      <c r="K43" s="693"/>
      <c r="L43" s="693"/>
      <c r="M43" s="693"/>
      <c r="N43" s="692"/>
    </row>
    <row r="44" spans="1:14">
      <c r="A44" s="679" t="s">
        <v>660</v>
      </c>
      <c r="B44" s="617">
        <v>0.1089</v>
      </c>
      <c r="C44" s="694"/>
      <c r="D44" s="693"/>
      <c r="E44" s="693"/>
      <c r="F44" s="694"/>
      <c r="G44" s="694"/>
      <c r="H44" s="694"/>
      <c r="I44" s="694"/>
      <c r="J44" s="694"/>
      <c r="K44" s="693"/>
      <c r="L44" s="693"/>
      <c r="M44" s="693"/>
      <c r="N44" s="692"/>
    </row>
    <row r="45" spans="1:14">
      <c r="B45" s="695"/>
      <c r="C45" s="694"/>
      <c r="D45" s="693"/>
      <c r="E45" s="693"/>
      <c r="F45" s="694"/>
      <c r="G45" s="694"/>
      <c r="H45" s="694"/>
      <c r="I45" s="693"/>
      <c r="J45" s="693"/>
      <c r="K45" s="693"/>
      <c r="L45" s="693"/>
      <c r="M45" s="693"/>
      <c r="N45" s="692"/>
    </row>
    <row r="46" spans="1:14">
      <c r="A46" s="681" t="s">
        <v>659</v>
      </c>
      <c r="B46" s="698">
        <v>1.1000000000000001</v>
      </c>
      <c r="C46" s="694"/>
      <c r="D46" s="693"/>
      <c r="E46" s="693"/>
      <c r="F46" s="694"/>
      <c r="G46" s="694"/>
      <c r="H46" s="694"/>
      <c r="I46" s="694"/>
      <c r="J46" s="694"/>
      <c r="K46" s="693"/>
      <c r="L46" s="693"/>
      <c r="M46" s="693"/>
      <c r="N46" s="692"/>
    </row>
    <row r="47" spans="1:14">
      <c r="A47" s="681"/>
      <c r="B47" s="697"/>
      <c r="C47" s="694"/>
      <c r="D47" s="682"/>
      <c r="E47" s="682"/>
      <c r="F47" s="694"/>
      <c r="G47" s="694"/>
      <c r="H47" s="694"/>
      <c r="I47" s="694"/>
      <c r="J47" s="694"/>
      <c r="K47" s="693"/>
      <c r="L47" s="693"/>
      <c r="M47" s="693"/>
      <c r="N47" s="692"/>
    </row>
    <row r="48" spans="1:14">
      <c r="A48" s="696" t="s">
        <v>193</v>
      </c>
      <c r="B48" s="695"/>
      <c r="C48" s="694"/>
      <c r="D48" s="693"/>
      <c r="E48" s="693"/>
      <c r="F48" s="694"/>
      <c r="G48" s="694"/>
      <c r="H48" s="694"/>
      <c r="I48" s="694"/>
      <c r="J48" s="694"/>
      <c r="K48" s="693"/>
      <c r="L48" s="693"/>
      <c r="M48" s="693"/>
      <c r="N48" s="692"/>
    </row>
    <row r="49" spans="1:14">
      <c r="B49" s="695"/>
      <c r="C49" s="694"/>
      <c r="D49" s="693"/>
      <c r="E49" s="693"/>
      <c r="F49" s="694"/>
      <c r="G49" s="694"/>
      <c r="H49" s="694"/>
      <c r="I49" s="694"/>
      <c r="J49" s="694"/>
      <c r="K49" s="693"/>
      <c r="L49" s="693"/>
      <c r="M49" s="693"/>
      <c r="N49" s="692"/>
    </row>
    <row r="50" spans="1:14">
      <c r="A50" s="682"/>
      <c r="B50" s="682"/>
      <c r="C50" s="682"/>
      <c r="D50" s="689"/>
      <c r="E50" s="689"/>
      <c r="F50" s="682"/>
    </row>
    <row r="51" spans="1:14">
      <c r="A51" s="682"/>
      <c r="B51" s="691"/>
      <c r="C51" s="690"/>
      <c r="D51" s="689"/>
      <c r="E51" s="689"/>
      <c r="F51" s="682"/>
    </row>
    <row r="52" spans="1:14">
      <c r="A52" s="688"/>
      <c r="B52" s="688"/>
      <c r="C52" s="688"/>
      <c r="D52" s="687"/>
      <c r="E52" s="687"/>
      <c r="F52" s="686"/>
    </row>
    <row r="54" spans="1:14">
      <c r="A54" s="681"/>
      <c r="B54" s="685"/>
      <c r="C54" s="685"/>
      <c r="D54" s="685"/>
      <c r="E54" s="685"/>
      <c r="F54" s="682"/>
    </row>
    <row r="55" spans="1:14">
      <c r="A55" s="681"/>
      <c r="B55" s="685"/>
      <c r="C55" s="684"/>
      <c r="D55" s="683"/>
      <c r="E55" s="683"/>
      <c r="F55" s="682"/>
    </row>
    <row r="56" spans="1:14">
      <c r="A56" s="681"/>
      <c r="B56" s="685"/>
      <c r="C56" s="684"/>
      <c r="D56" s="683"/>
      <c r="E56" s="683"/>
      <c r="F56" s="682"/>
    </row>
    <row r="57" spans="1:14">
      <c r="A57" s="681"/>
      <c r="B57" s="685"/>
      <c r="C57" s="684"/>
      <c r="D57" s="683"/>
      <c r="E57" s="683"/>
      <c r="F57" s="682"/>
    </row>
    <row r="58" spans="1:14">
      <c r="A58" s="681"/>
      <c r="B58" s="685"/>
      <c r="C58" s="684"/>
      <c r="D58" s="683"/>
      <c r="E58" s="683"/>
      <c r="F58" s="682"/>
    </row>
    <row r="59" spans="1:14">
      <c r="A59" s="681"/>
      <c r="B59" s="685"/>
      <c r="C59" s="684"/>
      <c r="D59" s="683"/>
      <c r="E59" s="683"/>
      <c r="F59" s="682"/>
    </row>
    <row r="60" spans="1:14">
      <c r="A60" s="681"/>
      <c r="B60" s="685"/>
      <c r="C60" s="684"/>
      <c r="D60" s="683"/>
      <c r="E60" s="683"/>
      <c r="F60" s="682"/>
    </row>
    <row r="62" spans="1:14">
      <c r="A62" s="681"/>
      <c r="B62" s="680"/>
    </row>
    <row r="63" spans="1:14">
      <c r="A63" s="681"/>
      <c r="B63" s="680"/>
    </row>
  </sheetData>
  <printOptions horizontalCentered="1"/>
  <pageMargins left="0.5" right="0.5" top="1.25" bottom="0.5" header="0.5" footer="0.5"/>
  <pageSetup scale="83" orientation="portrait" r:id="rId1"/>
  <headerFooter alignWithMargins="0">
    <oddHeader>&amp;L&amp;F
Page &amp;P of &amp;N&amp;CKentucky Power Company
SL Rate Design
Twelve Months Ended March 31, 2013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0"/>
  <sheetViews>
    <sheetView showOutlineSymbols="0" zoomScale="58" zoomScaleNormal="58" workbookViewId="0">
      <selection activeCell="I42" sqref="I42"/>
    </sheetView>
  </sheetViews>
  <sheetFormatPr defaultColWidth="10.875" defaultRowHeight="15"/>
  <cols>
    <col min="1" max="1" width="23.25" style="679" customWidth="1"/>
    <col min="2" max="2" width="14.25" style="679" customWidth="1"/>
    <col min="3" max="3" width="15.25" style="679" customWidth="1"/>
    <col min="4" max="4" width="12.625" style="679" bestFit="1" customWidth="1"/>
    <col min="5" max="5" width="10" style="679" bestFit="1" customWidth="1"/>
    <col min="6" max="6" width="15.25" style="679" customWidth="1"/>
    <col min="7" max="7" width="14.25" style="679" customWidth="1"/>
    <col min="8" max="8" width="12.625" style="679" bestFit="1" customWidth="1"/>
    <col min="9" max="9" width="11.875" style="679" bestFit="1" customWidth="1"/>
    <col min="10" max="10" width="14.875" style="679" bestFit="1" customWidth="1"/>
    <col min="11" max="11" width="12.625" style="679" bestFit="1" customWidth="1"/>
    <col min="12" max="12" width="15.5" style="679" bestFit="1" customWidth="1"/>
    <col min="13" max="16384" width="10.875" style="679"/>
  </cols>
  <sheetData>
    <row r="1" spans="1:12">
      <c r="A1" s="752"/>
      <c r="B1" s="730" t="s">
        <v>734</v>
      </c>
      <c r="C1" s="730" t="s">
        <v>729</v>
      </c>
      <c r="D1" s="730" t="s">
        <v>700</v>
      </c>
      <c r="E1" s="691"/>
      <c r="F1" s="691"/>
      <c r="G1" s="691" t="s">
        <v>735</v>
      </c>
      <c r="H1" s="730" t="s">
        <v>734</v>
      </c>
      <c r="I1" s="730" t="s">
        <v>733</v>
      </c>
    </row>
    <row r="2" spans="1:12">
      <c r="A2" s="730" t="s">
        <v>704</v>
      </c>
      <c r="B2" s="730" t="s">
        <v>732</v>
      </c>
      <c r="C2" s="730" t="s">
        <v>731</v>
      </c>
      <c r="D2" s="730" t="s">
        <v>727</v>
      </c>
      <c r="E2" s="728" t="s">
        <v>730</v>
      </c>
      <c r="F2" s="728"/>
      <c r="G2" s="751">
        <f>I50</f>
        <v>6.0072048118687944E-2</v>
      </c>
      <c r="H2" s="730" t="s">
        <v>729</v>
      </c>
      <c r="I2" s="730" t="s">
        <v>585</v>
      </c>
    </row>
    <row r="3" spans="1:12">
      <c r="A3" s="688" t="s">
        <v>698</v>
      </c>
      <c r="B3" s="688" t="s">
        <v>585</v>
      </c>
      <c r="C3" s="688" t="s">
        <v>585</v>
      </c>
      <c r="D3" s="688" t="s">
        <v>585</v>
      </c>
      <c r="E3" s="727" t="s">
        <v>700</v>
      </c>
      <c r="F3" s="727" t="s">
        <v>729</v>
      </c>
      <c r="G3" s="688" t="s">
        <v>728</v>
      </c>
      <c r="H3" s="688" t="s">
        <v>727</v>
      </c>
      <c r="I3" s="688" t="s">
        <v>726</v>
      </c>
    </row>
    <row r="4" spans="1:12">
      <c r="A4" s="749">
        <v>-1</v>
      </c>
      <c r="B4" s="749">
        <f>A4-1</f>
        <v>-2</v>
      </c>
      <c r="C4" s="691" t="s">
        <v>785</v>
      </c>
      <c r="D4" s="749">
        <v>-4</v>
      </c>
      <c r="E4" s="749">
        <f>D4-1</f>
        <v>-5</v>
      </c>
      <c r="F4" s="749">
        <f>E4-1</f>
        <v>-6</v>
      </c>
      <c r="G4" s="691" t="s">
        <v>724</v>
      </c>
      <c r="H4" s="749">
        <v>-8</v>
      </c>
      <c r="I4" s="691" t="s">
        <v>723</v>
      </c>
    </row>
    <row r="5" spans="1:12">
      <c r="C5" s="681"/>
      <c r="G5" s="730"/>
      <c r="I5" s="689"/>
    </row>
    <row r="6" spans="1:12" ht="15.75">
      <c r="A6" s="747" t="s">
        <v>722</v>
      </c>
    </row>
    <row r="7" spans="1:12">
      <c r="A7" s="681" t="s">
        <v>774</v>
      </c>
      <c r="B7" s="753">
        <v>316.27999999999997</v>
      </c>
      <c r="C7" s="694">
        <f>B7*C$47</f>
        <v>3.805902666666666</v>
      </c>
      <c r="D7" s="753">
        <f>ROUND((88.67+89.82)*2/10,2)</f>
        <v>35.700000000000003</v>
      </c>
      <c r="E7" s="695">
        <v>484</v>
      </c>
      <c r="F7" s="744">
        <f>ROUND(E7/12,1)</f>
        <v>40.299999999999997</v>
      </c>
      <c r="G7" s="694">
        <f>ROUND(F7*$I$50,2)</f>
        <v>2.42</v>
      </c>
      <c r="H7" s="694">
        <f>D7/12</f>
        <v>2.9750000000000001</v>
      </c>
      <c r="I7" s="694">
        <f>SUM(C7+G7+H7,0)</f>
        <v>9.200902666666666</v>
      </c>
    </row>
    <row r="8" spans="1:12">
      <c r="A8" s="681" t="s">
        <v>773</v>
      </c>
      <c r="B8" s="753">
        <v>323.32</v>
      </c>
      <c r="C8" s="694">
        <f>B8*C$47</f>
        <v>3.8906173333333327</v>
      </c>
      <c r="D8" s="753">
        <f>ROUND((90.68+89.82)*2/10,2)</f>
        <v>36.1</v>
      </c>
      <c r="E8" s="695">
        <v>704</v>
      </c>
      <c r="F8" s="744">
        <f>ROUND(E8/12,1)</f>
        <v>58.7</v>
      </c>
      <c r="G8" s="694">
        <f>ROUND(F8*$I$50,2)</f>
        <v>3.53</v>
      </c>
      <c r="H8" s="694">
        <f>D8/12</f>
        <v>3.0083333333333333</v>
      </c>
      <c r="I8" s="694">
        <f>SUM(C8+G8+H8,0)</f>
        <v>10.428950666666665</v>
      </c>
    </row>
    <row r="9" spans="1:12">
      <c r="A9" s="681" t="s">
        <v>772</v>
      </c>
      <c r="B9" s="753">
        <v>356.33</v>
      </c>
      <c r="C9" s="694">
        <f>B9*C$47</f>
        <v>4.2878376666666655</v>
      </c>
      <c r="D9" s="753">
        <f>ROUND((81.23+89.82)*2/10,2)</f>
        <v>34.21</v>
      </c>
      <c r="E9" s="695">
        <v>1012</v>
      </c>
      <c r="F9" s="744">
        <f>ROUND(E9/12,1)</f>
        <v>84.3</v>
      </c>
      <c r="G9" s="694">
        <f>ROUND(F9*$I$50,2)</f>
        <v>5.0599999999999996</v>
      </c>
      <c r="H9" s="694">
        <f>D9/12</f>
        <v>2.8508333333333336</v>
      </c>
      <c r="I9" s="694">
        <f>SUM(C9+G9+H9,0)</f>
        <v>12.198670999999999</v>
      </c>
    </row>
    <row r="10" spans="1:12">
      <c r="A10" s="681" t="s">
        <v>771</v>
      </c>
      <c r="B10" s="753">
        <v>401.64</v>
      </c>
      <c r="C10" s="694">
        <f>B10*C$47</f>
        <v>4.833067999999999</v>
      </c>
      <c r="D10" s="753">
        <f>ROUND((82.61+89.82)*2/10,2)</f>
        <v>34.49</v>
      </c>
      <c r="E10" s="695">
        <v>2000</v>
      </c>
      <c r="F10" s="744">
        <f>ROUND(E10/12,1)</f>
        <v>166.7</v>
      </c>
      <c r="G10" s="694">
        <f>ROUND(F10*$I$50,2)</f>
        <v>10.01</v>
      </c>
      <c r="H10" s="694">
        <f>D10/12</f>
        <v>2.874166666666667</v>
      </c>
      <c r="I10" s="694">
        <f>SUM(C10+G10+H10,0)</f>
        <v>17.717234666666666</v>
      </c>
    </row>
    <row r="11" spans="1:12">
      <c r="C11" s="694"/>
      <c r="E11" s="695"/>
      <c r="F11" s="695"/>
      <c r="G11" s="694"/>
      <c r="H11" s="694"/>
      <c r="I11" s="694"/>
    </row>
    <row r="12" spans="1:12">
      <c r="C12" s="694"/>
      <c r="E12" s="695"/>
      <c r="F12" s="695"/>
      <c r="G12" s="694"/>
      <c r="H12" s="694"/>
      <c r="I12" s="694"/>
    </row>
    <row r="13" spans="1:12">
      <c r="C13" s="694"/>
      <c r="E13" s="695"/>
      <c r="F13" s="695"/>
      <c r="G13" s="694"/>
      <c r="H13" s="694"/>
      <c r="I13" s="694"/>
    </row>
    <row r="14" spans="1:12">
      <c r="C14" s="694"/>
      <c r="E14" s="695"/>
      <c r="F14" s="695"/>
      <c r="G14" s="694"/>
      <c r="H14" s="694"/>
      <c r="I14" s="694"/>
    </row>
    <row r="15" spans="1:12">
      <c r="C15" s="694"/>
      <c r="E15" s="695"/>
      <c r="F15" s="695"/>
      <c r="G15" s="694"/>
      <c r="H15" s="694"/>
      <c r="I15" s="694"/>
    </row>
    <row r="16" spans="1:12">
      <c r="A16" s="752"/>
      <c r="E16" s="730" t="s">
        <v>734</v>
      </c>
      <c r="F16" s="730" t="s">
        <v>729</v>
      </c>
      <c r="G16" s="730" t="s">
        <v>700</v>
      </c>
      <c r="H16" s="691"/>
      <c r="I16" s="691"/>
      <c r="J16" s="691" t="s">
        <v>735</v>
      </c>
      <c r="K16" s="730" t="s">
        <v>734</v>
      </c>
      <c r="L16" s="730" t="s">
        <v>733</v>
      </c>
    </row>
    <row r="17" spans="1:12">
      <c r="A17" s="730" t="s">
        <v>704</v>
      </c>
      <c r="B17" s="691" t="s">
        <v>784</v>
      </c>
      <c r="C17" s="691" t="s">
        <v>783</v>
      </c>
      <c r="D17" s="691" t="s">
        <v>783</v>
      </c>
      <c r="E17" s="730" t="s">
        <v>732</v>
      </c>
      <c r="F17" s="730" t="s">
        <v>731</v>
      </c>
      <c r="G17" s="730" t="s">
        <v>727</v>
      </c>
      <c r="H17" s="728" t="s">
        <v>730</v>
      </c>
      <c r="I17" s="728"/>
      <c r="J17" s="751">
        <f>I50</f>
        <v>6.0072048118687944E-2</v>
      </c>
      <c r="K17" s="730" t="s">
        <v>729</v>
      </c>
      <c r="L17" s="730" t="s">
        <v>585</v>
      </c>
    </row>
    <row r="18" spans="1:12">
      <c r="A18" s="688" t="s">
        <v>698</v>
      </c>
      <c r="B18" s="688" t="s">
        <v>585</v>
      </c>
      <c r="C18" s="688" t="s">
        <v>782</v>
      </c>
      <c r="D18" s="688" t="s">
        <v>585</v>
      </c>
      <c r="E18" s="688" t="s">
        <v>585</v>
      </c>
      <c r="F18" s="688" t="s">
        <v>585</v>
      </c>
      <c r="G18" s="688" t="s">
        <v>585</v>
      </c>
      <c r="H18" s="727" t="s">
        <v>700</v>
      </c>
      <c r="I18" s="727" t="s">
        <v>729</v>
      </c>
      <c r="J18" s="688" t="s">
        <v>728</v>
      </c>
      <c r="K18" s="688" t="s">
        <v>727</v>
      </c>
      <c r="L18" s="688" t="s">
        <v>726</v>
      </c>
    </row>
    <row r="19" spans="1:12">
      <c r="A19" s="749">
        <v>-1</v>
      </c>
      <c r="B19" s="691" t="s">
        <v>781</v>
      </c>
      <c r="C19" s="691" t="s">
        <v>780</v>
      </c>
      <c r="D19" s="691" t="s">
        <v>779</v>
      </c>
      <c r="E19" s="750" t="s">
        <v>778</v>
      </c>
      <c r="F19" s="691" t="s">
        <v>777</v>
      </c>
      <c r="G19" s="749">
        <v>-7</v>
      </c>
      <c r="H19" s="749">
        <f>G19-1</f>
        <v>-8</v>
      </c>
      <c r="I19" s="749">
        <f>H19-1</f>
        <v>-9</v>
      </c>
      <c r="J19" s="691" t="s">
        <v>776</v>
      </c>
      <c r="K19" s="749">
        <v>-11</v>
      </c>
      <c r="L19" s="691" t="s">
        <v>775</v>
      </c>
    </row>
    <row r="20" spans="1:12">
      <c r="B20" s="748"/>
      <c r="F20" s="681"/>
      <c r="J20" s="730"/>
      <c r="L20" s="689"/>
    </row>
    <row r="21" spans="1:12" ht="15.75">
      <c r="A21" s="747" t="s">
        <v>722</v>
      </c>
    </row>
    <row r="22" spans="1:12">
      <c r="A22" s="681" t="s">
        <v>774</v>
      </c>
      <c r="B22" s="685">
        <f>+B7</f>
        <v>316.27999999999997</v>
      </c>
      <c r="C22" s="745"/>
      <c r="D22" s="746">
        <v>583.16999999999996</v>
      </c>
      <c r="E22" s="694">
        <f>B22+D22</f>
        <v>899.44999999999993</v>
      </c>
      <c r="F22" s="694">
        <f>E22*C$47</f>
        <v>10.823381666666664</v>
      </c>
      <c r="G22" s="694">
        <f t="shared" ref="G22:H25" si="0">D7</f>
        <v>35.700000000000003</v>
      </c>
      <c r="H22" s="695">
        <f t="shared" si="0"/>
        <v>484</v>
      </c>
      <c r="I22" s="744">
        <f>ROUND(H22/12,1)</f>
        <v>40.299999999999997</v>
      </c>
      <c r="J22" s="694">
        <f>ROUND(I22*$I$50,2)</f>
        <v>2.42</v>
      </c>
      <c r="K22" s="694">
        <f>G22/12</f>
        <v>2.9750000000000001</v>
      </c>
      <c r="L22" s="694">
        <f>SUM(F22+J22+K22,0)</f>
        <v>16.218381666666666</v>
      </c>
    </row>
    <row r="23" spans="1:12">
      <c r="A23" s="681" t="s">
        <v>773</v>
      </c>
      <c r="B23" s="685">
        <f>+B8</f>
        <v>323.32</v>
      </c>
      <c r="C23" s="745"/>
      <c r="D23" s="683">
        <f>D22</f>
        <v>583.16999999999996</v>
      </c>
      <c r="E23" s="694">
        <f>B23+D23</f>
        <v>906.49</v>
      </c>
      <c r="F23" s="694">
        <f>E23*C$47</f>
        <v>10.908096333333331</v>
      </c>
      <c r="G23" s="694">
        <f t="shared" si="0"/>
        <v>36.1</v>
      </c>
      <c r="H23" s="695">
        <f t="shared" si="0"/>
        <v>704</v>
      </c>
      <c r="I23" s="744">
        <f>ROUND(H23/12,1)</f>
        <v>58.7</v>
      </c>
      <c r="J23" s="694">
        <f>ROUND(I23*$I$50,2)</f>
        <v>3.53</v>
      </c>
      <c r="K23" s="694">
        <f>G23/12</f>
        <v>3.0083333333333333</v>
      </c>
      <c r="L23" s="694">
        <f>SUM(F23+J23+K23,0)</f>
        <v>17.446429666666663</v>
      </c>
    </row>
    <row r="24" spans="1:12">
      <c r="A24" s="681" t="s">
        <v>772</v>
      </c>
      <c r="B24" s="685">
        <f>+B9</f>
        <v>356.33</v>
      </c>
      <c r="C24" s="745"/>
      <c r="D24" s="683">
        <f>D22</f>
        <v>583.16999999999996</v>
      </c>
      <c r="E24" s="694">
        <f>B24+D24</f>
        <v>939.5</v>
      </c>
      <c r="F24" s="694">
        <f>E24*C$47</f>
        <v>11.305316666666664</v>
      </c>
      <c r="G24" s="694">
        <f t="shared" si="0"/>
        <v>34.21</v>
      </c>
      <c r="H24" s="695">
        <f t="shared" si="0"/>
        <v>1012</v>
      </c>
      <c r="I24" s="744">
        <f>ROUND(H24/12,1)</f>
        <v>84.3</v>
      </c>
      <c r="J24" s="694">
        <f>ROUND(I24*$I$50,2)</f>
        <v>5.0599999999999996</v>
      </c>
      <c r="K24" s="694">
        <f>G24/12</f>
        <v>2.8508333333333336</v>
      </c>
      <c r="L24" s="694">
        <f>SUM(F24+J24+K24,0)</f>
        <v>19.216149999999999</v>
      </c>
    </row>
    <row r="25" spans="1:12">
      <c r="A25" s="681" t="s">
        <v>771</v>
      </c>
      <c r="B25" s="685">
        <f>+B10</f>
        <v>401.64</v>
      </c>
      <c r="C25" s="745"/>
      <c r="D25" s="683">
        <f>D22</f>
        <v>583.16999999999996</v>
      </c>
      <c r="E25" s="694">
        <f>B25+D25</f>
        <v>984.81</v>
      </c>
      <c r="F25" s="694">
        <f>E25*C$47</f>
        <v>11.850546999999997</v>
      </c>
      <c r="G25" s="694">
        <f t="shared" si="0"/>
        <v>34.49</v>
      </c>
      <c r="H25" s="695">
        <f t="shared" si="0"/>
        <v>2000</v>
      </c>
      <c r="I25" s="744">
        <f>ROUND(H25/12,1)</f>
        <v>166.7</v>
      </c>
      <c r="J25" s="694">
        <f>ROUND(I25*$I$50,2)</f>
        <v>10.01</v>
      </c>
      <c r="K25" s="694">
        <f>G25/12</f>
        <v>2.874166666666667</v>
      </c>
      <c r="L25" s="694">
        <f>SUM(F25+J25+K25,0)</f>
        <v>24.734713666666664</v>
      </c>
    </row>
    <row r="26" spans="1:12">
      <c r="B26" s="685"/>
      <c r="E26" s="694"/>
      <c r="F26" s="694"/>
      <c r="G26" s="694"/>
      <c r="H26" s="695"/>
      <c r="I26" s="695"/>
      <c r="J26" s="694"/>
      <c r="K26" s="694"/>
      <c r="L26" s="694"/>
    </row>
    <row r="27" spans="1:12" ht="15.75">
      <c r="A27" s="724" t="s">
        <v>722</v>
      </c>
      <c r="B27" s="685"/>
      <c r="E27" s="694"/>
      <c r="F27" s="694"/>
      <c r="G27" s="694"/>
      <c r="H27" s="695"/>
      <c r="I27" s="695"/>
      <c r="J27" s="694"/>
      <c r="K27" s="694"/>
      <c r="L27" s="694"/>
    </row>
    <row r="28" spans="1:12">
      <c r="A28" s="681" t="s">
        <v>774</v>
      </c>
      <c r="B28" s="685">
        <f>B7</f>
        <v>316.27999999999997</v>
      </c>
      <c r="C28" s="745"/>
      <c r="D28" s="746">
        <v>1790.1299999999999</v>
      </c>
      <c r="E28" s="694">
        <f>B28+D28</f>
        <v>2106.41</v>
      </c>
      <c r="F28" s="694">
        <f>E28*C$47</f>
        <v>25.347133666666661</v>
      </c>
      <c r="G28" s="694">
        <f t="shared" ref="G28:H31" si="1">G22</f>
        <v>35.700000000000003</v>
      </c>
      <c r="H28" s="695">
        <f t="shared" si="1"/>
        <v>484</v>
      </c>
      <c r="I28" s="744">
        <f>ROUND(H28/12,1)</f>
        <v>40.299999999999997</v>
      </c>
      <c r="J28" s="694">
        <f>ROUND(I28*$I$50,2)</f>
        <v>2.42</v>
      </c>
      <c r="K28" s="694">
        <f>G28/12</f>
        <v>2.9750000000000001</v>
      </c>
      <c r="L28" s="694">
        <f>SUM(F28+J28+K28,0)</f>
        <v>30.74213366666666</v>
      </c>
    </row>
    <row r="29" spans="1:12">
      <c r="A29" s="681" t="s">
        <v>773</v>
      </c>
      <c r="B29" s="685">
        <f>B8</f>
        <v>323.32</v>
      </c>
      <c r="C29" s="745"/>
      <c r="D29" s="683">
        <f>+D28</f>
        <v>1790.1299999999999</v>
      </c>
      <c r="E29" s="694">
        <f>B29+D29</f>
        <v>2113.4499999999998</v>
      </c>
      <c r="F29" s="694">
        <f>E29*C$47</f>
        <v>25.431848333333328</v>
      </c>
      <c r="G29" s="694">
        <f t="shared" si="1"/>
        <v>36.1</v>
      </c>
      <c r="H29" s="695">
        <f t="shared" si="1"/>
        <v>704</v>
      </c>
      <c r="I29" s="744">
        <f>ROUND(H29/12,1)</f>
        <v>58.7</v>
      </c>
      <c r="J29" s="694">
        <f>ROUND(I29*$I$50,2)</f>
        <v>3.53</v>
      </c>
      <c r="K29" s="694">
        <f>G29/12</f>
        <v>3.0083333333333333</v>
      </c>
      <c r="L29" s="694">
        <f>SUM(F29+J29+K29,0)</f>
        <v>31.970181666666662</v>
      </c>
    </row>
    <row r="30" spans="1:12">
      <c r="A30" s="681" t="s">
        <v>772</v>
      </c>
      <c r="B30" s="685">
        <f>B9</f>
        <v>356.33</v>
      </c>
      <c r="C30" s="745"/>
      <c r="D30" s="683">
        <f>+D29</f>
        <v>1790.1299999999999</v>
      </c>
      <c r="E30" s="694">
        <f>B30+D30</f>
        <v>2146.46</v>
      </c>
      <c r="F30" s="694">
        <f>E30*C$47</f>
        <v>25.829068666666664</v>
      </c>
      <c r="G30" s="694">
        <f t="shared" si="1"/>
        <v>34.21</v>
      </c>
      <c r="H30" s="695">
        <f t="shared" si="1"/>
        <v>1012</v>
      </c>
      <c r="I30" s="744">
        <f>ROUND(H30/12,1)</f>
        <v>84.3</v>
      </c>
      <c r="J30" s="694">
        <f>ROUND(I30*$I$50,2)</f>
        <v>5.0599999999999996</v>
      </c>
      <c r="K30" s="694">
        <f>G30/12</f>
        <v>2.8508333333333336</v>
      </c>
      <c r="L30" s="694">
        <f>SUM(F30+J30+K30,0)</f>
        <v>33.739901999999994</v>
      </c>
    </row>
    <row r="31" spans="1:12">
      <c r="A31" s="681" t="s">
        <v>771</v>
      </c>
      <c r="B31" s="685">
        <f>B10</f>
        <v>401.64</v>
      </c>
      <c r="C31" s="745"/>
      <c r="D31" s="683">
        <f>+D30</f>
        <v>1790.1299999999999</v>
      </c>
      <c r="E31" s="694">
        <f>B31+D31</f>
        <v>2191.77</v>
      </c>
      <c r="F31" s="694">
        <f>E31*C$47</f>
        <v>26.374298999999997</v>
      </c>
      <c r="G31" s="694">
        <f t="shared" si="1"/>
        <v>34.49</v>
      </c>
      <c r="H31" s="695">
        <f t="shared" si="1"/>
        <v>2000</v>
      </c>
      <c r="I31" s="744">
        <f>ROUND(H31/12,1)</f>
        <v>166.7</v>
      </c>
      <c r="J31" s="694">
        <f>ROUND(I31*$I$50,2)</f>
        <v>10.01</v>
      </c>
      <c r="K31" s="694">
        <f>G31/12</f>
        <v>2.874166666666667</v>
      </c>
      <c r="L31" s="694">
        <f>SUM(F31+J31+K31,0)</f>
        <v>39.258465666666666</v>
      </c>
    </row>
    <row r="33" spans="1:9">
      <c r="D33" s="743"/>
    </row>
    <row r="34" spans="1:9">
      <c r="D34" s="743"/>
    </row>
    <row r="35" spans="1:9">
      <c r="D35" s="743"/>
    </row>
    <row r="36" spans="1:9">
      <c r="D36" s="743"/>
    </row>
    <row r="37" spans="1:9">
      <c r="F37" s="681" t="s">
        <v>770</v>
      </c>
    </row>
    <row r="38" spans="1:9">
      <c r="B38" s="689"/>
      <c r="C38" s="691" t="s">
        <v>769</v>
      </c>
      <c r="F38" s="741" t="s">
        <v>768</v>
      </c>
    </row>
    <row r="39" spans="1:9">
      <c r="B39" s="688"/>
      <c r="C39" s="688" t="s">
        <v>767</v>
      </c>
    </row>
    <row r="40" spans="1:9">
      <c r="F40" s="681" t="s">
        <v>766</v>
      </c>
      <c r="I40" s="742">
        <v>129743</v>
      </c>
    </row>
    <row r="41" spans="1:9">
      <c r="A41" s="681" t="s">
        <v>718</v>
      </c>
      <c r="B41" s="692"/>
      <c r="C41" s="659">
        <v>7.7100000000000002E-2</v>
      </c>
      <c r="F41" s="681" t="s">
        <v>765</v>
      </c>
      <c r="I41" s="735">
        <v>293154</v>
      </c>
    </row>
    <row r="42" spans="1:9">
      <c r="A42" s="681" t="s">
        <v>717</v>
      </c>
      <c r="B42" s="692"/>
      <c r="C42" s="659">
        <v>3.0800000000000001E-2</v>
      </c>
      <c r="F42" s="679" t="s">
        <v>764</v>
      </c>
    </row>
    <row r="43" spans="1:9">
      <c r="A43" s="681" t="s">
        <v>716</v>
      </c>
      <c r="B43" s="692"/>
      <c r="C43" s="659">
        <v>2.0299999999999999E-2</v>
      </c>
      <c r="F43" s="741" t="s">
        <v>713</v>
      </c>
      <c r="G43" s="731"/>
      <c r="I43" s="735">
        <v>207890</v>
      </c>
    </row>
    <row r="44" spans="1:9">
      <c r="A44" s="681" t="s">
        <v>714</v>
      </c>
      <c r="B44" s="692"/>
      <c r="C44" s="659">
        <v>1.6199999999999999E-2</v>
      </c>
      <c r="F44" s="696" t="s">
        <v>711</v>
      </c>
      <c r="I44" s="735">
        <v>29206</v>
      </c>
    </row>
    <row r="45" spans="1:9">
      <c r="A45" s="738" t="s">
        <v>712</v>
      </c>
      <c r="B45" s="740"/>
      <c r="C45" s="740">
        <f>SUM(C41:C44)</f>
        <v>0.14439999999999997</v>
      </c>
      <c r="F45" s="679" t="s">
        <v>710</v>
      </c>
      <c r="I45" s="735">
        <v>28804</v>
      </c>
    </row>
    <row r="46" spans="1:9">
      <c r="F46" s="681" t="s">
        <v>763</v>
      </c>
      <c r="I46" s="735">
        <v>144034</v>
      </c>
    </row>
    <row r="47" spans="1:9">
      <c r="A47" s="681" t="s">
        <v>709</v>
      </c>
      <c r="B47" s="692"/>
      <c r="C47" s="692">
        <f>C45/12</f>
        <v>1.2033333333333332E-2</v>
      </c>
      <c r="F47" s="679" t="s">
        <v>762</v>
      </c>
      <c r="I47" s="739">
        <v>52768</v>
      </c>
    </row>
    <row r="48" spans="1:9">
      <c r="F48" s="738" t="s">
        <v>761</v>
      </c>
      <c r="G48" s="737"/>
      <c r="H48" s="737"/>
      <c r="I48" s="736">
        <f>SUM(I40:I45)-SUM(I46:I47)</f>
        <v>491995</v>
      </c>
    </row>
    <row r="49" spans="6:9" ht="15.75" thickBot="1">
      <c r="F49" s="681" t="s">
        <v>706</v>
      </c>
      <c r="I49" s="735">
        <v>8190082</v>
      </c>
    </row>
    <row r="50" spans="6:9" ht="15.75" thickTop="1">
      <c r="F50" s="734" t="s">
        <v>705</v>
      </c>
      <c r="G50" s="733"/>
      <c r="H50" s="733"/>
      <c r="I50" s="732">
        <f>I48/I49</f>
        <v>6.0072048118687944E-2</v>
      </c>
    </row>
  </sheetData>
  <printOptions horizontalCentered="1"/>
  <pageMargins left="0.5" right="0.5" top="1.25" bottom="0.5" header="0.5" footer="0.5"/>
  <pageSetup scale="52" orientation="portrait" verticalDpi="300" r:id="rId1"/>
  <headerFooter alignWithMargins="0">
    <oddHeader>&amp;L&amp;F
Page &amp;P of &amp;N&amp;CKentucky Power Company
SL Rate Design
Twelve Months Ended March 31, 2013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L422"/>
  <sheetViews>
    <sheetView topLeftCell="A319" zoomScale="70" zoomScaleNormal="70" workbookViewId="0">
      <selection activeCell="M177" sqref="M177:M178"/>
    </sheetView>
  </sheetViews>
  <sheetFormatPr defaultRowHeight="12.75"/>
  <cols>
    <col min="1" max="1" width="4.25" style="561" customWidth="1"/>
    <col min="2" max="2" width="9" style="561"/>
    <col min="3" max="3" width="3.375" style="561" customWidth="1"/>
    <col min="4" max="4" width="15.625" style="561" customWidth="1"/>
    <col min="5" max="5" width="12" style="561" customWidth="1"/>
    <col min="6" max="6" width="17.75" style="561" customWidth="1"/>
    <col min="7" max="7" width="9.375" style="561" customWidth="1"/>
    <col min="8" max="8" width="13" style="561" customWidth="1"/>
    <col min="9" max="9" width="9" style="561"/>
    <col min="10" max="10" width="8.625" style="561" bestFit="1" customWidth="1"/>
    <col min="11" max="11" width="14" style="561" bestFit="1" customWidth="1"/>
    <col min="12" max="16384" width="9" style="561"/>
  </cols>
  <sheetData>
    <row r="3" spans="1:12">
      <c r="A3" s="762" t="s">
        <v>150</v>
      </c>
      <c r="B3" s="788" t="s">
        <v>955</v>
      </c>
      <c r="C3" s="782"/>
      <c r="D3" s="782"/>
      <c r="E3" s="782"/>
      <c r="F3" s="782"/>
      <c r="I3" s="797" t="s">
        <v>843</v>
      </c>
      <c r="J3" s="797" t="s">
        <v>842</v>
      </c>
    </row>
    <row r="5" spans="1:12">
      <c r="B5" s="561" t="s">
        <v>954</v>
      </c>
      <c r="C5" s="561" t="s">
        <v>953</v>
      </c>
      <c r="I5" s="561" t="s">
        <v>952</v>
      </c>
      <c r="J5" s="835">
        <v>828</v>
      </c>
      <c r="K5" s="561" t="s">
        <v>374</v>
      </c>
    </row>
    <row r="7" spans="1:12">
      <c r="B7" s="561" t="s">
        <v>951</v>
      </c>
      <c r="C7" s="782" t="s">
        <v>950</v>
      </c>
      <c r="D7" s="782"/>
      <c r="E7" s="782"/>
      <c r="I7" s="561" t="s">
        <v>889</v>
      </c>
      <c r="J7" s="813">
        <v>7.7100000000000002E-2</v>
      </c>
      <c r="L7" s="782"/>
    </row>
    <row r="8" spans="1:12">
      <c r="L8" s="782"/>
    </row>
    <row r="9" spans="1:12">
      <c r="B9" s="561" t="s">
        <v>949</v>
      </c>
      <c r="C9" s="561" t="s">
        <v>948</v>
      </c>
      <c r="I9" s="561" t="s">
        <v>947</v>
      </c>
      <c r="J9" s="798">
        <f>+E180</f>
        <v>0.1232</v>
      </c>
      <c r="L9" s="782"/>
    </row>
    <row r="11" spans="1:12">
      <c r="B11" s="561" t="s">
        <v>946</v>
      </c>
      <c r="C11" s="561" t="s">
        <v>945</v>
      </c>
      <c r="I11" s="561" t="s">
        <v>944</v>
      </c>
      <c r="J11" s="777">
        <f>+H140</f>
        <v>20.05</v>
      </c>
      <c r="K11" s="561" t="s">
        <v>374</v>
      </c>
    </row>
    <row r="13" spans="1:12">
      <c r="B13" s="561" t="s">
        <v>943</v>
      </c>
      <c r="C13" s="561" t="s">
        <v>942</v>
      </c>
      <c r="I13" s="561" t="s">
        <v>941</v>
      </c>
      <c r="J13" s="798">
        <f>+F225</f>
        <v>7.9000000000000001E-2</v>
      </c>
    </row>
    <row r="15" spans="1:12">
      <c r="B15" s="561" t="s">
        <v>940</v>
      </c>
      <c r="C15" s="561" t="s">
        <v>939</v>
      </c>
      <c r="I15" s="561" t="s">
        <v>938</v>
      </c>
      <c r="J15" s="829">
        <v>30</v>
      </c>
      <c r="K15" s="561" t="s">
        <v>937</v>
      </c>
    </row>
    <row r="17" spans="1:10">
      <c r="B17" s="561" t="s">
        <v>936</v>
      </c>
      <c r="C17" s="561" t="s">
        <v>935</v>
      </c>
      <c r="I17" s="561" t="s">
        <v>934</v>
      </c>
      <c r="J17" s="561">
        <f>+H33</f>
        <v>1.4258</v>
      </c>
    </row>
    <row r="19" spans="1:10">
      <c r="B19" s="561" t="s">
        <v>933</v>
      </c>
      <c r="C19" s="561" t="s">
        <v>932</v>
      </c>
      <c r="I19" s="561" t="s">
        <v>931</v>
      </c>
      <c r="J19" s="798">
        <f>+G410</f>
        <v>1.4999999999999999E-2</v>
      </c>
    </row>
    <row r="20" spans="1:10">
      <c r="J20" s="798"/>
    </row>
    <row r="21" spans="1:10">
      <c r="B21" s="561" t="s">
        <v>930</v>
      </c>
      <c r="C21" s="561" t="s">
        <v>929</v>
      </c>
      <c r="I21" s="561" t="s">
        <v>928</v>
      </c>
      <c r="J21" s="798">
        <f>+J19</f>
        <v>1.4999999999999999E-2</v>
      </c>
    </row>
    <row r="26" spans="1:10">
      <c r="A26" s="762" t="s">
        <v>12</v>
      </c>
      <c r="B26" s="761" t="s">
        <v>927</v>
      </c>
    </row>
    <row r="30" spans="1:10" ht="12.75" customHeight="1"/>
    <row r="31" spans="1:10" ht="12.75" customHeight="1"/>
    <row r="32" spans="1:10">
      <c r="F32" s="834">
        <f>(1+J7)^J15-1</f>
        <v>8.2828381135020326</v>
      </c>
    </row>
    <row r="33" spans="1:8">
      <c r="B33" s="561" t="s">
        <v>926</v>
      </c>
      <c r="D33" s="787">
        <f>+J9</f>
        <v>0.1232</v>
      </c>
      <c r="E33" s="606" t="s">
        <v>103</v>
      </c>
      <c r="F33" s="606" t="s">
        <v>925</v>
      </c>
      <c r="G33" s="606" t="s">
        <v>15</v>
      </c>
      <c r="H33" s="833">
        <f>ROUND(D33*F32/F34,4)</f>
        <v>1.4258</v>
      </c>
    </row>
    <row r="34" spans="1:8">
      <c r="F34" s="832">
        <f>J7*(1+J7)^J15</f>
        <v>0.71570681855100671</v>
      </c>
    </row>
    <row r="36" spans="1:8">
      <c r="A36" s="762" t="s">
        <v>18</v>
      </c>
      <c r="B36" s="788" t="s">
        <v>924</v>
      </c>
      <c r="C36" s="782"/>
      <c r="D36" s="782"/>
      <c r="E36" s="782"/>
      <c r="F36" s="782"/>
    </row>
    <row r="44" spans="1:8">
      <c r="C44" s="561" t="s">
        <v>923</v>
      </c>
    </row>
    <row r="67" spans="2:8">
      <c r="B67" s="761" t="s">
        <v>922</v>
      </c>
    </row>
    <row r="69" spans="2:8">
      <c r="C69" s="561" t="s">
        <v>919</v>
      </c>
      <c r="D69" s="831">
        <v>1</v>
      </c>
    </row>
    <row r="70" spans="2:8">
      <c r="C70" s="561" t="s">
        <v>918</v>
      </c>
      <c r="D70" s="828">
        <f>1-(1+J21)/(1+J7)</f>
        <v>5.7654813852010101E-2</v>
      </c>
      <c r="E70" s="830" t="s">
        <v>917</v>
      </c>
      <c r="F70" s="828">
        <f>J11*((1+J19)/(1+J7))</f>
        <v>18.894020982267197</v>
      </c>
    </row>
    <row r="71" spans="2:8">
      <c r="C71" s="561" t="s">
        <v>916</v>
      </c>
      <c r="D71" s="828">
        <f>1-((1+J21)/(1+J7))^J15</f>
        <v>0.83161612845350341</v>
      </c>
      <c r="E71" s="830" t="s">
        <v>915</v>
      </c>
      <c r="F71" s="828">
        <f>(1+J19)^(D69-1)</f>
        <v>1</v>
      </c>
    </row>
    <row r="72" spans="2:8">
      <c r="C72" s="561" t="s">
        <v>914</v>
      </c>
      <c r="D72" s="828">
        <f>(1+J21)^(D69-1)</f>
        <v>1</v>
      </c>
      <c r="E72" s="830" t="s">
        <v>913</v>
      </c>
      <c r="F72" s="828">
        <f>1-J13/2</f>
        <v>0.96050000000000002</v>
      </c>
    </row>
    <row r="75" spans="2:8">
      <c r="H75" s="782"/>
    </row>
    <row r="76" spans="2:8">
      <c r="H76" s="782"/>
    </row>
    <row r="81" spans="2:6">
      <c r="B81" s="561" t="s">
        <v>912</v>
      </c>
      <c r="D81" s="826">
        <f>(1/12)*(J17*J5*D70/D71*D72+F70*F71)/F72</f>
        <v>8.7403092758278049</v>
      </c>
    </row>
    <row r="83" spans="2:6">
      <c r="B83" s="761" t="s">
        <v>921</v>
      </c>
    </row>
    <row r="85" spans="2:6">
      <c r="C85" s="561" t="s">
        <v>919</v>
      </c>
      <c r="D85" s="829">
        <v>2</v>
      </c>
    </row>
    <row r="86" spans="2:6">
      <c r="C86" s="561" t="s">
        <v>918</v>
      </c>
      <c r="D86" s="828">
        <f>1-(1+J21)/(1+J7)</f>
        <v>5.7654813852010101E-2</v>
      </c>
      <c r="E86" s="561" t="s">
        <v>917</v>
      </c>
      <c r="F86" s="828">
        <f>J11*((1+J19)/(1+J7))</f>
        <v>18.894020982267197</v>
      </c>
    </row>
    <row r="87" spans="2:6">
      <c r="C87" s="561" t="s">
        <v>916</v>
      </c>
      <c r="D87" s="828">
        <f>1-((1+J21)/(1+J7))^J15</f>
        <v>0.83161612845350341</v>
      </c>
      <c r="E87" s="561" t="s">
        <v>915</v>
      </c>
      <c r="F87" s="828">
        <f>(1+J19)^(D85-1)</f>
        <v>1.0149999999999999</v>
      </c>
    </row>
    <row r="88" spans="2:6">
      <c r="C88" s="561" t="s">
        <v>914</v>
      </c>
      <c r="D88" s="828">
        <f>(1+J21)^(D85-1)</f>
        <v>1.0149999999999999</v>
      </c>
      <c r="E88" s="561" t="s">
        <v>913</v>
      </c>
      <c r="F88" s="828">
        <f>1-J13/2</f>
        <v>0.96050000000000002</v>
      </c>
    </row>
    <row r="90" spans="2:6">
      <c r="B90" s="561" t="s">
        <v>912</v>
      </c>
      <c r="D90" s="826">
        <f>(1/12)*(J17*J5*D86/D87*D88+F86*F87)/F88</f>
        <v>8.8714139149652205</v>
      </c>
    </row>
    <row r="91" spans="2:6">
      <c r="D91" s="826"/>
    </row>
    <row r="92" spans="2:6">
      <c r="B92" s="761" t="s">
        <v>920</v>
      </c>
      <c r="D92" s="826"/>
    </row>
    <row r="93" spans="2:6">
      <c r="D93" s="826"/>
    </row>
    <row r="94" spans="2:6">
      <c r="C94" s="561" t="s">
        <v>919</v>
      </c>
      <c r="D94" s="829">
        <v>3</v>
      </c>
    </row>
    <row r="95" spans="2:6">
      <c r="C95" s="561" t="s">
        <v>918</v>
      </c>
      <c r="D95" s="828">
        <f>1-(1+J21)/(1+J7)</f>
        <v>5.7654813852010101E-2</v>
      </c>
      <c r="E95" s="561" t="s">
        <v>917</v>
      </c>
      <c r="F95" s="828">
        <f>J11*((1+J19)/(1+J7))</f>
        <v>18.894020982267197</v>
      </c>
    </row>
    <row r="96" spans="2:6">
      <c r="C96" s="561" t="s">
        <v>916</v>
      </c>
      <c r="D96" s="828">
        <f>1-((1+J21)/(1+J7))^J15</f>
        <v>0.83161612845350341</v>
      </c>
      <c r="E96" s="561" t="s">
        <v>915</v>
      </c>
      <c r="F96" s="828">
        <f>(1+J19)^(D94-1)</f>
        <v>1.0302249999999997</v>
      </c>
    </row>
    <row r="97" spans="1:6">
      <c r="C97" s="561" t="s">
        <v>914</v>
      </c>
      <c r="D97" s="828">
        <f>(1+J21)^(D94-1)</f>
        <v>1.0302249999999997</v>
      </c>
      <c r="E97" s="561" t="s">
        <v>913</v>
      </c>
      <c r="F97" s="828">
        <f>1-J13/2</f>
        <v>0.96050000000000002</v>
      </c>
    </row>
    <row r="99" spans="1:6">
      <c r="B99" s="561" t="s">
        <v>912</v>
      </c>
      <c r="D99" s="826">
        <f>(1/12)*(J17*J5*D95/D96*D97+F95*F96)/F97</f>
        <v>9.0044851236896974</v>
      </c>
    </row>
    <row r="102" spans="1:6">
      <c r="B102" s="561" t="s">
        <v>910</v>
      </c>
      <c r="F102" s="827">
        <f>+(D81+D90+D99)/3</f>
        <v>8.8720694381609082</v>
      </c>
    </row>
    <row r="103" spans="1:6">
      <c r="B103" s="561" t="s">
        <v>911</v>
      </c>
    </row>
    <row r="105" spans="1:6">
      <c r="B105" s="561" t="s">
        <v>910</v>
      </c>
      <c r="F105" s="826">
        <f>+G203/I205*F102</f>
        <v>3.700746772493146</v>
      </c>
    </row>
    <row r="106" spans="1:6">
      <c r="B106" s="561" t="s">
        <v>909</v>
      </c>
    </row>
    <row r="109" spans="1:6">
      <c r="A109" s="788" t="s">
        <v>908</v>
      </c>
      <c r="B109" s="782"/>
      <c r="C109" s="782"/>
      <c r="D109" s="782"/>
      <c r="E109" s="782"/>
      <c r="F109" s="782"/>
    </row>
    <row r="112" spans="1:6">
      <c r="A112" s="762" t="s">
        <v>150</v>
      </c>
      <c r="B112" s="761" t="s">
        <v>907</v>
      </c>
    </row>
    <row r="114" spans="1:9">
      <c r="C114" s="561" t="s">
        <v>906</v>
      </c>
      <c r="H114" s="807">
        <v>13.89</v>
      </c>
      <c r="I114" s="561" t="s">
        <v>901</v>
      </c>
    </row>
    <row r="115" spans="1:9">
      <c r="C115" s="561" t="s">
        <v>856</v>
      </c>
      <c r="G115" s="561" t="s">
        <v>103</v>
      </c>
      <c r="H115" s="816">
        <v>8760</v>
      </c>
      <c r="I115" s="561" t="s">
        <v>855</v>
      </c>
    </row>
    <row r="116" spans="1:9">
      <c r="C116" s="561" t="s">
        <v>897</v>
      </c>
      <c r="G116" s="561" t="s">
        <v>103</v>
      </c>
      <c r="H116" s="816">
        <v>171000</v>
      </c>
      <c r="I116" s="561" t="s">
        <v>234</v>
      </c>
    </row>
    <row r="117" spans="1:9">
      <c r="C117" s="759" t="s">
        <v>900</v>
      </c>
      <c r="D117" s="759"/>
      <c r="E117" s="759"/>
      <c r="F117" s="759"/>
      <c r="G117" s="759" t="s">
        <v>103</v>
      </c>
      <c r="H117" s="825">
        <v>0.1</v>
      </c>
      <c r="I117" s="759"/>
    </row>
    <row r="118" spans="1:9">
      <c r="C118" s="561" t="s">
        <v>905</v>
      </c>
      <c r="H118" s="822">
        <f>H114*H115*H116*H117/1000</f>
        <v>2080666.44</v>
      </c>
      <c r="I118" s="561" t="s">
        <v>898</v>
      </c>
    </row>
    <row r="119" spans="1:9" ht="13.5" thickBot="1">
      <c r="C119" s="756" t="s">
        <v>897</v>
      </c>
      <c r="D119" s="756"/>
      <c r="E119" s="756"/>
      <c r="F119" s="756"/>
      <c r="G119" s="756" t="s">
        <v>249</v>
      </c>
      <c r="H119" s="821">
        <f>+H116</f>
        <v>171000</v>
      </c>
      <c r="I119" s="756" t="s">
        <v>234</v>
      </c>
    </row>
    <row r="120" spans="1:9">
      <c r="C120" s="561" t="s">
        <v>904</v>
      </c>
      <c r="H120" s="777">
        <f>ROUND(H118/H119,2)</f>
        <v>12.17</v>
      </c>
      <c r="I120" s="561" t="s">
        <v>374</v>
      </c>
    </row>
    <row r="124" spans="1:9">
      <c r="A124" s="762" t="s">
        <v>12</v>
      </c>
      <c r="B124" s="761" t="s">
        <v>903</v>
      </c>
    </row>
    <row r="126" spans="1:9">
      <c r="C126" s="561" t="s">
        <v>902</v>
      </c>
      <c r="H126" s="807">
        <v>9</v>
      </c>
      <c r="I126" s="561" t="s">
        <v>901</v>
      </c>
    </row>
    <row r="127" spans="1:9">
      <c r="C127" s="561" t="s">
        <v>856</v>
      </c>
      <c r="G127" s="561" t="s">
        <v>103</v>
      </c>
      <c r="H127" s="824">
        <f>+H115</f>
        <v>8760</v>
      </c>
      <c r="I127" s="561" t="s">
        <v>855</v>
      </c>
    </row>
    <row r="128" spans="1:9">
      <c r="C128" s="561" t="s">
        <v>897</v>
      </c>
      <c r="G128" s="561" t="s">
        <v>103</v>
      </c>
      <c r="H128" s="824">
        <f>+H116</f>
        <v>171000</v>
      </c>
      <c r="I128" s="561" t="s">
        <v>234</v>
      </c>
    </row>
    <row r="129" spans="1:10">
      <c r="C129" s="759" t="s">
        <v>900</v>
      </c>
      <c r="D129" s="759"/>
      <c r="E129" s="759"/>
      <c r="F129" s="759"/>
      <c r="G129" s="759" t="s">
        <v>103</v>
      </c>
      <c r="H129" s="823">
        <f>+H117</f>
        <v>0.1</v>
      </c>
      <c r="I129" s="759"/>
    </row>
    <row r="130" spans="1:10">
      <c r="C130" s="561" t="s">
        <v>899</v>
      </c>
      <c r="H130" s="822">
        <f>H126*H127*H128*H129/1000</f>
        <v>1348164</v>
      </c>
      <c r="I130" s="561" t="s">
        <v>898</v>
      </c>
    </row>
    <row r="131" spans="1:10" ht="13.5" thickBot="1">
      <c r="C131" s="756" t="s">
        <v>897</v>
      </c>
      <c r="D131" s="756"/>
      <c r="E131" s="756"/>
      <c r="F131" s="756"/>
      <c r="G131" s="756" t="s">
        <v>249</v>
      </c>
      <c r="H131" s="821">
        <f>+H128</f>
        <v>171000</v>
      </c>
      <c r="I131" s="756" t="s">
        <v>234</v>
      </c>
    </row>
    <row r="132" spans="1:10">
      <c r="C132" s="561" t="s">
        <v>896</v>
      </c>
      <c r="H132" s="777">
        <f>ROUND(H130/H131,2)</f>
        <v>7.88</v>
      </c>
      <c r="I132" s="561" t="s">
        <v>374</v>
      </c>
    </row>
    <row r="136" spans="1:10">
      <c r="A136" s="762" t="s">
        <v>18</v>
      </c>
      <c r="B136" s="761" t="s">
        <v>895</v>
      </c>
    </row>
    <row r="138" spans="1:10">
      <c r="C138" s="561" t="s">
        <v>894</v>
      </c>
      <c r="H138" s="777">
        <f>+H120</f>
        <v>12.17</v>
      </c>
      <c r="I138" s="561" t="s">
        <v>374</v>
      </c>
    </row>
    <row r="139" spans="1:10" ht="13.5" thickBot="1">
      <c r="C139" s="756" t="s">
        <v>893</v>
      </c>
      <c r="D139" s="756"/>
      <c r="E139" s="756"/>
      <c r="F139" s="756"/>
      <c r="G139" s="756" t="s">
        <v>90</v>
      </c>
      <c r="H139" s="820">
        <f>+H132</f>
        <v>7.88</v>
      </c>
      <c r="I139" s="756" t="s">
        <v>374</v>
      </c>
    </row>
    <row r="140" spans="1:10">
      <c r="C140" s="561" t="s">
        <v>892</v>
      </c>
      <c r="H140" s="776">
        <f>+H138+H139</f>
        <v>20.05</v>
      </c>
      <c r="I140" s="561" t="s">
        <v>374</v>
      </c>
    </row>
    <row r="143" spans="1:10">
      <c r="A143" s="762" t="s">
        <v>150</v>
      </c>
      <c r="B143" s="788" t="s">
        <v>891</v>
      </c>
      <c r="C143" s="782"/>
      <c r="D143" s="782"/>
      <c r="E143" s="782"/>
      <c r="F143" s="782"/>
      <c r="G143" s="782"/>
      <c r="I143" s="797" t="s">
        <v>843</v>
      </c>
      <c r="J143" s="797" t="s">
        <v>842</v>
      </c>
    </row>
    <row r="145" spans="3:11">
      <c r="C145" s="561" t="s">
        <v>890</v>
      </c>
      <c r="I145" s="561" t="s">
        <v>889</v>
      </c>
      <c r="J145" s="798">
        <f>+J7</f>
        <v>7.7100000000000002E-2</v>
      </c>
    </row>
    <row r="148" spans="3:11">
      <c r="C148" s="561" t="s">
        <v>888</v>
      </c>
    </row>
    <row r="149" spans="3:11">
      <c r="D149" s="561" t="s">
        <v>887</v>
      </c>
      <c r="H149" s="816">
        <v>13307719</v>
      </c>
    </row>
    <row r="150" spans="3:11">
      <c r="D150" s="759" t="s">
        <v>882</v>
      </c>
      <c r="E150" s="759"/>
      <c r="F150" s="759"/>
      <c r="G150" s="759" t="s">
        <v>249</v>
      </c>
      <c r="H150" s="819">
        <v>2015831095</v>
      </c>
      <c r="I150" s="759"/>
      <c r="J150" s="759"/>
      <c r="K150" s="817"/>
    </row>
    <row r="151" spans="3:11">
      <c r="D151" s="561" t="s">
        <v>886</v>
      </c>
      <c r="I151" s="561" t="s">
        <v>885</v>
      </c>
      <c r="J151" s="798">
        <f>ROUND(H149/H150,4)</f>
        <v>6.6E-3</v>
      </c>
      <c r="K151" s="818"/>
    </row>
    <row r="152" spans="3:11">
      <c r="K152" s="817"/>
    </row>
    <row r="154" spans="3:11">
      <c r="C154" s="561" t="s">
        <v>884</v>
      </c>
    </row>
    <row r="155" spans="3:11">
      <c r="D155" s="561" t="s">
        <v>883</v>
      </c>
      <c r="H155" s="816">
        <v>513894</v>
      </c>
    </row>
    <row r="156" spans="3:11">
      <c r="D156" s="814" t="s">
        <v>882</v>
      </c>
      <c r="E156" s="814"/>
      <c r="F156" s="814"/>
      <c r="G156" s="814" t="s">
        <v>249</v>
      </c>
      <c r="H156" s="815">
        <f>+H150</f>
        <v>2015831095</v>
      </c>
      <c r="I156" s="814"/>
      <c r="J156" s="814"/>
    </row>
    <row r="157" spans="3:11">
      <c r="D157" s="561" t="s">
        <v>881</v>
      </c>
      <c r="I157" s="561" t="s">
        <v>880</v>
      </c>
      <c r="J157" s="798">
        <f>ROUND(H155/H156,4)</f>
        <v>2.9999999999999997E-4</v>
      </c>
    </row>
    <row r="160" spans="3:11">
      <c r="C160" s="561" t="s">
        <v>879</v>
      </c>
      <c r="I160" s="561" t="s">
        <v>878</v>
      </c>
      <c r="J160" s="813">
        <v>1.7100000000000001E-2</v>
      </c>
    </row>
    <row r="161" spans="3:10">
      <c r="J161" s="812"/>
    </row>
    <row r="162" spans="3:10">
      <c r="J162" s="812"/>
    </row>
    <row r="163" spans="3:10">
      <c r="C163" s="561" t="s">
        <v>877</v>
      </c>
      <c r="I163" s="561" t="s">
        <v>876</v>
      </c>
      <c r="J163" s="811">
        <f>1-1/1.64019</f>
        <v>0.39031453673050076</v>
      </c>
    </row>
    <row r="164" spans="3:10">
      <c r="J164" s="798"/>
    </row>
    <row r="165" spans="3:10">
      <c r="J165" s="798"/>
    </row>
    <row r="166" spans="3:10">
      <c r="C166" s="561" t="s">
        <v>875</v>
      </c>
      <c r="I166" s="561" t="s">
        <v>874</v>
      </c>
      <c r="J166" s="798">
        <f>1/J15</f>
        <v>3.3333333333333333E-2</v>
      </c>
    </row>
    <row r="167" spans="3:10">
      <c r="J167" s="798"/>
    </row>
    <row r="168" spans="3:10">
      <c r="J168" s="798"/>
    </row>
    <row r="169" spans="3:10">
      <c r="C169" s="561" t="s">
        <v>873</v>
      </c>
      <c r="I169" s="561" t="s">
        <v>872</v>
      </c>
      <c r="J169" s="798">
        <v>5.5300000000000002E-2</v>
      </c>
    </row>
    <row r="172" spans="3:10">
      <c r="C172" s="561" t="s">
        <v>871</v>
      </c>
      <c r="I172" s="561" t="s">
        <v>870</v>
      </c>
      <c r="J172" s="798">
        <v>0.60460000000000003</v>
      </c>
    </row>
    <row r="180" spans="1:9">
      <c r="C180" s="561" t="s">
        <v>869</v>
      </c>
      <c r="E180" s="789">
        <f>ROUND(J145+J151+J157+J160+((J163/(1-J163))*(J145+J160-J166)*((J145-J169*J172)/J145)),4)</f>
        <v>0.1232</v>
      </c>
    </row>
    <row r="183" spans="1:9">
      <c r="A183" s="762" t="s">
        <v>150</v>
      </c>
      <c r="B183" s="788" t="s">
        <v>868</v>
      </c>
      <c r="C183" s="782"/>
      <c r="D183" s="782"/>
      <c r="E183" s="782"/>
      <c r="F183" s="782"/>
      <c r="G183" s="797" t="s">
        <v>43</v>
      </c>
      <c r="H183" s="797" t="s">
        <v>45</v>
      </c>
      <c r="I183" s="797" t="s">
        <v>867</v>
      </c>
    </row>
    <row r="186" spans="1:9">
      <c r="B186" s="762" t="s">
        <v>866</v>
      </c>
      <c r="C186" s="761" t="s">
        <v>865</v>
      </c>
    </row>
    <row r="188" spans="1:9">
      <c r="C188" s="561" t="s">
        <v>864</v>
      </c>
      <c r="I188" s="798">
        <f>+H225</f>
        <v>5.8000000000000003E-2</v>
      </c>
    </row>
    <row r="189" spans="1:9">
      <c r="C189" s="759" t="s">
        <v>863</v>
      </c>
      <c r="D189" s="759"/>
      <c r="E189" s="759"/>
      <c r="F189" s="759"/>
      <c r="G189" s="759"/>
      <c r="H189" s="759" t="s">
        <v>249</v>
      </c>
      <c r="I189" s="810">
        <v>2</v>
      </c>
    </row>
    <row r="190" spans="1:9">
      <c r="C190" s="561" t="s">
        <v>862</v>
      </c>
      <c r="E190" s="809"/>
      <c r="I190" s="798">
        <f>+I188/I189</f>
        <v>2.9000000000000001E-2</v>
      </c>
    </row>
    <row r="193" spans="2:10">
      <c r="B193" s="762" t="s">
        <v>861</v>
      </c>
      <c r="C193" s="761" t="s">
        <v>857</v>
      </c>
    </row>
    <row r="195" spans="2:10">
      <c r="C195" s="561" t="s">
        <v>860</v>
      </c>
      <c r="G195" s="808">
        <f>(3.87+3.99+5.67)/3</f>
        <v>4.5100000000000007</v>
      </c>
      <c r="H195" s="807">
        <f>(2.91+2.8+3.55)/3</f>
        <v>3.0866666666666664</v>
      </c>
      <c r="J195" s="801" t="s">
        <v>851</v>
      </c>
    </row>
    <row r="196" spans="2:10">
      <c r="C196" s="759" t="s">
        <v>859</v>
      </c>
      <c r="D196" s="759"/>
      <c r="E196" s="759"/>
      <c r="F196" s="759" t="s">
        <v>249</v>
      </c>
      <c r="G196" s="806">
        <f>1-I190</f>
        <v>0.97099999999999997</v>
      </c>
      <c r="H196" s="806">
        <f>+G196</f>
        <v>0.97099999999999997</v>
      </c>
      <c r="I196" s="759"/>
      <c r="J196" s="759"/>
    </row>
    <row r="197" spans="2:10">
      <c r="C197" s="561" t="s">
        <v>857</v>
      </c>
      <c r="G197" s="802">
        <f>ROUND(G195/G196,2)</f>
        <v>4.6399999999999997</v>
      </c>
      <c r="H197" s="762">
        <f>ROUND(H195/H196,2)</f>
        <v>3.18</v>
      </c>
      <c r="J197" s="801" t="s">
        <v>851</v>
      </c>
    </row>
    <row r="200" spans="2:10">
      <c r="B200" s="762" t="s">
        <v>858</v>
      </c>
      <c r="C200" s="761" t="s">
        <v>852</v>
      </c>
    </row>
    <row r="202" spans="2:10">
      <c r="C202" s="561" t="s">
        <v>857</v>
      </c>
      <c r="G202" s="805">
        <f>+G197</f>
        <v>4.6399999999999997</v>
      </c>
      <c r="H202" s="561">
        <f>+H197</f>
        <v>3.18</v>
      </c>
      <c r="J202" s="801" t="s">
        <v>851</v>
      </c>
    </row>
    <row r="203" spans="2:10">
      <c r="C203" s="759" t="s">
        <v>856</v>
      </c>
      <c r="D203" s="759"/>
      <c r="E203" s="759"/>
      <c r="F203" s="759" t="s">
        <v>103</v>
      </c>
      <c r="G203" s="758">
        <v>3654</v>
      </c>
      <c r="H203" s="758">
        <v>5106</v>
      </c>
      <c r="I203" s="759"/>
      <c r="J203" s="759" t="s">
        <v>855</v>
      </c>
    </row>
    <row r="204" spans="2:10">
      <c r="C204" s="561" t="s">
        <v>854</v>
      </c>
      <c r="G204" s="804">
        <f>ROUND(G202*G203,0)</f>
        <v>16955</v>
      </c>
      <c r="H204" s="804">
        <f>ROUND(H202*H203,0)</f>
        <v>16237</v>
      </c>
      <c r="I204" s="757">
        <f>+G204+H204</f>
        <v>33192</v>
      </c>
    </row>
    <row r="205" spans="2:10" ht="13.5" thickBot="1">
      <c r="C205" s="756" t="s">
        <v>853</v>
      </c>
      <c r="D205" s="756"/>
      <c r="E205" s="756"/>
      <c r="F205" s="756"/>
      <c r="G205" s="756"/>
      <c r="H205" s="756"/>
      <c r="I205" s="803">
        <f>+G203+H203</f>
        <v>8760</v>
      </c>
      <c r="J205" s="756"/>
    </row>
    <row r="206" spans="2:10">
      <c r="C206" s="561" t="s">
        <v>852</v>
      </c>
      <c r="I206" s="802">
        <f>ROUND(I204/I205,2)</f>
        <v>3.79</v>
      </c>
      <c r="J206" s="801" t="s">
        <v>851</v>
      </c>
    </row>
    <row r="209" spans="1:10">
      <c r="B209" s="561" t="s">
        <v>850</v>
      </c>
    </row>
    <row r="210" spans="1:10">
      <c r="B210" s="561" t="s">
        <v>849</v>
      </c>
    </row>
    <row r="214" spans="1:10">
      <c r="A214" s="762" t="s">
        <v>12</v>
      </c>
      <c r="B214" s="788" t="s">
        <v>848</v>
      </c>
      <c r="C214" s="782"/>
      <c r="D214" s="782"/>
      <c r="E214" s="782"/>
      <c r="F214" s="782"/>
      <c r="G214" s="782"/>
    </row>
    <row r="216" spans="1:10">
      <c r="D216" s="797" t="s">
        <v>847</v>
      </c>
      <c r="E216" s="797"/>
      <c r="F216" s="797" t="s">
        <v>6</v>
      </c>
      <c r="G216" s="797"/>
      <c r="H216" s="797" t="s">
        <v>7</v>
      </c>
    </row>
    <row r="218" spans="1:10">
      <c r="C218" s="561" t="s">
        <v>507</v>
      </c>
      <c r="F218" s="799">
        <v>4.2229999999999997E-2</v>
      </c>
      <c r="G218" s="800"/>
      <c r="H218" s="799">
        <v>3.4819999999999997E-2</v>
      </c>
      <c r="J218" s="782"/>
    </row>
    <row r="219" spans="1:10">
      <c r="F219" s="800"/>
      <c r="G219" s="800"/>
      <c r="H219" s="800"/>
      <c r="J219" s="782"/>
    </row>
    <row r="220" spans="1:10">
      <c r="C220" s="561" t="s">
        <v>377</v>
      </c>
      <c r="F220" s="799">
        <v>1.3859E-2</v>
      </c>
      <c r="G220" s="800"/>
      <c r="H220" s="799">
        <v>9.018E-3</v>
      </c>
      <c r="J220" s="782"/>
    </row>
    <row r="221" spans="1:10">
      <c r="F221" s="800"/>
      <c r="G221" s="800"/>
      <c r="H221" s="800"/>
      <c r="J221" s="782"/>
    </row>
    <row r="222" spans="1:10">
      <c r="F222" s="800"/>
      <c r="G222" s="800"/>
      <c r="H222" s="800"/>
      <c r="J222" s="782"/>
    </row>
    <row r="223" spans="1:10">
      <c r="C223" s="561" t="s">
        <v>379</v>
      </c>
      <c r="F223" s="799">
        <v>2.12E-2</v>
      </c>
      <c r="G223" s="800"/>
      <c r="H223" s="799">
        <v>1.3559999999999999E-2</v>
      </c>
      <c r="J223" s="782"/>
    </row>
    <row r="224" spans="1:10">
      <c r="F224" s="798"/>
      <c r="G224" s="798"/>
      <c r="H224" s="798"/>
    </row>
    <row r="225" spans="1:10">
      <c r="C225" s="561" t="s">
        <v>846</v>
      </c>
      <c r="F225" s="763">
        <f>ROUND((1+F218)*(1+F220)*(1+F223)-1,3)</f>
        <v>7.9000000000000001E-2</v>
      </c>
      <c r="G225" s="789"/>
      <c r="H225" s="763">
        <f>ROUND((1+H218)*(1+H220)*(1+H223)-1,3)</f>
        <v>5.8000000000000003E-2</v>
      </c>
    </row>
    <row r="228" spans="1:10">
      <c r="B228" s="561" t="s">
        <v>845</v>
      </c>
    </row>
    <row r="231" spans="1:10">
      <c r="A231" s="762" t="s">
        <v>150</v>
      </c>
      <c r="B231" s="788" t="s">
        <v>844</v>
      </c>
      <c r="C231" s="782"/>
      <c r="D231" s="782"/>
      <c r="E231" s="782"/>
      <c r="F231" s="782"/>
      <c r="G231" s="797" t="s">
        <v>843</v>
      </c>
      <c r="H231" s="797" t="s">
        <v>842</v>
      </c>
    </row>
    <row r="233" spans="1:10">
      <c r="C233" s="561" t="s">
        <v>841</v>
      </c>
      <c r="H233" s="796">
        <f>+E180</f>
        <v>0.1232</v>
      </c>
      <c r="J233" s="782"/>
    </row>
    <row r="234" spans="1:10">
      <c r="C234" s="759" t="s">
        <v>840</v>
      </c>
      <c r="D234" s="759"/>
      <c r="E234" s="759"/>
      <c r="F234" s="759"/>
      <c r="G234" s="759"/>
      <c r="H234" s="795">
        <f>+F422</f>
        <v>3.8062813966922224E-2</v>
      </c>
    </row>
    <row r="235" spans="1:10">
      <c r="C235" s="561" t="s">
        <v>839</v>
      </c>
      <c r="G235" s="762" t="s">
        <v>838</v>
      </c>
      <c r="H235" s="763">
        <f>+H233+H234</f>
        <v>0.16126281396692221</v>
      </c>
    </row>
    <row r="239" spans="1:10">
      <c r="A239" s="762" t="s">
        <v>12</v>
      </c>
      <c r="B239" s="761" t="s">
        <v>385</v>
      </c>
    </row>
    <row r="241" spans="1:8">
      <c r="C241" s="561" t="s">
        <v>837</v>
      </c>
      <c r="H241" s="794">
        <v>0.05</v>
      </c>
    </row>
    <row r="242" spans="1:8">
      <c r="C242" s="759" t="s">
        <v>836</v>
      </c>
      <c r="D242" s="759"/>
      <c r="E242" s="759"/>
      <c r="F242" s="759"/>
      <c r="G242" s="759"/>
      <c r="H242" s="793">
        <v>0.21</v>
      </c>
    </row>
    <row r="243" spans="1:8">
      <c r="C243" s="561" t="s">
        <v>835</v>
      </c>
      <c r="G243" s="762" t="s">
        <v>834</v>
      </c>
      <c r="H243" s="792">
        <f>+H241+H242</f>
        <v>0.26</v>
      </c>
    </row>
    <row r="244" spans="1:8">
      <c r="H244" s="791"/>
    </row>
    <row r="245" spans="1:8">
      <c r="C245" s="561" t="s">
        <v>833</v>
      </c>
      <c r="H245" s="794">
        <v>0.52</v>
      </c>
    </row>
    <row r="246" spans="1:8">
      <c r="C246" s="759" t="s">
        <v>832</v>
      </c>
      <c r="D246" s="759"/>
      <c r="E246" s="759"/>
      <c r="F246" s="759"/>
      <c r="G246" s="759"/>
      <c r="H246" s="793">
        <v>0.28999999999999998</v>
      </c>
    </row>
    <row r="247" spans="1:8">
      <c r="C247" s="561" t="s">
        <v>831</v>
      </c>
      <c r="G247" s="762" t="s">
        <v>830</v>
      </c>
      <c r="H247" s="792">
        <f>+H245+H246</f>
        <v>0.81</v>
      </c>
    </row>
    <row r="248" spans="1:8">
      <c r="H248" s="791"/>
    </row>
    <row r="249" spans="1:8">
      <c r="H249" s="791"/>
    </row>
    <row r="250" spans="1:8">
      <c r="H250" s="791"/>
    </row>
    <row r="251" spans="1:8">
      <c r="A251" s="762" t="s">
        <v>18</v>
      </c>
      <c r="B251" s="761" t="s">
        <v>829</v>
      </c>
      <c r="H251" s="791"/>
    </row>
    <row r="252" spans="1:8">
      <c r="H252" s="791"/>
    </row>
    <row r="253" spans="1:8">
      <c r="C253" s="561" t="s">
        <v>828</v>
      </c>
      <c r="G253" s="762" t="s">
        <v>827</v>
      </c>
      <c r="H253" s="790">
        <v>0.17</v>
      </c>
    </row>
    <row r="257" spans="1:11">
      <c r="A257" s="762" t="s">
        <v>29</v>
      </c>
      <c r="B257" s="761" t="s">
        <v>826</v>
      </c>
    </row>
    <row r="259" spans="1:11">
      <c r="B259" s="561" t="s">
        <v>825</v>
      </c>
      <c r="D259" s="561" t="s">
        <v>824</v>
      </c>
    </row>
    <row r="260" spans="1:11">
      <c r="B260" s="561" t="s">
        <v>823</v>
      </c>
      <c r="D260" s="561" t="s">
        <v>822</v>
      </c>
    </row>
    <row r="264" spans="1:11">
      <c r="B264" s="561" t="s">
        <v>821</v>
      </c>
    </row>
    <row r="269" spans="1:11">
      <c r="B269" s="561" t="s">
        <v>820</v>
      </c>
      <c r="E269" s="789">
        <f>ROUND((1+H253)*((1+H243)+(1+H247)*0.5)*H235/12,4)</f>
        <v>3.4000000000000002E-2</v>
      </c>
      <c r="F269" s="561" t="s">
        <v>819</v>
      </c>
    </row>
    <row r="272" spans="1:11">
      <c r="A272" s="762" t="s">
        <v>91</v>
      </c>
      <c r="B272" s="788" t="s">
        <v>818</v>
      </c>
      <c r="C272" s="782"/>
      <c r="D272" s="782"/>
      <c r="E272" s="782"/>
      <c r="F272" s="782"/>
      <c r="H272" s="606" t="s">
        <v>817</v>
      </c>
      <c r="I272" s="606" t="s">
        <v>729</v>
      </c>
      <c r="J272" s="606"/>
      <c r="K272" s="606" t="s">
        <v>211</v>
      </c>
    </row>
    <row r="273" spans="2:11">
      <c r="H273" s="775" t="s">
        <v>816</v>
      </c>
      <c r="I273" s="775" t="s">
        <v>138</v>
      </c>
      <c r="J273" s="775"/>
      <c r="K273" s="775" t="s">
        <v>138</v>
      </c>
    </row>
    <row r="274" spans="2:11">
      <c r="H274" s="606"/>
      <c r="I274" s="787">
        <f>+E269</f>
        <v>3.4000000000000002E-2</v>
      </c>
      <c r="J274" s="606"/>
      <c r="K274" s="606"/>
    </row>
    <row r="275" spans="2:11">
      <c r="B275" s="761" t="s">
        <v>815</v>
      </c>
    </row>
    <row r="276" spans="2:11">
      <c r="C276" s="784" t="s">
        <v>810</v>
      </c>
      <c r="G276" s="782"/>
    </row>
    <row r="277" spans="2:11">
      <c r="D277" s="561" t="s">
        <v>806</v>
      </c>
      <c r="G277" s="782"/>
      <c r="H277" s="786">
        <v>391</v>
      </c>
      <c r="I277" s="777">
        <f>ROUND(H277*I$274,2)</f>
        <v>13.29</v>
      </c>
    </row>
    <row r="278" spans="2:11">
      <c r="D278" s="561" t="s">
        <v>805</v>
      </c>
      <c r="G278" s="782"/>
      <c r="H278" s="786">
        <v>38</v>
      </c>
      <c r="I278" s="561">
        <f>ROUND(H278*I$274,2)</f>
        <v>1.29</v>
      </c>
    </row>
    <row r="279" spans="2:11">
      <c r="D279" s="561" t="s">
        <v>804</v>
      </c>
      <c r="G279" s="782"/>
      <c r="H279" s="786">
        <v>391</v>
      </c>
      <c r="I279" s="561">
        <f>ROUND(H279*I$274,2)</f>
        <v>13.29</v>
      </c>
    </row>
    <row r="280" spans="2:11">
      <c r="D280" s="561" t="s">
        <v>809</v>
      </c>
      <c r="G280" s="782"/>
      <c r="H280" s="786">
        <v>391</v>
      </c>
      <c r="I280" s="561">
        <f>ROUND(H280*I$274,2)</f>
        <v>13.29</v>
      </c>
    </row>
    <row r="281" spans="2:11">
      <c r="C281" s="759"/>
      <c r="D281" s="759" t="s">
        <v>808</v>
      </c>
      <c r="E281" s="759"/>
      <c r="F281" s="780"/>
      <c r="G281" s="780"/>
      <c r="H281" s="779">
        <v>38</v>
      </c>
      <c r="I281" s="759">
        <f>ROUND(H281*I$274,2)</f>
        <v>1.29</v>
      </c>
      <c r="J281" s="759"/>
      <c r="K281" s="759"/>
    </row>
    <row r="282" spans="2:11">
      <c r="C282" s="561" t="s">
        <v>9</v>
      </c>
      <c r="H282" s="783"/>
      <c r="I282" s="778">
        <f>SUM(I277:I281)</f>
        <v>42.449999999999996</v>
      </c>
      <c r="J282" s="561" t="s">
        <v>801</v>
      </c>
      <c r="K282" s="777">
        <f>ROUND(I282/5,2)</f>
        <v>8.49</v>
      </c>
    </row>
    <row r="283" spans="2:11">
      <c r="H283" s="783"/>
      <c r="J283" s="762" t="s">
        <v>310</v>
      </c>
      <c r="K283" s="776">
        <f>ROUND(K282*20,0)/20</f>
        <v>8.5</v>
      </c>
    </row>
    <row r="284" spans="2:11">
      <c r="H284" s="783"/>
    </row>
    <row r="285" spans="2:11">
      <c r="C285" s="784" t="s">
        <v>807</v>
      </c>
      <c r="G285" s="782"/>
      <c r="H285" s="783"/>
    </row>
    <row r="286" spans="2:11">
      <c r="D286" s="561" t="s">
        <v>806</v>
      </c>
      <c r="G286" s="782"/>
      <c r="H286" s="786">
        <v>391</v>
      </c>
      <c r="I286" s="777">
        <f>ROUND(H286*I$274,2)</f>
        <v>13.29</v>
      </c>
    </row>
    <row r="287" spans="2:11">
      <c r="D287" s="561" t="s">
        <v>805</v>
      </c>
      <c r="G287" s="782"/>
      <c r="H287" s="786">
        <v>230</v>
      </c>
      <c r="I287" s="561">
        <f>ROUND(H287*I$274,2)</f>
        <v>7.82</v>
      </c>
    </row>
    <row r="288" spans="2:11">
      <c r="D288" s="561" t="s">
        <v>814</v>
      </c>
      <c r="G288" s="782"/>
      <c r="H288" s="786">
        <v>391</v>
      </c>
      <c r="I288" s="561">
        <f>ROUND(H288*I$274,2)</f>
        <v>13.29</v>
      </c>
    </row>
    <row r="289" spans="2:11">
      <c r="D289" s="561" t="s">
        <v>813</v>
      </c>
      <c r="G289" s="782"/>
      <c r="H289" s="786">
        <v>391</v>
      </c>
      <c r="I289" s="561">
        <f>ROUND(H289*I$274,2)</f>
        <v>13.29</v>
      </c>
    </row>
    <row r="290" spans="2:11">
      <c r="C290" s="759"/>
      <c r="D290" s="759" t="s">
        <v>812</v>
      </c>
      <c r="E290" s="759"/>
      <c r="F290" s="759"/>
      <c r="G290" s="780"/>
      <c r="H290" s="779">
        <v>230</v>
      </c>
      <c r="I290" s="759">
        <f>ROUND(H290*I$274,2)</f>
        <v>7.82</v>
      </c>
      <c r="J290" s="759"/>
      <c r="K290" s="759"/>
    </row>
    <row r="291" spans="2:11">
      <c r="C291" s="561" t="s">
        <v>9</v>
      </c>
      <c r="H291" s="783"/>
      <c r="I291" s="778">
        <f>SUM(I286:I290)</f>
        <v>55.51</v>
      </c>
      <c r="J291" s="561" t="s">
        <v>801</v>
      </c>
      <c r="K291" s="777">
        <f>ROUND(I291/5,2)</f>
        <v>11.1</v>
      </c>
    </row>
    <row r="292" spans="2:11">
      <c r="H292" s="783"/>
      <c r="J292" s="762" t="s">
        <v>310</v>
      </c>
      <c r="K292" s="776">
        <f>ROUND(K291*20,0)/20</f>
        <v>11.1</v>
      </c>
    </row>
    <row r="293" spans="2:11">
      <c r="H293" s="783"/>
    </row>
    <row r="294" spans="2:11">
      <c r="H294" s="783"/>
    </row>
    <row r="295" spans="2:11">
      <c r="B295" s="761" t="s">
        <v>811</v>
      </c>
      <c r="H295" s="783"/>
    </row>
    <row r="296" spans="2:11">
      <c r="C296" s="784" t="s">
        <v>810</v>
      </c>
      <c r="G296" s="782"/>
      <c r="H296" s="785"/>
    </row>
    <row r="297" spans="2:11">
      <c r="D297" s="561" t="s">
        <v>806</v>
      </c>
      <c r="G297" s="782"/>
      <c r="H297" s="786">
        <v>400</v>
      </c>
      <c r="I297" s="777">
        <f>ROUND(H297*I$274,2)</f>
        <v>13.6</v>
      </c>
    </row>
    <row r="298" spans="2:11">
      <c r="D298" s="561" t="s">
        <v>805</v>
      </c>
      <c r="G298" s="782"/>
      <c r="H298" s="786">
        <v>96</v>
      </c>
      <c r="I298" s="561">
        <f>ROUND(H298*I$274,2)</f>
        <v>3.26</v>
      </c>
    </row>
    <row r="299" spans="2:11">
      <c r="D299" s="561" t="s">
        <v>804</v>
      </c>
      <c r="G299" s="782"/>
      <c r="H299" s="786">
        <v>400</v>
      </c>
      <c r="I299" s="561">
        <f>ROUND(H299*I$274,2)</f>
        <v>13.6</v>
      </c>
    </row>
    <row r="300" spans="2:11">
      <c r="D300" s="561" t="s">
        <v>809</v>
      </c>
      <c r="G300" s="782"/>
      <c r="H300" s="786">
        <v>400</v>
      </c>
      <c r="I300" s="561">
        <f>ROUND(H300*I$274,2)</f>
        <v>13.6</v>
      </c>
    </row>
    <row r="301" spans="2:11">
      <c r="C301" s="759"/>
      <c r="D301" s="759" t="s">
        <v>808</v>
      </c>
      <c r="E301" s="759"/>
      <c r="F301" s="780"/>
      <c r="G301" s="780"/>
      <c r="H301" s="779">
        <v>38</v>
      </c>
      <c r="I301" s="759">
        <f>ROUND(H301*I$274,2)</f>
        <v>1.29</v>
      </c>
      <c r="J301" s="759"/>
      <c r="K301" s="759"/>
    </row>
    <row r="302" spans="2:11">
      <c r="C302" s="561" t="s">
        <v>9</v>
      </c>
      <c r="H302" s="785"/>
      <c r="I302" s="778">
        <f>SUM(I297:I301)</f>
        <v>45.35</v>
      </c>
      <c r="J302" s="561" t="s">
        <v>801</v>
      </c>
      <c r="K302" s="777">
        <f>ROUND(I302/5,2)</f>
        <v>9.07</v>
      </c>
    </row>
    <row r="303" spans="2:11">
      <c r="H303" s="783"/>
      <c r="J303" s="762" t="s">
        <v>310</v>
      </c>
      <c r="K303" s="776">
        <f>ROUND(K302*20,0)/20</f>
        <v>9.0500000000000007</v>
      </c>
    </row>
    <row r="304" spans="2:11">
      <c r="H304" s="783"/>
    </row>
    <row r="305" spans="3:11">
      <c r="C305" s="784" t="s">
        <v>807</v>
      </c>
      <c r="G305" s="782"/>
      <c r="H305" s="783"/>
    </row>
    <row r="306" spans="3:11">
      <c r="D306" s="561" t="s">
        <v>806</v>
      </c>
      <c r="G306" s="782"/>
      <c r="H306" s="781">
        <v>400</v>
      </c>
      <c r="I306" s="777">
        <f>ROUND(H306*I$274,2)</f>
        <v>13.6</v>
      </c>
    </row>
    <row r="307" spans="3:11">
      <c r="D307" s="561" t="s">
        <v>805</v>
      </c>
      <c r="G307" s="782"/>
      <c r="H307" s="781">
        <v>239</v>
      </c>
      <c r="I307" s="561">
        <f>ROUND(H307*I$274,2)</f>
        <v>8.1300000000000008</v>
      </c>
    </row>
    <row r="308" spans="3:11">
      <c r="D308" s="561" t="s">
        <v>804</v>
      </c>
      <c r="G308" s="782"/>
      <c r="H308" s="781">
        <v>400</v>
      </c>
      <c r="I308" s="561">
        <f>ROUND(H308*I$274,2)</f>
        <v>13.6</v>
      </c>
    </row>
    <row r="309" spans="3:11">
      <c r="D309" s="561" t="s">
        <v>803</v>
      </c>
      <c r="G309" s="782"/>
      <c r="H309" s="781">
        <v>400</v>
      </c>
      <c r="I309" s="561">
        <f>ROUND(H309*I$274,2)</f>
        <v>13.6</v>
      </c>
    </row>
    <row r="310" spans="3:11">
      <c r="C310" s="759"/>
      <c r="D310" s="759" t="s">
        <v>802</v>
      </c>
      <c r="E310" s="759"/>
      <c r="F310" s="759"/>
      <c r="G310" s="780"/>
      <c r="H310" s="779">
        <v>239</v>
      </c>
      <c r="I310" s="759">
        <f>ROUND(H310*I$274,2)</f>
        <v>8.1300000000000008</v>
      </c>
      <c r="J310" s="759"/>
      <c r="K310" s="759"/>
    </row>
    <row r="311" spans="3:11">
      <c r="C311" s="561" t="s">
        <v>9</v>
      </c>
      <c r="I311" s="778">
        <f>SUM(I306:I310)</f>
        <v>57.06</v>
      </c>
      <c r="J311" s="561" t="s">
        <v>801</v>
      </c>
      <c r="K311" s="777">
        <f>ROUND(I311/5,2)</f>
        <v>11.41</v>
      </c>
    </row>
    <row r="312" spans="3:11">
      <c r="J312" s="762" t="s">
        <v>310</v>
      </c>
      <c r="K312" s="776">
        <f>ROUND(K311*20,0)/20</f>
        <v>11.4</v>
      </c>
    </row>
    <row r="374" spans="1:8">
      <c r="A374" s="762" t="s">
        <v>150</v>
      </c>
      <c r="B374" s="761" t="s">
        <v>800</v>
      </c>
    </row>
    <row r="375" spans="1:8">
      <c r="D375" s="606"/>
      <c r="E375" s="606"/>
      <c r="F375" s="606"/>
      <c r="G375" s="606"/>
      <c r="H375" s="606" t="s">
        <v>799</v>
      </c>
    </row>
    <row r="376" spans="1:8">
      <c r="D376" s="606"/>
      <c r="E376" s="606"/>
      <c r="F376" s="606"/>
      <c r="G376" s="606"/>
      <c r="H376" s="606" t="s">
        <v>798</v>
      </c>
    </row>
    <row r="377" spans="1:8">
      <c r="D377" s="775" t="s">
        <v>797</v>
      </c>
      <c r="E377" s="775"/>
      <c r="F377" s="775" t="s">
        <v>188</v>
      </c>
      <c r="G377" s="775"/>
      <c r="H377" s="775" t="s">
        <v>796</v>
      </c>
    </row>
    <row r="379" spans="1:8">
      <c r="D379" s="774">
        <v>2014</v>
      </c>
      <c r="E379" s="772"/>
      <c r="F379" s="771">
        <v>2.0680798271775012E-2</v>
      </c>
      <c r="G379" s="606"/>
      <c r="H379" s="767">
        <f>(1+F379)</f>
        <v>1.0206807982717749</v>
      </c>
    </row>
    <row r="380" spans="1:8">
      <c r="D380" s="773">
        <f t="shared" ref="D380:D403" si="0">+D379+1</f>
        <v>2015</v>
      </c>
      <c r="E380" s="772"/>
      <c r="F380" s="771">
        <v>2.5704748678215514E-2</v>
      </c>
      <c r="G380" s="606"/>
      <c r="H380" s="767">
        <f t="shared" ref="H380:H403" si="1">H379*(1+F380)</f>
        <v>1.0469171416720313</v>
      </c>
    </row>
    <row r="381" spans="1:8">
      <c r="D381" s="773">
        <f t="shared" si="0"/>
        <v>2016</v>
      </c>
      <c r="E381" s="772"/>
      <c r="F381" s="771">
        <v>2.2493113552654036E-2</v>
      </c>
      <c r="G381" s="606"/>
      <c r="H381" s="767">
        <f t="shared" si="1"/>
        <v>1.0704655678198802</v>
      </c>
    </row>
    <row r="382" spans="1:8">
      <c r="D382" s="773">
        <f t="shared" si="0"/>
        <v>2017</v>
      </c>
      <c r="E382" s="772"/>
      <c r="F382" s="771">
        <v>1.9704078298205713E-2</v>
      </c>
      <c r="G382" s="606"/>
      <c r="H382" s="767">
        <f t="shared" si="1"/>
        <v>1.0915581051837364</v>
      </c>
    </row>
    <row r="383" spans="1:8">
      <c r="D383" s="773">
        <f t="shared" si="0"/>
        <v>2018</v>
      </c>
      <c r="E383" s="772"/>
      <c r="F383" s="771">
        <v>1.7537901925476624E-2</v>
      </c>
      <c r="G383" s="606"/>
      <c r="H383" s="767">
        <f t="shared" si="1"/>
        <v>1.1107017441784079</v>
      </c>
    </row>
    <row r="384" spans="1:8">
      <c r="D384" s="766">
        <f t="shared" si="0"/>
        <v>2019</v>
      </c>
      <c r="E384" s="606"/>
      <c r="F384" s="770">
        <v>1.5515400070634087E-2</v>
      </c>
      <c r="G384" s="606"/>
      <c r="H384" s="767">
        <f t="shared" si="1"/>
        <v>1.1279347260984871</v>
      </c>
    </row>
    <row r="385" spans="4:8">
      <c r="D385" s="766">
        <f t="shared" si="0"/>
        <v>2020</v>
      </c>
      <c r="E385" s="606"/>
      <c r="F385" s="770">
        <v>1.2910699005224451E-2</v>
      </c>
      <c r="G385" s="606"/>
      <c r="H385" s="767">
        <f t="shared" si="1"/>
        <v>1.1424971518446849</v>
      </c>
    </row>
    <row r="386" spans="4:8">
      <c r="D386" s="766">
        <f t="shared" si="0"/>
        <v>2021</v>
      </c>
      <c r="E386" s="606"/>
      <c r="F386" s="770">
        <v>1.2659480729042065E-2</v>
      </c>
      <c r="G386" s="606"/>
      <c r="H386" s="767">
        <f t="shared" si="1"/>
        <v>1.1569605725214482</v>
      </c>
    </row>
    <row r="387" spans="4:8">
      <c r="D387" s="766">
        <f t="shared" si="0"/>
        <v>2022</v>
      </c>
      <c r="E387" s="606"/>
      <c r="F387" s="770">
        <v>1.3255160056762109E-2</v>
      </c>
      <c r="G387" s="606"/>
      <c r="H387" s="767">
        <f t="shared" si="1"/>
        <v>1.1722962700895831</v>
      </c>
    </row>
    <row r="388" spans="4:8">
      <c r="D388" s="766">
        <f t="shared" si="0"/>
        <v>2023</v>
      </c>
      <c r="E388" s="606"/>
      <c r="F388" s="770">
        <v>1.3337322549108997E-2</v>
      </c>
      <c r="G388" s="606"/>
      <c r="H388" s="767">
        <f t="shared" si="1"/>
        <v>1.1879315635668852</v>
      </c>
    </row>
    <row r="389" spans="4:8">
      <c r="D389" s="766">
        <f t="shared" si="0"/>
        <v>2024</v>
      </c>
      <c r="E389" s="606"/>
      <c r="F389" s="770">
        <v>1.2933101528227096E-2</v>
      </c>
      <c r="G389" s="606"/>
      <c r="H389" s="767">
        <f t="shared" si="1"/>
        <v>1.2032952030870812</v>
      </c>
    </row>
    <row r="390" spans="4:8">
      <c r="D390" s="766">
        <f t="shared" si="0"/>
        <v>2025</v>
      </c>
      <c r="E390" s="606"/>
      <c r="F390" s="770">
        <v>1.2770097246892499E-2</v>
      </c>
      <c r="G390" s="606"/>
      <c r="H390" s="767">
        <f t="shared" si="1"/>
        <v>1.2186613998472224</v>
      </c>
    </row>
    <row r="391" spans="4:8">
      <c r="D391" s="766">
        <f t="shared" si="0"/>
        <v>2026</v>
      </c>
      <c r="E391" s="606"/>
      <c r="F391" s="769">
        <f>F390</f>
        <v>1.2770097246892499E-2</v>
      </c>
      <c r="G391" s="606"/>
      <c r="H391" s="767">
        <f t="shared" si="1"/>
        <v>1.2342238244343056</v>
      </c>
    </row>
    <row r="392" spans="4:8">
      <c r="D392" s="766">
        <f t="shared" si="0"/>
        <v>2027</v>
      </c>
      <c r="E392" s="606"/>
      <c r="F392" s="769">
        <f>F391</f>
        <v>1.2770097246892499E-2</v>
      </c>
      <c r="G392" s="606"/>
      <c r="H392" s="767">
        <f t="shared" si="1"/>
        <v>1.2499849826967633</v>
      </c>
    </row>
    <row r="393" spans="4:8">
      <c r="D393" s="766">
        <f t="shared" si="0"/>
        <v>2028</v>
      </c>
      <c r="E393" s="606"/>
      <c r="F393" s="768">
        <f t="shared" ref="F393:F403" si="2">+F392</f>
        <v>1.2770097246892499E-2</v>
      </c>
      <c r="G393" s="606"/>
      <c r="H393" s="767">
        <f t="shared" si="1"/>
        <v>1.2659474124829562</v>
      </c>
    </row>
    <row r="394" spans="4:8">
      <c r="D394" s="766">
        <f t="shared" si="0"/>
        <v>2029</v>
      </c>
      <c r="E394" s="606"/>
      <c r="F394" s="768">
        <f t="shared" si="2"/>
        <v>1.2770097246892499E-2</v>
      </c>
      <c r="G394" s="606"/>
      <c r="H394" s="767">
        <f t="shared" si="1"/>
        <v>1.2821136840498155</v>
      </c>
    </row>
    <row r="395" spans="4:8">
      <c r="D395" s="766">
        <f t="shared" si="0"/>
        <v>2030</v>
      </c>
      <c r="E395" s="606"/>
      <c r="F395" s="768">
        <f t="shared" si="2"/>
        <v>1.2770097246892499E-2</v>
      </c>
      <c r="G395" s="606"/>
      <c r="H395" s="767">
        <f t="shared" si="1"/>
        <v>1.2984864004767032</v>
      </c>
    </row>
    <row r="396" spans="4:8">
      <c r="D396" s="766">
        <f t="shared" si="0"/>
        <v>2031</v>
      </c>
      <c r="E396" s="606"/>
      <c r="F396" s="768">
        <f t="shared" si="2"/>
        <v>1.2770097246892499E-2</v>
      </c>
      <c r="G396" s="606"/>
      <c r="H396" s="767">
        <f t="shared" si="1"/>
        <v>1.315068198084558</v>
      </c>
    </row>
    <row r="397" spans="4:8">
      <c r="D397" s="766">
        <f t="shared" si="0"/>
        <v>2032</v>
      </c>
      <c r="E397" s="606"/>
      <c r="F397" s="768">
        <f t="shared" si="2"/>
        <v>1.2770097246892499E-2</v>
      </c>
      <c r="G397" s="606"/>
      <c r="H397" s="767">
        <f t="shared" si="1"/>
        <v>1.3318617468603935</v>
      </c>
    </row>
    <row r="398" spans="4:8">
      <c r="D398" s="766">
        <f t="shared" si="0"/>
        <v>2033</v>
      </c>
      <c r="E398" s="606"/>
      <c r="F398" s="768">
        <f t="shared" si="2"/>
        <v>1.2770097246892499E-2</v>
      </c>
      <c r="G398" s="606"/>
      <c r="H398" s="767">
        <f t="shared" si="1"/>
        <v>1.3488697508872167</v>
      </c>
    </row>
    <row r="399" spans="4:8">
      <c r="D399" s="766">
        <f t="shared" si="0"/>
        <v>2034</v>
      </c>
      <c r="F399" s="768">
        <f t="shared" si="2"/>
        <v>1.2770097246892499E-2</v>
      </c>
      <c r="H399" s="767">
        <f t="shared" si="1"/>
        <v>1.366094948779438</v>
      </c>
    </row>
    <row r="400" spans="4:8">
      <c r="D400" s="766">
        <f t="shared" si="0"/>
        <v>2035</v>
      </c>
      <c r="F400" s="768">
        <f t="shared" si="2"/>
        <v>1.2770097246892499E-2</v>
      </c>
      <c r="H400" s="767">
        <f t="shared" si="1"/>
        <v>1.3835401141238401</v>
      </c>
    </row>
    <row r="401" spans="1:8">
      <c r="D401" s="766">
        <f t="shared" si="0"/>
        <v>2036</v>
      </c>
      <c r="F401" s="768">
        <f t="shared" si="2"/>
        <v>1.2770097246892499E-2</v>
      </c>
      <c r="H401" s="767">
        <f t="shared" si="1"/>
        <v>1.4012080559261784</v>
      </c>
    </row>
    <row r="402" spans="1:8">
      <c r="D402" s="766">
        <f t="shared" si="0"/>
        <v>2037</v>
      </c>
      <c r="F402" s="768">
        <f t="shared" si="2"/>
        <v>1.2770097246892499E-2</v>
      </c>
      <c r="H402" s="767">
        <f t="shared" si="1"/>
        <v>1.4191016190634849</v>
      </c>
    </row>
    <row r="403" spans="1:8">
      <c r="D403" s="766">
        <f t="shared" si="0"/>
        <v>2038</v>
      </c>
      <c r="F403" s="768">
        <f t="shared" si="2"/>
        <v>1.2770097246892499E-2</v>
      </c>
      <c r="H403" s="767">
        <f t="shared" si="1"/>
        <v>1.4372236847421482</v>
      </c>
    </row>
    <row r="404" spans="1:8">
      <c r="D404" s="766"/>
    </row>
    <row r="406" spans="1:8">
      <c r="D406" s="561" t="s">
        <v>795</v>
      </c>
      <c r="F406" s="765" t="str">
        <f>FIXED(D379,0,1)&amp;" to "&amp;FIXED(D403,0,1)&amp;" ="</f>
        <v>2014 to 2038 =</v>
      </c>
      <c r="G406" s="764">
        <f>+H403</f>
        <v>1.4372236847421482</v>
      </c>
    </row>
    <row r="408" spans="1:8">
      <c r="D408" s="561" t="s">
        <v>794</v>
      </c>
      <c r="G408" s="561">
        <f>DATEDIF(DATE(D379,1,1),DATE(D403+1,1,1),"y")</f>
        <v>25</v>
      </c>
    </row>
    <row r="410" spans="1:8">
      <c r="D410" s="561" t="s">
        <v>793</v>
      </c>
      <c r="G410" s="763">
        <f>ROUND(G406^(1/G408)-1,3)</f>
        <v>1.4999999999999999E-2</v>
      </c>
    </row>
    <row r="413" spans="1:8" ht="15.75">
      <c r="B413" s="561" t="s">
        <v>792</v>
      </c>
    </row>
    <row r="416" spans="1:8">
      <c r="A416" s="762" t="s">
        <v>12</v>
      </c>
      <c r="B416" s="761" t="s">
        <v>791</v>
      </c>
    </row>
    <row r="418" spans="4:6">
      <c r="D418" s="561" t="s">
        <v>790</v>
      </c>
      <c r="F418" s="760">
        <v>853621</v>
      </c>
    </row>
    <row r="419" spans="4:6">
      <c r="D419" s="759" t="s">
        <v>789</v>
      </c>
      <c r="E419" s="759"/>
      <c r="F419" s="758">
        <v>79342</v>
      </c>
    </row>
    <row r="420" spans="4:6">
      <c r="D420" s="561" t="s">
        <v>788</v>
      </c>
      <c r="F420" s="757">
        <f>SUM(F418:F419)</f>
        <v>932963</v>
      </c>
    </row>
    <row r="421" spans="4:6" ht="13.5" thickBot="1">
      <c r="D421" s="756" t="s">
        <v>787</v>
      </c>
      <c r="E421" s="756"/>
      <c r="F421" s="755">
        <v>24511141</v>
      </c>
    </row>
    <row r="422" spans="4:6">
      <c r="D422" s="561" t="s">
        <v>786</v>
      </c>
      <c r="F422" s="754">
        <f>F420/F421</f>
        <v>3.8062813966922224E-2</v>
      </c>
    </row>
  </sheetData>
  <printOptions horizontalCentered="1"/>
  <pageMargins left="0.75" right="0.75" top="1" bottom="0.5" header="0.5" footer="0.5"/>
  <pageSetup scale="70" fitToHeight="0" orientation="portrait" r:id="rId1"/>
  <headerFooter alignWithMargins="0">
    <oddHeader>&amp;L&amp;F
Page &amp;P of &amp;N&amp;CKentucky Power Company
Cogen Rate Design
Twelve Months Ended September 30, 2014</oddHeader>
  </headerFooter>
  <rowBreaks count="8" manualBreakCount="8">
    <brk id="35" max="16383" man="1"/>
    <brk id="106" max="10" man="1"/>
    <brk id="140" max="16383" man="1"/>
    <brk id="180" max="16383" man="1"/>
    <brk id="228" max="16383" man="1"/>
    <brk id="269" max="16383" man="1"/>
    <brk id="312" max="16383" man="1"/>
    <brk id="373" max="16383" man="1"/>
  </rowBreaks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1</xdr:col>
                <xdr:colOff>47625</xdr:colOff>
                <xdr:row>27</xdr:row>
                <xdr:rowOff>9525</xdr:rowOff>
              </from>
              <to>
                <xdr:col>4</xdr:col>
                <xdr:colOff>257175</xdr:colOff>
                <xdr:row>31</xdr:row>
                <xdr:rowOff>57150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1</xdr:col>
                <xdr:colOff>47625</xdr:colOff>
                <xdr:row>36</xdr:row>
                <xdr:rowOff>142875</xdr:rowOff>
              </from>
              <to>
                <xdr:col>5</xdr:col>
                <xdr:colOff>695325</xdr:colOff>
                <xdr:row>41</xdr:row>
                <xdr:rowOff>114300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1</xdr:col>
                <xdr:colOff>28575</xdr:colOff>
                <xdr:row>43</xdr:row>
                <xdr:rowOff>57150</xdr:rowOff>
              </from>
              <to>
                <xdr:col>3</xdr:col>
                <xdr:colOff>285750</xdr:colOff>
                <xdr:row>45</xdr:row>
                <xdr:rowOff>114300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1</xdr:col>
                <xdr:colOff>28575</xdr:colOff>
                <xdr:row>46</xdr:row>
                <xdr:rowOff>66675</xdr:rowOff>
              </from>
              <to>
                <xdr:col>3</xdr:col>
                <xdr:colOff>466725</xdr:colOff>
                <xdr:row>49</xdr:row>
                <xdr:rowOff>28575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1</xdr:col>
                <xdr:colOff>38100</xdr:colOff>
                <xdr:row>50</xdr:row>
                <xdr:rowOff>38100</xdr:rowOff>
              </from>
              <to>
                <xdr:col>3</xdr:col>
                <xdr:colOff>152400</xdr:colOff>
                <xdr:row>52</xdr:row>
                <xdr:rowOff>9525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38100</xdr:colOff>
                <xdr:row>53</xdr:row>
                <xdr:rowOff>9525</xdr:rowOff>
              </from>
              <to>
                <xdr:col>3</xdr:col>
                <xdr:colOff>238125</xdr:colOff>
                <xdr:row>55</xdr:row>
                <xdr:rowOff>114300</xdr:rowOff>
              </to>
            </anchor>
          </objectPr>
        </oleObject>
      </mc:Choice>
      <mc:Fallback>
        <oleObject progId="Equation.3" shapeId="1030" r:id="rId14"/>
      </mc:Fallback>
    </mc:AlternateContent>
    <mc:AlternateContent xmlns:mc="http://schemas.openxmlformats.org/markup-compatibility/2006">
      <mc:Choice Requires="x14">
        <oleObject progId="Equation.3" shapeId="1031" r:id="rId16">
          <objectPr defaultSize="0" autoPict="0" r:id="rId17">
            <anchor moveWithCells="1">
              <from>
                <xdr:col>1</xdr:col>
                <xdr:colOff>38100</xdr:colOff>
                <xdr:row>56</xdr:row>
                <xdr:rowOff>152400</xdr:rowOff>
              </from>
              <to>
                <xdr:col>3</xdr:col>
                <xdr:colOff>295275</xdr:colOff>
                <xdr:row>58</xdr:row>
                <xdr:rowOff>95250</xdr:rowOff>
              </to>
            </anchor>
          </objectPr>
        </oleObject>
      </mc:Choice>
      <mc:Fallback>
        <oleObject progId="Equation.3" shapeId="1031" r:id="rId16"/>
      </mc:Fallback>
    </mc:AlternateContent>
    <mc:AlternateContent xmlns:mc="http://schemas.openxmlformats.org/markup-compatibility/2006">
      <mc:Choice Requires="x14">
        <oleObject progId="Equation.3" shapeId="1032" r:id="rId18">
          <objectPr defaultSize="0" autoPict="0" r:id="rId19">
            <anchor moveWithCells="1">
              <from>
                <xdr:col>1</xdr:col>
                <xdr:colOff>38100</xdr:colOff>
                <xdr:row>59</xdr:row>
                <xdr:rowOff>123825</xdr:rowOff>
              </from>
              <to>
                <xdr:col>2</xdr:col>
                <xdr:colOff>38100</xdr:colOff>
                <xdr:row>62</xdr:row>
                <xdr:rowOff>28575</xdr:rowOff>
              </to>
            </anchor>
          </objectPr>
        </oleObject>
      </mc:Choice>
      <mc:Fallback>
        <oleObject progId="Equation.3" shapeId="1032" r:id="rId18"/>
      </mc:Fallback>
    </mc:AlternateContent>
    <mc:AlternateContent xmlns:mc="http://schemas.openxmlformats.org/markup-compatibility/2006">
      <mc:Choice Requires="x14">
        <oleObject progId="Equation.3" shapeId="1033" r:id="rId20">
          <objectPr defaultSize="0" autoPict="0" r:id="rId21">
            <anchor moveWithCells="1">
              <from>
                <xdr:col>2</xdr:col>
                <xdr:colOff>28575</xdr:colOff>
                <xdr:row>173</xdr:row>
                <xdr:rowOff>85725</xdr:rowOff>
              </from>
              <to>
                <xdr:col>6</xdr:col>
                <xdr:colOff>228600</xdr:colOff>
                <xdr:row>176</xdr:row>
                <xdr:rowOff>57150</xdr:rowOff>
              </to>
            </anchor>
          </objectPr>
        </oleObject>
      </mc:Choice>
      <mc:Fallback>
        <oleObject progId="Equation.3" shapeId="1033" r:id="rId20"/>
      </mc:Fallback>
    </mc:AlternateContent>
    <mc:AlternateContent xmlns:mc="http://schemas.openxmlformats.org/markup-compatibility/2006">
      <mc:Choice Requires="x14">
        <oleObject progId="Equation.3" shapeId="1034" r:id="rId22">
          <objectPr defaultSize="0" autoPict="0" r:id="rId23">
            <anchor moveWithCells="1">
              <from>
                <xdr:col>1</xdr:col>
                <xdr:colOff>47625</xdr:colOff>
                <xdr:row>262</xdr:row>
                <xdr:rowOff>95250</xdr:rowOff>
              </from>
              <to>
                <xdr:col>6</xdr:col>
                <xdr:colOff>542925</xdr:colOff>
                <xdr:row>265</xdr:row>
                <xdr:rowOff>66675</xdr:rowOff>
              </to>
            </anchor>
          </objectPr>
        </oleObject>
      </mc:Choice>
      <mc:Fallback>
        <oleObject progId="Equation.3" shapeId="1034" r:id="rId22"/>
      </mc:Fallback>
    </mc:AlternateContent>
    <mc:AlternateContent xmlns:mc="http://schemas.openxmlformats.org/markup-compatibility/2006">
      <mc:Choice Requires="x14">
        <oleObject progId="Equation.3" shapeId="1035" r:id="rId24">
          <objectPr defaultSize="0" autoPict="0" r:id="rId25">
            <anchor moveWithCells="1">
              <from>
                <xdr:col>1</xdr:col>
                <xdr:colOff>180975</xdr:colOff>
                <xdr:row>72</xdr:row>
                <xdr:rowOff>133350</xdr:rowOff>
              </from>
              <to>
                <xdr:col>5</xdr:col>
                <xdr:colOff>1209675</xdr:colOff>
                <xdr:row>79</xdr:row>
                <xdr:rowOff>19050</xdr:rowOff>
              </to>
            </anchor>
          </objectPr>
        </oleObject>
      </mc:Choice>
      <mc:Fallback>
        <oleObject progId="Equation.3" shapeId="1035" r:id="rId24"/>
      </mc:Fallback>
    </mc:AlternateContent>
    <mc:AlternateContent xmlns:mc="http://schemas.openxmlformats.org/markup-compatibility/2006">
      <mc:Choice Requires="x14">
        <oleObject progId="Word.Document.12" shapeId="1036" r:id="rId26">
          <objectPr defaultSize="0" r:id="rId27">
            <anchor moveWithCells="1">
              <from>
                <xdr:col>1</xdr:col>
                <xdr:colOff>485775</xdr:colOff>
                <xdr:row>316</xdr:row>
                <xdr:rowOff>152400</xdr:rowOff>
              </from>
              <to>
                <xdr:col>9</xdr:col>
                <xdr:colOff>638175</xdr:colOff>
                <xdr:row>364</xdr:row>
                <xdr:rowOff>95250</xdr:rowOff>
              </to>
            </anchor>
          </objectPr>
        </oleObject>
      </mc:Choice>
      <mc:Fallback>
        <oleObject progId="Word.Document.12" shapeId="1036" r:id="rId2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13" zoomScale="85" zoomScaleNormal="85" workbookViewId="0">
      <selection activeCell="G40" sqref="G40"/>
    </sheetView>
  </sheetViews>
  <sheetFormatPr defaultColWidth="8.75" defaultRowHeight="15"/>
  <cols>
    <col min="1" max="1" width="11.25" style="99" bestFit="1" customWidth="1"/>
    <col min="2" max="2" width="13.25" style="99" bestFit="1" customWidth="1"/>
    <col min="3" max="3" width="14.125" style="99" bestFit="1" customWidth="1"/>
    <col min="4" max="4" width="16.625" style="99" bestFit="1" customWidth="1"/>
    <col min="5" max="5" width="14.125" style="99" bestFit="1" customWidth="1"/>
    <col min="6" max="6" width="13.875" style="99" customWidth="1"/>
    <col min="7" max="16384" width="8.75" style="99"/>
  </cols>
  <sheetData>
    <row r="1" spans="1:4">
      <c r="A1" s="12"/>
    </row>
    <row r="2" spans="1:4">
      <c r="A2" s="12"/>
    </row>
    <row r="3" spans="1:4">
      <c r="A3" s="12"/>
    </row>
    <row r="4" spans="1:4">
      <c r="A4" s="12"/>
    </row>
    <row r="6" spans="1:4">
      <c r="A6" s="99" t="s">
        <v>238</v>
      </c>
      <c r="D6" s="131" t="s">
        <v>237</v>
      </c>
    </row>
    <row r="7" spans="1:4">
      <c r="A7" s="108" t="s">
        <v>236</v>
      </c>
      <c r="B7" s="108" t="s">
        <v>235</v>
      </c>
      <c r="C7" s="108"/>
      <c r="D7" s="108" t="s">
        <v>234</v>
      </c>
    </row>
    <row r="8" spans="1:4">
      <c r="A8" s="133">
        <v>41807</v>
      </c>
      <c r="B8" s="132">
        <v>1800</v>
      </c>
      <c r="C8" s="120"/>
      <c r="D8" s="68">
        <v>380306</v>
      </c>
    </row>
    <row r="9" spans="1:4">
      <c r="A9" s="133">
        <v>41808</v>
      </c>
      <c r="B9" s="132">
        <v>1700</v>
      </c>
      <c r="C9" s="120"/>
      <c r="D9" s="68">
        <v>329885</v>
      </c>
    </row>
    <row r="10" spans="1:4">
      <c r="A10" s="133">
        <v>41821</v>
      </c>
      <c r="B10" s="132">
        <v>1800</v>
      </c>
      <c r="C10" s="120"/>
      <c r="D10" s="68">
        <v>494352</v>
      </c>
    </row>
    <row r="11" spans="1:4">
      <c r="A11" s="133">
        <v>41887</v>
      </c>
      <c r="B11" s="132">
        <v>1600</v>
      </c>
      <c r="C11" s="120"/>
      <c r="D11" s="68">
        <v>344658</v>
      </c>
    </row>
    <row r="12" spans="1:4">
      <c r="A12" s="133">
        <v>41842</v>
      </c>
      <c r="B12" s="132">
        <v>1800</v>
      </c>
      <c r="C12" s="120"/>
      <c r="D12" s="71">
        <v>500898</v>
      </c>
    </row>
    <row r="13" spans="1:4">
      <c r="D13" s="12">
        <f>SUM(D8:D12)</f>
        <v>2050099</v>
      </c>
    </row>
    <row r="14" spans="1:4">
      <c r="A14" s="131" t="s">
        <v>233</v>
      </c>
      <c r="D14" s="22">
        <f>D13/5000</f>
        <v>410.01979999999998</v>
      </c>
    </row>
    <row r="15" spans="1:4">
      <c r="A15" s="99" t="s">
        <v>232</v>
      </c>
      <c r="D15" s="12">
        <v>365</v>
      </c>
    </row>
    <row r="16" spans="1:4">
      <c r="A16" s="99" t="s">
        <v>231</v>
      </c>
      <c r="D16" s="39">
        <f>+F30</f>
        <v>132.42327749999998</v>
      </c>
    </row>
    <row r="17" spans="1:6">
      <c r="A17" s="99" t="s">
        <v>230</v>
      </c>
      <c r="D17" s="9">
        <f>ROUND(+D14*D15*D16,2)</f>
        <v>19818100.5</v>
      </c>
    </row>
    <row r="18" spans="1:6">
      <c r="D18" s="15"/>
    </row>
    <row r="19" spans="1:6">
      <c r="D19" s="15"/>
    </row>
    <row r="20" spans="1:6">
      <c r="A20" s="130" t="s">
        <v>229</v>
      </c>
      <c r="D20" s="130" t="s">
        <v>228</v>
      </c>
      <c r="E20" s="130" t="s">
        <v>227</v>
      </c>
      <c r="F20" s="130" t="s">
        <v>226</v>
      </c>
    </row>
    <row r="21" spans="1:6">
      <c r="A21" s="130" t="s">
        <v>225</v>
      </c>
      <c r="D21" s="130" t="s">
        <v>224</v>
      </c>
      <c r="E21" s="130" t="s">
        <v>223</v>
      </c>
      <c r="F21" s="130" t="s">
        <v>222</v>
      </c>
    </row>
    <row r="22" spans="1:6">
      <c r="A22" s="129"/>
      <c r="B22" s="128"/>
      <c r="C22" s="128"/>
      <c r="D22" s="127" t="s">
        <v>221</v>
      </c>
      <c r="E22" s="127" t="s">
        <v>220</v>
      </c>
      <c r="F22" s="127" t="s">
        <v>220</v>
      </c>
    </row>
    <row r="23" spans="1:6">
      <c r="A23" s="126" t="s">
        <v>219</v>
      </c>
      <c r="D23" s="126" t="s">
        <v>218</v>
      </c>
      <c r="E23" s="126" t="s">
        <v>217</v>
      </c>
      <c r="F23" s="126" t="s">
        <v>216</v>
      </c>
    </row>
    <row r="24" spans="1:6">
      <c r="A24" s="125" t="s">
        <v>215</v>
      </c>
      <c r="B24" s="120"/>
      <c r="C24" s="120"/>
      <c r="D24" s="124">
        <v>0.19600000000000001</v>
      </c>
      <c r="E24" s="123">
        <v>125.99</v>
      </c>
      <c r="F24" s="122">
        <f>E24*(1+D24)</f>
        <v>150.68403999999998</v>
      </c>
    </row>
    <row r="25" spans="1:6">
      <c r="A25" s="125" t="s">
        <v>214</v>
      </c>
      <c r="B25" s="120"/>
      <c r="C25" s="120"/>
      <c r="D25" s="124">
        <v>0.20200000000000001</v>
      </c>
      <c r="E25" s="123">
        <v>136</v>
      </c>
      <c r="F25" s="122">
        <f>E25*(1+D25)</f>
        <v>163.47199999999998</v>
      </c>
    </row>
    <row r="26" spans="1:6">
      <c r="A26" s="125" t="s">
        <v>213</v>
      </c>
      <c r="B26" s="120"/>
      <c r="C26" s="120"/>
      <c r="D26" s="124">
        <v>0.21099999999999999</v>
      </c>
      <c r="E26" s="123">
        <v>59.37</v>
      </c>
      <c r="F26" s="122">
        <f>E26*(1+D26)</f>
        <v>71.897069999999999</v>
      </c>
    </row>
    <row r="27" spans="1:6">
      <c r="A27" s="121" t="s">
        <v>212</v>
      </c>
      <c r="B27" s="120"/>
      <c r="C27" s="120"/>
      <c r="D27" s="119">
        <v>0.19700000000000001</v>
      </c>
      <c r="E27" s="118">
        <v>120</v>
      </c>
      <c r="F27" s="117">
        <f>E27*(1+D27)</f>
        <v>143.64000000000001</v>
      </c>
    </row>
    <row r="28" spans="1:6">
      <c r="C28" s="112" t="s">
        <v>211</v>
      </c>
      <c r="D28" s="116">
        <f>SUM(D24:D27)/4</f>
        <v>0.20150000000000001</v>
      </c>
      <c r="E28" s="115">
        <f>SUM(E24:E27)/4</f>
        <v>110.34</v>
      </c>
      <c r="F28" s="114">
        <f>SUM(F24:F27)/4</f>
        <v>132.42327749999998</v>
      </c>
    </row>
    <row r="29" spans="1:6">
      <c r="D29" s="15"/>
      <c r="E29" s="113"/>
    </row>
    <row r="30" spans="1:6">
      <c r="C30" s="112" t="s">
        <v>211</v>
      </c>
      <c r="D30" s="15"/>
      <c r="E30" s="111"/>
      <c r="F30" s="110">
        <f>F28</f>
        <v>132.42327749999998</v>
      </c>
    </row>
    <row r="32" spans="1:6">
      <c r="A32" s="99" t="s">
        <v>210</v>
      </c>
    </row>
    <row r="33" spans="1:6">
      <c r="B33" s="99" t="s">
        <v>209</v>
      </c>
    </row>
    <row r="34" spans="1:6">
      <c r="B34" s="109" t="s">
        <v>208</v>
      </c>
      <c r="C34" s="108" t="s">
        <v>175</v>
      </c>
      <c r="D34" s="108" t="s">
        <v>176</v>
      </c>
      <c r="E34" s="108" t="s">
        <v>177</v>
      </c>
    </row>
    <row r="35" spans="1:6">
      <c r="A35" s="99" t="s">
        <v>207</v>
      </c>
      <c r="B35" s="106">
        <v>400735</v>
      </c>
      <c r="C35" s="105"/>
      <c r="D35" s="105"/>
      <c r="E35" s="105">
        <f>B35</f>
        <v>400735</v>
      </c>
    </row>
    <row r="36" spans="1:6">
      <c r="A36" s="99" t="s">
        <v>206</v>
      </c>
      <c r="B36" s="106">
        <v>523906</v>
      </c>
      <c r="C36" s="105"/>
      <c r="D36" s="105">
        <f>B36</f>
        <v>523906</v>
      </c>
      <c r="E36" s="105"/>
      <c r="F36" s="107"/>
    </row>
    <row r="37" spans="1:6">
      <c r="A37" s="99" t="s">
        <v>205</v>
      </c>
      <c r="B37" s="106">
        <v>680304</v>
      </c>
      <c r="C37" s="105"/>
      <c r="D37" s="105">
        <f>B37</f>
        <v>680304</v>
      </c>
      <c r="E37" s="105"/>
    </row>
    <row r="38" spans="1:6">
      <c r="A38" s="99" t="s">
        <v>204</v>
      </c>
      <c r="B38" s="106">
        <v>696199</v>
      </c>
      <c r="C38" s="105"/>
      <c r="D38" s="105">
        <f>B38</f>
        <v>696199</v>
      </c>
      <c r="E38" s="105"/>
    </row>
    <row r="39" spans="1:6">
      <c r="A39" s="99" t="s">
        <v>203</v>
      </c>
      <c r="B39" s="106">
        <v>627382</v>
      </c>
      <c r="C39" s="105"/>
      <c r="D39" s="105">
        <f>B39</f>
        <v>627382</v>
      </c>
      <c r="E39" s="105"/>
    </row>
    <row r="40" spans="1:6">
      <c r="A40" s="99" t="s">
        <v>202</v>
      </c>
      <c r="B40" s="106">
        <v>708599</v>
      </c>
      <c r="C40" s="105"/>
      <c r="D40" s="105">
        <f>B40</f>
        <v>708599</v>
      </c>
      <c r="E40" s="105"/>
      <c r="F40" s="107"/>
    </row>
    <row r="41" spans="1:6">
      <c r="A41" s="99" t="s">
        <v>201</v>
      </c>
      <c r="B41" s="106">
        <v>493967</v>
      </c>
      <c r="C41" s="105"/>
      <c r="D41" s="105"/>
      <c r="E41" s="105">
        <f>B41</f>
        <v>493967</v>
      </c>
    </row>
    <row r="42" spans="1:6">
      <c r="A42" s="99" t="s">
        <v>200</v>
      </c>
      <c r="B42" s="106">
        <v>396254</v>
      </c>
      <c r="C42" s="105">
        <f>B42*0.5</f>
        <v>198127</v>
      </c>
      <c r="D42" s="105"/>
      <c r="E42" s="105">
        <f>B42*0.5</f>
        <v>198127</v>
      </c>
      <c r="F42" s="99" t="s">
        <v>195</v>
      </c>
    </row>
    <row r="43" spans="1:6">
      <c r="A43" s="99" t="s">
        <v>199</v>
      </c>
      <c r="B43" s="106">
        <v>382392</v>
      </c>
      <c r="C43" s="105">
        <f>B43</f>
        <v>382392</v>
      </c>
      <c r="D43" s="105"/>
      <c r="E43" s="105"/>
    </row>
    <row r="44" spans="1:6">
      <c r="A44" s="99" t="s">
        <v>198</v>
      </c>
      <c r="B44" s="106">
        <v>531875</v>
      </c>
      <c r="C44" s="105">
        <f>B44</f>
        <v>531875</v>
      </c>
      <c r="D44" s="105"/>
      <c r="E44" s="105"/>
    </row>
    <row r="45" spans="1:6">
      <c r="A45" s="99" t="s">
        <v>197</v>
      </c>
      <c r="B45" s="106">
        <v>453422</v>
      </c>
      <c r="C45" s="105">
        <f>B45</f>
        <v>453422</v>
      </c>
      <c r="D45" s="105"/>
      <c r="E45" s="105"/>
    </row>
    <row r="46" spans="1:6">
      <c r="A46" s="99" t="s">
        <v>196</v>
      </c>
      <c r="B46" s="104">
        <v>419874</v>
      </c>
      <c r="C46" s="103">
        <f>B46*0.5</f>
        <v>209937</v>
      </c>
      <c r="D46" s="103"/>
      <c r="E46" s="103">
        <f>B46*0.5</f>
        <v>209937</v>
      </c>
      <c r="F46" s="99" t="s">
        <v>195</v>
      </c>
    </row>
    <row r="47" spans="1:6">
      <c r="B47" s="12">
        <f>+SUM(B35:B46)</f>
        <v>6314909</v>
      </c>
      <c r="C47" s="12">
        <f>+SUM(C35:C46)</f>
        <v>1775753</v>
      </c>
      <c r="D47" s="12">
        <f>+SUM(D35:D46)</f>
        <v>3236390</v>
      </c>
      <c r="E47" s="12">
        <f>+SUM(E35:E46)</f>
        <v>1302766</v>
      </c>
    </row>
    <row r="48" spans="1:6">
      <c r="B48" s="102">
        <f>+ROUND(B47/$B$47,4)</f>
        <v>1</v>
      </c>
      <c r="C48" s="102">
        <f>+ROUND(C47/$B$47,4)</f>
        <v>0.28120000000000001</v>
      </c>
      <c r="D48" s="102">
        <f>+ROUND(D47/$B$47,4)</f>
        <v>0.51249999999999996</v>
      </c>
      <c r="E48" s="102">
        <f>+ROUND(E47/$B$47,4)</f>
        <v>0.20630000000000001</v>
      </c>
    </row>
    <row r="49" spans="1:5">
      <c r="B49" s="102"/>
      <c r="C49" s="102"/>
      <c r="D49" s="102"/>
      <c r="E49" s="102"/>
    </row>
    <row r="50" spans="1:5">
      <c r="A50" s="99" t="s">
        <v>168</v>
      </c>
      <c r="B50" s="101">
        <f>+D17</f>
        <v>19818100.5</v>
      </c>
      <c r="C50" s="100">
        <f>+ROUND(C48*$B$50,2)</f>
        <v>5572849.8600000003</v>
      </c>
      <c r="D50" s="100">
        <f>+ROUND(D48*$B$50,2)</f>
        <v>10156776.51</v>
      </c>
      <c r="E50" s="100">
        <f>+ROUND(E48*$B$50,2)</f>
        <v>4088474.13</v>
      </c>
    </row>
    <row r="51" spans="1:5">
      <c r="B51" s="12"/>
    </row>
    <row r="52" spans="1:5">
      <c r="B52" s="12"/>
    </row>
    <row r="53" spans="1:5">
      <c r="A53" s="99" t="s">
        <v>194</v>
      </c>
      <c r="B53" s="12"/>
    </row>
  </sheetData>
  <printOptions horizontalCentered="1"/>
  <pageMargins left="0.5" right="0.5" top="0.5" bottom="0.5" header="0.5" footer="0.5"/>
  <pageSetup scale="94" orientation="portrait" r:id="rId1"/>
  <headerFooter alignWithMargins="0">
    <oddHeader>&amp;C&amp;"Arial,Regular"KENTUCKY POWER COMPANY
Experimental RS-TOD 2 Rate Design
Twelve Months Ended September 30, 2014
Calculation of Market Capacity&amp;RPage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N137"/>
  <sheetViews>
    <sheetView showOutlineSymbols="0" topLeftCell="C10" zoomScale="88" zoomScaleNormal="88" workbookViewId="0">
      <selection activeCell="M26" sqref="M26"/>
    </sheetView>
  </sheetViews>
  <sheetFormatPr defaultColWidth="9.75" defaultRowHeight="15"/>
  <cols>
    <col min="1" max="1" width="4.75" style="219" customWidth="1"/>
    <col min="2" max="2" width="38.875" style="219" bestFit="1" customWidth="1"/>
    <col min="3" max="3" width="17.625" style="219" bestFit="1" customWidth="1"/>
    <col min="4" max="4" width="5.75" style="219" customWidth="1"/>
    <col min="5" max="5" width="13.5" style="219" customWidth="1"/>
    <col min="6" max="6" width="6" style="219" customWidth="1"/>
    <col min="7" max="7" width="13.5" style="219" customWidth="1"/>
    <col min="8" max="8" width="6" style="219" customWidth="1"/>
    <col min="9" max="9" width="13.5" style="219" customWidth="1"/>
    <col min="10" max="10" width="4.75" style="219" customWidth="1"/>
    <col min="11" max="11" width="13.5" style="219" customWidth="1"/>
    <col min="12" max="16384" width="9.75" style="219"/>
  </cols>
  <sheetData>
    <row r="3" spans="1:11">
      <c r="A3" s="230" t="s">
        <v>338</v>
      </c>
      <c r="B3" s="236" t="s">
        <v>101</v>
      </c>
      <c r="C3" s="244" t="s">
        <v>2</v>
      </c>
      <c r="D3" s="232"/>
      <c r="F3" s="232"/>
      <c r="G3" s="244" t="s">
        <v>2</v>
      </c>
      <c r="I3" s="228" t="s">
        <v>118</v>
      </c>
    </row>
    <row r="4" spans="1:11">
      <c r="A4" s="232"/>
      <c r="B4" s="232"/>
      <c r="C4" s="244" t="s">
        <v>3</v>
      </c>
      <c r="D4" s="232"/>
      <c r="E4" s="244" t="s">
        <v>82</v>
      </c>
      <c r="F4" s="232"/>
      <c r="G4" s="244" t="s">
        <v>3</v>
      </c>
      <c r="I4" s="228" t="s">
        <v>337</v>
      </c>
      <c r="J4" s="232"/>
      <c r="K4" s="244" t="s">
        <v>83</v>
      </c>
    </row>
    <row r="5" spans="1:11">
      <c r="A5" s="232"/>
      <c r="B5" s="232"/>
      <c r="C5" s="235" t="s">
        <v>1</v>
      </c>
      <c r="D5" s="232"/>
      <c r="E5" s="235" t="s">
        <v>1</v>
      </c>
      <c r="F5" s="232"/>
      <c r="G5" s="235" t="s">
        <v>336</v>
      </c>
      <c r="I5" s="294" t="s">
        <v>335</v>
      </c>
      <c r="J5" s="232"/>
      <c r="K5" s="235" t="s">
        <v>1</v>
      </c>
    </row>
    <row r="6" spans="1:11">
      <c r="A6" s="232"/>
      <c r="D6" s="232"/>
    </row>
    <row r="7" spans="1:11">
      <c r="A7" s="232"/>
      <c r="B7" s="230" t="s">
        <v>334</v>
      </c>
      <c r="C7" s="284">
        <f>4569088+3227757+2049932</f>
        <v>9846777</v>
      </c>
      <c r="D7" s="232"/>
      <c r="E7" s="231">
        <f>(E10-E8)-E9</f>
        <v>0</v>
      </c>
      <c r="F7" s="232"/>
      <c r="G7" s="292">
        <f>+C7-E7</f>
        <v>9846777</v>
      </c>
      <c r="I7" s="220">
        <f>+$I$10*G7/$G$10</f>
        <v>27118.564032301412</v>
      </c>
      <c r="J7" s="293"/>
      <c r="K7" s="220">
        <f>G7-I7</f>
        <v>9819658.4359676987</v>
      </c>
    </row>
    <row r="8" spans="1:11">
      <c r="A8" s="232"/>
      <c r="B8" s="230" t="s">
        <v>333</v>
      </c>
      <c r="C8" s="268">
        <v>5219426</v>
      </c>
      <c r="D8" s="232"/>
      <c r="E8" s="222">
        <f>E10</f>
        <v>290984</v>
      </c>
      <c r="F8" s="232"/>
      <c r="G8" s="292">
        <f>+C8-E8</f>
        <v>4928442</v>
      </c>
      <c r="I8" s="222">
        <f>+$I$10*G8/$G$10</f>
        <v>13573.19963237551</v>
      </c>
      <c r="J8" s="232"/>
      <c r="K8" s="222">
        <f>G8-I8</f>
        <v>4914868.8003676245</v>
      </c>
    </row>
    <row r="9" spans="1:11">
      <c r="A9" s="232"/>
      <c r="B9" s="230" t="s">
        <v>53</v>
      </c>
      <c r="C9" s="291">
        <v>3762175</v>
      </c>
      <c r="D9" s="232"/>
      <c r="E9" s="222">
        <v>0</v>
      </c>
      <c r="F9" s="232"/>
      <c r="G9" s="290">
        <f>+C9-E9</f>
        <v>3762175</v>
      </c>
      <c r="H9" s="289"/>
      <c r="I9" s="222">
        <f>+$I$10*G9/$G$10</f>
        <v>10361.236335323078</v>
      </c>
      <c r="J9" s="232"/>
      <c r="K9" s="222">
        <f>G9-I9</f>
        <v>3751813.7636646768</v>
      </c>
    </row>
    <row r="10" spans="1:11">
      <c r="A10" s="232"/>
      <c r="B10" s="288" t="s">
        <v>54</v>
      </c>
      <c r="C10" s="286">
        <f>SUM(C7:C9)</f>
        <v>18828378</v>
      </c>
      <c r="D10" s="221"/>
      <c r="E10" s="287">
        <f>(282100+8132+746+6)</f>
        <v>290984</v>
      </c>
      <c r="F10" s="221"/>
      <c r="G10" s="286">
        <f>SUM(G7:G9)</f>
        <v>18537394</v>
      </c>
      <c r="I10" s="285">
        <f>50538+515</f>
        <v>51053</v>
      </c>
      <c r="J10" s="221"/>
      <c r="K10" s="254">
        <f>SUM(K7:K9)</f>
        <v>18486341</v>
      </c>
    </row>
    <row r="11" spans="1:11">
      <c r="A11" s="232"/>
      <c r="I11" s="219" t="s">
        <v>80</v>
      </c>
    </row>
    <row r="12" spans="1:11">
      <c r="A12" s="232"/>
    </row>
    <row r="13" spans="1:11">
      <c r="A13" s="230"/>
      <c r="B13" s="230"/>
      <c r="C13" s="220"/>
      <c r="D13" s="230"/>
      <c r="E13" s="222"/>
      <c r="F13" s="230"/>
      <c r="G13" s="232"/>
      <c r="H13" s="244"/>
      <c r="I13" s="232"/>
      <c r="J13" s="232"/>
      <c r="K13" s="233"/>
    </row>
    <row r="14" spans="1:11">
      <c r="A14" s="230" t="s">
        <v>332</v>
      </c>
      <c r="B14" s="236" t="s">
        <v>331</v>
      </c>
      <c r="C14" s="220"/>
      <c r="D14" s="230"/>
      <c r="E14" s="276"/>
      <c r="F14" s="230"/>
      <c r="G14" s="232"/>
      <c r="H14" s="244"/>
      <c r="I14" s="232"/>
      <c r="J14" s="232"/>
      <c r="K14" s="233"/>
    </row>
    <row r="15" spans="1:11">
      <c r="A15" s="230"/>
      <c r="B15" s="230"/>
      <c r="C15" s="220"/>
      <c r="D15" s="230"/>
      <c r="E15" s="222"/>
      <c r="F15" s="230"/>
      <c r="G15" s="232"/>
      <c r="H15" s="244"/>
      <c r="I15" s="232"/>
      <c r="J15" s="232"/>
      <c r="K15" s="233"/>
    </row>
    <row r="16" spans="1:11">
      <c r="A16" s="230"/>
      <c r="B16" s="230" t="s">
        <v>330</v>
      </c>
      <c r="C16" s="284">
        <v>6117105</v>
      </c>
      <c r="D16" s="230"/>
      <c r="E16" s="222"/>
      <c r="F16" s="230" t="s">
        <v>329</v>
      </c>
      <c r="H16" s="244"/>
      <c r="I16" s="232"/>
      <c r="J16" s="232"/>
      <c r="K16" s="220">
        <f>K9</f>
        <v>3751813.7636646768</v>
      </c>
    </row>
    <row r="17" spans="1:14">
      <c r="A17" s="230"/>
      <c r="B17" s="230" t="s">
        <v>328</v>
      </c>
      <c r="C17" s="282">
        <v>0.67910000000000004</v>
      </c>
      <c r="D17" s="230"/>
      <c r="E17" s="222"/>
      <c r="F17" s="230" t="s">
        <v>327</v>
      </c>
      <c r="H17" s="244"/>
      <c r="I17" s="232"/>
      <c r="J17" s="232"/>
      <c r="K17" s="280">
        <f>C22</f>
        <v>983196.121126279</v>
      </c>
    </row>
    <row r="18" spans="1:14">
      <c r="A18" s="230"/>
      <c r="B18" s="230" t="s">
        <v>326</v>
      </c>
      <c r="C18" s="249">
        <f>C16*C17</f>
        <v>4154126.0055000004</v>
      </c>
      <c r="D18" s="230"/>
      <c r="E18" s="222"/>
      <c r="F18" s="230" t="s">
        <v>325</v>
      </c>
      <c r="H18" s="244"/>
      <c r="I18" s="232"/>
      <c r="J18" s="232"/>
      <c r="K18" s="283">
        <v>232834</v>
      </c>
    </row>
    <row r="19" spans="1:14">
      <c r="A19" s="230"/>
      <c r="B19" s="230" t="s">
        <v>324</v>
      </c>
      <c r="C19" s="282">
        <v>0.14430000000000001</v>
      </c>
      <c r="D19" s="230"/>
      <c r="E19" s="222"/>
      <c r="F19" s="230" t="s">
        <v>323</v>
      </c>
      <c r="H19" s="244"/>
      <c r="I19" s="232"/>
      <c r="J19" s="232"/>
      <c r="K19" s="281">
        <v>74853</v>
      </c>
    </row>
    <row r="20" spans="1:14">
      <c r="A20" s="230"/>
      <c r="B20" s="230" t="s">
        <v>322</v>
      </c>
      <c r="C20" s="280">
        <f>C18*C19</f>
        <v>599440.38259365014</v>
      </c>
      <c r="D20" s="230"/>
      <c r="E20" s="222"/>
      <c r="F20" s="230" t="s">
        <v>321</v>
      </c>
      <c r="H20" s="244"/>
      <c r="I20" s="232"/>
      <c r="J20" s="232"/>
      <c r="K20" s="249">
        <f>K16-K17-K18-K19</f>
        <v>2460930.6425383976</v>
      </c>
    </row>
    <row r="21" spans="1:14">
      <c r="A21" s="230"/>
      <c r="B21" s="230" t="s">
        <v>320</v>
      </c>
      <c r="C21" s="279">
        <v>1.64019</v>
      </c>
      <c r="D21" s="230"/>
      <c r="E21" s="222"/>
      <c r="F21" s="278" t="s">
        <v>319</v>
      </c>
      <c r="H21" s="244"/>
      <c r="I21" s="232"/>
      <c r="J21" s="232"/>
      <c r="K21" s="277">
        <f>E37+E38+C129</f>
        <v>289172</v>
      </c>
    </row>
    <row r="22" spans="1:14">
      <c r="A22" s="230"/>
      <c r="B22" s="230" t="s">
        <v>318</v>
      </c>
      <c r="C22" s="249">
        <f>C20*C21</f>
        <v>983196.121126279</v>
      </c>
      <c r="D22" s="230"/>
      <c r="E22" s="222"/>
      <c r="F22" s="230" t="s">
        <v>317</v>
      </c>
      <c r="H22" s="244"/>
      <c r="I22" s="232"/>
      <c r="J22" s="232"/>
      <c r="K22" s="276">
        <f>ROUND(K20/K21,2)</f>
        <v>8.51</v>
      </c>
    </row>
    <row r="23" spans="1:14">
      <c r="A23" s="230"/>
      <c r="B23" s="230"/>
      <c r="C23" s="249"/>
      <c r="D23" s="230"/>
      <c r="E23" s="222"/>
      <c r="F23" s="230" t="s">
        <v>113</v>
      </c>
      <c r="H23" s="244"/>
      <c r="I23" s="232"/>
      <c r="J23" s="232"/>
      <c r="K23" s="275">
        <v>7.5</v>
      </c>
    </row>
    <row r="24" spans="1:14">
      <c r="A24" s="230"/>
      <c r="D24" s="230"/>
      <c r="E24" s="222"/>
      <c r="F24" s="230" t="s">
        <v>316</v>
      </c>
      <c r="H24" s="244"/>
      <c r="I24" s="232"/>
      <c r="J24" s="232"/>
      <c r="K24" s="224">
        <f>K23+8</f>
        <v>15.5</v>
      </c>
      <c r="L24" s="273" t="s">
        <v>309</v>
      </c>
      <c r="M24" s="273"/>
      <c r="N24" s="273"/>
    </row>
    <row r="25" spans="1:14">
      <c r="A25" s="230"/>
      <c r="D25" s="230"/>
      <c r="E25" s="222"/>
      <c r="F25" s="230"/>
      <c r="G25" s="232"/>
      <c r="H25" s="244"/>
      <c r="I25" s="232"/>
      <c r="J25" s="232"/>
      <c r="K25" s="233"/>
    </row>
    <row r="26" spans="1:14">
      <c r="A26" s="230"/>
      <c r="B26" s="230"/>
      <c r="C26" s="220"/>
      <c r="D26" s="230"/>
      <c r="E26" s="222"/>
      <c r="F26" s="230"/>
      <c r="G26" s="232"/>
      <c r="H26" s="244"/>
      <c r="I26" s="232"/>
      <c r="J26" s="232"/>
      <c r="K26" s="233"/>
    </row>
    <row r="27" spans="1:14">
      <c r="A27" s="230" t="s">
        <v>315</v>
      </c>
      <c r="B27" s="236" t="s">
        <v>314</v>
      </c>
    </row>
    <row r="28" spans="1:14">
      <c r="A28" s="230"/>
      <c r="B28" s="219" t="s">
        <v>17</v>
      </c>
      <c r="C28" s="220">
        <f>K9</f>
        <v>3751813.7636646768</v>
      </c>
      <c r="D28" s="230" t="s">
        <v>80</v>
      </c>
      <c r="G28" s="232"/>
    </row>
    <row r="29" spans="1:14">
      <c r="A29" s="230"/>
      <c r="B29" s="230" t="s">
        <v>313</v>
      </c>
      <c r="C29" s="274">
        <f>+I38</f>
        <v>272707</v>
      </c>
      <c r="D29" s="230" t="s">
        <v>80</v>
      </c>
      <c r="E29" s="222"/>
      <c r="F29" s="230"/>
      <c r="G29" s="232"/>
    </row>
    <row r="30" spans="1:14">
      <c r="A30" s="230"/>
      <c r="B30" s="230" t="s">
        <v>312</v>
      </c>
      <c r="C30" s="220">
        <f>C28-C29</f>
        <v>3479106.7636646768</v>
      </c>
      <c r="D30" s="230" t="s">
        <v>311</v>
      </c>
      <c r="E30" s="222">
        <f>+E37</f>
        <v>271566</v>
      </c>
      <c r="F30" s="230" t="s">
        <v>306</v>
      </c>
      <c r="G30" s="232"/>
      <c r="H30" s="244" t="s">
        <v>15</v>
      </c>
      <c r="I30" s="233">
        <f>C30/E30</f>
        <v>12.811275209947773</v>
      </c>
      <c r="J30" s="230" t="s">
        <v>14</v>
      </c>
    </row>
    <row r="31" spans="1:14">
      <c r="A31" s="230"/>
      <c r="B31" s="230"/>
      <c r="C31" s="220"/>
      <c r="D31" s="230"/>
      <c r="E31" s="222"/>
      <c r="F31" s="230"/>
      <c r="G31" s="232"/>
      <c r="H31" s="244"/>
      <c r="I31" s="233"/>
      <c r="J31" s="230"/>
    </row>
    <row r="32" spans="1:14">
      <c r="A32" s="230"/>
      <c r="B32" s="230"/>
      <c r="C32" s="220"/>
      <c r="D32" s="230"/>
      <c r="E32" s="222"/>
      <c r="F32" s="230"/>
      <c r="G32" s="232" t="s">
        <v>113</v>
      </c>
      <c r="H32" s="244" t="s">
        <v>15</v>
      </c>
      <c r="I32" s="233">
        <v>11.5</v>
      </c>
      <c r="J32" s="230" t="s">
        <v>14</v>
      </c>
    </row>
    <row r="33" spans="1:14">
      <c r="A33" s="232"/>
      <c r="C33" s="232"/>
      <c r="D33" s="232"/>
      <c r="E33" s="232"/>
      <c r="F33" s="232"/>
      <c r="G33" s="232"/>
      <c r="H33" s="244"/>
      <c r="I33" s="233"/>
      <c r="J33" s="230"/>
    </row>
    <row r="34" spans="1:14">
      <c r="B34" s="230"/>
      <c r="C34" s="272"/>
      <c r="G34" s="270" t="s">
        <v>310</v>
      </c>
      <c r="I34" s="224">
        <f>I32+8</f>
        <v>19.5</v>
      </c>
      <c r="J34" s="230" t="s">
        <v>14</v>
      </c>
      <c r="L34" s="273" t="s">
        <v>309</v>
      </c>
      <c r="M34" s="273"/>
      <c r="N34" s="273"/>
    </row>
    <row r="35" spans="1:14">
      <c r="B35" s="230"/>
      <c r="C35" s="272"/>
    </row>
    <row r="36" spans="1:14">
      <c r="B36" s="230"/>
      <c r="C36" s="272"/>
    </row>
    <row r="37" spans="1:14">
      <c r="A37" s="232"/>
      <c r="B37" s="230" t="s">
        <v>308</v>
      </c>
      <c r="C37" s="271">
        <f>I34</f>
        <v>19.5</v>
      </c>
      <c r="D37" s="244" t="s">
        <v>103</v>
      </c>
      <c r="E37" s="268">
        <v>271566</v>
      </c>
      <c r="F37" s="230" t="s">
        <v>306</v>
      </c>
      <c r="G37" s="270" t="s">
        <v>15</v>
      </c>
      <c r="I37" s="220">
        <f>ROUND((C37*E37),0)</f>
        <v>5295537</v>
      </c>
      <c r="J37" s="232"/>
    </row>
    <row r="38" spans="1:14">
      <c r="A38" s="232"/>
      <c r="B38" s="266" t="s">
        <v>307</v>
      </c>
      <c r="C38" s="269">
        <f>K24</f>
        <v>15.5</v>
      </c>
      <c r="D38" s="244" t="s">
        <v>103</v>
      </c>
      <c r="E38" s="268">
        <v>17594</v>
      </c>
      <c r="F38" s="230" t="s">
        <v>306</v>
      </c>
      <c r="G38" s="267" t="s">
        <v>15</v>
      </c>
      <c r="I38" s="220">
        <f>ROUND((C38*E38),0)</f>
        <v>272707</v>
      </c>
    </row>
    <row r="39" spans="1:14">
      <c r="A39" s="232"/>
      <c r="B39" s="266" t="s">
        <v>80</v>
      </c>
    </row>
    <row r="40" spans="1:14">
      <c r="A40" s="232"/>
      <c r="B40" s="266"/>
    </row>
    <row r="41" spans="1:14">
      <c r="A41" s="230" t="s">
        <v>305</v>
      </c>
      <c r="B41" s="236" t="s">
        <v>304</v>
      </c>
      <c r="D41" s="240"/>
      <c r="E41" s="258"/>
      <c r="F41" s="240"/>
      <c r="G41" s="240"/>
      <c r="H41" s="240"/>
      <c r="I41" s="240"/>
      <c r="J41" s="240"/>
      <c r="K41" s="240"/>
    </row>
    <row r="42" spans="1:14">
      <c r="C42" s="265" t="s">
        <v>113</v>
      </c>
      <c r="D42" s="240"/>
      <c r="E42" s="258"/>
      <c r="F42" s="240"/>
      <c r="G42" s="258"/>
      <c r="H42" s="240"/>
      <c r="I42" s="240"/>
      <c r="J42" s="240"/>
      <c r="K42" s="240"/>
    </row>
    <row r="43" spans="1:14">
      <c r="A43" s="232"/>
      <c r="C43" s="264" t="s">
        <v>188</v>
      </c>
      <c r="D43" s="240"/>
      <c r="E43" s="263"/>
      <c r="F43" s="240"/>
      <c r="G43" s="263"/>
      <c r="H43" s="240"/>
      <c r="I43" s="263"/>
      <c r="J43" s="240"/>
      <c r="K43" s="240"/>
    </row>
    <row r="44" spans="1:14">
      <c r="A44" s="232"/>
      <c r="C44" s="264"/>
      <c r="D44" s="240"/>
      <c r="E44" s="263"/>
      <c r="F44" s="240"/>
      <c r="G44" s="263"/>
      <c r="H44" s="240"/>
      <c r="I44" s="263"/>
      <c r="J44" s="240"/>
      <c r="K44" s="240"/>
    </row>
    <row r="45" spans="1:14">
      <c r="A45" s="232"/>
      <c r="B45" s="219" t="s">
        <v>292</v>
      </c>
      <c r="C45" s="262">
        <v>0.13159999999999999</v>
      </c>
      <c r="D45" s="240"/>
      <c r="E45" s="240"/>
      <c r="F45" s="240"/>
      <c r="G45" s="240"/>
      <c r="H45" s="240"/>
      <c r="I45" s="240"/>
      <c r="J45" s="240"/>
      <c r="K45" s="240"/>
    </row>
    <row r="46" spans="1:14">
      <c r="A46" s="232"/>
      <c r="B46" s="230" t="s">
        <v>303</v>
      </c>
      <c r="C46" s="262">
        <f>0.07116</f>
        <v>7.1160000000000001E-2</v>
      </c>
      <c r="D46" s="260"/>
      <c r="E46" s="261"/>
      <c r="F46" s="258"/>
      <c r="G46" s="258"/>
      <c r="H46" s="260"/>
      <c r="I46" s="259"/>
      <c r="J46" s="258"/>
      <c r="K46" s="257"/>
    </row>
    <row r="47" spans="1:14">
      <c r="A47" s="232"/>
      <c r="B47" s="219" t="s">
        <v>293</v>
      </c>
      <c r="C47" s="255">
        <f>C45-C46</f>
        <v>6.0439999999999994E-2</v>
      </c>
      <c r="D47" s="240"/>
      <c r="E47" s="240"/>
      <c r="F47" s="240"/>
      <c r="G47" s="240"/>
      <c r="H47" s="240"/>
      <c r="I47" s="240"/>
      <c r="J47" s="240"/>
      <c r="K47" s="240"/>
    </row>
    <row r="48" spans="1:14">
      <c r="A48" s="232"/>
      <c r="B48" s="219" t="s">
        <v>302</v>
      </c>
      <c r="C48" s="255">
        <f>8/500</f>
        <v>1.6E-2</v>
      </c>
    </row>
    <row r="49" spans="1:11">
      <c r="A49" s="232"/>
      <c r="B49" s="219" t="s">
        <v>301</v>
      </c>
      <c r="C49" s="255">
        <f>C47-C48</f>
        <v>4.4439999999999993E-2</v>
      </c>
    </row>
    <row r="50" spans="1:11">
      <c r="A50" s="232"/>
      <c r="B50" s="219" t="s">
        <v>300</v>
      </c>
      <c r="C50" s="256">
        <f>C67</f>
        <v>64894206</v>
      </c>
    </row>
    <row r="51" spans="1:11">
      <c r="A51" s="232"/>
      <c r="B51" s="219" t="s">
        <v>299</v>
      </c>
      <c r="C51" s="256">
        <f>C50*C49</f>
        <v>2883898.5146399997</v>
      </c>
    </row>
    <row r="52" spans="1:11">
      <c r="A52" s="232"/>
      <c r="C52" s="255"/>
    </row>
    <row r="53" spans="1:11">
      <c r="A53" s="232"/>
      <c r="C53" s="222"/>
    </row>
    <row r="54" spans="1:11">
      <c r="A54" s="232"/>
      <c r="B54" s="230" t="s">
        <v>298</v>
      </c>
      <c r="C54" s="220">
        <f>K10</f>
        <v>18486341</v>
      </c>
      <c r="E54" s="222"/>
      <c r="F54" s="232"/>
      <c r="G54" s="232"/>
      <c r="H54" s="232"/>
      <c r="I54" s="232"/>
      <c r="J54" s="232"/>
      <c r="K54" s="252"/>
    </row>
    <row r="55" spans="1:11">
      <c r="A55" s="232"/>
      <c r="B55" s="230" t="s">
        <v>297</v>
      </c>
      <c r="C55" s="249">
        <f>I37</f>
        <v>5295537</v>
      </c>
      <c r="E55" s="222"/>
      <c r="F55" s="232"/>
      <c r="G55" s="232"/>
      <c r="H55" s="232"/>
      <c r="I55" s="232"/>
      <c r="J55" s="232"/>
      <c r="K55" s="252"/>
    </row>
    <row r="56" spans="1:11">
      <c r="A56" s="232"/>
      <c r="B56" s="230" t="s">
        <v>296</v>
      </c>
      <c r="C56" s="222">
        <f>I38</f>
        <v>272707</v>
      </c>
      <c r="E56" s="222"/>
      <c r="F56" s="232"/>
      <c r="G56" s="232"/>
      <c r="H56" s="232"/>
      <c r="I56" s="232"/>
      <c r="J56" s="232"/>
      <c r="K56" s="252"/>
    </row>
    <row r="57" spans="1:11">
      <c r="A57" s="232"/>
      <c r="B57" s="230" t="s">
        <v>295</v>
      </c>
      <c r="C57" s="249">
        <f>C51</f>
        <v>2883898.5146399997</v>
      </c>
      <c r="E57" s="222"/>
      <c r="F57" s="232"/>
      <c r="G57" s="232"/>
      <c r="H57" s="232"/>
      <c r="I57" s="232"/>
      <c r="J57" s="232"/>
      <c r="K57" s="252"/>
    </row>
    <row r="58" spans="1:11">
      <c r="A58" s="232"/>
      <c r="C58" s="254">
        <f>C54-C55-C56-C57</f>
        <v>10034198.48536</v>
      </c>
      <c r="D58" s="244"/>
      <c r="E58" s="222"/>
      <c r="F58" s="230"/>
      <c r="G58" s="234"/>
      <c r="H58" s="230"/>
      <c r="I58" s="232"/>
      <c r="J58" s="232"/>
      <c r="K58" s="252"/>
    </row>
    <row r="59" spans="1:11">
      <c r="A59" s="232"/>
      <c r="C59" s="253"/>
      <c r="D59" s="244"/>
      <c r="E59" s="222"/>
      <c r="F59" s="230"/>
      <c r="G59" s="234"/>
      <c r="H59" s="230"/>
      <c r="I59" s="232"/>
      <c r="J59" s="232"/>
      <c r="K59" s="252"/>
    </row>
    <row r="60" spans="1:11">
      <c r="A60" s="232"/>
      <c r="B60" s="219" t="s">
        <v>294</v>
      </c>
      <c r="C60" s="251">
        <f>+C58</f>
        <v>10034198.48536</v>
      </c>
      <c r="D60" s="250" t="s">
        <v>249</v>
      </c>
      <c r="E60" s="249">
        <f>C68+C67</f>
        <v>142192376</v>
      </c>
      <c r="F60" s="228" t="s">
        <v>15</v>
      </c>
      <c r="G60" s="248">
        <f>ROUND(C60/E60,5)</f>
        <v>7.0569999999999994E-2</v>
      </c>
      <c r="H60" s="244" t="s">
        <v>80</v>
      </c>
      <c r="I60" s="248" t="s">
        <v>80</v>
      </c>
      <c r="J60" s="244" t="s">
        <v>80</v>
      </c>
      <c r="K60" s="228" t="s">
        <v>80</v>
      </c>
    </row>
    <row r="61" spans="1:11">
      <c r="A61" s="232"/>
      <c r="B61" s="219" t="s">
        <v>293</v>
      </c>
      <c r="C61" s="251"/>
      <c r="D61" s="250"/>
      <c r="E61" s="249"/>
      <c r="F61" s="228"/>
      <c r="G61" s="248">
        <f>C49</f>
        <v>4.4439999999999993E-2</v>
      </c>
      <c r="H61" s="244"/>
      <c r="I61" s="248"/>
      <c r="J61" s="244"/>
      <c r="K61" s="228"/>
    </row>
    <row r="62" spans="1:11">
      <c r="A62" s="232"/>
      <c r="B62" s="219" t="s">
        <v>292</v>
      </c>
      <c r="C62" s="251"/>
      <c r="D62" s="250"/>
      <c r="E62" s="249"/>
      <c r="F62" s="228"/>
      <c r="G62" s="248">
        <f>G60+G61</f>
        <v>0.11500999999999999</v>
      </c>
      <c r="H62" s="244"/>
      <c r="I62" s="248"/>
      <c r="J62" s="244"/>
      <c r="K62" s="228"/>
    </row>
    <row r="65" spans="1:11">
      <c r="A65" s="230" t="s">
        <v>291</v>
      </c>
      <c r="B65" s="236" t="s">
        <v>39</v>
      </c>
      <c r="C65" s="247" t="s">
        <v>40</v>
      </c>
      <c r="D65" s="232"/>
      <c r="E65" s="235" t="s">
        <v>188</v>
      </c>
      <c r="F65" s="232"/>
      <c r="G65" s="235" t="s">
        <v>1</v>
      </c>
      <c r="H65" s="232"/>
      <c r="I65" s="235" t="s">
        <v>42</v>
      </c>
      <c r="J65" s="232"/>
    </row>
    <row r="66" spans="1:11">
      <c r="A66" s="232"/>
    </row>
    <row r="67" spans="1:11">
      <c r="A67" s="232"/>
      <c r="B67" s="230" t="s">
        <v>290</v>
      </c>
      <c r="C67" s="246">
        <f>62183999+2710207</f>
        <v>64894206</v>
      </c>
      <c r="D67" s="230" t="s">
        <v>44</v>
      </c>
      <c r="E67" s="234">
        <f>G62-0.00001</f>
        <v>0.11499999999999999</v>
      </c>
      <c r="F67" s="230" t="s">
        <v>288</v>
      </c>
      <c r="G67" s="220">
        <f>ROUND((C67*E67),0)</f>
        <v>7462834</v>
      </c>
    </row>
    <row r="68" spans="1:11">
      <c r="A68" s="232"/>
      <c r="B68" s="230" t="s">
        <v>289</v>
      </c>
      <c r="C68" s="246">
        <f>76024369+1273801</f>
        <v>77298170</v>
      </c>
      <c r="D68" s="230" t="s">
        <v>44</v>
      </c>
      <c r="E68" s="234">
        <f>G60</f>
        <v>7.0569999999999994E-2</v>
      </c>
      <c r="F68" s="230" t="s">
        <v>23</v>
      </c>
      <c r="G68" s="220">
        <f>ROUND((C68*E68),0)</f>
        <v>5454932</v>
      </c>
    </row>
    <row r="69" spans="1:11">
      <c r="A69" s="232"/>
      <c r="B69" s="230" t="s">
        <v>287</v>
      </c>
      <c r="C69" s="222">
        <f>+E37</f>
        <v>271566</v>
      </c>
      <c r="D69" s="230" t="s">
        <v>46</v>
      </c>
      <c r="E69" s="233">
        <f>+C37</f>
        <v>19.5</v>
      </c>
      <c r="F69" s="230" t="s">
        <v>285</v>
      </c>
      <c r="G69" s="222">
        <f>ROUND((C69*E69),0)</f>
        <v>5295537</v>
      </c>
    </row>
    <row r="70" spans="1:11">
      <c r="A70" s="232"/>
      <c r="B70" s="230" t="s">
        <v>286</v>
      </c>
      <c r="C70" s="222">
        <f>+E38</f>
        <v>17594</v>
      </c>
      <c r="D70" s="230" t="s">
        <v>46</v>
      </c>
      <c r="E70" s="233">
        <f>+C38</f>
        <v>15.5</v>
      </c>
      <c r="F70" s="230" t="s">
        <v>285</v>
      </c>
      <c r="G70" s="222">
        <f>ROUND((C70*E70),0)</f>
        <v>272707</v>
      </c>
    </row>
    <row r="71" spans="1:11">
      <c r="A71" s="232"/>
      <c r="B71" s="237"/>
      <c r="C71" s="245"/>
      <c r="D71" s="221"/>
      <c r="E71" s="221"/>
      <c r="F71" s="221"/>
      <c r="G71" s="237"/>
      <c r="H71" s="232"/>
      <c r="J71" s="232"/>
    </row>
    <row r="72" spans="1:11">
      <c r="A72" s="232"/>
      <c r="B72" s="230" t="s">
        <v>284</v>
      </c>
      <c r="C72" s="232"/>
      <c r="D72" s="232"/>
      <c r="E72" s="232"/>
      <c r="F72" s="232"/>
      <c r="G72" s="220">
        <f>G67+G68+G69+G70</f>
        <v>18486010</v>
      </c>
      <c r="H72" s="232"/>
      <c r="I72" s="231">
        <f>G72-C54</f>
        <v>-331</v>
      </c>
      <c r="J72" s="232"/>
    </row>
    <row r="73" spans="1:11">
      <c r="A73" s="232"/>
      <c r="B73" s="230"/>
      <c r="C73" s="232"/>
      <c r="D73" s="232"/>
      <c r="E73" s="232"/>
      <c r="F73" s="232"/>
      <c r="G73" s="220"/>
      <c r="H73" s="232"/>
      <c r="I73" s="231"/>
      <c r="J73" s="232"/>
    </row>
    <row r="74" spans="1:11">
      <c r="A74" s="232"/>
      <c r="B74" s="230"/>
      <c r="C74" s="232"/>
      <c r="D74" s="232"/>
      <c r="E74" s="232"/>
      <c r="F74" s="232"/>
      <c r="G74" s="220"/>
      <c r="H74" s="232"/>
      <c r="I74" s="232"/>
      <c r="J74" s="232"/>
      <c r="K74" s="231"/>
    </row>
    <row r="75" spans="1:11">
      <c r="A75" s="232"/>
      <c r="B75" s="230"/>
      <c r="C75" s="232"/>
      <c r="D75" s="232"/>
      <c r="E75" s="232"/>
      <c r="F75" s="232"/>
      <c r="G75" s="220"/>
      <c r="H75" s="232"/>
      <c r="I75" s="232"/>
      <c r="J75" s="232"/>
      <c r="K75" s="231"/>
    </row>
    <row r="76" spans="1:11">
      <c r="A76" s="230" t="s">
        <v>283</v>
      </c>
      <c r="B76" s="236" t="s">
        <v>19</v>
      </c>
    </row>
    <row r="78" spans="1:11">
      <c r="A78" s="232"/>
      <c r="B78" s="230" t="s">
        <v>282</v>
      </c>
      <c r="C78" s="220">
        <f>+K8</f>
        <v>4914868.8003676245</v>
      </c>
      <c r="D78" s="244" t="s">
        <v>249</v>
      </c>
      <c r="E78" s="243">
        <f>C67+C68+C127+C128</f>
        <v>142195388</v>
      </c>
      <c r="F78" s="230" t="s">
        <v>281</v>
      </c>
      <c r="G78" s="234">
        <f>ROUND((C78/E78),5)</f>
        <v>3.456E-2</v>
      </c>
    </row>
    <row r="79" spans="1:11">
      <c r="A79" s="232"/>
    </row>
    <row r="80" spans="1:11">
      <c r="A80" s="232"/>
      <c r="B80" s="230" t="s">
        <v>280</v>
      </c>
      <c r="C80" s="232"/>
      <c r="D80" s="232"/>
      <c r="E80" s="232"/>
      <c r="F80" s="232"/>
      <c r="G80" s="242">
        <v>0.02</v>
      </c>
    </row>
    <row r="81" spans="1:9">
      <c r="A81" s="232"/>
      <c r="B81" s="232"/>
      <c r="C81" s="232"/>
      <c r="D81" s="232"/>
      <c r="E81" s="232"/>
      <c r="F81" s="232"/>
      <c r="G81" s="237"/>
    </row>
    <row r="82" spans="1:9">
      <c r="A82" s="232"/>
      <c r="B82" s="230" t="s">
        <v>279</v>
      </c>
      <c r="C82" s="232"/>
      <c r="D82" s="232"/>
      <c r="E82" s="232"/>
      <c r="F82" s="232"/>
      <c r="G82" s="234">
        <f>G78+G80</f>
        <v>5.4559999999999997E-2</v>
      </c>
    </row>
    <row r="84" spans="1:9">
      <c r="A84" s="232"/>
      <c r="B84" s="230" t="s">
        <v>278</v>
      </c>
      <c r="C84" s="232"/>
      <c r="D84" s="232"/>
      <c r="E84" s="232"/>
      <c r="F84" s="232"/>
      <c r="G84" s="241">
        <v>5.2159999999999998E-2</v>
      </c>
      <c r="I84" s="240"/>
    </row>
    <row r="86" spans="1:9">
      <c r="A86" s="232"/>
      <c r="B86" s="230" t="s">
        <v>277</v>
      </c>
      <c r="C86" s="232"/>
      <c r="D86" s="232"/>
      <c r="E86" s="232"/>
      <c r="F86" s="232"/>
      <c r="G86" s="239">
        <v>0.54700000000000004</v>
      </c>
      <c r="I86" s="238"/>
    </row>
    <row r="87" spans="1:9">
      <c r="A87" s="232"/>
      <c r="B87" s="230" t="s">
        <v>276</v>
      </c>
      <c r="C87" s="232"/>
      <c r="D87" s="232"/>
      <c r="E87" s="232"/>
      <c r="F87" s="232"/>
      <c r="G87" s="222">
        <f>ROUND((E78*G86),0)</f>
        <v>77780877</v>
      </c>
    </row>
    <row r="89" spans="1:9">
      <c r="A89" s="232"/>
      <c r="B89" s="230" t="s">
        <v>275</v>
      </c>
      <c r="C89" s="232"/>
      <c r="D89" s="232"/>
      <c r="E89" s="232"/>
      <c r="F89" s="232"/>
      <c r="G89" s="220">
        <f>ROUND((G87*G84),0)</f>
        <v>4057051</v>
      </c>
    </row>
    <row r="91" spans="1:9">
      <c r="A91" s="232"/>
    </row>
    <row r="93" spans="1:9">
      <c r="A93" s="230" t="s">
        <v>274</v>
      </c>
      <c r="B93" s="236" t="s">
        <v>30</v>
      </c>
    </row>
    <row r="95" spans="1:9">
      <c r="A95" s="232"/>
      <c r="B95" s="230" t="s">
        <v>273</v>
      </c>
      <c r="C95" s="232"/>
      <c r="D95" s="232"/>
      <c r="E95" s="220">
        <f>+K10</f>
        <v>18486341</v>
      </c>
    </row>
    <row r="96" spans="1:9">
      <c r="A96" s="232"/>
      <c r="B96" s="230" t="s">
        <v>272</v>
      </c>
      <c r="C96" s="232"/>
      <c r="D96" s="232"/>
      <c r="E96" s="222">
        <f>+I37</f>
        <v>5295537</v>
      </c>
    </row>
    <row r="97" spans="1:9">
      <c r="A97" s="232"/>
      <c r="B97" s="230" t="s">
        <v>271</v>
      </c>
      <c r="C97" s="232"/>
      <c r="D97" s="232"/>
      <c r="E97" s="222">
        <f>+I38</f>
        <v>272707</v>
      </c>
    </row>
    <row r="98" spans="1:9">
      <c r="A98" s="232"/>
      <c r="B98" s="230" t="s">
        <v>270</v>
      </c>
      <c r="C98" s="232"/>
      <c r="D98" s="232"/>
      <c r="E98" s="222">
        <f>G129</f>
        <v>234</v>
      </c>
    </row>
    <row r="99" spans="1:9">
      <c r="A99" s="232"/>
      <c r="B99" s="230" t="s">
        <v>269</v>
      </c>
      <c r="C99" s="232"/>
      <c r="D99" s="232"/>
      <c r="E99" s="222">
        <f>+G89</f>
        <v>4057051</v>
      </c>
    </row>
    <row r="100" spans="1:9">
      <c r="A100" s="232"/>
      <c r="B100" s="232"/>
      <c r="C100" s="232"/>
      <c r="D100" s="232"/>
      <c r="E100" s="237"/>
    </row>
    <row r="101" spans="1:9">
      <c r="A101" s="232"/>
      <c r="B101" s="230" t="s">
        <v>34</v>
      </c>
      <c r="C101" s="232"/>
      <c r="D101" s="232"/>
      <c r="E101" s="220">
        <f>E95-E96-E97-E98-E99</f>
        <v>8860812</v>
      </c>
    </row>
    <row r="102" spans="1:9">
      <c r="A102" s="232"/>
      <c r="B102" s="230" t="s">
        <v>37</v>
      </c>
      <c r="C102" s="232"/>
      <c r="D102" s="232"/>
      <c r="E102" s="222">
        <f>E78-G87</f>
        <v>64414511</v>
      </c>
    </row>
    <row r="103" spans="1:9">
      <c r="A103" s="232"/>
      <c r="B103" s="232"/>
      <c r="C103" s="232"/>
      <c r="D103" s="232"/>
      <c r="E103" s="221"/>
    </row>
    <row r="104" spans="1:9">
      <c r="A104" s="232"/>
      <c r="B104" s="230" t="s">
        <v>38</v>
      </c>
      <c r="C104" s="232"/>
      <c r="D104" s="232"/>
      <c r="E104" s="234">
        <f>ROUND((E101/E102),5)</f>
        <v>0.13755999999999999</v>
      </c>
      <c r="F104" s="230" t="s">
        <v>23</v>
      </c>
    </row>
    <row r="108" spans="1:9">
      <c r="A108" s="230" t="s">
        <v>94</v>
      </c>
      <c r="B108" s="236" t="s">
        <v>39</v>
      </c>
    </row>
    <row r="109" spans="1:9">
      <c r="A109" s="232"/>
      <c r="B109" s="232"/>
      <c r="C109" s="235" t="s">
        <v>40</v>
      </c>
      <c r="D109" s="232"/>
      <c r="E109" s="235" t="s">
        <v>188</v>
      </c>
      <c r="F109" s="232"/>
      <c r="G109" s="235" t="s">
        <v>1</v>
      </c>
      <c r="H109" s="232"/>
      <c r="I109" s="235" t="s">
        <v>42</v>
      </c>
    </row>
    <row r="110" spans="1:9">
      <c r="A110" s="232"/>
      <c r="B110" s="232"/>
    </row>
    <row r="111" spans="1:9">
      <c r="A111" s="232"/>
      <c r="B111" s="230" t="s">
        <v>43</v>
      </c>
      <c r="C111" s="222">
        <f>+E102</f>
        <v>64414511</v>
      </c>
      <c r="D111" s="230" t="s">
        <v>44</v>
      </c>
      <c r="E111" s="234">
        <f>E104-0.00001</f>
        <v>0.13754999999999998</v>
      </c>
      <c r="F111" s="223" t="s">
        <v>960</v>
      </c>
      <c r="G111" s="220">
        <f>ROUND((C111*E111),0)</f>
        <v>8860216</v>
      </c>
    </row>
    <row r="112" spans="1:9">
      <c r="A112" s="232"/>
      <c r="B112" s="230" t="s">
        <v>45</v>
      </c>
      <c r="C112" s="222">
        <f>+G87</f>
        <v>77780877</v>
      </c>
      <c r="D112" s="230" t="s">
        <v>44</v>
      </c>
      <c r="E112" s="234">
        <f>+G84</f>
        <v>5.2159999999999998E-2</v>
      </c>
      <c r="F112" s="232"/>
      <c r="G112" s="222">
        <f>ROUND((C112*E112),0)</f>
        <v>4057051</v>
      </c>
    </row>
    <row r="113" spans="1:9">
      <c r="A113" s="232"/>
      <c r="B113" s="230" t="s">
        <v>268</v>
      </c>
      <c r="C113" s="222">
        <f>+E37</f>
        <v>271566</v>
      </c>
      <c r="D113" s="230" t="s">
        <v>46</v>
      </c>
      <c r="E113" s="233">
        <f>+C37</f>
        <v>19.5</v>
      </c>
      <c r="F113" s="232"/>
      <c r="G113" s="222">
        <f>ROUND((C113*E113),0)</f>
        <v>5295537</v>
      </c>
    </row>
    <row r="114" spans="1:9">
      <c r="A114" s="232"/>
      <c r="B114" s="230" t="s">
        <v>267</v>
      </c>
      <c r="C114" s="222">
        <f>+E38</f>
        <v>17594</v>
      </c>
      <c r="D114" s="230" t="s">
        <v>46</v>
      </c>
      <c r="E114" s="233">
        <f>+C38</f>
        <v>15.5</v>
      </c>
      <c r="F114" s="232"/>
      <c r="G114" s="222">
        <f>ROUND((C114*E114),0)</f>
        <v>272707</v>
      </c>
    </row>
    <row r="115" spans="1:9">
      <c r="A115" s="232"/>
      <c r="B115" s="230" t="s">
        <v>266</v>
      </c>
      <c r="C115" s="222">
        <f>+C129</f>
        <v>12</v>
      </c>
      <c r="D115" s="230" t="s">
        <v>46</v>
      </c>
      <c r="E115" s="233">
        <f>+E129</f>
        <v>19.5</v>
      </c>
      <c r="F115" s="232"/>
      <c r="G115" s="222">
        <f>ROUND((C115*E115),0)</f>
        <v>234</v>
      </c>
    </row>
    <row r="116" spans="1:9">
      <c r="A116" s="232"/>
      <c r="B116" s="221"/>
      <c r="C116" s="221"/>
      <c r="D116" s="221"/>
      <c r="E116" s="221"/>
      <c r="F116" s="221"/>
      <c r="G116" s="221"/>
    </row>
    <row r="117" spans="1:9">
      <c r="A117" s="232"/>
      <c r="B117" s="219" t="s">
        <v>265</v>
      </c>
      <c r="C117" s="232"/>
      <c r="D117" s="232"/>
      <c r="E117" s="232"/>
      <c r="F117" s="232"/>
      <c r="G117" s="220">
        <f>SUM(G111:G115)</f>
        <v>18485745</v>
      </c>
      <c r="H117" s="232"/>
      <c r="I117" s="231">
        <f>G117-K10</f>
        <v>-596</v>
      </c>
    </row>
    <row r="118" spans="1:9">
      <c r="A118" s="232"/>
      <c r="C118" s="232"/>
      <c r="D118" s="232"/>
      <c r="E118" s="232"/>
      <c r="F118" s="232"/>
      <c r="G118" s="220"/>
      <c r="H118" s="232"/>
      <c r="I118" s="231"/>
    </row>
    <row r="119" spans="1:9">
      <c r="B119" s="230" t="s">
        <v>264</v>
      </c>
    </row>
    <row r="122" spans="1:9">
      <c r="A122" s="219" t="s">
        <v>263</v>
      </c>
      <c r="B122" s="229" t="s">
        <v>262</v>
      </c>
    </row>
    <row r="124" spans="1:9">
      <c r="C124" s="228"/>
      <c r="D124" s="228"/>
      <c r="E124" s="228"/>
      <c r="F124" s="228"/>
      <c r="G124" s="228" t="s">
        <v>141</v>
      </c>
    </row>
    <row r="125" spans="1:9">
      <c r="C125" s="227" t="s">
        <v>40</v>
      </c>
      <c r="D125" s="227"/>
      <c r="E125" s="227" t="s">
        <v>188</v>
      </c>
      <c r="F125" s="227"/>
      <c r="G125" s="227" t="s">
        <v>1</v>
      </c>
    </row>
    <row r="126" spans="1:9">
      <c r="B126" s="219" t="s">
        <v>261</v>
      </c>
    </row>
    <row r="127" spans="1:9">
      <c r="B127" s="219" t="s">
        <v>260</v>
      </c>
      <c r="C127" s="225">
        <v>1456</v>
      </c>
      <c r="E127" s="226">
        <f>E111</f>
        <v>0.13754999999999998</v>
      </c>
      <c r="G127" s="222">
        <f>ROUND((C127*E127),0)</f>
        <v>200</v>
      </c>
    </row>
    <row r="128" spans="1:9">
      <c r="B128" s="219" t="s">
        <v>259</v>
      </c>
      <c r="C128" s="225">
        <v>1556</v>
      </c>
      <c r="E128" s="226">
        <f>E112</f>
        <v>5.2159999999999998E-2</v>
      </c>
      <c r="G128" s="222">
        <f>ROUND((C128*E128),0)</f>
        <v>81</v>
      </c>
    </row>
    <row r="129" spans="2:7">
      <c r="B129" s="219" t="s">
        <v>258</v>
      </c>
      <c r="C129" s="225">
        <v>12</v>
      </c>
      <c r="E129" s="224">
        <f>I34</f>
        <v>19.5</v>
      </c>
      <c r="F129" s="223"/>
      <c r="G129" s="222">
        <f>ROUND((C129*E129),0)</f>
        <v>234</v>
      </c>
    </row>
    <row r="130" spans="2:7">
      <c r="G130" s="221"/>
    </row>
    <row r="131" spans="2:7">
      <c r="B131" s="219" t="s">
        <v>257</v>
      </c>
      <c r="G131" s="220">
        <f>SUM(G127:G129)</f>
        <v>515</v>
      </c>
    </row>
    <row r="132" spans="2:7">
      <c r="G132" s="220"/>
    </row>
    <row r="133" spans="2:7">
      <c r="G133" s="220"/>
    </row>
    <row r="134" spans="2:7">
      <c r="G134" s="220"/>
    </row>
    <row r="135" spans="2:7">
      <c r="G135" s="220"/>
    </row>
    <row r="136" spans="2:7">
      <c r="G136" s="220"/>
    </row>
    <row r="137" spans="2:7">
      <c r="G137" s="220"/>
    </row>
  </sheetData>
  <printOptions horizontalCentered="1"/>
  <pageMargins left="0.9" right="0.5" top="0.8" bottom="0.5" header="0.5" footer="0.5"/>
  <pageSetup scale="62" fitToHeight="0" orientation="portrait" r:id="rId1"/>
  <headerFooter alignWithMargins="0">
    <oddHeader xml:space="preserve">&amp;L&amp;"Arial,Regular"&amp;F
Page &amp;P of &amp;N
&amp;C&amp;"Arial,Regular"KENTUCKY POWER COMPANY 
SGS Rate Design
Twelve Months Ended September 30, 2014
</oddHeader>
  </headerFooter>
  <rowBreaks count="2" manualBreakCount="2">
    <brk id="7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82"/>
  <sheetViews>
    <sheetView zoomScale="85" zoomScaleNormal="85" workbookViewId="0">
      <selection activeCell="G24" sqref="G24"/>
    </sheetView>
  </sheetViews>
  <sheetFormatPr defaultRowHeight="15"/>
  <cols>
    <col min="1" max="1" width="3.375" style="166" bestFit="1" customWidth="1"/>
    <col min="2" max="2" width="24.625" style="166" customWidth="1"/>
    <col min="3" max="3" width="14" style="166" bestFit="1" customWidth="1"/>
    <col min="4" max="4" width="2.375" style="166" customWidth="1"/>
    <col min="5" max="5" width="15.25" style="166" bestFit="1" customWidth="1"/>
    <col min="6" max="6" width="4.75" style="166" customWidth="1"/>
    <col min="7" max="7" width="14" style="166" bestFit="1" customWidth="1"/>
    <col min="8" max="8" width="2.5" style="166" customWidth="1"/>
    <col min="9" max="9" width="17.75" style="166" bestFit="1" customWidth="1"/>
    <col min="10" max="10" width="2.5" style="166" customWidth="1"/>
    <col min="11" max="11" width="14.25" style="166" bestFit="1" customWidth="1"/>
    <col min="12" max="12" width="2.5" style="166" customWidth="1"/>
    <col min="13" max="13" width="15.25" style="166" bestFit="1" customWidth="1"/>
    <col min="14" max="16384" width="9" style="166"/>
  </cols>
  <sheetData>
    <row r="1" spans="1:14">
      <c r="A1" s="217"/>
      <c r="B1" s="218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4">
      <c r="A2" s="217"/>
      <c r="B2" s="218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4">
      <c r="A3" s="217"/>
      <c r="B3" s="218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4">
      <c r="A4" s="217"/>
      <c r="B4" s="218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4">
      <c r="A5" s="217"/>
      <c r="B5" s="218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4">
      <c r="A6" s="217"/>
      <c r="B6" s="218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1:14">
      <c r="A7" s="166" t="s">
        <v>150</v>
      </c>
      <c r="B7" s="166" t="s">
        <v>101</v>
      </c>
    </row>
    <row r="8" spans="1:14">
      <c r="C8" s="177"/>
      <c r="D8" s="173"/>
      <c r="E8" s="173" t="s">
        <v>9</v>
      </c>
      <c r="F8" s="173"/>
      <c r="G8" s="173" t="s">
        <v>151</v>
      </c>
      <c r="H8" s="173"/>
      <c r="I8" s="173" t="s">
        <v>152</v>
      </c>
      <c r="J8" s="177"/>
      <c r="L8" s="177"/>
    </row>
    <row r="9" spans="1:14">
      <c r="C9" s="177"/>
      <c r="D9" s="173"/>
      <c r="E9" s="179" t="s">
        <v>153</v>
      </c>
      <c r="F9" s="177"/>
      <c r="G9" s="179" t="s">
        <v>154</v>
      </c>
      <c r="H9" s="177"/>
      <c r="I9" s="179" t="s">
        <v>155</v>
      </c>
      <c r="J9" s="177"/>
      <c r="L9" s="177"/>
    </row>
    <row r="10" spans="1:14">
      <c r="C10" s="177"/>
      <c r="D10" s="177"/>
      <c r="E10" s="179"/>
      <c r="F10" s="177"/>
      <c r="G10" s="177"/>
      <c r="H10" s="177"/>
      <c r="J10" s="177"/>
      <c r="L10" s="177"/>
    </row>
    <row r="11" spans="1:14">
      <c r="B11" s="166" t="s">
        <v>6</v>
      </c>
      <c r="D11" s="210"/>
      <c r="E11" s="284">
        <f>4569088+3227757+2049932</f>
        <v>9846777</v>
      </c>
      <c r="F11" s="210"/>
      <c r="G11" s="216">
        <v>4567088</v>
      </c>
      <c r="H11" s="210"/>
      <c r="I11" s="137">
        <f>+E11-G11</f>
        <v>5279689</v>
      </c>
      <c r="J11" s="210"/>
      <c r="L11" s="210"/>
      <c r="N11" s="211"/>
    </row>
    <row r="12" spans="1:14">
      <c r="B12" s="166" t="s">
        <v>7</v>
      </c>
      <c r="D12" s="214"/>
      <c r="E12" s="268">
        <v>5219426</v>
      </c>
      <c r="F12" s="214"/>
      <c r="G12" s="215">
        <v>5219426</v>
      </c>
      <c r="H12" s="214"/>
      <c r="I12" s="191">
        <f>+E12-G12</f>
        <v>0</v>
      </c>
      <c r="J12" s="214"/>
      <c r="L12" s="214"/>
      <c r="N12" s="211"/>
    </row>
    <row r="13" spans="1:14">
      <c r="B13" s="166" t="s">
        <v>8</v>
      </c>
      <c r="D13" s="214"/>
      <c r="E13" s="291">
        <v>3762175</v>
      </c>
      <c r="F13" s="214"/>
      <c r="G13" s="198">
        <v>0</v>
      </c>
      <c r="H13" s="214"/>
      <c r="I13" s="188">
        <f>+E13-G13</f>
        <v>3762175</v>
      </c>
      <c r="J13" s="214"/>
      <c r="K13" s="212"/>
      <c r="L13" s="213"/>
      <c r="M13" s="212"/>
      <c r="N13" s="211"/>
    </row>
    <row r="14" spans="1:14">
      <c r="B14" s="166" t="s">
        <v>9</v>
      </c>
      <c r="D14" s="210"/>
      <c r="E14" s="191">
        <f>SUM(E11:E13)</f>
        <v>18828378</v>
      </c>
      <c r="F14" s="210"/>
      <c r="G14" s="191">
        <f>SUM(G11:G13)</f>
        <v>9786514</v>
      </c>
      <c r="H14" s="210"/>
      <c r="I14" s="191">
        <f>SUM(I11:I13)</f>
        <v>9041864</v>
      </c>
      <c r="J14" s="210"/>
      <c r="L14" s="210"/>
    </row>
    <row r="15" spans="1:14">
      <c r="C15" s="192"/>
      <c r="D15" s="192"/>
      <c r="E15" s="192"/>
      <c r="F15" s="192"/>
      <c r="G15" s="192"/>
      <c r="H15" s="192"/>
      <c r="I15" s="191"/>
      <c r="J15" s="192"/>
      <c r="L15" s="192"/>
    </row>
    <row r="16" spans="1:14">
      <c r="A16" s="166" t="s">
        <v>12</v>
      </c>
      <c r="B16" s="166" t="s">
        <v>256</v>
      </c>
      <c r="G16" s="192"/>
      <c r="K16" s="192"/>
    </row>
    <row r="17" spans="1:13">
      <c r="G17" s="192"/>
      <c r="K17" s="192"/>
    </row>
    <row r="18" spans="1:13" ht="45">
      <c r="C18" s="183" t="s">
        <v>255</v>
      </c>
      <c r="E18" s="173" t="s">
        <v>254</v>
      </c>
      <c r="G18" s="209" t="s">
        <v>253</v>
      </c>
      <c r="I18" s="183" t="s">
        <v>252</v>
      </c>
      <c r="K18" s="208" t="s">
        <v>251</v>
      </c>
      <c r="M18" s="183" t="s">
        <v>250</v>
      </c>
    </row>
    <row r="19" spans="1:13">
      <c r="C19" s="207">
        <v>0</v>
      </c>
      <c r="D19" s="177" t="s">
        <v>249</v>
      </c>
      <c r="E19" s="177">
        <v>12</v>
      </c>
      <c r="F19" s="177" t="s">
        <v>103</v>
      </c>
      <c r="G19" s="206">
        <v>0.12709999999999999</v>
      </c>
      <c r="H19" s="177" t="s">
        <v>15</v>
      </c>
      <c r="I19" s="205">
        <f>ROUND((+C19/E19*G19)*20,0)/20</f>
        <v>0</v>
      </c>
      <c r="J19" s="166" t="s">
        <v>90</v>
      </c>
      <c r="K19" s="204">
        <f>G62</f>
        <v>19.5</v>
      </c>
      <c r="L19" s="166" t="s">
        <v>15</v>
      </c>
      <c r="M19" s="203">
        <f>I19+K19</f>
        <v>19.5</v>
      </c>
    </row>
    <row r="20" spans="1:13">
      <c r="C20" s="202"/>
      <c r="D20" s="177"/>
      <c r="F20" s="177"/>
      <c r="G20" s="201"/>
      <c r="H20" s="177"/>
      <c r="I20" s="200"/>
      <c r="K20" s="192"/>
    </row>
    <row r="22" spans="1:13">
      <c r="A22" s="166" t="s">
        <v>18</v>
      </c>
      <c r="B22" s="166" t="s">
        <v>156</v>
      </c>
    </row>
    <row r="24" spans="1:13">
      <c r="B24" s="166" t="s">
        <v>157</v>
      </c>
      <c r="E24" s="137">
        <f>+I14</f>
        <v>9041864</v>
      </c>
    </row>
    <row r="26" spans="1:13">
      <c r="B26" s="166" t="s">
        <v>158</v>
      </c>
      <c r="E26" s="199">
        <f>I62</f>
        <v>5295537</v>
      </c>
      <c r="G26" s="137"/>
    </row>
    <row r="27" spans="1:13">
      <c r="B27" s="166" t="s">
        <v>159</v>
      </c>
      <c r="E27" s="199">
        <f>I63</f>
        <v>234</v>
      </c>
      <c r="G27" s="137"/>
    </row>
    <row r="28" spans="1:13">
      <c r="B28" s="166" t="s">
        <v>248</v>
      </c>
      <c r="E28" s="198">
        <f>I64</f>
        <v>272707</v>
      </c>
      <c r="G28" s="137"/>
    </row>
    <row r="29" spans="1:13">
      <c r="B29" s="166" t="s">
        <v>164</v>
      </c>
      <c r="E29" s="191">
        <f>+E24-E26-E27-E28</f>
        <v>3473386</v>
      </c>
    </row>
    <row r="31" spans="1:13">
      <c r="B31" s="166" t="s">
        <v>163</v>
      </c>
      <c r="E31" s="197">
        <v>142560729</v>
      </c>
    </row>
    <row r="32" spans="1:13">
      <c r="B32" s="166" t="s">
        <v>164</v>
      </c>
      <c r="E32" s="181">
        <f>ROUND(+E29/E31,6)</f>
        <v>2.4364E-2</v>
      </c>
    </row>
    <row r="35" spans="1:13">
      <c r="A35" s="166" t="s">
        <v>29</v>
      </c>
      <c r="B35" s="166" t="s">
        <v>165</v>
      </c>
    </row>
    <row r="37" spans="1:13">
      <c r="C37" s="840" t="s">
        <v>247</v>
      </c>
      <c r="D37" s="840"/>
      <c r="E37" s="840"/>
      <c r="F37" s="192"/>
      <c r="G37" s="192"/>
      <c r="H37" s="192"/>
      <c r="I37" s="192"/>
    </row>
    <row r="38" spans="1:13" ht="30">
      <c r="C38" s="196" t="s">
        <v>167</v>
      </c>
      <c r="D38" s="196"/>
      <c r="E38" s="196" t="s">
        <v>168</v>
      </c>
      <c r="G38" s="196" t="s">
        <v>9</v>
      </c>
      <c r="H38" s="196"/>
      <c r="I38" s="196" t="s">
        <v>169</v>
      </c>
      <c r="J38" s="196"/>
      <c r="K38" s="196" t="s">
        <v>44</v>
      </c>
      <c r="L38" s="196"/>
      <c r="M38" s="194" t="s">
        <v>170</v>
      </c>
    </row>
    <row r="39" spans="1:13">
      <c r="C39" s="193" t="s">
        <v>153</v>
      </c>
      <c r="D39" s="194"/>
      <c r="E39" s="193" t="s">
        <v>154</v>
      </c>
      <c r="F39" s="194"/>
      <c r="G39" s="195" t="s">
        <v>171</v>
      </c>
      <c r="H39" s="194"/>
      <c r="I39" s="194" t="s">
        <v>172</v>
      </c>
      <c r="J39" s="194"/>
      <c r="K39" s="193" t="s">
        <v>173</v>
      </c>
      <c r="L39" s="194"/>
      <c r="M39" s="193" t="s">
        <v>174</v>
      </c>
    </row>
    <row r="40" spans="1:13">
      <c r="G40" s="192"/>
    </row>
    <row r="41" spans="1:13">
      <c r="B41" s="166" t="s">
        <v>175</v>
      </c>
      <c r="C41" s="190">
        <v>395982.15</v>
      </c>
      <c r="E41" s="186">
        <f>+'SGS-TOD Capacity Charge'!C52</f>
        <v>295545.19</v>
      </c>
      <c r="G41" s="186">
        <f>+E41+C41</f>
        <v>691527.34000000008</v>
      </c>
      <c r="I41" s="191">
        <f>ROUND(+G41/$G$44*$G$14,0)</f>
        <v>861082</v>
      </c>
      <c r="K41" s="190">
        <v>9682035.3699999992</v>
      </c>
      <c r="M41" s="181">
        <f>ROUND(+I41/K41,6)</f>
        <v>8.8936000000000001E-2</v>
      </c>
    </row>
    <row r="42" spans="1:13">
      <c r="B42" s="166" t="s">
        <v>176</v>
      </c>
      <c r="C42" s="190">
        <v>943306.17</v>
      </c>
      <c r="E42" s="186">
        <f>+'SGS-TOD Capacity Charge'!D52</f>
        <v>450881.33</v>
      </c>
      <c r="G42" s="186">
        <f>+E42+C42</f>
        <v>1394187.5</v>
      </c>
      <c r="I42" s="191">
        <f>ROUND(+G42/$G$44*$G$14,0)</f>
        <v>1736026</v>
      </c>
      <c r="K42" s="190">
        <v>17737013.75</v>
      </c>
      <c r="M42" s="181">
        <f>ROUND(+I42/K42,6)</f>
        <v>9.7876000000000005E-2</v>
      </c>
    </row>
    <row r="43" spans="1:13">
      <c r="B43" s="166" t="s">
        <v>177</v>
      </c>
      <c r="C43" s="187">
        <v>5574733.3099999996</v>
      </c>
      <c r="E43" s="189">
        <f>+'SGS-TOD Capacity Charge'!E52</f>
        <v>199015.56</v>
      </c>
      <c r="G43" s="189">
        <f>+E43+C43</f>
        <v>5773748.8699999992</v>
      </c>
      <c r="I43" s="188">
        <f>ROUND(+G43/$G$44*$G$14,0)</f>
        <v>7189406</v>
      </c>
      <c r="K43" s="187">
        <v>115141680</v>
      </c>
      <c r="M43" s="181">
        <f>ROUND(+I43/K43,6)</f>
        <v>6.2440000000000002E-2</v>
      </c>
    </row>
    <row r="44" spans="1:13">
      <c r="C44" s="135">
        <f>SUM(C41:C43)</f>
        <v>6914021.6299999999</v>
      </c>
      <c r="E44" s="135">
        <f>+'SGS-TOD Capacity Charge'!D17</f>
        <v>945442.08</v>
      </c>
      <c r="G44" s="186">
        <f>SUM(G41:G43)</f>
        <v>7859463.709999999</v>
      </c>
      <c r="I44" s="137">
        <f>SUM(I41:I43)</f>
        <v>9786514</v>
      </c>
      <c r="K44" s="185">
        <f>E31</f>
        <v>142560729</v>
      </c>
    </row>
    <row r="46" spans="1:13">
      <c r="E46" s="160"/>
      <c r="H46" s="184" t="s">
        <v>178</v>
      </c>
      <c r="I46" s="158">
        <f>+I44/G44</f>
        <v>1.2451885219023424</v>
      </c>
    </row>
    <row r="47" spans="1:13">
      <c r="E47" s="160"/>
      <c r="H47" s="184"/>
      <c r="I47" s="158"/>
    </row>
    <row r="48" spans="1:13">
      <c r="A48" s="166" t="s">
        <v>91</v>
      </c>
      <c r="B48" s="166" t="s">
        <v>179</v>
      </c>
    </row>
    <row r="50" spans="1:12" ht="29.25" customHeight="1">
      <c r="C50" s="183" t="s">
        <v>180</v>
      </c>
      <c r="D50" s="177"/>
      <c r="E50" s="183" t="s">
        <v>181</v>
      </c>
      <c r="F50" s="177"/>
      <c r="G50" s="173" t="s">
        <v>182</v>
      </c>
      <c r="H50" s="173"/>
      <c r="I50" s="173" t="s">
        <v>183</v>
      </c>
      <c r="J50" s="173"/>
      <c r="K50" s="173" t="s">
        <v>184</v>
      </c>
      <c r="L50" s="173"/>
    </row>
    <row r="51" spans="1:12">
      <c r="C51" s="179" t="s">
        <v>153</v>
      </c>
      <c r="D51" s="177"/>
      <c r="E51" s="179" t="s">
        <v>154</v>
      </c>
      <c r="F51" s="177"/>
      <c r="G51" s="179" t="s">
        <v>171</v>
      </c>
      <c r="H51" s="177"/>
      <c r="I51" s="179" t="s">
        <v>185</v>
      </c>
      <c r="J51" s="177"/>
      <c r="K51" s="179" t="s">
        <v>186</v>
      </c>
      <c r="L51" s="177"/>
    </row>
    <row r="53" spans="1:12">
      <c r="B53" s="166" t="s">
        <v>175</v>
      </c>
      <c r="C53" s="181">
        <f>+E32</f>
        <v>2.4364E-2</v>
      </c>
      <c r="E53" s="181">
        <f>+M41</f>
        <v>8.8936000000000001E-2</v>
      </c>
      <c r="F53" s="181"/>
      <c r="G53" s="181">
        <f>+C53+E53</f>
        <v>0.1133</v>
      </c>
      <c r="I53" s="182">
        <v>2.0411000000000001E-3</v>
      </c>
      <c r="K53" s="172">
        <f>ROUND(+G53-I53,5)</f>
        <v>0.11126</v>
      </c>
    </row>
    <row r="54" spans="1:12">
      <c r="B54" s="166" t="s">
        <v>176</v>
      </c>
      <c r="C54" s="181">
        <f>+E32</f>
        <v>2.4364E-2</v>
      </c>
      <c r="E54" s="181">
        <f>+M42</f>
        <v>9.7876000000000005E-2</v>
      </c>
      <c r="F54" s="181"/>
      <c r="G54" s="181">
        <f>+C54+E54</f>
        <v>0.12224</v>
      </c>
      <c r="I54" s="180">
        <f>I53</f>
        <v>2.0411000000000001E-3</v>
      </c>
      <c r="K54" s="172">
        <f>ROUND(+G54-I54,5)</f>
        <v>0.1202</v>
      </c>
    </row>
    <row r="55" spans="1:12">
      <c r="B55" s="166" t="s">
        <v>177</v>
      </c>
      <c r="C55" s="181">
        <f>+E32</f>
        <v>2.4364E-2</v>
      </c>
      <c r="E55" s="181">
        <f>+M43</f>
        <v>6.2440000000000002E-2</v>
      </c>
      <c r="F55" s="181"/>
      <c r="G55" s="181">
        <f>+C55+E55</f>
        <v>8.6804000000000006E-2</v>
      </c>
      <c r="I55" s="180">
        <f>I53</f>
        <v>2.0411000000000001E-3</v>
      </c>
      <c r="K55" s="172">
        <f>ROUND(+G55-I55,5)</f>
        <v>8.4760000000000002E-2</v>
      </c>
    </row>
    <row r="58" spans="1:12">
      <c r="A58" s="166" t="s">
        <v>92</v>
      </c>
      <c r="B58" s="166" t="s">
        <v>39</v>
      </c>
      <c r="I58" s="137"/>
    </row>
    <row r="59" spans="1:12">
      <c r="D59" s="173"/>
      <c r="E59" s="173" t="s">
        <v>40</v>
      </c>
      <c r="F59" s="173"/>
      <c r="G59" s="173" t="s">
        <v>188</v>
      </c>
      <c r="H59" s="173"/>
      <c r="I59" s="173" t="s">
        <v>244</v>
      </c>
      <c r="J59" s="173"/>
      <c r="L59" s="173"/>
    </row>
    <row r="60" spans="1:12">
      <c r="D60" s="177"/>
      <c r="E60" s="179" t="s">
        <v>153</v>
      </c>
      <c r="F60" s="177"/>
      <c r="G60" s="179" t="s">
        <v>154</v>
      </c>
      <c r="H60" s="177"/>
      <c r="I60" s="179" t="s">
        <v>189</v>
      </c>
      <c r="J60" s="177"/>
      <c r="L60" s="177"/>
    </row>
    <row r="61" spans="1:12">
      <c r="D61" s="177"/>
      <c r="E61" s="179"/>
      <c r="F61" s="177"/>
      <c r="G61" s="177"/>
      <c r="H61" s="177"/>
      <c r="I61" s="179"/>
      <c r="J61" s="177"/>
      <c r="L61" s="177"/>
    </row>
    <row r="62" spans="1:12">
      <c r="B62" s="166" t="s">
        <v>190</v>
      </c>
      <c r="D62" s="177"/>
      <c r="E62" s="165">
        <v>271566</v>
      </c>
      <c r="F62" s="175" t="s">
        <v>46</v>
      </c>
      <c r="G62" s="178">
        <f>SGS!I34</f>
        <v>19.5</v>
      </c>
      <c r="H62" s="177"/>
      <c r="I62" s="171">
        <f t="shared" ref="I62:I67" si="0">+ROUND(E62*G62,0)</f>
        <v>5295537</v>
      </c>
      <c r="J62" s="177"/>
      <c r="L62" s="177"/>
    </row>
    <row r="63" spans="1:12">
      <c r="B63" s="166" t="s">
        <v>191</v>
      </c>
      <c r="D63" s="177"/>
      <c r="E63" s="165">
        <v>12</v>
      </c>
      <c r="F63" s="175" t="s">
        <v>46</v>
      </c>
      <c r="G63" s="178">
        <f>M19</f>
        <v>19.5</v>
      </c>
      <c r="H63" s="177"/>
      <c r="I63" s="171">
        <f t="shared" si="0"/>
        <v>234</v>
      </c>
      <c r="J63" s="177"/>
      <c r="L63" s="177"/>
    </row>
    <row r="64" spans="1:12">
      <c r="B64" s="166" t="s">
        <v>246</v>
      </c>
      <c r="D64" s="177"/>
      <c r="E64" s="165">
        <v>17594</v>
      </c>
      <c r="F64" s="175" t="s">
        <v>46</v>
      </c>
      <c r="G64" s="178">
        <f>SGS!C38</f>
        <v>15.5</v>
      </c>
      <c r="H64" s="177"/>
      <c r="I64" s="171">
        <f t="shared" si="0"/>
        <v>272707</v>
      </c>
      <c r="J64" s="177"/>
      <c r="L64" s="177"/>
    </row>
    <row r="65" spans="1:13">
      <c r="B65" s="166" t="s">
        <v>175</v>
      </c>
      <c r="E65" s="135">
        <f>+K41</f>
        <v>9682035.3699999992</v>
      </c>
      <c r="F65" s="175" t="s">
        <v>44</v>
      </c>
      <c r="G65" s="172">
        <f>+K53</f>
        <v>0.11126</v>
      </c>
      <c r="I65" s="171">
        <f t="shared" si="0"/>
        <v>1077223</v>
      </c>
    </row>
    <row r="66" spans="1:13">
      <c r="B66" s="166" t="s">
        <v>176</v>
      </c>
      <c r="E66" s="135">
        <f>+K42</f>
        <v>17737013.75</v>
      </c>
      <c r="F66" s="175" t="s">
        <v>44</v>
      </c>
      <c r="G66" s="172">
        <f>+K54</f>
        <v>0.1202</v>
      </c>
      <c r="I66" s="171">
        <f t="shared" si="0"/>
        <v>2131989</v>
      </c>
    </row>
    <row r="67" spans="1:13">
      <c r="B67" s="166" t="s">
        <v>177</v>
      </c>
      <c r="E67" s="176">
        <f>+K43</f>
        <v>115141680</v>
      </c>
      <c r="F67" s="175" t="s">
        <v>44</v>
      </c>
      <c r="G67" s="172">
        <f>+K55</f>
        <v>8.4760000000000002E-2</v>
      </c>
      <c r="I67" s="171">
        <f t="shared" si="0"/>
        <v>9759409</v>
      </c>
    </row>
    <row r="68" spans="1:13">
      <c r="B68" s="166" t="s">
        <v>82</v>
      </c>
      <c r="E68" s="135">
        <f>+E31</f>
        <v>142560729</v>
      </c>
      <c r="F68" s="175" t="s">
        <v>44</v>
      </c>
      <c r="G68" s="174">
        <f>I53</f>
        <v>2.0411000000000001E-3</v>
      </c>
      <c r="I68" s="168">
        <f>ROUND(E68*G68,5)</f>
        <v>290980.70396000001</v>
      </c>
    </row>
    <row r="69" spans="1:13">
      <c r="I69" s="167">
        <f>SUM(I62:I68)</f>
        <v>18828079.703960001</v>
      </c>
      <c r="K69" s="137">
        <f>+E14</f>
        <v>18828378</v>
      </c>
      <c r="M69" s="167">
        <f>+I69-K69</f>
        <v>-298.29603999853134</v>
      </c>
    </row>
    <row r="70" spans="1:13">
      <c r="I70" s="135"/>
    </row>
    <row r="72" spans="1:13">
      <c r="B72" s="166" t="s">
        <v>193</v>
      </c>
    </row>
    <row r="74" spans="1:13">
      <c r="A74" s="166" t="s">
        <v>93</v>
      </c>
      <c r="B74" s="166" t="s">
        <v>245</v>
      </c>
    </row>
    <row r="75" spans="1:13">
      <c r="E75" s="173" t="s">
        <v>40</v>
      </c>
      <c r="F75" s="173"/>
      <c r="G75" s="173" t="s">
        <v>188</v>
      </c>
      <c r="H75" s="173"/>
      <c r="I75" s="173" t="s">
        <v>244</v>
      </c>
    </row>
    <row r="76" spans="1:13">
      <c r="B76" s="166" t="s">
        <v>243</v>
      </c>
      <c r="G76" s="135"/>
    </row>
    <row r="77" spans="1:13">
      <c r="B77" s="170" t="s">
        <v>175</v>
      </c>
      <c r="E77" s="165">
        <v>23647</v>
      </c>
      <c r="G77" s="172">
        <f>K53</f>
        <v>0.11126</v>
      </c>
      <c r="I77" s="171">
        <f>+ROUND(E77*G77,0)</f>
        <v>2631</v>
      </c>
    </row>
    <row r="78" spans="1:13">
      <c r="B78" s="170" t="s">
        <v>176</v>
      </c>
      <c r="E78" s="165">
        <v>32745</v>
      </c>
      <c r="G78" s="172">
        <f>K54</f>
        <v>0.1202</v>
      </c>
      <c r="I78" s="171">
        <f>+ROUND(E78*G78,0)</f>
        <v>3936</v>
      </c>
    </row>
    <row r="79" spans="1:13">
      <c r="B79" s="170" t="s">
        <v>177</v>
      </c>
      <c r="E79" s="165">
        <v>308952</v>
      </c>
      <c r="G79" s="172">
        <f>K55</f>
        <v>8.4760000000000002E-2</v>
      </c>
      <c r="I79" s="171">
        <f>+ROUND(E79*G79,0)</f>
        <v>26187</v>
      </c>
    </row>
    <row r="80" spans="1:13">
      <c r="B80" s="170" t="s">
        <v>8</v>
      </c>
      <c r="E80" s="165">
        <v>912</v>
      </c>
      <c r="G80" s="169">
        <f>M19</f>
        <v>19.5</v>
      </c>
      <c r="I80" s="168">
        <f>+ROUND(E80*G80,0)</f>
        <v>17784</v>
      </c>
    </row>
    <row r="82" spans="2:9">
      <c r="B82" s="166" t="s">
        <v>9</v>
      </c>
      <c r="I82" s="167">
        <f>SUM(I77:I80)</f>
        <v>50538</v>
      </c>
    </row>
  </sheetData>
  <mergeCells count="1">
    <mergeCell ref="C37:E37"/>
  </mergeCells>
  <printOptions horizontalCentered="1"/>
  <pageMargins left="0.5" right="0.5" top="0.5" bottom="0.5" header="0.5" footer="0.5"/>
  <pageSetup scale="58" orientation="portrait" r:id="rId1"/>
  <headerFooter alignWithMargins="0">
    <oddHeader>&amp;C&amp;"Arial,Regular"KENTUCKY POWER COMPANY
Experimental SGS-TOD Rate Design
Twelve Months Ended, September 30, 2014
Rate Design&amp;RPage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="64" zoomScaleNormal="64" workbookViewId="0">
      <selection activeCell="J38" sqref="A38:J38"/>
    </sheetView>
  </sheetViews>
  <sheetFormatPr defaultColWidth="8.75" defaultRowHeight="15"/>
  <cols>
    <col min="1" max="1" width="11.125" style="134" bestFit="1" customWidth="1"/>
    <col min="2" max="2" width="11.5" style="134" bestFit="1" customWidth="1"/>
    <col min="3" max="3" width="12.625" style="134" bestFit="1" customWidth="1"/>
    <col min="4" max="4" width="16.25" style="134" bestFit="1" customWidth="1"/>
    <col min="5" max="5" width="12.625" style="134" bestFit="1" customWidth="1"/>
    <col min="6" max="6" width="15.625" style="134" customWidth="1"/>
    <col min="7" max="16384" width="8.75" style="134"/>
  </cols>
  <sheetData>
    <row r="1" spans="1:4">
      <c r="A1" s="135"/>
    </row>
    <row r="2" spans="1:4">
      <c r="A2" s="135"/>
    </row>
    <row r="3" spans="1:4">
      <c r="A3" s="135"/>
    </row>
    <row r="4" spans="1:4">
      <c r="A4" s="135"/>
    </row>
    <row r="6" spans="1:4">
      <c r="A6" s="134" t="s">
        <v>242</v>
      </c>
      <c r="D6" s="161" t="s">
        <v>241</v>
      </c>
    </row>
    <row r="7" spans="1:4">
      <c r="A7" s="139" t="s">
        <v>236</v>
      </c>
      <c r="B7" s="139" t="s">
        <v>235</v>
      </c>
      <c r="C7" s="139"/>
      <c r="D7" s="139" t="s">
        <v>234</v>
      </c>
    </row>
    <row r="8" spans="1:4">
      <c r="A8" s="164">
        <v>41807</v>
      </c>
      <c r="B8" s="163">
        <v>1800</v>
      </c>
      <c r="D8" s="165">
        <v>19209</v>
      </c>
    </row>
    <row r="9" spans="1:4">
      <c r="A9" s="164">
        <v>41808</v>
      </c>
      <c r="B9" s="163">
        <v>1700</v>
      </c>
      <c r="D9" s="165">
        <v>19763</v>
      </c>
    </row>
    <row r="10" spans="1:4">
      <c r="A10" s="164">
        <v>41821</v>
      </c>
      <c r="B10" s="163">
        <v>1800</v>
      </c>
      <c r="D10" s="165">
        <v>20725</v>
      </c>
    </row>
    <row r="11" spans="1:4">
      <c r="A11" s="164">
        <v>41887</v>
      </c>
      <c r="B11" s="163">
        <v>1600</v>
      </c>
      <c r="D11" s="165">
        <v>18138</v>
      </c>
    </row>
    <row r="12" spans="1:4">
      <c r="A12" s="164">
        <v>41842</v>
      </c>
      <c r="B12" s="163">
        <v>1800</v>
      </c>
      <c r="D12" s="162">
        <v>19967</v>
      </c>
    </row>
    <row r="13" spans="1:4">
      <c r="D13" s="135">
        <f>SUM(D8:D12)</f>
        <v>97802</v>
      </c>
    </row>
    <row r="14" spans="1:4">
      <c r="A14" s="161" t="s">
        <v>233</v>
      </c>
      <c r="D14" s="160">
        <f>D13/5000</f>
        <v>19.560400000000001</v>
      </c>
    </row>
    <row r="15" spans="1:4">
      <c r="A15" s="134" t="s">
        <v>232</v>
      </c>
      <c r="D15" s="135">
        <v>365</v>
      </c>
    </row>
    <row r="16" spans="1:4">
      <c r="A16" s="134" t="s">
        <v>231</v>
      </c>
      <c r="D16" s="159">
        <f>+F30</f>
        <v>132.42327749999998</v>
      </c>
    </row>
    <row r="17" spans="1:9">
      <c r="A17" s="134" t="s">
        <v>230</v>
      </c>
      <c r="D17" s="137">
        <f>ROUND(+D14*D15*D16,2)</f>
        <v>945442.08</v>
      </c>
    </row>
    <row r="18" spans="1:9">
      <c r="D18" s="142"/>
    </row>
    <row r="19" spans="1:9">
      <c r="G19" s="158">
        <v>0.12709999999999999</v>
      </c>
    </row>
    <row r="20" spans="1:9">
      <c r="A20" s="156" t="s">
        <v>229</v>
      </c>
      <c r="D20" s="156" t="s">
        <v>228</v>
      </c>
      <c r="E20" s="156" t="s">
        <v>227</v>
      </c>
      <c r="F20" s="156" t="s">
        <v>226</v>
      </c>
      <c r="H20" s="157"/>
      <c r="I20" s="145"/>
    </row>
    <row r="21" spans="1:9">
      <c r="A21" s="156" t="s">
        <v>225</v>
      </c>
      <c r="D21" s="156" t="s">
        <v>224</v>
      </c>
      <c r="E21" s="156" t="s">
        <v>223</v>
      </c>
      <c r="F21" s="156" t="s">
        <v>222</v>
      </c>
      <c r="H21" s="155"/>
      <c r="I21" s="145"/>
    </row>
    <row r="22" spans="1:9">
      <c r="A22" s="154"/>
      <c r="B22" s="145"/>
      <c r="C22" s="145"/>
      <c r="D22" s="153" t="s">
        <v>221</v>
      </c>
      <c r="E22" s="153" t="s">
        <v>220</v>
      </c>
      <c r="F22" s="153" t="s">
        <v>220</v>
      </c>
      <c r="H22" s="146"/>
      <c r="I22" s="145"/>
    </row>
    <row r="23" spans="1:9">
      <c r="A23" s="152" t="s">
        <v>219</v>
      </c>
      <c r="D23" s="152" t="s">
        <v>218</v>
      </c>
      <c r="E23" s="152" t="s">
        <v>217</v>
      </c>
      <c r="F23" s="152" t="s">
        <v>216</v>
      </c>
      <c r="H23" s="146"/>
      <c r="I23" s="145"/>
    </row>
    <row r="24" spans="1:9">
      <c r="A24" s="151" t="s">
        <v>215</v>
      </c>
      <c r="B24" s="148"/>
      <c r="C24" s="148"/>
      <c r="D24" s="124">
        <v>0.19600000000000001</v>
      </c>
      <c r="E24" s="123">
        <v>125.99</v>
      </c>
      <c r="F24" s="122">
        <f>E24*(1+D24)</f>
        <v>150.68403999999998</v>
      </c>
      <c r="H24" s="146"/>
      <c r="I24" s="145"/>
    </row>
    <row r="25" spans="1:9">
      <c r="A25" s="151" t="s">
        <v>214</v>
      </c>
      <c r="B25" s="148"/>
      <c r="C25" s="148"/>
      <c r="D25" s="124">
        <v>0.20200000000000001</v>
      </c>
      <c r="E25" s="123">
        <v>136</v>
      </c>
      <c r="F25" s="122">
        <f>E25*(1+D25)</f>
        <v>163.47199999999998</v>
      </c>
      <c r="H25" s="146"/>
      <c r="I25" s="145"/>
    </row>
    <row r="26" spans="1:9">
      <c r="A26" s="151" t="s">
        <v>213</v>
      </c>
      <c r="B26" s="148"/>
      <c r="C26" s="148"/>
      <c r="D26" s="124">
        <v>0.21099999999999999</v>
      </c>
      <c r="E26" s="123">
        <v>59.37</v>
      </c>
      <c r="F26" s="122">
        <f>E26*(1+D26)</f>
        <v>71.897069999999999</v>
      </c>
      <c r="H26" s="150"/>
      <c r="I26" s="145"/>
    </row>
    <row r="27" spans="1:9">
      <c r="A27" s="149" t="s">
        <v>212</v>
      </c>
      <c r="B27" s="148"/>
      <c r="C27" s="148"/>
      <c r="D27" s="119">
        <v>0.19700000000000001</v>
      </c>
      <c r="E27" s="118">
        <v>120</v>
      </c>
      <c r="F27" s="117">
        <f>E27*(1+D27)</f>
        <v>143.64000000000001</v>
      </c>
      <c r="H27" s="145"/>
      <c r="I27" s="145"/>
    </row>
    <row r="28" spans="1:9">
      <c r="C28" s="143" t="s">
        <v>211</v>
      </c>
      <c r="D28" s="116">
        <f>SUM(D24:D27)/4</f>
        <v>0.20150000000000001</v>
      </c>
      <c r="E28" s="115">
        <f>SUM(E24:E27)/4</f>
        <v>110.34</v>
      </c>
      <c r="F28" s="114">
        <f>SUM(F24:F27)/4</f>
        <v>132.42327749999998</v>
      </c>
      <c r="H28" s="146"/>
      <c r="I28" s="145"/>
    </row>
    <row r="29" spans="1:9">
      <c r="D29" s="142"/>
      <c r="E29" s="147"/>
      <c r="H29" s="146"/>
      <c r="I29" s="145"/>
    </row>
    <row r="30" spans="1:9">
      <c r="C30" s="143" t="s">
        <v>211</v>
      </c>
      <c r="D30" s="142"/>
      <c r="E30" s="141"/>
      <c r="F30" s="144">
        <f>F28</f>
        <v>132.42327749999998</v>
      </c>
      <c r="H30" s="100"/>
    </row>
    <row r="31" spans="1:9">
      <c r="C31" s="143"/>
      <c r="D31" s="142"/>
      <c r="F31" s="141"/>
      <c r="H31" s="100"/>
    </row>
    <row r="32" spans="1:9">
      <c r="C32" s="143"/>
      <c r="D32" s="142"/>
      <c r="F32" s="141"/>
      <c r="H32" s="100"/>
    </row>
    <row r="34" spans="1:6">
      <c r="A34" s="134" t="s">
        <v>210</v>
      </c>
    </row>
    <row r="35" spans="1:6">
      <c r="B35" s="134" t="s">
        <v>240</v>
      </c>
    </row>
    <row r="36" spans="1:6">
      <c r="B36" s="140" t="s">
        <v>208</v>
      </c>
      <c r="C36" s="139" t="s">
        <v>175</v>
      </c>
      <c r="D36" s="139" t="s">
        <v>176</v>
      </c>
      <c r="E36" s="139" t="s">
        <v>177</v>
      </c>
    </row>
    <row r="37" spans="1:6">
      <c r="A37" s="134" t="s">
        <v>207</v>
      </c>
      <c r="B37" s="106">
        <v>20296</v>
      </c>
      <c r="C37" s="105"/>
      <c r="D37" s="105"/>
      <c r="E37" s="105">
        <f>+B37</f>
        <v>20296</v>
      </c>
    </row>
    <row r="38" spans="1:6">
      <c r="A38" s="134" t="s">
        <v>206</v>
      </c>
      <c r="B38" s="106">
        <v>23073</v>
      </c>
      <c r="C38" s="105"/>
      <c r="D38" s="105">
        <f>B38</f>
        <v>23073</v>
      </c>
      <c r="E38" s="105"/>
      <c r="F38" s="138"/>
    </row>
    <row r="39" spans="1:6">
      <c r="A39" s="134" t="s">
        <v>205</v>
      </c>
      <c r="B39" s="106">
        <v>22940</v>
      </c>
      <c r="C39" s="105"/>
      <c r="D39" s="105">
        <f>B39</f>
        <v>22940</v>
      </c>
      <c r="E39" s="105"/>
    </row>
    <row r="40" spans="1:6">
      <c r="A40" s="134" t="s">
        <v>204</v>
      </c>
      <c r="B40" s="106">
        <v>34465</v>
      </c>
      <c r="C40" s="105"/>
      <c r="D40" s="105">
        <f>B40</f>
        <v>34465</v>
      </c>
      <c r="E40" s="105"/>
    </row>
    <row r="41" spans="1:6">
      <c r="A41" s="134" t="s">
        <v>203</v>
      </c>
      <c r="B41" s="106">
        <v>26675</v>
      </c>
      <c r="C41" s="105"/>
      <c r="D41" s="105">
        <f>B41</f>
        <v>26675</v>
      </c>
      <c r="E41" s="105"/>
    </row>
    <row r="42" spans="1:6">
      <c r="A42" s="134" t="s">
        <v>202</v>
      </c>
      <c r="B42" s="106">
        <v>29578</v>
      </c>
      <c r="C42" s="105"/>
      <c r="D42" s="105">
        <f>B42</f>
        <v>29578</v>
      </c>
      <c r="E42" s="105"/>
      <c r="F42" s="138"/>
    </row>
    <row r="43" spans="1:6">
      <c r="A43" s="134" t="s">
        <v>201</v>
      </c>
      <c r="B43" s="106">
        <v>18298</v>
      </c>
      <c r="C43" s="105"/>
      <c r="D43" s="105"/>
      <c r="E43" s="105">
        <f>B43</f>
        <v>18298</v>
      </c>
    </row>
    <row r="44" spans="1:6">
      <c r="A44" s="134" t="s">
        <v>200</v>
      </c>
      <c r="B44" s="106">
        <v>22506</v>
      </c>
      <c r="C44" s="105">
        <f>B44*0.5</f>
        <v>11253</v>
      </c>
      <c r="D44" s="105"/>
      <c r="E44" s="105">
        <f>B44*0.5</f>
        <v>11253</v>
      </c>
      <c r="F44" s="134" t="s">
        <v>195</v>
      </c>
    </row>
    <row r="45" spans="1:6">
      <c r="A45" s="134" t="s">
        <v>199</v>
      </c>
      <c r="B45" s="106">
        <v>21256</v>
      </c>
      <c r="C45" s="105">
        <f>B45</f>
        <v>21256</v>
      </c>
      <c r="D45" s="105"/>
      <c r="E45" s="105"/>
    </row>
    <row r="46" spans="1:6">
      <c r="A46" s="134" t="s">
        <v>198</v>
      </c>
      <c r="B46" s="106">
        <v>24384</v>
      </c>
      <c r="C46" s="105">
        <f>B46</f>
        <v>24384</v>
      </c>
      <c r="D46" s="105"/>
      <c r="E46" s="105"/>
    </row>
    <row r="47" spans="1:6">
      <c r="A47" s="134" t="s">
        <v>197</v>
      </c>
      <c r="B47" s="106">
        <v>22230</v>
      </c>
      <c r="C47" s="105">
        <f>B47</f>
        <v>22230</v>
      </c>
      <c r="D47" s="105"/>
      <c r="E47" s="105"/>
    </row>
    <row r="48" spans="1:6">
      <c r="A48" s="134" t="s">
        <v>196</v>
      </c>
      <c r="B48" s="104">
        <v>20990</v>
      </c>
      <c r="C48" s="103">
        <f>B48*0.5</f>
        <v>10495</v>
      </c>
      <c r="D48" s="103"/>
      <c r="E48" s="103">
        <f>B48*0.5</f>
        <v>10495</v>
      </c>
      <c r="F48" s="134" t="s">
        <v>195</v>
      </c>
    </row>
    <row r="49" spans="1:6">
      <c r="B49" s="135">
        <f>+SUM(B37:B48)</f>
        <v>286691</v>
      </c>
      <c r="C49" s="135">
        <f>+SUM(C37:C48)</f>
        <v>89618</v>
      </c>
      <c r="D49" s="135">
        <f>+SUM(D37:D48)</f>
        <v>136731</v>
      </c>
      <c r="E49" s="135">
        <f>+SUM(E37:E48)</f>
        <v>60342</v>
      </c>
    </row>
    <row r="50" spans="1:6">
      <c r="B50" s="102">
        <f>+ROUND(B49/$B$49,4)</f>
        <v>1</v>
      </c>
      <c r="C50" s="102">
        <f>+ROUND(C49/$B$49,4)</f>
        <v>0.31259999999999999</v>
      </c>
      <c r="D50" s="102">
        <f>+ROUND(D49/$B$49,4)</f>
        <v>0.47689999999999999</v>
      </c>
      <c r="E50" s="102">
        <f>+ROUND(E49/$B$49,4)</f>
        <v>0.21049999999999999</v>
      </c>
    </row>
    <row r="51" spans="1:6">
      <c r="B51" s="102"/>
      <c r="C51" s="102"/>
      <c r="D51" s="102"/>
      <c r="E51" s="102"/>
    </row>
    <row r="52" spans="1:6">
      <c r="A52" s="134" t="s">
        <v>168</v>
      </c>
      <c r="B52" s="101">
        <f>+D17</f>
        <v>945442.08</v>
      </c>
      <c r="C52" s="100">
        <f>+ROUND(C50*$B$52,2)</f>
        <v>295545.19</v>
      </c>
      <c r="D52" s="100">
        <f>+ROUND(D50*$B$52,2)</f>
        <v>450881.33</v>
      </c>
      <c r="E52" s="100">
        <f>+ROUND(E50*$B$52,2)</f>
        <v>199015.56</v>
      </c>
      <c r="F52" s="136"/>
    </row>
    <row r="53" spans="1:6">
      <c r="B53" s="135"/>
      <c r="F53" s="137"/>
    </row>
    <row r="54" spans="1:6">
      <c r="B54" s="135"/>
      <c r="F54" s="136"/>
    </row>
    <row r="55" spans="1:6">
      <c r="A55" s="134" t="s">
        <v>194</v>
      </c>
      <c r="B55" s="135"/>
    </row>
    <row r="56" spans="1:6">
      <c r="B56" s="135"/>
    </row>
    <row r="57" spans="1:6">
      <c r="B57" s="135"/>
    </row>
    <row r="58" spans="1:6">
      <c r="B58" s="135"/>
    </row>
    <row r="59" spans="1:6">
      <c r="B59" s="135"/>
    </row>
    <row r="60" spans="1:6">
      <c r="B60" s="135"/>
    </row>
    <row r="61" spans="1:6">
      <c r="B61" s="135"/>
    </row>
    <row r="62" spans="1:6">
      <c r="B62" s="135"/>
    </row>
    <row r="63" spans="1:6">
      <c r="B63" s="135"/>
    </row>
    <row r="64" spans="1:6">
      <c r="B64" s="135"/>
    </row>
  </sheetData>
  <pageMargins left="0.75" right="0.75" top="1" bottom="1" header="0.5" footer="0.5"/>
  <pageSetup scale="82" orientation="portrait" r:id="rId1"/>
  <headerFooter alignWithMargins="0">
    <oddHeader>&amp;CKENTUCKY POWER COMPANY
Experimental SGS-TOD Rate Design
Twelve Months Ended September 30, 2014
Calculation of Market Capacity&amp;RPage 2 of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262"/>
  <sheetViews>
    <sheetView showOutlineSymbols="0" topLeftCell="A7" zoomScale="88" zoomScaleNormal="88" workbookViewId="0">
      <selection activeCell="B62" sqref="B62"/>
    </sheetView>
  </sheetViews>
  <sheetFormatPr defaultColWidth="9.75" defaultRowHeight="15"/>
  <cols>
    <col min="1" max="1" width="4.75" style="219" customWidth="1"/>
    <col min="2" max="2" width="38.875" style="219" bestFit="1" customWidth="1"/>
    <col min="3" max="3" width="14.25" style="219" customWidth="1"/>
    <col min="4" max="4" width="5.75" style="219" customWidth="1"/>
    <col min="5" max="5" width="15.5" style="219" customWidth="1"/>
    <col min="6" max="6" width="7.625" style="219" customWidth="1"/>
    <col min="7" max="7" width="13.375" style="219" customWidth="1"/>
    <col min="8" max="8" width="6" style="219" customWidth="1"/>
    <col min="9" max="9" width="12.75" style="219" customWidth="1"/>
    <col min="10" max="10" width="4.75" style="219" customWidth="1"/>
    <col min="11" max="11" width="12.375" style="219" customWidth="1"/>
    <col min="12" max="16384" width="9.75" style="219"/>
  </cols>
  <sheetData>
    <row r="1" spans="1:10">
      <c r="A1" s="230" t="s">
        <v>338</v>
      </c>
      <c r="B1" s="236" t="s">
        <v>101</v>
      </c>
      <c r="C1" s="232"/>
      <c r="D1" s="232"/>
      <c r="E1" s="244" t="s">
        <v>2</v>
      </c>
      <c r="F1" s="232"/>
      <c r="G1" s="244"/>
    </row>
    <row r="2" spans="1:10">
      <c r="A2" s="232"/>
      <c r="B2" s="232"/>
      <c r="C2" s="232"/>
      <c r="D2" s="232"/>
      <c r="E2" s="244" t="s">
        <v>3</v>
      </c>
      <c r="F2" s="232"/>
      <c r="G2" s="244" t="s">
        <v>82</v>
      </c>
      <c r="H2" s="232"/>
      <c r="I2" s="244" t="s">
        <v>83</v>
      </c>
      <c r="J2" s="232"/>
    </row>
    <row r="3" spans="1:10">
      <c r="A3" s="232"/>
      <c r="B3" s="232"/>
      <c r="C3" s="232"/>
      <c r="D3" s="232"/>
      <c r="E3" s="235" t="s">
        <v>1</v>
      </c>
      <c r="F3" s="232"/>
      <c r="G3" s="235" t="s">
        <v>1</v>
      </c>
      <c r="H3" s="232"/>
      <c r="I3" s="235" t="s">
        <v>1</v>
      </c>
      <c r="J3" s="232"/>
    </row>
    <row r="4" spans="1:10">
      <c r="A4" s="232"/>
      <c r="B4" s="227" t="s">
        <v>380</v>
      </c>
      <c r="C4" s="232"/>
      <c r="D4" s="232"/>
    </row>
    <row r="5" spans="1:10">
      <c r="A5" s="232"/>
      <c r="B5" s="230" t="s">
        <v>334</v>
      </c>
      <c r="C5" s="232"/>
      <c r="D5" s="232"/>
      <c r="E5" s="284">
        <f>17813656+12165745+5444132</f>
        <v>35423533</v>
      </c>
      <c r="F5" s="232"/>
      <c r="G5" s="220">
        <f>(G8-G6)-G7</f>
        <v>0</v>
      </c>
      <c r="H5" s="293"/>
      <c r="I5" s="220">
        <f>E5-G5</f>
        <v>35423533</v>
      </c>
      <c r="J5" s="232"/>
    </row>
    <row r="6" spans="1:10">
      <c r="A6" s="232"/>
      <c r="B6" s="230" t="s">
        <v>333</v>
      </c>
      <c r="C6" s="232"/>
      <c r="D6" s="232"/>
      <c r="E6" s="268">
        <v>18595169</v>
      </c>
      <c r="F6" s="232"/>
      <c r="G6" s="222">
        <f>G8</f>
        <v>1027253</v>
      </c>
      <c r="H6" s="232"/>
      <c r="I6" s="222">
        <f>E6-G6</f>
        <v>17567916</v>
      </c>
      <c r="J6" s="232"/>
    </row>
    <row r="7" spans="1:10">
      <c r="A7" s="232"/>
      <c r="B7" s="230" t="s">
        <v>53</v>
      </c>
      <c r="C7" s="232"/>
      <c r="D7" s="232"/>
      <c r="E7" s="268">
        <v>1207832</v>
      </c>
      <c r="F7" s="232"/>
      <c r="G7" s="222">
        <v>0</v>
      </c>
      <c r="H7" s="232"/>
      <c r="I7" s="222">
        <f>E7-G7</f>
        <v>1207832</v>
      </c>
      <c r="J7" s="303"/>
    </row>
    <row r="8" spans="1:10">
      <c r="A8" s="232"/>
      <c r="B8" s="288" t="s">
        <v>54</v>
      </c>
      <c r="C8" s="221"/>
      <c r="D8" s="221"/>
      <c r="E8" s="337">
        <f>SUM(E5:E7)</f>
        <v>55226534</v>
      </c>
      <c r="F8" s="221"/>
      <c r="G8" s="341">
        <f>G20+G14+G12+G10</f>
        <v>1027253</v>
      </c>
      <c r="H8" s="221"/>
      <c r="I8" s="254">
        <f>SUM(I5:I7)</f>
        <v>54199281</v>
      </c>
      <c r="J8" s="303"/>
    </row>
    <row r="9" spans="1:10">
      <c r="A9" s="232"/>
    </row>
    <row r="10" spans="1:10">
      <c r="A10" s="232"/>
      <c r="B10" s="219" t="s">
        <v>427</v>
      </c>
      <c r="E10" s="340">
        <f>G235+G10</f>
        <v>382901</v>
      </c>
      <c r="G10" s="339">
        <v>7892</v>
      </c>
      <c r="I10" s="220">
        <f>E10-G10</f>
        <v>375009</v>
      </c>
    </row>
    <row r="11" spans="1:10">
      <c r="A11" s="232"/>
      <c r="E11" s="340"/>
      <c r="G11" s="251"/>
    </row>
    <row r="12" spans="1:10">
      <c r="A12" s="232"/>
      <c r="B12" s="219" t="s">
        <v>426</v>
      </c>
      <c r="E12" s="340">
        <f>G243+G12</f>
        <v>105841</v>
      </c>
      <c r="G12" s="339">
        <v>2153</v>
      </c>
      <c r="I12" s="220">
        <f>E12-G12</f>
        <v>103688</v>
      </c>
    </row>
    <row r="13" spans="1:10">
      <c r="A13" s="232"/>
      <c r="E13" s="340"/>
      <c r="G13" s="251"/>
    </row>
    <row r="14" spans="1:10">
      <c r="A14" s="232"/>
      <c r="B14" s="219" t="s">
        <v>425</v>
      </c>
      <c r="E14" s="340">
        <f>G260+G14</f>
        <v>177523</v>
      </c>
      <c r="G14" s="339">
        <v>3191</v>
      </c>
      <c r="I14" s="220">
        <f>E14-G14</f>
        <v>174332</v>
      </c>
    </row>
    <row r="15" spans="1:10">
      <c r="A15" s="232"/>
    </row>
    <row r="16" spans="1:10">
      <c r="A16" s="232"/>
      <c r="B16" s="229" t="s">
        <v>424</v>
      </c>
      <c r="I16" s="251"/>
    </row>
    <row r="17" spans="1:9">
      <c r="A17" s="232"/>
      <c r="B17" s="230" t="s">
        <v>423</v>
      </c>
      <c r="C17" s="232"/>
      <c r="D17" s="232"/>
      <c r="E17" s="286">
        <f>ROUND(E5/E8*E20,0)</f>
        <v>34996176</v>
      </c>
      <c r="F17" s="232"/>
      <c r="G17" s="286">
        <f>ROUND(G5/G8*G20,0)</f>
        <v>0</v>
      </c>
      <c r="H17" s="293"/>
      <c r="I17" s="220">
        <f>E17-G17</f>
        <v>34996176</v>
      </c>
    </row>
    <row r="18" spans="1:9">
      <c r="A18" s="232"/>
      <c r="B18" s="230" t="s">
        <v>422</v>
      </c>
      <c r="C18" s="232"/>
      <c r="D18" s="232"/>
      <c r="E18" s="243">
        <f>ROUND(E6/E8*E20,0)</f>
        <v>18370833</v>
      </c>
      <c r="F18" s="232"/>
      <c r="G18" s="243">
        <f>ROUND(G6/G8*G20,0)</f>
        <v>1014017</v>
      </c>
      <c r="H18" s="232"/>
      <c r="I18" s="222">
        <f>E18-G18</f>
        <v>17356816</v>
      </c>
    </row>
    <row r="19" spans="1:9">
      <c r="A19" s="232"/>
      <c r="B19" s="230" t="s">
        <v>421</v>
      </c>
      <c r="C19" s="232"/>
      <c r="D19" s="232"/>
      <c r="E19" s="243">
        <f>E20-E17-E18</f>
        <v>1193260</v>
      </c>
      <c r="F19" s="232"/>
      <c r="G19" s="243">
        <f>G20-G17-G18</f>
        <v>0</v>
      </c>
      <c r="H19" s="232"/>
      <c r="I19" s="222">
        <f>E19-G19</f>
        <v>1193260</v>
      </c>
    </row>
    <row r="20" spans="1:9">
      <c r="A20" s="232"/>
      <c r="B20" s="288" t="s">
        <v>257</v>
      </c>
      <c r="C20" s="338"/>
      <c r="D20" s="221"/>
      <c r="E20" s="337">
        <f>E8-E10-E12-E14</f>
        <v>54560269</v>
      </c>
      <c r="F20" s="338"/>
      <c r="G20" s="287">
        <v>1014017</v>
      </c>
      <c r="H20" s="221"/>
      <c r="I20" s="254">
        <f>SUM(I17:I19)</f>
        <v>53546252</v>
      </c>
    </row>
    <row r="21" spans="1:9">
      <c r="A21" s="232"/>
    </row>
    <row r="22" spans="1:9">
      <c r="A22" s="232"/>
      <c r="B22" s="227" t="s">
        <v>379</v>
      </c>
      <c r="C22" s="232"/>
      <c r="D22" s="232"/>
    </row>
    <row r="23" spans="1:9">
      <c r="A23" s="232"/>
      <c r="B23" s="230" t="s">
        <v>334</v>
      </c>
      <c r="C23" s="232"/>
      <c r="D23" s="232"/>
      <c r="E23" s="284">
        <f>257210+196444</f>
        <v>453654</v>
      </c>
      <c r="F23" s="232"/>
      <c r="G23" s="220">
        <f>(G26-G24)-G25</f>
        <v>0</v>
      </c>
      <c r="H23" s="293"/>
      <c r="I23" s="220">
        <f>E23-G23</f>
        <v>453654</v>
      </c>
    </row>
    <row r="24" spans="1:9">
      <c r="A24" s="232"/>
      <c r="B24" s="230" t="s">
        <v>333</v>
      </c>
      <c r="C24" s="232"/>
      <c r="D24" s="232"/>
      <c r="E24" s="268">
        <v>322514</v>
      </c>
      <c r="F24" s="232"/>
      <c r="G24" s="222">
        <f>G26</f>
        <v>19099</v>
      </c>
      <c r="H24" s="232"/>
      <c r="I24" s="222">
        <f>E24-G24</f>
        <v>303415</v>
      </c>
    </row>
    <row r="25" spans="1:9">
      <c r="A25" s="232"/>
      <c r="B25" s="230" t="s">
        <v>53</v>
      </c>
      <c r="C25" s="232"/>
      <c r="D25" s="232"/>
      <c r="E25" s="268">
        <v>279319</v>
      </c>
      <c r="F25" s="232"/>
      <c r="G25" s="222">
        <v>0</v>
      </c>
      <c r="H25" s="232"/>
      <c r="I25" s="222">
        <f>E25-G25</f>
        <v>279319</v>
      </c>
    </row>
    <row r="26" spans="1:9">
      <c r="A26" s="232"/>
      <c r="B26" s="288" t="s">
        <v>54</v>
      </c>
      <c r="C26" s="221"/>
      <c r="D26" s="221"/>
      <c r="E26" s="337">
        <f>SUM(E23:E25)</f>
        <v>1055487</v>
      </c>
      <c r="F26" s="221"/>
      <c r="G26" s="287">
        <v>19099</v>
      </c>
      <c r="H26" s="221"/>
      <c r="I26" s="254">
        <f>SUM(I23:I25)</f>
        <v>1036388</v>
      </c>
    </row>
    <row r="27" spans="1:9">
      <c r="A27" s="232"/>
    </row>
    <row r="28" spans="1:9">
      <c r="A28" s="232"/>
      <c r="B28" s="227" t="s">
        <v>377</v>
      </c>
      <c r="C28" s="232"/>
      <c r="D28" s="232"/>
    </row>
    <row r="29" spans="1:9">
      <c r="A29" s="232"/>
      <c r="B29" s="230" t="s">
        <v>334</v>
      </c>
      <c r="C29" s="232"/>
      <c r="D29" s="232"/>
      <c r="E29" s="284">
        <v>24739</v>
      </c>
      <c r="F29" s="232"/>
      <c r="G29" s="220">
        <f>(G32-G30)-G31</f>
        <v>0</v>
      </c>
      <c r="H29" s="293"/>
      <c r="I29" s="220">
        <f>E29-G29</f>
        <v>24739</v>
      </c>
    </row>
    <row r="30" spans="1:9">
      <c r="A30" s="232"/>
      <c r="B30" s="230" t="s">
        <v>333</v>
      </c>
      <c r="C30" s="232"/>
      <c r="D30" s="232"/>
      <c r="E30" s="268">
        <v>33939</v>
      </c>
      <c r="F30" s="232"/>
      <c r="G30" s="222">
        <f>G32</f>
        <v>2057</v>
      </c>
      <c r="H30" s="232"/>
      <c r="I30" s="222">
        <f>E30-G30</f>
        <v>31882</v>
      </c>
    </row>
    <row r="31" spans="1:9">
      <c r="A31" s="232"/>
      <c r="B31" s="230" t="s">
        <v>53</v>
      </c>
      <c r="C31" s="232"/>
      <c r="D31" s="232"/>
      <c r="E31" s="268">
        <v>66080</v>
      </c>
      <c r="F31" s="232"/>
      <c r="G31" s="222">
        <v>0</v>
      </c>
      <c r="H31" s="232"/>
      <c r="I31" s="222">
        <f>E31-G31</f>
        <v>66080</v>
      </c>
    </row>
    <row r="32" spans="1:9">
      <c r="A32" s="232"/>
      <c r="B32" s="288" t="s">
        <v>54</v>
      </c>
      <c r="C32" s="221"/>
      <c r="D32" s="221"/>
      <c r="E32" s="337">
        <f>SUM(E29:E31)</f>
        <v>124758</v>
      </c>
      <c r="F32" s="221"/>
      <c r="G32" s="287">
        <v>2057</v>
      </c>
      <c r="H32" s="221"/>
      <c r="I32" s="254">
        <f>SUM(I29:I31)</f>
        <v>122701</v>
      </c>
    </row>
    <row r="34" spans="1:9">
      <c r="B34" s="227" t="s">
        <v>420</v>
      </c>
    </row>
    <row r="35" spans="1:9">
      <c r="B35" s="230" t="s">
        <v>334</v>
      </c>
      <c r="C35" s="232"/>
      <c r="D35" s="232"/>
      <c r="E35" s="286">
        <f>E17+E23+E29</f>
        <v>35474569</v>
      </c>
      <c r="F35" s="232"/>
      <c r="G35" s="286">
        <f>G17+G23+G29</f>
        <v>0</v>
      </c>
      <c r="H35" s="293"/>
      <c r="I35" s="220">
        <f>E35-G35</f>
        <v>35474569</v>
      </c>
    </row>
    <row r="36" spans="1:9">
      <c r="B36" s="230" t="s">
        <v>333</v>
      </c>
      <c r="C36" s="232"/>
      <c r="D36" s="232"/>
      <c r="E36" s="243">
        <f>E18+E24+E30</f>
        <v>18727286</v>
      </c>
      <c r="F36" s="232"/>
      <c r="G36" s="243">
        <f>G18+G24+G30</f>
        <v>1035173</v>
      </c>
      <c r="H36" s="232"/>
      <c r="I36" s="222">
        <f>E36-G36</f>
        <v>17692113</v>
      </c>
    </row>
    <row r="37" spans="1:9">
      <c r="B37" s="230" t="s">
        <v>53</v>
      </c>
      <c r="C37" s="232"/>
      <c r="D37" s="232"/>
      <c r="E37" s="243">
        <f>E19+E25+E31</f>
        <v>1538659</v>
      </c>
      <c r="F37" s="232"/>
      <c r="G37" s="243">
        <f>G19+G25+G31</f>
        <v>0</v>
      </c>
      <c r="H37" s="232"/>
      <c r="I37" s="222">
        <f>E37-G37</f>
        <v>1538659</v>
      </c>
    </row>
    <row r="38" spans="1:9">
      <c r="B38" s="288" t="s">
        <v>54</v>
      </c>
      <c r="C38" s="221"/>
      <c r="D38" s="221"/>
      <c r="E38" s="337">
        <f>SUM(E35:E37)</f>
        <v>55740514</v>
      </c>
      <c r="F38" s="221"/>
      <c r="G38" s="337">
        <f>SUM(G35:G37)</f>
        <v>1035173</v>
      </c>
      <c r="H38" s="221"/>
      <c r="I38" s="254">
        <f>SUM(I35:I37)</f>
        <v>54705341</v>
      </c>
    </row>
    <row r="39" spans="1:9">
      <c r="E39" s="251"/>
    </row>
    <row r="41" spans="1:9">
      <c r="A41" s="230" t="s">
        <v>419</v>
      </c>
      <c r="B41" s="229" t="s">
        <v>418</v>
      </c>
    </row>
    <row r="42" spans="1:9">
      <c r="E42" s="227" t="s">
        <v>380</v>
      </c>
      <c r="G42" s="227" t="s">
        <v>379</v>
      </c>
      <c r="I42" s="229" t="s">
        <v>377</v>
      </c>
    </row>
    <row r="44" spans="1:9">
      <c r="B44" s="219" t="s">
        <v>417</v>
      </c>
      <c r="E44" s="246">
        <v>2076023</v>
      </c>
      <c r="G44" s="246">
        <v>38082</v>
      </c>
      <c r="I44" s="246">
        <v>2508</v>
      </c>
    </row>
    <row r="45" spans="1:9">
      <c r="B45" s="219" t="s">
        <v>416</v>
      </c>
      <c r="E45" s="246">
        <v>0</v>
      </c>
      <c r="G45" s="246">
        <v>2671</v>
      </c>
      <c r="I45" s="246">
        <v>314</v>
      </c>
    </row>
    <row r="46" spans="1:9">
      <c r="B46" s="219" t="s">
        <v>415</v>
      </c>
      <c r="E46" s="246">
        <v>333938968</v>
      </c>
      <c r="G46" s="246">
        <v>5716583</v>
      </c>
      <c r="I46" s="246">
        <v>385067</v>
      </c>
    </row>
    <row r="47" spans="1:9">
      <c r="B47" s="219" t="s">
        <v>414</v>
      </c>
      <c r="E47" s="246">
        <v>162854869</v>
      </c>
      <c r="G47" s="246">
        <v>3592839</v>
      </c>
      <c r="I47" s="246">
        <v>619468</v>
      </c>
    </row>
    <row r="48" spans="1:9">
      <c r="B48" s="219" t="s">
        <v>413</v>
      </c>
      <c r="E48" s="246">
        <v>84018</v>
      </c>
      <c r="G48" s="246">
        <v>1009</v>
      </c>
      <c r="I48" s="246">
        <v>119</v>
      </c>
    </row>
    <row r="49" spans="1:12">
      <c r="A49" s="232"/>
      <c r="C49" s="232"/>
      <c r="D49" s="232"/>
      <c r="E49" s="220"/>
    </row>
    <row r="50" spans="1:12">
      <c r="A50" s="232"/>
    </row>
    <row r="51" spans="1:12">
      <c r="A51" s="230" t="s">
        <v>315</v>
      </c>
      <c r="B51" s="236" t="s">
        <v>412</v>
      </c>
    </row>
    <row r="52" spans="1:12">
      <c r="A52" s="230"/>
      <c r="B52" s="236"/>
      <c r="C52" s="220"/>
      <c r="D52" s="230"/>
      <c r="E52" s="222"/>
      <c r="F52" s="230"/>
      <c r="G52" s="232"/>
      <c r="H52" s="244"/>
      <c r="I52" s="232"/>
      <c r="J52" s="232"/>
      <c r="K52" s="233"/>
    </row>
    <row r="53" spans="1:12">
      <c r="A53" s="230"/>
      <c r="B53" s="236"/>
      <c r="C53" s="318" t="s">
        <v>8</v>
      </c>
      <c r="D53" s="244"/>
      <c r="E53" s="310"/>
      <c r="F53" s="244"/>
      <c r="G53" s="228" t="s">
        <v>411</v>
      </c>
      <c r="H53" s="244"/>
      <c r="I53" s="228" t="s">
        <v>113</v>
      </c>
      <c r="J53" s="232"/>
      <c r="K53" s="228" t="s">
        <v>141</v>
      </c>
    </row>
    <row r="54" spans="1:12">
      <c r="A54" s="230"/>
      <c r="B54" s="230" t="s">
        <v>410</v>
      </c>
      <c r="C54" s="316" t="s">
        <v>1</v>
      </c>
      <c r="D54" s="235"/>
      <c r="E54" s="247" t="s">
        <v>46</v>
      </c>
      <c r="F54" s="235"/>
      <c r="G54" s="227" t="s">
        <v>188</v>
      </c>
      <c r="H54" s="235"/>
      <c r="I54" s="227" t="s">
        <v>188</v>
      </c>
      <c r="J54" s="232"/>
      <c r="K54" s="227" t="s">
        <v>409</v>
      </c>
    </row>
    <row r="55" spans="1:12">
      <c r="A55" s="230"/>
      <c r="B55" s="230"/>
      <c r="C55" s="220"/>
      <c r="D55" s="230"/>
      <c r="E55" s="222"/>
      <c r="F55" s="230"/>
      <c r="G55" s="232"/>
      <c r="H55" s="244"/>
      <c r="J55" s="232"/>
      <c r="K55" s="232"/>
    </row>
    <row r="56" spans="1:12">
      <c r="A56" s="230"/>
      <c r="B56" s="230" t="s">
        <v>396</v>
      </c>
      <c r="C56" s="220">
        <f>I19</f>
        <v>1193260</v>
      </c>
      <c r="D56" s="230"/>
      <c r="E56" s="222">
        <f>E48</f>
        <v>84018</v>
      </c>
      <c r="F56" s="230"/>
      <c r="G56" s="320">
        <f>ROUND(C56/E56,2)</f>
        <v>14.2</v>
      </c>
      <c r="H56" s="244"/>
      <c r="I56" s="325">
        <v>13.5</v>
      </c>
      <c r="J56" s="232"/>
      <c r="K56" s="325">
        <v>19.5</v>
      </c>
      <c r="L56" s="219" t="s">
        <v>195</v>
      </c>
    </row>
    <row r="57" spans="1:12">
      <c r="A57" s="230"/>
      <c r="B57" s="230" t="s">
        <v>395</v>
      </c>
      <c r="C57" s="249">
        <f>I25</f>
        <v>279319</v>
      </c>
      <c r="D57" s="230"/>
      <c r="E57" s="222">
        <f>G48</f>
        <v>1009</v>
      </c>
      <c r="F57" s="230"/>
      <c r="G57" s="335">
        <f>ROUND(C57/E57,2)</f>
        <v>276.83</v>
      </c>
      <c r="H57" s="244"/>
      <c r="I57" s="325">
        <v>25</v>
      </c>
      <c r="J57" s="232"/>
      <c r="K57" s="336">
        <f>I57*2</f>
        <v>50</v>
      </c>
    </row>
    <row r="58" spans="1:12">
      <c r="A58" s="230"/>
      <c r="B58" s="230" t="s">
        <v>394</v>
      </c>
      <c r="C58" s="274">
        <f>I31</f>
        <v>66080</v>
      </c>
      <c r="D58" s="230"/>
      <c r="E58" s="295">
        <f>I48</f>
        <v>119</v>
      </c>
      <c r="F58" s="230"/>
      <c r="G58" s="335">
        <f>ROUND(C58/E58,2)</f>
        <v>555.29</v>
      </c>
      <c r="H58" s="244"/>
      <c r="I58" s="325">
        <v>182</v>
      </c>
      <c r="J58" s="232"/>
      <c r="K58" s="336">
        <f>I58*2</f>
        <v>364</v>
      </c>
    </row>
    <row r="59" spans="1:12">
      <c r="A59" s="230"/>
      <c r="B59" s="230"/>
      <c r="C59" s="249"/>
      <c r="D59" s="230"/>
      <c r="E59" s="222"/>
      <c r="F59" s="230"/>
      <c r="G59" s="335"/>
      <c r="H59" s="244"/>
      <c r="I59" s="334"/>
      <c r="J59" s="232"/>
      <c r="K59" s="233"/>
    </row>
    <row r="60" spans="1:12">
      <c r="A60" s="230"/>
      <c r="B60" s="230" t="s">
        <v>257</v>
      </c>
      <c r="C60" s="220">
        <f>SUM(C56:C58)</f>
        <v>1538659</v>
      </c>
      <c r="D60" s="230"/>
      <c r="E60" s="222">
        <f>SUM(E56:E58)</f>
        <v>85146</v>
      </c>
      <c r="F60" s="230"/>
      <c r="G60" s="232"/>
      <c r="H60" s="244"/>
      <c r="I60" s="232"/>
      <c r="J60" s="232"/>
      <c r="K60" s="233"/>
    </row>
    <row r="61" spans="1:12">
      <c r="A61" s="230"/>
      <c r="B61" s="230"/>
      <c r="C61" s="220"/>
      <c r="D61" s="230"/>
      <c r="E61" s="222"/>
      <c r="F61" s="230"/>
      <c r="G61" s="232"/>
      <c r="H61" s="244"/>
      <c r="I61" s="232"/>
      <c r="J61" s="232"/>
      <c r="K61" s="333"/>
    </row>
    <row r="62" spans="1:12">
      <c r="A62" s="230"/>
      <c r="B62" s="327" t="s">
        <v>408</v>
      </c>
      <c r="C62" s="332"/>
      <c r="D62" s="327"/>
      <c r="E62" s="331"/>
      <c r="F62" s="327"/>
      <c r="G62" s="327"/>
      <c r="H62" s="327"/>
      <c r="I62" s="327"/>
      <c r="J62" s="232"/>
      <c r="K62" s="330"/>
    </row>
    <row r="63" spans="1:12">
      <c r="A63" s="230"/>
      <c r="B63" s="230"/>
      <c r="C63" s="230"/>
      <c r="D63" s="244"/>
      <c r="E63" s="310"/>
      <c r="F63" s="244"/>
      <c r="G63" s="228"/>
      <c r="H63" s="244"/>
      <c r="I63" s="228"/>
      <c r="J63" s="228"/>
      <c r="K63" s="228"/>
    </row>
    <row r="64" spans="1:12">
      <c r="A64" s="230"/>
      <c r="B64" s="230"/>
      <c r="C64" s="318" t="s">
        <v>141</v>
      </c>
      <c r="D64" s="244"/>
      <c r="E64" s="310"/>
      <c r="F64" s="244"/>
      <c r="G64" s="228" t="s">
        <v>8</v>
      </c>
      <c r="H64" s="244"/>
      <c r="I64" s="228"/>
      <c r="J64" s="228"/>
      <c r="K64" s="228"/>
    </row>
    <row r="65" spans="1:11">
      <c r="A65" s="230"/>
      <c r="B65" s="230" t="s">
        <v>407</v>
      </c>
      <c r="C65" s="316" t="s">
        <v>188</v>
      </c>
      <c r="D65" s="235"/>
      <c r="E65" s="247" t="s">
        <v>46</v>
      </c>
      <c r="F65" s="235"/>
      <c r="G65" s="227" t="s">
        <v>1</v>
      </c>
      <c r="H65" s="235"/>
      <c r="I65" s="227"/>
      <c r="J65" s="227"/>
      <c r="K65" s="227"/>
    </row>
    <row r="66" spans="1:11">
      <c r="A66" s="230"/>
      <c r="B66" s="230"/>
      <c r="C66" s="220"/>
      <c r="D66" s="230"/>
      <c r="E66" s="222"/>
      <c r="F66" s="230"/>
      <c r="G66" s="232"/>
      <c r="H66" s="244"/>
      <c r="I66" s="232"/>
      <c r="J66" s="232"/>
      <c r="K66" s="233"/>
    </row>
    <row r="67" spans="1:11">
      <c r="A67" s="230"/>
      <c r="B67" s="230" t="s">
        <v>396</v>
      </c>
      <c r="C67" s="233">
        <f>K56</f>
        <v>19.5</v>
      </c>
      <c r="D67" s="230"/>
      <c r="E67" s="222">
        <f>E56</f>
        <v>84018</v>
      </c>
      <c r="F67" s="230"/>
      <c r="G67" s="312">
        <f>ROUND(C67*E67,0)</f>
        <v>1638351</v>
      </c>
      <c r="H67" s="244"/>
      <c r="I67" s="232"/>
      <c r="J67" s="232"/>
      <c r="K67" s="233"/>
    </row>
    <row r="68" spans="1:11">
      <c r="A68" s="230"/>
      <c r="B68" s="230" t="s">
        <v>395</v>
      </c>
      <c r="C68" s="233">
        <f>K57</f>
        <v>50</v>
      </c>
      <c r="D68" s="230"/>
      <c r="E68" s="222">
        <f>E57</f>
        <v>1009</v>
      </c>
      <c r="F68" s="230"/>
      <c r="G68" s="329">
        <f>ROUND(C68*E68,0)</f>
        <v>50450</v>
      </c>
      <c r="H68" s="244"/>
      <c r="I68" s="232"/>
      <c r="J68" s="232"/>
      <c r="K68" s="233"/>
    </row>
    <row r="69" spans="1:11">
      <c r="A69" s="230"/>
      <c r="B69" s="230" t="s">
        <v>394</v>
      </c>
      <c r="C69" s="233">
        <f>K58</f>
        <v>364</v>
      </c>
      <c r="D69" s="230"/>
      <c r="E69" s="295">
        <f>E58</f>
        <v>119</v>
      </c>
      <c r="F69" s="230"/>
      <c r="G69" s="328">
        <f>ROUND(C69*E69,0)</f>
        <v>43316</v>
      </c>
      <c r="H69" s="244"/>
      <c r="I69" s="232"/>
      <c r="J69" s="232"/>
      <c r="K69" s="233"/>
    </row>
    <row r="70" spans="1:11">
      <c r="A70" s="230"/>
      <c r="B70" s="230"/>
      <c r="C70" s="220"/>
      <c r="D70" s="230"/>
      <c r="E70" s="222"/>
      <c r="F70" s="230"/>
      <c r="G70" s="232"/>
      <c r="H70" s="244"/>
      <c r="I70" s="232"/>
      <c r="J70" s="232"/>
      <c r="K70" s="233"/>
    </row>
    <row r="71" spans="1:11">
      <c r="A71" s="230"/>
      <c r="B71" s="230" t="s">
        <v>257</v>
      </c>
      <c r="C71" s="220"/>
      <c r="D71" s="230"/>
      <c r="E71" s="222">
        <f>SUM(E67:E69)</f>
        <v>85146</v>
      </c>
      <c r="F71" s="230"/>
      <c r="G71" s="312">
        <f>SUM(G67:G69)</f>
        <v>1732117</v>
      </c>
      <c r="H71" s="244"/>
      <c r="I71" s="312"/>
      <c r="J71" s="232"/>
      <c r="K71" s="220"/>
    </row>
    <row r="72" spans="1:11">
      <c r="A72" s="232"/>
      <c r="B72" s="266"/>
      <c r="C72" s="272"/>
      <c r="D72" s="244"/>
      <c r="E72" s="222"/>
      <c r="H72" s="228"/>
      <c r="K72" s="220"/>
    </row>
    <row r="73" spans="1:11">
      <c r="A73" s="232"/>
      <c r="B73" s="266"/>
      <c r="C73" s="272"/>
      <c r="D73" s="244"/>
      <c r="E73" s="222"/>
      <c r="H73" s="228"/>
      <c r="K73" s="220"/>
    </row>
    <row r="74" spans="1:11">
      <c r="A74" s="230" t="s">
        <v>305</v>
      </c>
      <c r="B74" s="236" t="s">
        <v>406</v>
      </c>
    </row>
    <row r="75" spans="1:11">
      <c r="A75" s="230"/>
      <c r="B75" s="230"/>
    </row>
    <row r="76" spans="1:11">
      <c r="A76" s="230"/>
      <c r="B76" s="230" t="s">
        <v>405</v>
      </c>
    </row>
    <row r="77" spans="1:11">
      <c r="A77" s="230"/>
      <c r="B77" s="230"/>
      <c r="D77" s="230"/>
      <c r="F77" s="230"/>
      <c r="G77" s="232"/>
      <c r="H77" s="244"/>
      <c r="I77" s="232"/>
      <c r="J77" s="232"/>
      <c r="K77" s="233"/>
    </row>
    <row r="78" spans="1:11">
      <c r="A78" s="230"/>
      <c r="B78" s="230"/>
      <c r="C78" s="228"/>
      <c r="D78" s="244"/>
      <c r="E78" s="327"/>
      <c r="F78" s="244"/>
      <c r="G78" s="228" t="s">
        <v>397</v>
      </c>
      <c r="H78" s="244"/>
      <c r="I78" s="312"/>
      <c r="J78" s="232"/>
      <c r="K78" s="233"/>
    </row>
    <row r="79" spans="1:11">
      <c r="A79" s="230"/>
      <c r="B79" s="230"/>
      <c r="C79" s="228" t="s">
        <v>113</v>
      </c>
      <c r="D79" s="244"/>
      <c r="E79" s="326">
        <v>0.25</v>
      </c>
      <c r="F79" s="244"/>
      <c r="G79" s="228" t="s">
        <v>141</v>
      </c>
      <c r="H79" s="244"/>
      <c r="I79" s="312"/>
      <c r="J79" s="232"/>
      <c r="K79" s="233"/>
    </row>
    <row r="80" spans="1:11">
      <c r="A80" s="230"/>
      <c r="C80" s="227" t="s">
        <v>188</v>
      </c>
      <c r="D80" s="235"/>
      <c r="E80" s="227" t="s">
        <v>404</v>
      </c>
      <c r="F80" s="235"/>
      <c r="G80" s="227" t="s">
        <v>188</v>
      </c>
      <c r="H80" s="244"/>
      <c r="I80" s="312"/>
      <c r="J80" s="232"/>
      <c r="K80" s="233"/>
    </row>
    <row r="81" spans="1:11">
      <c r="A81" s="230"/>
      <c r="D81" s="230"/>
      <c r="F81" s="230"/>
      <c r="G81" s="312"/>
      <c r="H81" s="244"/>
      <c r="I81" s="312"/>
      <c r="J81" s="232"/>
      <c r="K81" s="233"/>
    </row>
    <row r="82" spans="1:11">
      <c r="A82" s="230"/>
      <c r="B82" s="230" t="s">
        <v>403</v>
      </c>
      <c r="C82" s="325">
        <v>1.64</v>
      </c>
      <c r="D82" s="230"/>
      <c r="E82" s="272">
        <f>ROUND(C82*E79,2)</f>
        <v>0.41</v>
      </c>
      <c r="F82" s="230"/>
      <c r="G82" s="320">
        <f>C82+E82</f>
        <v>2.0499999999999998</v>
      </c>
      <c r="H82" s="244"/>
      <c r="I82" s="312"/>
      <c r="J82" s="232"/>
      <c r="K82" s="233"/>
    </row>
    <row r="83" spans="1:11">
      <c r="A83" s="230"/>
      <c r="B83" s="230" t="s">
        <v>402</v>
      </c>
      <c r="C83" s="325">
        <v>6.84</v>
      </c>
      <c r="D83" s="230"/>
      <c r="E83" s="272">
        <f>ROUND(C83*E79,2)</f>
        <v>1.71</v>
      </c>
      <c r="F83" s="230"/>
      <c r="G83" s="320">
        <f>C83+E83</f>
        <v>8.5500000000000007</v>
      </c>
      <c r="H83" s="244"/>
      <c r="I83" s="312"/>
      <c r="J83" s="232"/>
      <c r="K83" s="233"/>
    </row>
    <row r="84" spans="1:11">
      <c r="A84" s="230"/>
      <c r="B84" s="230"/>
      <c r="D84" s="230"/>
      <c r="F84" s="230"/>
      <c r="G84" s="312"/>
      <c r="H84" s="244"/>
      <c r="I84" s="312"/>
      <c r="J84" s="232"/>
      <c r="K84" s="233"/>
    </row>
    <row r="85" spans="1:11">
      <c r="A85" s="230"/>
      <c r="B85" s="230"/>
      <c r="D85" s="230"/>
      <c r="F85" s="230"/>
      <c r="G85" s="312"/>
      <c r="H85" s="244"/>
      <c r="I85" s="312"/>
      <c r="J85" s="232"/>
      <c r="K85" s="233"/>
    </row>
    <row r="86" spans="1:11">
      <c r="A86" s="230"/>
      <c r="B86" s="230"/>
      <c r="C86" s="228" t="s">
        <v>380</v>
      </c>
      <c r="D86" s="244"/>
      <c r="E86" s="228" t="s">
        <v>401</v>
      </c>
      <c r="F86" s="244"/>
      <c r="G86" s="324" t="s">
        <v>141</v>
      </c>
      <c r="H86" s="244"/>
      <c r="I86" s="312"/>
      <c r="J86" s="232"/>
      <c r="K86" s="233"/>
    </row>
    <row r="87" spans="1:11">
      <c r="A87" s="230"/>
      <c r="B87" s="230"/>
      <c r="C87" s="227" t="s">
        <v>188</v>
      </c>
      <c r="D87" s="235"/>
      <c r="E87" s="227" t="s">
        <v>400</v>
      </c>
      <c r="F87" s="235"/>
      <c r="G87" s="323" t="s">
        <v>188</v>
      </c>
      <c r="H87" s="244"/>
      <c r="I87" s="312"/>
      <c r="J87" s="232"/>
      <c r="K87" s="233"/>
    </row>
    <row r="88" spans="1:11">
      <c r="A88" s="230"/>
      <c r="B88" s="219" t="s">
        <v>399</v>
      </c>
      <c r="D88" s="230"/>
      <c r="F88" s="230"/>
      <c r="G88" s="312"/>
      <c r="H88" s="244"/>
      <c r="I88" s="312"/>
      <c r="J88" s="232"/>
      <c r="K88" s="233"/>
    </row>
    <row r="89" spans="1:11">
      <c r="A89" s="230"/>
      <c r="B89" s="230" t="s">
        <v>396</v>
      </c>
      <c r="C89" s="320">
        <f>G82</f>
        <v>2.0499999999999998</v>
      </c>
      <c r="D89" s="230"/>
      <c r="E89" s="322">
        <v>1</v>
      </c>
      <c r="F89" s="230"/>
      <c r="G89" s="320">
        <f>ROUND(C89*E89,2)</f>
        <v>2.0499999999999998</v>
      </c>
      <c r="H89" s="244"/>
      <c r="I89" s="312"/>
      <c r="J89" s="232"/>
      <c r="K89" s="233"/>
    </row>
    <row r="90" spans="1:11">
      <c r="A90" s="230"/>
      <c r="B90" s="230" t="s">
        <v>395</v>
      </c>
      <c r="C90" s="272">
        <f>G82</f>
        <v>2.0499999999999998</v>
      </c>
      <c r="D90" s="230"/>
      <c r="E90" s="322">
        <v>0.97121999999999997</v>
      </c>
      <c r="F90" s="230"/>
      <c r="G90" s="320">
        <f>ROUND(C90*E90,2)</f>
        <v>1.99</v>
      </c>
      <c r="H90" s="244"/>
      <c r="I90" s="312"/>
      <c r="J90" s="232"/>
      <c r="K90" s="233"/>
    </row>
    <row r="91" spans="1:11">
      <c r="A91" s="230"/>
      <c r="B91" s="230" t="s">
        <v>394</v>
      </c>
      <c r="C91" s="272">
        <f>G82</f>
        <v>2.0499999999999998</v>
      </c>
      <c r="D91" s="230"/>
      <c r="E91" s="322">
        <v>0.95842000000000005</v>
      </c>
      <c r="F91" s="230"/>
      <c r="G91" s="320">
        <f>ROUND(C91*E91,2)</f>
        <v>1.96</v>
      </c>
      <c r="H91" s="244"/>
      <c r="I91" s="312"/>
      <c r="J91" s="232"/>
      <c r="K91" s="233"/>
    </row>
    <row r="92" spans="1:11">
      <c r="A92" s="230"/>
      <c r="B92" s="230"/>
      <c r="C92" s="272"/>
      <c r="D92" s="230"/>
      <c r="E92" s="321"/>
      <c r="F92" s="230"/>
      <c r="G92" s="320"/>
      <c r="H92" s="244"/>
      <c r="I92" s="312"/>
      <c r="J92" s="232"/>
      <c r="K92" s="233"/>
    </row>
    <row r="93" spans="1:11">
      <c r="A93" s="230"/>
      <c r="B93" s="230"/>
      <c r="C93" s="272"/>
      <c r="D93" s="230"/>
      <c r="E93" s="321"/>
      <c r="F93" s="230"/>
      <c r="G93" s="320"/>
      <c r="H93" s="244"/>
      <c r="I93" s="312"/>
      <c r="J93" s="232"/>
      <c r="K93" s="233"/>
    </row>
    <row r="94" spans="1:11">
      <c r="A94" s="230"/>
      <c r="B94" s="230" t="s">
        <v>398</v>
      </c>
      <c r="C94" s="272"/>
      <c r="D94" s="230"/>
      <c r="E94" s="321"/>
      <c r="F94" s="230"/>
      <c r="G94" s="320"/>
      <c r="H94" s="244"/>
      <c r="I94" s="312"/>
      <c r="J94" s="232"/>
      <c r="K94" s="233"/>
    </row>
    <row r="95" spans="1:11">
      <c r="A95" s="230"/>
      <c r="B95" s="230"/>
      <c r="C95" s="228" t="s">
        <v>397</v>
      </c>
      <c r="D95" s="244"/>
      <c r="E95" s="228"/>
      <c r="F95" s="244"/>
      <c r="G95" s="228"/>
      <c r="H95" s="244"/>
      <c r="I95" s="228"/>
      <c r="J95" s="228"/>
      <c r="K95" s="317"/>
    </row>
    <row r="96" spans="1:11">
      <c r="A96" s="230"/>
      <c r="B96" s="230"/>
      <c r="C96" s="228" t="s">
        <v>141</v>
      </c>
      <c r="D96" s="244"/>
      <c r="E96" s="228"/>
      <c r="F96" s="244"/>
      <c r="G96" s="228" t="s">
        <v>6</v>
      </c>
      <c r="H96" s="244"/>
      <c r="I96" s="228"/>
      <c r="J96" s="228"/>
      <c r="K96" s="228"/>
    </row>
    <row r="97" spans="1:11">
      <c r="A97" s="230"/>
      <c r="B97" s="230"/>
      <c r="C97" s="227" t="s">
        <v>188</v>
      </c>
      <c r="D97" s="235"/>
      <c r="E97" s="227" t="s">
        <v>40</v>
      </c>
      <c r="F97" s="235"/>
      <c r="G97" s="227" t="s">
        <v>1</v>
      </c>
      <c r="H97" s="235"/>
      <c r="I97" s="227"/>
      <c r="J97" s="227"/>
      <c r="K97" s="227"/>
    </row>
    <row r="98" spans="1:11">
      <c r="A98" s="230"/>
      <c r="B98" s="230" t="s">
        <v>396</v>
      </c>
    </row>
    <row r="99" spans="1:11">
      <c r="A99" s="230"/>
      <c r="B99" s="230" t="s">
        <v>393</v>
      </c>
      <c r="C99" s="272">
        <f>G89</f>
        <v>2.0499999999999998</v>
      </c>
      <c r="E99" s="319">
        <f>E44</f>
        <v>2076023</v>
      </c>
      <c r="G99" s="312">
        <f>ROUND(C99*E99,0)</f>
        <v>4255847</v>
      </c>
    </row>
    <row r="100" spans="1:11">
      <c r="A100" s="230"/>
      <c r="B100" s="230" t="s">
        <v>392</v>
      </c>
      <c r="C100" s="272">
        <f>G83</f>
        <v>8.5500000000000007</v>
      </c>
      <c r="E100" s="319">
        <f>E45</f>
        <v>0</v>
      </c>
      <c r="G100" s="312">
        <f>ROUND(C100*E100,0)</f>
        <v>0</v>
      </c>
    </row>
    <row r="101" spans="1:11">
      <c r="A101" s="230"/>
      <c r="B101" s="230" t="s">
        <v>395</v>
      </c>
    </row>
    <row r="102" spans="1:11">
      <c r="A102" s="230"/>
      <c r="B102" s="230" t="s">
        <v>393</v>
      </c>
      <c r="C102" s="272">
        <f>G90</f>
        <v>1.99</v>
      </c>
      <c r="E102" s="319">
        <f>G44</f>
        <v>38082</v>
      </c>
      <c r="G102" s="312">
        <f>ROUND(C102*E102,0)</f>
        <v>75783</v>
      </c>
    </row>
    <row r="103" spans="1:11">
      <c r="A103" s="230"/>
      <c r="B103" s="230" t="s">
        <v>392</v>
      </c>
      <c r="C103" s="272">
        <f>G83</f>
        <v>8.5500000000000007</v>
      </c>
      <c r="E103" s="319">
        <f>G45</f>
        <v>2671</v>
      </c>
      <c r="G103" s="312">
        <f>ROUND(C103*E103,0)</f>
        <v>22837</v>
      </c>
    </row>
    <row r="104" spans="1:11">
      <c r="A104" s="230"/>
      <c r="B104" s="230" t="s">
        <v>394</v>
      </c>
      <c r="D104" s="230"/>
      <c r="F104" s="230"/>
      <c r="G104" s="232"/>
      <c r="H104" s="244"/>
      <c r="I104" s="232"/>
      <c r="J104" s="232"/>
      <c r="K104" s="233"/>
    </row>
    <row r="105" spans="1:11">
      <c r="A105" s="230"/>
      <c r="B105" s="230" t="s">
        <v>393</v>
      </c>
      <c r="C105" s="272">
        <f>G91</f>
        <v>1.96</v>
      </c>
      <c r="D105" s="230"/>
      <c r="E105" s="222">
        <f>I44</f>
        <v>2508</v>
      </c>
      <c r="F105" s="230"/>
      <c r="G105" s="312">
        <f>ROUND(C105*E105,0)</f>
        <v>4916</v>
      </c>
      <c r="H105" s="244"/>
      <c r="I105" s="232"/>
      <c r="J105" s="232"/>
      <c r="K105" s="233"/>
    </row>
    <row r="106" spans="1:11">
      <c r="A106" s="230"/>
      <c r="B106" s="230" t="s">
        <v>392</v>
      </c>
      <c r="C106" s="272">
        <f>G83</f>
        <v>8.5500000000000007</v>
      </c>
      <c r="D106" s="230"/>
      <c r="E106" s="222">
        <f>I45</f>
        <v>314</v>
      </c>
      <c r="F106" s="230"/>
      <c r="G106" s="312">
        <f>ROUND(C106*E106,0)</f>
        <v>2685</v>
      </c>
      <c r="H106" s="244"/>
      <c r="I106" s="232"/>
      <c r="J106" s="232"/>
      <c r="K106" s="233"/>
    </row>
    <row r="107" spans="1:11">
      <c r="A107" s="230"/>
      <c r="B107" s="230"/>
      <c r="C107" s="220"/>
      <c r="D107" s="230"/>
      <c r="E107" s="222"/>
      <c r="F107" s="230"/>
      <c r="G107" s="232"/>
      <c r="H107" s="244"/>
      <c r="I107" s="232"/>
      <c r="J107" s="232"/>
      <c r="K107" s="233"/>
    </row>
    <row r="108" spans="1:11">
      <c r="A108" s="230"/>
      <c r="B108" s="230"/>
      <c r="C108" s="220"/>
      <c r="D108" s="230"/>
      <c r="E108" s="222"/>
      <c r="F108" s="230"/>
      <c r="G108" s="312">
        <f>SUM(G99:G106)</f>
        <v>4362068</v>
      </c>
      <c r="H108" s="244"/>
      <c r="I108" s="312"/>
      <c r="J108" s="232"/>
      <c r="K108" s="220"/>
    </row>
    <row r="109" spans="1:11">
      <c r="A109" s="230"/>
      <c r="B109" s="230"/>
      <c r="C109" s="220"/>
      <c r="D109" s="230"/>
      <c r="E109" s="222"/>
      <c r="F109" s="230"/>
      <c r="G109" s="232"/>
      <c r="H109" s="244"/>
      <c r="I109" s="232"/>
      <c r="J109" s="232"/>
      <c r="K109" s="233"/>
    </row>
    <row r="110" spans="1:11">
      <c r="A110" s="230" t="s">
        <v>291</v>
      </c>
      <c r="B110" s="236" t="s">
        <v>391</v>
      </c>
      <c r="C110" s="220"/>
      <c r="D110" s="230"/>
      <c r="E110" s="222"/>
      <c r="F110" s="230"/>
      <c r="G110" s="232"/>
      <c r="H110" s="244"/>
      <c r="I110" s="232"/>
      <c r="J110" s="232"/>
      <c r="K110" s="233"/>
    </row>
    <row r="111" spans="1:11">
      <c r="A111" s="230"/>
      <c r="B111" s="230"/>
      <c r="C111" s="220"/>
      <c r="D111" s="230"/>
      <c r="E111" s="222"/>
      <c r="F111" s="230"/>
      <c r="G111" s="232"/>
      <c r="H111" s="244"/>
      <c r="I111" s="232"/>
      <c r="J111" s="232"/>
      <c r="K111" s="233"/>
    </row>
    <row r="112" spans="1:11">
      <c r="A112" s="230"/>
      <c r="B112" s="230" t="s">
        <v>390</v>
      </c>
      <c r="C112" s="220">
        <f>I38</f>
        <v>54705341</v>
      </c>
      <c r="D112" s="230"/>
      <c r="E112" s="222"/>
      <c r="F112" s="230"/>
      <c r="G112" s="232"/>
      <c r="H112" s="244"/>
      <c r="I112" s="232"/>
      <c r="J112" s="232"/>
      <c r="K112" s="233"/>
    </row>
    <row r="113" spans="1:11">
      <c r="A113" s="230"/>
      <c r="B113" s="230" t="s">
        <v>389</v>
      </c>
      <c r="C113" s="220">
        <f>G71</f>
        <v>1732117</v>
      </c>
      <c r="D113" s="230"/>
      <c r="E113" s="222"/>
      <c r="F113" s="230"/>
      <c r="G113" s="232"/>
      <c r="H113" s="244"/>
      <c r="I113" s="232"/>
      <c r="J113" s="232"/>
      <c r="K113" s="233"/>
    </row>
    <row r="114" spans="1:11">
      <c r="A114" s="230"/>
      <c r="B114" s="230" t="s">
        <v>388</v>
      </c>
      <c r="C114" s="220">
        <f>G108</f>
        <v>4362068</v>
      </c>
      <c r="D114" s="230"/>
      <c r="E114" s="222"/>
      <c r="F114" s="230"/>
      <c r="G114" s="232"/>
      <c r="H114" s="244"/>
      <c r="I114" s="232"/>
      <c r="J114" s="232"/>
      <c r="K114" s="233"/>
    </row>
    <row r="115" spans="1:11">
      <c r="A115" s="230"/>
      <c r="B115" s="230"/>
      <c r="C115" s="220"/>
      <c r="D115" s="230"/>
      <c r="E115" s="222"/>
      <c r="F115" s="230"/>
      <c r="G115" s="232"/>
      <c r="H115" s="244"/>
      <c r="I115" s="232"/>
      <c r="J115" s="232"/>
      <c r="K115" s="233"/>
    </row>
    <row r="116" spans="1:11">
      <c r="A116" s="230"/>
      <c r="B116" s="230" t="s">
        <v>387</v>
      </c>
      <c r="C116" s="220">
        <f>C112-C113-C114</f>
        <v>48611156</v>
      </c>
      <c r="D116" s="230"/>
      <c r="E116" s="222"/>
      <c r="F116" s="230"/>
      <c r="G116" s="232"/>
      <c r="H116" s="244"/>
      <c r="I116" s="232"/>
      <c r="J116" s="232"/>
      <c r="K116" s="233"/>
    </row>
    <row r="117" spans="1:11">
      <c r="A117" s="230"/>
      <c r="B117" s="230"/>
      <c r="C117" s="220"/>
      <c r="D117" s="230"/>
      <c r="E117" s="222"/>
      <c r="F117" s="230"/>
      <c r="G117" s="232"/>
      <c r="H117" s="244"/>
      <c r="I117" s="232"/>
      <c r="J117" s="232"/>
      <c r="K117" s="233"/>
    </row>
    <row r="118" spans="1:11">
      <c r="A118" s="230"/>
      <c r="B118" s="230"/>
      <c r="C118" s="220"/>
      <c r="D118" s="230"/>
      <c r="E118" s="222"/>
      <c r="F118" s="230"/>
      <c r="G118" s="232"/>
      <c r="H118" s="244"/>
      <c r="I118" s="232"/>
      <c r="J118" s="232"/>
      <c r="K118" s="233"/>
    </row>
    <row r="119" spans="1:11">
      <c r="A119" s="230"/>
      <c r="B119" s="230" t="s">
        <v>386</v>
      </c>
      <c r="C119" s="318"/>
      <c r="D119" s="244"/>
      <c r="E119" s="310"/>
      <c r="F119" s="244"/>
      <c r="G119" s="228" t="s">
        <v>113</v>
      </c>
      <c r="H119" s="244"/>
      <c r="I119" s="228" t="s">
        <v>141</v>
      </c>
      <c r="J119" s="228"/>
      <c r="K119" s="317"/>
    </row>
    <row r="120" spans="1:11">
      <c r="A120" s="230"/>
      <c r="B120" s="230"/>
      <c r="C120" s="318"/>
      <c r="D120" s="244"/>
      <c r="E120" s="310" t="s">
        <v>113</v>
      </c>
      <c r="F120" s="244"/>
      <c r="G120" s="228" t="s">
        <v>7</v>
      </c>
      <c r="H120" s="244"/>
      <c r="I120" s="228" t="s">
        <v>7</v>
      </c>
      <c r="J120" s="228"/>
      <c r="K120" s="317" t="s">
        <v>141</v>
      </c>
    </row>
    <row r="121" spans="1:11">
      <c r="A121" s="230"/>
      <c r="B121" s="230"/>
      <c r="C121" s="316" t="s">
        <v>40</v>
      </c>
      <c r="D121" s="235"/>
      <c r="E121" s="247" t="s">
        <v>385</v>
      </c>
      <c r="F121" s="235"/>
      <c r="G121" s="227" t="s">
        <v>1</v>
      </c>
      <c r="H121" s="235"/>
      <c r="I121" s="227" t="s">
        <v>1</v>
      </c>
      <c r="J121" s="227"/>
      <c r="K121" s="315" t="s">
        <v>385</v>
      </c>
    </row>
    <row r="122" spans="1:11">
      <c r="A122" s="230"/>
      <c r="B122" s="235" t="s">
        <v>380</v>
      </c>
      <c r="C122" s="220"/>
      <c r="D122" s="230"/>
      <c r="E122" s="222"/>
      <c r="F122" s="230"/>
      <c r="G122" s="232"/>
      <c r="H122" s="244"/>
      <c r="I122" s="232"/>
      <c r="J122" s="232"/>
      <c r="K122" s="233"/>
    </row>
    <row r="123" spans="1:11">
      <c r="A123" s="230"/>
      <c r="B123" s="230" t="s">
        <v>384</v>
      </c>
      <c r="C123" s="311">
        <f>E46</f>
        <v>333938968</v>
      </c>
      <c r="D123" s="230"/>
      <c r="E123" s="314">
        <v>9.8619999999999999E-2</v>
      </c>
      <c r="F123" s="230"/>
      <c r="G123" s="312">
        <f>ROUND(C123*E123,0)</f>
        <v>32933061</v>
      </c>
      <c r="H123" s="244"/>
      <c r="I123" s="312">
        <f>ROUND(G123/G$134*I$134,0)</f>
        <v>33632694</v>
      </c>
      <c r="J123" s="232"/>
      <c r="K123" s="234">
        <f>ROUND(I123/C123,5)</f>
        <v>0.10072</v>
      </c>
    </row>
    <row r="124" spans="1:11">
      <c r="A124" s="230"/>
      <c r="B124" s="230" t="s">
        <v>383</v>
      </c>
      <c r="C124" s="311">
        <f>E47</f>
        <v>162854869</v>
      </c>
      <c r="D124" s="230"/>
      <c r="E124" s="314">
        <v>8.4599999999999995E-2</v>
      </c>
      <c r="F124" s="230"/>
      <c r="G124" s="312">
        <f>ROUND(C124*E124,0)</f>
        <v>13777522</v>
      </c>
      <c r="H124" s="244"/>
      <c r="I124" s="312">
        <f>ROUND(G124/G$134*I$134,0)</f>
        <v>14070213</v>
      </c>
      <c r="J124" s="232"/>
      <c r="K124" s="234">
        <f>ROUND(I124/C124,5)</f>
        <v>8.6400000000000005E-2</v>
      </c>
    </row>
    <row r="125" spans="1:11">
      <c r="A125" s="230"/>
      <c r="B125" s="230"/>
      <c r="C125" s="220"/>
      <c r="D125" s="230"/>
      <c r="E125" s="222"/>
      <c r="F125" s="230"/>
      <c r="G125" s="232"/>
      <c r="H125" s="244"/>
      <c r="I125" s="232"/>
      <c r="J125" s="232"/>
      <c r="K125" s="233"/>
    </row>
    <row r="126" spans="1:11">
      <c r="A126" s="230"/>
      <c r="B126" s="235" t="s">
        <v>379</v>
      </c>
      <c r="C126" s="220"/>
      <c r="D126" s="230"/>
      <c r="E126" s="222"/>
      <c r="F126" s="230"/>
      <c r="G126" s="232"/>
      <c r="H126" s="244"/>
      <c r="I126" s="232"/>
      <c r="J126" s="232"/>
      <c r="K126" s="233"/>
    </row>
    <row r="127" spans="1:11">
      <c r="A127" s="230"/>
      <c r="B127" s="230" t="s">
        <v>384</v>
      </c>
      <c r="C127" s="311">
        <f>G46</f>
        <v>5716583</v>
      </c>
      <c r="D127" s="230"/>
      <c r="E127" s="314">
        <v>9.0539999999999995E-2</v>
      </c>
      <c r="F127" s="230"/>
      <c r="G127" s="312">
        <f>ROUND(C127*E127,0)</f>
        <v>517579</v>
      </c>
      <c r="H127" s="244"/>
      <c r="I127" s="312">
        <f>ROUND(G127/G$134*I$134,0)</f>
        <v>528574</v>
      </c>
      <c r="J127" s="232"/>
      <c r="K127" s="234">
        <f>ROUND(I127/C127,5)</f>
        <v>9.2460000000000001E-2</v>
      </c>
    </row>
    <row r="128" spans="1:11">
      <c r="A128" s="230"/>
      <c r="B128" s="230" t="s">
        <v>383</v>
      </c>
      <c r="C128" s="311">
        <f>G47</f>
        <v>3592839</v>
      </c>
      <c r="D128" s="230"/>
      <c r="E128" s="314">
        <v>8.0979999999999996E-2</v>
      </c>
      <c r="F128" s="230"/>
      <c r="G128" s="312">
        <f>ROUND(C128*E128,0)</f>
        <v>290948</v>
      </c>
      <c r="H128" s="244"/>
      <c r="I128" s="312">
        <f>ROUND(G128/G$134*I$134,0)</f>
        <v>297129</v>
      </c>
      <c r="J128" s="232"/>
      <c r="K128" s="234">
        <f>ROUND(I128/C128,5)</f>
        <v>8.2699999999999996E-2</v>
      </c>
    </row>
    <row r="129" spans="1:11">
      <c r="A129" s="230"/>
      <c r="B129" s="230"/>
      <c r="C129" s="220"/>
      <c r="D129" s="230"/>
      <c r="E129" s="222"/>
      <c r="F129" s="230"/>
      <c r="G129" s="232"/>
      <c r="H129" s="244"/>
      <c r="I129" s="232"/>
      <c r="J129" s="232"/>
      <c r="K129" s="233"/>
    </row>
    <row r="130" spans="1:11">
      <c r="A130" s="230"/>
      <c r="B130" s="235" t="s">
        <v>377</v>
      </c>
      <c r="C130" s="220"/>
      <c r="D130" s="230"/>
      <c r="E130" s="222"/>
      <c r="F130" s="230"/>
      <c r="G130" s="232"/>
      <c r="H130" s="244"/>
      <c r="I130" s="232"/>
      <c r="J130" s="232"/>
      <c r="K130" s="233"/>
    </row>
    <row r="131" spans="1:11">
      <c r="A131" s="230"/>
      <c r="B131" s="230" t="s">
        <v>384</v>
      </c>
      <c r="C131" s="311">
        <f>I46</f>
        <v>385067</v>
      </c>
      <c r="D131" s="230"/>
      <c r="E131" s="314">
        <v>8.3610000000000004E-2</v>
      </c>
      <c r="F131" s="230"/>
      <c r="G131" s="312">
        <f>ROUND(C131*E131,0)</f>
        <v>32195</v>
      </c>
      <c r="H131" s="244"/>
      <c r="I131" s="312">
        <f>ROUND(G131/G$134*I$134,0)</f>
        <v>32879</v>
      </c>
      <c r="J131" s="232"/>
      <c r="K131" s="234">
        <f>ROUND(I131/C131,5)</f>
        <v>8.5389999999999994E-2</v>
      </c>
    </row>
    <row r="132" spans="1:11">
      <c r="A132" s="230"/>
      <c r="B132" s="230" t="s">
        <v>383</v>
      </c>
      <c r="C132" s="311">
        <f>I47</f>
        <v>619468</v>
      </c>
      <c r="D132" s="230"/>
      <c r="E132" s="314">
        <v>7.8509999999999996E-2</v>
      </c>
      <c r="F132" s="230"/>
      <c r="G132" s="313">
        <f>ROUND(C132*E132,0)</f>
        <v>48634</v>
      </c>
      <c r="H132" s="244"/>
      <c r="I132" s="313">
        <f>I134-(I123+I124+I127+I128+I131)</f>
        <v>49667</v>
      </c>
      <c r="J132" s="232"/>
      <c r="K132" s="234">
        <f>ROUND(I132/C132,5)</f>
        <v>8.0180000000000001E-2</v>
      </c>
    </row>
    <row r="133" spans="1:11">
      <c r="A133" s="230"/>
      <c r="B133" s="230"/>
      <c r="C133" s="220"/>
      <c r="D133" s="230"/>
      <c r="E133" s="222"/>
      <c r="F133" s="230"/>
      <c r="G133" s="232"/>
      <c r="H133" s="244"/>
      <c r="I133" s="232"/>
      <c r="J133" s="232"/>
      <c r="K133" s="233"/>
    </row>
    <row r="134" spans="1:11">
      <c r="A134" s="230"/>
      <c r="B134" s="230" t="s">
        <v>382</v>
      </c>
      <c r="C134" s="220"/>
      <c r="D134" s="230"/>
      <c r="E134" s="222"/>
      <c r="F134" s="230"/>
      <c r="G134" s="312">
        <f>SUM(G123:G132)</f>
        <v>47599939</v>
      </c>
      <c r="H134" s="244"/>
      <c r="I134" s="312">
        <f>C116</f>
        <v>48611156</v>
      </c>
      <c r="J134" s="232"/>
      <c r="K134" s="233"/>
    </row>
    <row r="135" spans="1:11">
      <c r="A135" s="230"/>
      <c r="B135" s="230"/>
      <c r="C135" s="220"/>
      <c r="D135" s="230"/>
      <c r="E135" s="222"/>
      <c r="F135" s="230"/>
      <c r="G135" s="232"/>
      <c r="H135" s="244"/>
      <c r="I135" s="232"/>
      <c r="J135" s="232"/>
      <c r="K135" s="233"/>
    </row>
    <row r="136" spans="1:11">
      <c r="A136" s="232"/>
      <c r="B136" s="266"/>
      <c r="C136" s="272"/>
      <c r="D136" s="244"/>
      <c r="E136" s="222"/>
      <c r="H136" s="228"/>
      <c r="K136" s="220"/>
    </row>
    <row r="137" spans="1:11">
      <c r="A137" s="230" t="s">
        <v>283</v>
      </c>
      <c r="B137" s="236" t="s">
        <v>39</v>
      </c>
      <c r="I137" s="228" t="s">
        <v>381</v>
      </c>
    </row>
    <row r="138" spans="1:11">
      <c r="C138" s="247" t="s">
        <v>40</v>
      </c>
      <c r="D138" s="232"/>
      <c r="E138" s="235" t="s">
        <v>188</v>
      </c>
      <c r="F138" s="232"/>
      <c r="G138" s="235" t="s">
        <v>1</v>
      </c>
      <c r="H138" s="232"/>
      <c r="I138" s="227" t="s">
        <v>1</v>
      </c>
      <c r="J138" s="232"/>
      <c r="K138" s="235" t="s">
        <v>42</v>
      </c>
    </row>
    <row r="139" spans="1:11">
      <c r="A139" s="230"/>
      <c r="B139" s="230"/>
      <c r="C139" s="310"/>
      <c r="D139" s="232"/>
      <c r="E139" s="244"/>
      <c r="F139" s="232"/>
      <c r="G139" s="244"/>
      <c r="H139" s="232"/>
      <c r="J139" s="232"/>
      <c r="K139" s="244"/>
    </row>
    <row r="140" spans="1:11">
      <c r="A140" s="230"/>
      <c r="B140" s="235" t="s">
        <v>380</v>
      </c>
      <c r="C140" s="310"/>
      <c r="D140" s="232"/>
      <c r="E140" s="222"/>
      <c r="H140" s="222"/>
      <c r="K140" s="222"/>
    </row>
    <row r="141" spans="1:11">
      <c r="A141" s="230"/>
      <c r="B141" s="230" t="s">
        <v>376</v>
      </c>
      <c r="C141" s="311">
        <f>E44</f>
        <v>2076023</v>
      </c>
      <c r="D141" s="232" t="s">
        <v>234</v>
      </c>
      <c r="E141" s="272">
        <f>G89</f>
        <v>2.0499999999999998</v>
      </c>
      <c r="F141" s="223" t="s">
        <v>374</v>
      </c>
      <c r="G141" s="251">
        <f>ROUND(C141*E141,0)</f>
        <v>4255847</v>
      </c>
    </row>
    <row r="142" spans="1:11">
      <c r="A142" s="230"/>
      <c r="B142" s="230" t="s">
        <v>375</v>
      </c>
      <c r="C142" s="311">
        <f>E45</f>
        <v>0</v>
      </c>
      <c r="D142" s="232" t="s">
        <v>234</v>
      </c>
      <c r="E142" s="272">
        <f>G83</f>
        <v>8.5500000000000007</v>
      </c>
      <c r="F142" s="223" t="s">
        <v>374</v>
      </c>
      <c r="G142" s="251">
        <f>ROUND(C142*E142,0)</f>
        <v>0</v>
      </c>
    </row>
    <row r="143" spans="1:11">
      <c r="A143" s="230"/>
      <c r="B143" s="230" t="s">
        <v>373</v>
      </c>
      <c r="C143" s="311">
        <f>E46</f>
        <v>333938968</v>
      </c>
      <c r="D143" s="232" t="s">
        <v>44</v>
      </c>
      <c r="E143" s="234">
        <f>K123</f>
        <v>0.10072</v>
      </c>
      <c r="F143" s="223" t="s">
        <v>23</v>
      </c>
      <c r="G143" s="251">
        <f>ROUND(C143*E143,0)</f>
        <v>33634333</v>
      </c>
      <c r="H143" s="222"/>
      <c r="K143" s="222"/>
    </row>
    <row r="144" spans="1:11">
      <c r="A144" s="230"/>
      <c r="B144" s="230" t="s">
        <v>372</v>
      </c>
      <c r="C144" s="311">
        <f>E47</f>
        <v>162854869</v>
      </c>
      <c r="D144" s="232" t="s">
        <v>44</v>
      </c>
      <c r="E144" s="234">
        <f>K124-0.00001</f>
        <v>8.6390000000000008E-2</v>
      </c>
      <c r="F144" s="223" t="s">
        <v>288</v>
      </c>
      <c r="G144" s="251">
        <f>ROUND(C144*E144,0)</f>
        <v>14069032</v>
      </c>
    </row>
    <row r="145" spans="1:11">
      <c r="A145" s="230"/>
      <c r="B145" s="230" t="s">
        <v>53</v>
      </c>
      <c r="C145" s="311">
        <f>E48</f>
        <v>84018</v>
      </c>
      <c r="D145" s="232" t="s">
        <v>371</v>
      </c>
      <c r="E145" s="272">
        <f>C67</f>
        <v>19.5</v>
      </c>
      <c r="F145" s="223" t="s">
        <v>370</v>
      </c>
      <c r="G145" s="251">
        <f>ROUND(C145*E145,0)</f>
        <v>1638351</v>
      </c>
    </row>
    <row r="146" spans="1:11">
      <c r="A146" s="230"/>
      <c r="B146" s="230"/>
      <c r="C146" s="247"/>
      <c r="D146" s="232"/>
      <c r="E146" s="222"/>
      <c r="H146" s="222"/>
      <c r="K146" s="222"/>
    </row>
    <row r="147" spans="1:11">
      <c r="A147" s="230"/>
      <c r="B147" s="230"/>
      <c r="C147" s="310"/>
      <c r="D147" s="232"/>
      <c r="E147" s="222"/>
      <c r="H147" s="222"/>
      <c r="K147" s="222"/>
    </row>
    <row r="148" spans="1:11">
      <c r="A148" s="230"/>
      <c r="B148" s="235" t="s">
        <v>379</v>
      </c>
      <c r="C148" s="310"/>
      <c r="D148" s="232"/>
      <c r="E148" s="222"/>
      <c r="H148" s="222"/>
      <c r="K148" s="222"/>
    </row>
    <row r="149" spans="1:11">
      <c r="A149" s="230"/>
      <c r="B149" s="230" t="s">
        <v>376</v>
      </c>
      <c r="C149" s="311">
        <f>G44</f>
        <v>38082</v>
      </c>
      <c r="D149" s="232" t="s">
        <v>234</v>
      </c>
      <c r="E149" s="272">
        <f>G90-0.01</f>
        <v>1.98</v>
      </c>
      <c r="F149" s="223" t="s">
        <v>378</v>
      </c>
      <c r="G149" s="251">
        <f>ROUND(C149*E149,0)</f>
        <v>75402</v>
      </c>
      <c r="H149" s="222"/>
      <c r="K149" s="222"/>
    </row>
    <row r="150" spans="1:11">
      <c r="A150" s="230"/>
      <c r="B150" s="230" t="s">
        <v>375</v>
      </c>
      <c r="C150" s="311">
        <f>G45</f>
        <v>2671</v>
      </c>
      <c r="D150" s="232" t="s">
        <v>234</v>
      </c>
      <c r="E150" s="272">
        <f>G83</f>
        <v>8.5500000000000007</v>
      </c>
      <c r="F150" s="223" t="s">
        <v>374</v>
      </c>
      <c r="G150" s="251">
        <f>ROUND(C150*E150,0)</f>
        <v>22837</v>
      </c>
      <c r="H150" s="222"/>
      <c r="K150" s="222"/>
    </row>
    <row r="151" spans="1:11">
      <c r="A151" s="230"/>
      <c r="B151" s="230" t="s">
        <v>373</v>
      </c>
      <c r="C151" s="311">
        <f>G46</f>
        <v>5716583</v>
      </c>
      <c r="D151" s="232" t="s">
        <v>44</v>
      </c>
      <c r="E151" s="234">
        <f>K127-0.00001</f>
        <v>9.2450000000000004E-2</v>
      </c>
      <c r="F151" s="223" t="s">
        <v>474</v>
      </c>
      <c r="G151" s="251">
        <f>ROUND(C151*E151,0)</f>
        <v>528498</v>
      </c>
      <c r="H151" s="222"/>
      <c r="K151" s="222"/>
    </row>
    <row r="152" spans="1:11">
      <c r="A152" s="230"/>
      <c r="B152" s="230" t="s">
        <v>372</v>
      </c>
      <c r="C152" s="311">
        <f>G47</f>
        <v>3592839</v>
      </c>
      <c r="D152" s="232" t="s">
        <v>44</v>
      </c>
      <c r="E152" s="234">
        <f>K128</f>
        <v>8.2699999999999996E-2</v>
      </c>
      <c r="F152" s="223" t="s">
        <v>23</v>
      </c>
      <c r="G152" s="251">
        <f>ROUND(C152*E152,0)</f>
        <v>297128</v>
      </c>
      <c r="H152" s="222"/>
      <c r="K152" s="222"/>
    </row>
    <row r="153" spans="1:11">
      <c r="A153" s="230"/>
      <c r="B153" s="230" t="s">
        <v>53</v>
      </c>
      <c r="C153" s="311">
        <f>G48</f>
        <v>1009</v>
      </c>
      <c r="D153" s="232" t="s">
        <v>371</v>
      </c>
      <c r="E153" s="272">
        <f>C68</f>
        <v>50</v>
      </c>
      <c r="F153" s="223" t="s">
        <v>370</v>
      </c>
      <c r="G153" s="251">
        <f>ROUND(C153*E153,0)</f>
        <v>50450</v>
      </c>
      <c r="H153" s="222"/>
      <c r="K153" s="222"/>
    </row>
    <row r="154" spans="1:11">
      <c r="A154" s="230"/>
      <c r="B154" s="230"/>
      <c r="C154" s="310"/>
      <c r="D154" s="232"/>
      <c r="E154" s="222"/>
      <c r="H154" s="222"/>
      <c r="K154" s="222"/>
    </row>
    <row r="155" spans="1:11">
      <c r="A155" s="230"/>
      <c r="B155" s="230"/>
      <c r="C155" s="310"/>
      <c r="D155" s="232"/>
      <c r="E155" s="222"/>
      <c r="H155" s="222"/>
      <c r="K155" s="222"/>
    </row>
    <row r="156" spans="1:11">
      <c r="A156" s="230"/>
      <c r="B156" s="230"/>
      <c r="C156" s="310"/>
      <c r="D156" s="232"/>
      <c r="E156" s="222"/>
      <c r="H156" s="222"/>
      <c r="K156" s="222"/>
    </row>
    <row r="157" spans="1:11">
      <c r="A157" s="230"/>
      <c r="B157" s="235" t="s">
        <v>377</v>
      </c>
      <c r="C157" s="310"/>
      <c r="D157" s="232"/>
      <c r="E157" s="222"/>
      <c r="H157" s="222"/>
      <c r="K157" s="222"/>
    </row>
    <row r="158" spans="1:11">
      <c r="A158" s="230"/>
      <c r="B158" s="230" t="s">
        <v>376</v>
      </c>
      <c r="C158" s="311">
        <f>I44</f>
        <v>2508</v>
      </c>
      <c r="D158" s="232" t="s">
        <v>234</v>
      </c>
      <c r="E158" s="272">
        <f>G91</f>
        <v>1.96</v>
      </c>
      <c r="F158" s="223" t="s">
        <v>374</v>
      </c>
      <c r="G158" s="251">
        <f>ROUND(C158*E158,0)</f>
        <v>4916</v>
      </c>
      <c r="H158" s="222"/>
      <c r="K158" s="222"/>
    </row>
    <row r="159" spans="1:11">
      <c r="A159" s="230"/>
      <c r="B159" s="230" t="s">
        <v>375</v>
      </c>
      <c r="C159" s="311">
        <f>I45</f>
        <v>314</v>
      </c>
      <c r="D159" s="232" t="s">
        <v>234</v>
      </c>
      <c r="E159" s="272">
        <f>G83</f>
        <v>8.5500000000000007</v>
      </c>
      <c r="F159" s="223" t="s">
        <v>374</v>
      </c>
      <c r="G159" s="251">
        <f>ROUND(C159*E159,0)</f>
        <v>2685</v>
      </c>
      <c r="H159" s="222"/>
      <c r="K159" s="222"/>
    </row>
    <row r="160" spans="1:11">
      <c r="A160" s="230"/>
      <c r="B160" s="230" t="s">
        <v>373</v>
      </c>
      <c r="C160" s="311">
        <f>I46</f>
        <v>385067</v>
      </c>
      <c r="D160" s="232" t="s">
        <v>44</v>
      </c>
      <c r="E160" s="234">
        <f>K131-0.00001</f>
        <v>8.5379999999999998E-2</v>
      </c>
      <c r="F160" s="223" t="s">
        <v>474</v>
      </c>
      <c r="G160" s="251">
        <f>ROUND(C160*E160,0)</f>
        <v>32877</v>
      </c>
      <c r="H160" s="222"/>
      <c r="K160" s="222"/>
    </row>
    <row r="161" spans="1:11">
      <c r="A161" s="230"/>
      <c r="B161" s="230" t="s">
        <v>372</v>
      </c>
      <c r="C161" s="311">
        <f>I47</f>
        <v>619468</v>
      </c>
      <c r="D161" s="232" t="s">
        <v>44</v>
      </c>
      <c r="E161" s="234">
        <f>K132</f>
        <v>8.0180000000000001E-2</v>
      </c>
      <c r="F161" s="223" t="s">
        <v>23</v>
      </c>
      <c r="G161" s="251">
        <f>ROUND(C161*E161,0)</f>
        <v>49669</v>
      </c>
      <c r="H161" s="222"/>
      <c r="K161" s="222"/>
    </row>
    <row r="162" spans="1:11">
      <c r="A162" s="230"/>
      <c r="B162" s="230" t="s">
        <v>53</v>
      </c>
      <c r="C162" s="311">
        <f>I48</f>
        <v>119</v>
      </c>
      <c r="D162" s="232" t="s">
        <v>371</v>
      </c>
      <c r="E162" s="272">
        <f>C69</f>
        <v>364</v>
      </c>
      <c r="F162" s="223" t="s">
        <v>370</v>
      </c>
      <c r="G162" s="251">
        <f>ROUND(C162*E162,0)</f>
        <v>43316</v>
      </c>
      <c r="H162" s="222"/>
      <c r="K162" s="222"/>
    </row>
    <row r="163" spans="1:11">
      <c r="A163" s="230"/>
      <c r="B163" s="230"/>
      <c r="C163" s="311"/>
      <c r="D163" s="232"/>
      <c r="E163" s="272"/>
      <c r="F163" s="223"/>
      <c r="G163" s="251"/>
      <c r="H163" s="222"/>
      <c r="K163" s="222"/>
    </row>
    <row r="164" spans="1:11">
      <c r="A164" s="230"/>
      <c r="B164" s="230"/>
      <c r="C164" s="310"/>
      <c r="D164" s="232"/>
      <c r="E164" s="222"/>
      <c r="H164" s="222"/>
      <c r="K164" s="222"/>
    </row>
    <row r="165" spans="1:11">
      <c r="A165" s="230"/>
      <c r="B165" s="230" t="s">
        <v>369</v>
      </c>
      <c r="C165" s="310"/>
      <c r="D165" s="232"/>
      <c r="E165" s="222"/>
      <c r="G165" s="251">
        <f>SUM(G141:G162)</f>
        <v>54705341</v>
      </c>
      <c r="H165" s="222"/>
      <c r="I165" s="251">
        <f>I38</f>
        <v>54705341</v>
      </c>
      <c r="K165" s="311">
        <f>G165-I165</f>
        <v>0</v>
      </c>
    </row>
    <row r="166" spans="1:11">
      <c r="A166" s="230"/>
      <c r="B166" s="230"/>
      <c r="C166" s="310"/>
      <c r="D166" s="232"/>
      <c r="E166" s="222"/>
      <c r="H166" s="222"/>
      <c r="K166" s="222"/>
    </row>
    <row r="167" spans="1:11">
      <c r="A167" s="230"/>
      <c r="B167" s="230"/>
      <c r="C167" s="310"/>
      <c r="D167" s="232"/>
      <c r="E167" s="222"/>
      <c r="H167" s="222"/>
      <c r="K167" s="222"/>
    </row>
    <row r="170" spans="1:11">
      <c r="A170" s="230" t="s">
        <v>368</v>
      </c>
      <c r="B170" s="236" t="s">
        <v>19</v>
      </c>
    </row>
    <row r="172" spans="1:11">
      <c r="A172" s="232"/>
      <c r="B172" s="230" t="s">
        <v>282</v>
      </c>
      <c r="C172" s="220">
        <f>I6</f>
        <v>17567916</v>
      </c>
      <c r="D172" s="244" t="s">
        <v>249</v>
      </c>
      <c r="E172" s="309">
        <f>E46+E47+C231+C232+C239+C240+C257</f>
        <v>503278554</v>
      </c>
      <c r="F172" s="230" t="s">
        <v>281</v>
      </c>
      <c r="G172" s="234">
        <f>ROUND((C172/E172),5)</f>
        <v>3.4909999999999997E-2</v>
      </c>
    </row>
    <row r="173" spans="1:11">
      <c r="A173" s="232"/>
    </row>
    <row r="174" spans="1:11">
      <c r="A174" s="232"/>
      <c r="B174" s="230" t="s">
        <v>280</v>
      </c>
      <c r="C174" s="232"/>
      <c r="D174" s="232"/>
      <c r="E174" s="232"/>
      <c r="F174" s="232"/>
      <c r="G174" s="242">
        <v>0.02</v>
      </c>
    </row>
    <row r="175" spans="1:11">
      <c r="A175" s="232"/>
      <c r="B175" s="232"/>
      <c r="C175" s="232"/>
      <c r="D175" s="232"/>
      <c r="E175" s="232"/>
      <c r="F175" s="232"/>
      <c r="G175" s="237"/>
    </row>
    <row r="176" spans="1:11">
      <c r="A176" s="232"/>
      <c r="B176" s="230" t="s">
        <v>279</v>
      </c>
      <c r="C176" s="232"/>
      <c r="D176" s="232"/>
      <c r="E176" s="232"/>
      <c r="F176" s="232"/>
      <c r="G176" s="234">
        <f>G172+G174</f>
        <v>5.491E-2</v>
      </c>
    </row>
    <row r="178" spans="1:7">
      <c r="A178" s="232"/>
      <c r="B178" s="230" t="s">
        <v>367</v>
      </c>
      <c r="C178" s="232"/>
      <c r="D178" s="232"/>
      <c r="E178" s="232"/>
      <c r="F178" s="232"/>
      <c r="G178" s="308">
        <f>G176</f>
        <v>5.491E-2</v>
      </c>
    </row>
    <row r="180" spans="1:7">
      <c r="A180" s="232"/>
      <c r="B180" s="230" t="s">
        <v>366</v>
      </c>
      <c r="C180" s="232"/>
      <c r="D180" s="232"/>
      <c r="E180" s="232"/>
      <c r="F180" s="232"/>
      <c r="G180" s="239">
        <f>260675584/503278555</f>
        <v>0.51795488087109132</v>
      </c>
    </row>
    <row r="181" spans="1:7">
      <c r="A181" s="232"/>
      <c r="B181" s="230" t="s">
        <v>276</v>
      </c>
      <c r="C181" s="232"/>
      <c r="D181" s="232"/>
      <c r="E181" s="232"/>
      <c r="F181" s="232"/>
      <c r="G181" s="222">
        <f>ROUND((E172*G180),0)</f>
        <v>260675583</v>
      </c>
    </row>
    <row r="183" spans="1:7">
      <c r="A183" s="232"/>
      <c r="B183" s="230" t="s">
        <v>275</v>
      </c>
      <c r="C183" s="232"/>
      <c r="D183" s="232"/>
      <c r="E183" s="232"/>
      <c r="F183" s="232"/>
      <c r="G183" s="220">
        <f>ROUND((G181*G178),0)</f>
        <v>14313696</v>
      </c>
    </row>
    <row r="185" spans="1:7">
      <c r="A185" s="232"/>
    </row>
    <row r="187" spans="1:7">
      <c r="A187" s="230" t="s">
        <v>365</v>
      </c>
      <c r="B187" s="236" t="s">
        <v>30</v>
      </c>
    </row>
    <row r="189" spans="1:7">
      <c r="A189" s="232"/>
      <c r="B189" s="230" t="s">
        <v>364</v>
      </c>
      <c r="C189" s="232"/>
      <c r="D189" s="232"/>
      <c r="E189" s="220">
        <f>+I8</f>
        <v>54199281</v>
      </c>
    </row>
    <row r="190" spans="1:7">
      <c r="A190" s="232"/>
      <c r="B190" s="230" t="s">
        <v>272</v>
      </c>
      <c r="C190" s="232"/>
      <c r="D190" s="232"/>
      <c r="E190" s="222">
        <f>G67</f>
        <v>1638351</v>
      </c>
    </row>
    <row r="191" spans="1:7">
      <c r="A191" s="232"/>
      <c r="B191" s="230" t="s">
        <v>363</v>
      </c>
      <c r="C191" s="232"/>
      <c r="D191" s="232"/>
      <c r="E191" s="243">
        <f>+G220</f>
        <v>17784</v>
      </c>
    </row>
    <row r="192" spans="1:7">
      <c r="A192" s="232"/>
      <c r="B192" s="230" t="s">
        <v>362</v>
      </c>
      <c r="C192" s="232"/>
      <c r="D192" s="232"/>
      <c r="E192" s="243">
        <f>+G222</f>
        <v>2125</v>
      </c>
    </row>
    <row r="193" spans="1:9">
      <c r="A193" s="232"/>
      <c r="B193" s="230" t="s">
        <v>361</v>
      </c>
      <c r="C193" s="232"/>
      <c r="D193" s="232"/>
      <c r="E193" s="222">
        <f>+G183</f>
        <v>14313696</v>
      </c>
    </row>
    <row r="194" spans="1:9">
      <c r="A194" s="232"/>
      <c r="B194" s="232"/>
      <c r="C194" s="232"/>
      <c r="D194" s="232"/>
      <c r="E194" s="237"/>
    </row>
    <row r="195" spans="1:9">
      <c r="A195" s="232"/>
      <c r="B195" s="230" t="s">
        <v>34</v>
      </c>
      <c r="C195" s="232"/>
      <c r="D195" s="232"/>
      <c r="E195" s="220">
        <f>E189-E190-E191-E192-E193</f>
        <v>38227325</v>
      </c>
    </row>
    <row r="196" spans="1:9">
      <c r="A196" s="232"/>
      <c r="B196" s="230" t="s">
        <v>37</v>
      </c>
      <c r="C196" s="232"/>
      <c r="D196" s="232"/>
      <c r="E196" s="222">
        <f>E172-G181</f>
        <v>242602971</v>
      </c>
    </row>
    <row r="197" spans="1:9">
      <c r="A197" s="232"/>
      <c r="B197" s="232"/>
      <c r="C197" s="232"/>
      <c r="D197" s="232"/>
      <c r="E197" s="221"/>
    </row>
    <row r="198" spans="1:9">
      <c r="A198" s="232"/>
      <c r="B198" s="230" t="s">
        <v>38</v>
      </c>
      <c r="C198" s="232"/>
      <c r="D198" s="232"/>
      <c r="E198" s="234">
        <f>ROUND((E195/E196),5)</f>
        <v>0.15756999999999999</v>
      </c>
      <c r="F198" s="230" t="s">
        <v>23</v>
      </c>
    </row>
    <row r="201" spans="1:9">
      <c r="A201" s="230" t="s">
        <v>360</v>
      </c>
      <c r="B201" s="236" t="s">
        <v>39</v>
      </c>
    </row>
    <row r="202" spans="1:9">
      <c r="A202" s="232"/>
      <c r="B202" s="232"/>
      <c r="C202" s="235" t="s">
        <v>40</v>
      </c>
      <c r="D202" s="232"/>
      <c r="E202" s="235" t="s">
        <v>188</v>
      </c>
      <c r="F202" s="232"/>
      <c r="G202" s="235" t="s">
        <v>1</v>
      </c>
      <c r="H202" s="232"/>
      <c r="I202" s="235" t="s">
        <v>42</v>
      </c>
    </row>
    <row r="203" spans="1:9">
      <c r="A203" s="232"/>
      <c r="B203" s="232"/>
    </row>
    <row r="204" spans="1:9">
      <c r="A204" s="232"/>
      <c r="B204" s="230" t="s">
        <v>43</v>
      </c>
      <c r="C204" s="222">
        <f>+E196</f>
        <v>242602971</v>
      </c>
      <c r="D204" s="230" t="s">
        <v>44</v>
      </c>
      <c r="E204" s="234">
        <f>E198</f>
        <v>0.15756999999999999</v>
      </c>
      <c r="F204" s="223"/>
      <c r="G204" s="220">
        <f>ROUND((C204*E204),0)</f>
        <v>38226950</v>
      </c>
    </row>
    <row r="205" spans="1:9">
      <c r="A205" s="232"/>
      <c r="B205" s="230" t="s">
        <v>45</v>
      </c>
      <c r="C205" s="222">
        <f>+G181</f>
        <v>260675583</v>
      </c>
      <c r="D205" s="230" t="s">
        <v>44</v>
      </c>
      <c r="E205" s="234">
        <f>+G178</f>
        <v>5.491E-2</v>
      </c>
      <c r="G205" s="222">
        <f>ROUND((C205*E205),0)</f>
        <v>14313696</v>
      </c>
    </row>
    <row r="206" spans="1:9">
      <c r="A206" s="232"/>
      <c r="B206" s="230" t="s">
        <v>268</v>
      </c>
      <c r="C206" s="222">
        <f>E56</f>
        <v>84018</v>
      </c>
      <c r="D206" s="230" t="s">
        <v>46</v>
      </c>
      <c r="E206" s="233">
        <f>C67</f>
        <v>19.5</v>
      </c>
      <c r="F206" s="232"/>
      <c r="G206" s="222">
        <f>ROUND((C206*E206),0)</f>
        <v>1638351</v>
      </c>
    </row>
    <row r="207" spans="1:9">
      <c r="A207" s="232"/>
      <c r="B207" s="230" t="s">
        <v>359</v>
      </c>
      <c r="C207" s="268">
        <v>912</v>
      </c>
      <c r="D207" s="230" t="s">
        <v>46</v>
      </c>
      <c r="E207" s="307">
        <f>+E220</f>
        <v>19.5</v>
      </c>
      <c r="F207" s="296"/>
      <c r="G207" s="222">
        <f>ROUND((C207*E207),0)</f>
        <v>17784</v>
      </c>
    </row>
    <row r="208" spans="1:9">
      <c r="A208" s="232"/>
      <c r="B208" s="306" t="s">
        <v>358</v>
      </c>
      <c r="C208" s="291">
        <v>552</v>
      </c>
      <c r="D208" s="306" t="s">
        <v>46</v>
      </c>
      <c r="E208" s="305">
        <f>+E222</f>
        <v>3.85</v>
      </c>
      <c r="F208" s="304"/>
      <c r="G208" s="295">
        <f>ROUND((C208*E208),0)</f>
        <v>2125</v>
      </c>
    </row>
    <row r="209" spans="1:12">
      <c r="A209" s="232"/>
      <c r="B209" s="221"/>
      <c r="C209" s="221"/>
      <c r="D209" s="303"/>
      <c r="E209" s="221"/>
      <c r="F209" s="221"/>
      <c r="G209" s="303"/>
    </row>
    <row r="210" spans="1:12">
      <c r="A210" s="232"/>
      <c r="B210" s="219" t="s">
        <v>265</v>
      </c>
      <c r="C210" s="232"/>
      <c r="D210" s="232"/>
      <c r="E210" s="232"/>
      <c r="F210" s="232"/>
      <c r="G210" s="220">
        <f>SUM(G204:G208)</f>
        <v>54198906</v>
      </c>
      <c r="H210" s="232"/>
      <c r="I210" s="231">
        <f>G210-I8</f>
        <v>-375</v>
      </c>
    </row>
    <row r="212" spans="1:12">
      <c r="B212" s="219" t="s">
        <v>81</v>
      </c>
    </row>
    <row r="215" spans="1:12">
      <c r="A215" s="302" t="s">
        <v>357</v>
      </c>
      <c r="B215" s="236" t="s">
        <v>48</v>
      </c>
    </row>
    <row r="216" spans="1:12">
      <c r="A216" s="302"/>
      <c r="B216" s="236"/>
    </row>
    <row r="217" spans="1:12">
      <c r="E217" s="228"/>
      <c r="F217" s="228"/>
      <c r="G217" s="258"/>
      <c r="H217" s="240"/>
      <c r="I217" s="258"/>
    </row>
    <row r="218" spans="1:12">
      <c r="C218" s="235" t="s">
        <v>40</v>
      </c>
      <c r="E218" s="227" t="s">
        <v>138</v>
      </c>
      <c r="F218" s="227"/>
      <c r="G218" s="235" t="s">
        <v>1</v>
      </c>
      <c r="H218" s="240"/>
      <c r="I218" s="263"/>
    </row>
    <row r="219" spans="1:12">
      <c r="G219" s="240"/>
      <c r="H219" s="240"/>
      <c r="I219" s="240"/>
    </row>
    <row r="220" spans="1:12">
      <c r="B220" s="219" t="s">
        <v>356</v>
      </c>
      <c r="C220" s="299">
        <v>912</v>
      </c>
      <c r="D220" s="230" t="s">
        <v>46</v>
      </c>
      <c r="E220" s="301">
        <f>K56</f>
        <v>19.5</v>
      </c>
      <c r="F220" s="219" t="s">
        <v>195</v>
      </c>
      <c r="G220" s="220">
        <f>ROUND((C220*E220),0)</f>
        <v>17784</v>
      </c>
      <c r="H220" s="240"/>
      <c r="I220" s="300"/>
      <c r="J220" s="240"/>
      <c r="K220" s="240"/>
      <c r="L220" s="240"/>
    </row>
    <row r="221" spans="1:12">
      <c r="E221" s="230"/>
      <c r="G221" s="233"/>
    </row>
    <row r="222" spans="1:12">
      <c r="B222" s="230" t="s">
        <v>355</v>
      </c>
      <c r="C222" s="299">
        <v>552</v>
      </c>
      <c r="D222" s="230" t="s">
        <v>46</v>
      </c>
      <c r="E222" s="298">
        <v>3.85</v>
      </c>
      <c r="F222" s="219" t="s">
        <v>354</v>
      </c>
      <c r="G222" s="222">
        <f>ROUND((C222*E222),0)</f>
        <v>2125</v>
      </c>
    </row>
    <row r="223" spans="1:12">
      <c r="A223" s="232"/>
      <c r="B223" s="297"/>
      <c r="C223" s="240"/>
      <c r="D223" s="240"/>
      <c r="E223" s="296"/>
      <c r="F223" s="296"/>
      <c r="G223" s="296"/>
      <c r="H223" s="232"/>
      <c r="I223" s="271"/>
    </row>
    <row r="224" spans="1:12">
      <c r="A224" s="230"/>
      <c r="B224" s="240" t="s">
        <v>353</v>
      </c>
      <c r="C224" s="240"/>
      <c r="D224" s="240"/>
      <c r="E224" s="240"/>
      <c r="F224" s="240"/>
      <c r="G224" s="240"/>
      <c r="I224" s="233" t="s">
        <v>80</v>
      </c>
    </row>
    <row r="226" spans="1:7">
      <c r="A226" s="230" t="s">
        <v>352</v>
      </c>
      <c r="B226" s="229" t="s">
        <v>262</v>
      </c>
    </row>
    <row r="228" spans="1:7">
      <c r="G228" s="228" t="s">
        <v>141</v>
      </c>
    </row>
    <row r="229" spans="1:7">
      <c r="C229" s="235" t="s">
        <v>40</v>
      </c>
      <c r="D229" s="232"/>
      <c r="E229" s="235" t="s">
        <v>188</v>
      </c>
      <c r="F229" s="232"/>
      <c r="G229" s="235" t="s">
        <v>1</v>
      </c>
    </row>
    <row r="230" spans="1:7">
      <c r="B230" s="219" t="s">
        <v>351</v>
      </c>
    </row>
    <row r="231" spans="1:7">
      <c r="B231" s="219" t="s">
        <v>349</v>
      </c>
      <c r="C231" s="225">
        <v>1411570</v>
      </c>
      <c r="D231" s="230" t="s">
        <v>44</v>
      </c>
      <c r="E231" s="226">
        <f>E204</f>
        <v>0.15756999999999999</v>
      </c>
      <c r="G231" s="220">
        <f>ROUND(C231*E231,0)</f>
        <v>222421</v>
      </c>
    </row>
    <row r="232" spans="1:7">
      <c r="B232" s="219" t="s">
        <v>348</v>
      </c>
      <c r="C232" s="225">
        <v>2454995</v>
      </c>
      <c r="D232" s="230" t="s">
        <v>44</v>
      </c>
      <c r="E232" s="226">
        <f>E205</f>
        <v>5.491E-2</v>
      </c>
      <c r="G232" s="222">
        <f>ROUND((C232*E232),0)</f>
        <v>134804</v>
      </c>
    </row>
    <row r="233" spans="1:7">
      <c r="B233" s="219" t="s">
        <v>347</v>
      </c>
      <c r="C233" s="225">
        <v>912</v>
      </c>
      <c r="D233" s="230" t="s">
        <v>46</v>
      </c>
      <c r="E233" s="272">
        <f>+E220</f>
        <v>19.5</v>
      </c>
      <c r="G233" s="295">
        <f>ROUND((C233*E233),0)</f>
        <v>17784</v>
      </c>
    </row>
    <row r="235" spans="1:7">
      <c r="B235" s="219" t="s">
        <v>346</v>
      </c>
      <c r="G235" s="220">
        <f>SUM(G231:G233)</f>
        <v>375009</v>
      </c>
    </row>
    <row r="238" spans="1:7">
      <c r="B238" s="219" t="s">
        <v>350</v>
      </c>
    </row>
    <row r="239" spans="1:7">
      <c r="B239" s="219" t="s">
        <v>349</v>
      </c>
      <c r="C239" s="225">
        <v>425019</v>
      </c>
      <c r="D239" s="230" t="s">
        <v>44</v>
      </c>
      <c r="E239" s="226">
        <f>E204</f>
        <v>0.15756999999999999</v>
      </c>
      <c r="G239" s="220">
        <f>ROUND(C239*E239,0)</f>
        <v>66970</v>
      </c>
    </row>
    <row r="240" spans="1:7">
      <c r="B240" s="219" t="s">
        <v>348</v>
      </c>
      <c r="C240" s="225">
        <v>629992</v>
      </c>
      <c r="D240" s="230" t="s">
        <v>44</v>
      </c>
      <c r="E240" s="226">
        <f>E205</f>
        <v>5.491E-2</v>
      </c>
      <c r="G240" s="222">
        <f>ROUND((C240*E240),0)</f>
        <v>34593</v>
      </c>
    </row>
    <row r="241" spans="1:12">
      <c r="B241" s="219" t="s">
        <v>347</v>
      </c>
      <c r="C241" s="225">
        <v>552</v>
      </c>
      <c r="D241" s="230" t="s">
        <v>46</v>
      </c>
      <c r="E241" s="272">
        <f>+E222</f>
        <v>3.85</v>
      </c>
      <c r="G241" s="295">
        <f>ROUND((C241*E241),0)</f>
        <v>2125</v>
      </c>
    </row>
    <row r="243" spans="1:12">
      <c r="B243" s="219" t="s">
        <v>346</v>
      </c>
      <c r="G243" s="220">
        <f>SUM(G239:G241)</f>
        <v>103688</v>
      </c>
    </row>
    <row r="244" spans="1:12">
      <c r="G244" s="220"/>
    </row>
    <row r="245" spans="1:12">
      <c r="G245" s="220"/>
    </row>
    <row r="246" spans="1:12">
      <c r="A246" s="230" t="s">
        <v>98</v>
      </c>
      <c r="B246" s="236" t="s">
        <v>345</v>
      </c>
      <c r="C246" s="220"/>
      <c r="D246" s="230"/>
      <c r="E246" s="222"/>
      <c r="F246" s="230"/>
      <c r="G246" s="232"/>
    </row>
    <row r="247" spans="1:12">
      <c r="A247" s="232"/>
      <c r="B247" s="236"/>
      <c r="C247" s="220"/>
      <c r="D247" s="230"/>
      <c r="E247" s="222"/>
      <c r="F247" s="230"/>
      <c r="G247" s="232"/>
    </row>
    <row r="248" spans="1:12">
      <c r="A248" s="232"/>
      <c r="B248" s="232" t="s">
        <v>344</v>
      </c>
      <c r="C248" s="232" t="s">
        <v>343</v>
      </c>
      <c r="F248" s="232"/>
      <c r="G248" s="269">
        <f>K56</f>
        <v>19.5</v>
      </c>
    </row>
    <row r="249" spans="1:12">
      <c r="A249" s="230"/>
    </row>
    <row r="250" spans="1:12">
      <c r="A250" s="232"/>
      <c r="B250" s="266" t="s">
        <v>956</v>
      </c>
      <c r="E250" s="225">
        <f>I5+I6</f>
        <v>52991449</v>
      </c>
    </row>
    <row r="251" spans="1:12">
      <c r="A251" s="232"/>
      <c r="B251" s="266" t="s">
        <v>957</v>
      </c>
      <c r="E251" s="225">
        <f>E46+E47+C231+C232+C239+C240+C257</f>
        <v>503278554</v>
      </c>
    </row>
    <row r="252" spans="1:12">
      <c r="A252" s="232"/>
      <c r="B252" s="266" t="s">
        <v>342</v>
      </c>
      <c r="E252" s="226">
        <f>ROUND(E250/E251,5)</f>
        <v>0.10528999999999999</v>
      </c>
      <c r="I252" s="240"/>
      <c r="J252" s="240"/>
      <c r="K252" s="240"/>
      <c r="L252" s="240"/>
    </row>
    <row r="253" spans="1:12">
      <c r="A253" s="232"/>
      <c r="B253" s="266"/>
    </row>
    <row r="254" spans="1:12">
      <c r="A254" s="232"/>
      <c r="B254" s="266"/>
    </row>
    <row r="255" spans="1:12">
      <c r="A255" s="230"/>
      <c r="B255" s="236" t="s">
        <v>341</v>
      </c>
      <c r="C255" s="247" t="s">
        <v>40</v>
      </c>
      <c r="D255" s="232"/>
      <c r="E255" s="235" t="s">
        <v>188</v>
      </c>
      <c r="F255" s="232"/>
      <c r="G255" s="235" t="s">
        <v>1</v>
      </c>
    </row>
    <row r="256" spans="1:12">
      <c r="A256" s="232"/>
    </row>
    <row r="257" spans="1:7">
      <c r="A257" s="232"/>
      <c r="B257" s="230" t="s">
        <v>340</v>
      </c>
      <c r="C257" s="268">
        <v>1563141</v>
      </c>
      <c r="D257" s="230" t="s">
        <v>44</v>
      </c>
      <c r="E257" s="234">
        <f>E252-0.00529</f>
        <v>9.9999999999999992E-2</v>
      </c>
      <c r="F257" s="230" t="s">
        <v>474</v>
      </c>
      <c r="G257" s="220">
        <f>ROUND((C257*E257),0)</f>
        <v>156314</v>
      </c>
    </row>
    <row r="258" spans="1:7">
      <c r="A258" s="232"/>
      <c r="B258" s="230" t="s">
        <v>339</v>
      </c>
      <c r="C258" s="268">
        <v>924</v>
      </c>
      <c r="D258" s="230" t="s">
        <v>46</v>
      </c>
      <c r="E258" s="233">
        <f>G248</f>
        <v>19.5</v>
      </c>
      <c r="F258" s="230" t="s">
        <v>285</v>
      </c>
      <c r="G258" s="222">
        <f>ROUND((C258*E258),0)</f>
        <v>18018</v>
      </c>
    </row>
    <row r="259" spans="1:7">
      <c r="A259" s="232"/>
      <c r="B259" s="237"/>
      <c r="C259" s="245"/>
      <c r="D259" s="221"/>
      <c r="E259" s="221"/>
      <c r="F259" s="221"/>
      <c r="G259" s="237"/>
    </row>
    <row r="260" spans="1:7">
      <c r="A260" s="232"/>
      <c r="B260" s="230" t="s">
        <v>284</v>
      </c>
      <c r="C260" s="232"/>
      <c r="D260" s="232"/>
      <c r="E260" s="232"/>
      <c r="F260" s="232"/>
      <c r="G260" s="220">
        <f>G257+G258</f>
        <v>174332</v>
      </c>
    </row>
    <row r="261" spans="1:7">
      <c r="G261" s="220"/>
    </row>
    <row r="262" spans="1:7">
      <c r="B262" s="219" t="s">
        <v>962</v>
      </c>
    </row>
  </sheetData>
  <printOptions horizontalCentered="1"/>
  <pageMargins left="0.75" right="0.5" top="1" bottom="0.5" header="0.5" footer="0.5"/>
  <pageSetup scale="64" fitToHeight="0" orientation="portrait" r:id="rId1"/>
  <headerFooter alignWithMargins="0">
    <oddHeader xml:space="preserve">&amp;L&amp;"Arial,Regular"&amp;F
Page &amp;P of &amp;N&amp;C&amp;"Arial,Regular"KENTUCKY POWER COMPANY 
MGS Rate Design
Twelve Months Ended March 31, 2013
</oddHeader>
  </headerFooter>
  <rowBreaks count="3" manualBreakCount="3">
    <brk id="73" max="16383" man="1"/>
    <brk id="136" max="16383" man="1"/>
    <brk id="200" max="16383" man="1"/>
  </rowBreaks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T263"/>
  <sheetViews>
    <sheetView showOutlineSymbols="0" zoomScaleNormal="100" zoomScaleSheetLayoutView="75" workbookViewId="0">
      <selection activeCell="D201" sqref="A201:D201"/>
    </sheetView>
  </sheetViews>
  <sheetFormatPr defaultColWidth="9.75" defaultRowHeight="15"/>
  <cols>
    <col min="1" max="1" width="4.75" style="392" customWidth="1"/>
    <col min="2" max="2" width="18.25" style="392" customWidth="1"/>
    <col min="3" max="3" width="17.75" style="392" customWidth="1"/>
    <col min="4" max="4" width="16.25" style="392" customWidth="1"/>
    <col min="5" max="5" width="6.75" style="392" customWidth="1"/>
    <col min="6" max="6" width="13" style="392" customWidth="1"/>
    <col min="7" max="7" width="7.375" style="392" customWidth="1"/>
    <col min="8" max="8" width="15.25" style="392" customWidth="1"/>
    <col min="9" max="9" width="5.75" style="392" customWidth="1"/>
    <col min="10" max="10" width="14.5" style="392" customWidth="1"/>
    <col min="11" max="11" width="3.375" style="392" bestFit="1" customWidth="1"/>
    <col min="12" max="16384" width="9.75" style="392"/>
  </cols>
  <sheetData>
    <row r="1" spans="1:10">
      <c r="A1" s="99" t="s">
        <v>150</v>
      </c>
      <c r="B1" s="99" t="s">
        <v>101</v>
      </c>
      <c r="C1" s="99"/>
      <c r="F1" s="416" t="s">
        <v>514</v>
      </c>
    </row>
    <row r="2" spans="1:10">
      <c r="F2" s="416" t="s">
        <v>3</v>
      </c>
      <c r="H2" s="416" t="s">
        <v>82</v>
      </c>
      <c r="I2" s="393"/>
      <c r="J2" s="416" t="s">
        <v>83</v>
      </c>
    </row>
    <row r="3" spans="1:10">
      <c r="E3" s="393"/>
      <c r="F3" s="109" t="s">
        <v>1</v>
      </c>
      <c r="H3" s="108" t="s">
        <v>1</v>
      </c>
      <c r="I3" s="393"/>
      <c r="J3" s="108" t="s">
        <v>1</v>
      </c>
    </row>
    <row r="4" spans="1:10">
      <c r="B4" s="99" t="s">
        <v>513</v>
      </c>
      <c r="C4" s="99"/>
    </row>
    <row r="5" spans="1:10">
      <c r="B5" s="99" t="s">
        <v>512</v>
      </c>
      <c r="C5" s="99"/>
      <c r="F5" s="446">
        <f>17880359+11666099+4548249</f>
        <v>34094707</v>
      </c>
      <c r="H5" s="393">
        <f>H9-H7-H6</f>
        <v>0</v>
      </c>
      <c r="J5" s="393">
        <f>F5-H5</f>
        <v>34094707</v>
      </c>
    </row>
    <row r="6" spans="1:10">
      <c r="B6" s="99" t="s">
        <v>340</v>
      </c>
      <c r="C6" s="99"/>
      <c r="F6" s="444">
        <v>20607036</v>
      </c>
      <c r="H6" s="396">
        <f>H9</f>
        <v>1144624</v>
      </c>
      <c r="J6" s="396">
        <f>F6-H6</f>
        <v>19462412</v>
      </c>
    </row>
    <row r="7" spans="1:10">
      <c r="B7" s="99" t="s">
        <v>339</v>
      </c>
      <c r="C7" s="99"/>
      <c r="F7" s="444">
        <v>308881</v>
      </c>
      <c r="H7" s="396">
        <v>0</v>
      </c>
      <c r="J7" s="396">
        <f>F7-H7</f>
        <v>308881</v>
      </c>
    </row>
    <row r="8" spans="1:10">
      <c r="E8" s="406"/>
      <c r="F8" s="406"/>
      <c r="G8" s="449"/>
      <c r="H8" s="445"/>
      <c r="I8" s="406"/>
      <c r="J8" s="406"/>
    </row>
    <row r="9" spans="1:10">
      <c r="B9" s="99" t="s">
        <v>9</v>
      </c>
      <c r="C9" s="99"/>
      <c r="F9" s="450">
        <f>SUM(F5:F7)</f>
        <v>55010624</v>
      </c>
      <c r="G9" s="394"/>
      <c r="H9" s="446">
        <f>1140624+4000</f>
        <v>1144624</v>
      </c>
      <c r="J9" s="393">
        <f>SUM(J5:J7)</f>
        <v>53866000</v>
      </c>
    </row>
    <row r="11" spans="1:10">
      <c r="B11" s="392" t="s">
        <v>511</v>
      </c>
      <c r="F11" s="447">
        <f>H259+H11</f>
        <v>189047</v>
      </c>
      <c r="H11" s="446">
        <v>4000</v>
      </c>
      <c r="J11" s="393">
        <f>F11-H11</f>
        <v>185047</v>
      </c>
    </row>
    <row r="12" spans="1:10" ht="15.75" customHeight="1"/>
    <row r="13" spans="1:10">
      <c r="B13" s="392" t="s">
        <v>510</v>
      </c>
    </row>
    <row r="14" spans="1:10">
      <c r="B14" s="392" t="str">
        <f>+B$5</f>
        <v xml:space="preserve">   Demand</v>
      </c>
      <c r="F14" s="393">
        <f>F18-F16-F15</f>
        <v>33977538</v>
      </c>
      <c r="H14" s="393">
        <f>H18-H16-H15</f>
        <v>0</v>
      </c>
      <c r="J14" s="393">
        <f>F14-H14</f>
        <v>33977538</v>
      </c>
    </row>
    <row r="15" spans="1:10">
      <c r="B15" s="392" t="str">
        <f>+B$6</f>
        <v xml:space="preserve">   Energy</v>
      </c>
      <c r="F15" s="396">
        <f>ROUND((F18/F9)*F6,0)</f>
        <v>20536219</v>
      </c>
      <c r="H15" s="396">
        <f>ROUND((H6/H9)*H18,0)</f>
        <v>1140624</v>
      </c>
      <c r="J15" s="396">
        <f>F15-H15</f>
        <v>19395595</v>
      </c>
    </row>
    <row r="16" spans="1:10">
      <c r="B16" s="392" t="str">
        <f>+B$7</f>
        <v xml:space="preserve">   Customer</v>
      </c>
      <c r="D16" s="405"/>
      <c r="F16" s="396">
        <f>ROUND((F18/F9)*F7,0)</f>
        <v>307820</v>
      </c>
      <c r="H16" s="396">
        <v>0</v>
      </c>
      <c r="J16" s="396">
        <f>F16-H16</f>
        <v>307820</v>
      </c>
    </row>
    <row r="17" spans="2:10">
      <c r="E17" s="406"/>
      <c r="F17" s="406"/>
      <c r="G17" s="406"/>
      <c r="H17" s="406"/>
      <c r="I17" s="406"/>
      <c r="J17" s="406"/>
    </row>
    <row r="18" spans="2:10">
      <c r="B18" s="392" t="str">
        <f>+B$9</f>
        <v>Total</v>
      </c>
      <c r="F18" s="450">
        <f>F9-F11</f>
        <v>54821577</v>
      </c>
      <c r="G18" s="394"/>
      <c r="H18" s="393">
        <f>H9-H11</f>
        <v>1140624</v>
      </c>
      <c r="J18" s="393">
        <f>SUM(J13:J16)</f>
        <v>53680953</v>
      </c>
    </row>
    <row r="21" spans="2:10">
      <c r="B21" s="99" t="s">
        <v>509</v>
      </c>
      <c r="C21" s="99"/>
    </row>
    <row r="22" spans="2:10">
      <c r="B22" s="392" t="str">
        <f>+B$5</f>
        <v xml:space="preserve">   Demand</v>
      </c>
      <c r="F22" s="446">
        <f>3967943+2410197</f>
        <v>6378140</v>
      </c>
      <c r="H22" s="393">
        <f>H26-H24-H23</f>
        <v>0</v>
      </c>
      <c r="J22" s="393">
        <f>F22-H22</f>
        <v>6378140</v>
      </c>
    </row>
    <row r="23" spans="2:10">
      <c r="B23" s="392" t="str">
        <f>+B$6</f>
        <v xml:space="preserve">   Energy</v>
      </c>
      <c r="F23" s="444">
        <v>4517488</v>
      </c>
      <c r="H23" s="396">
        <f>H26</f>
        <v>228985</v>
      </c>
      <c r="J23" s="396">
        <f>F23-H23</f>
        <v>4288503</v>
      </c>
    </row>
    <row r="24" spans="2:10">
      <c r="B24" s="392" t="str">
        <f>+B$7</f>
        <v xml:space="preserve">   Customer</v>
      </c>
      <c r="F24" s="444">
        <v>90242</v>
      </c>
      <c r="H24" s="396">
        <v>0</v>
      </c>
      <c r="J24" s="396">
        <f>F24-H24</f>
        <v>90242</v>
      </c>
    </row>
    <row r="25" spans="2:10">
      <c r="E25" s="406"/>
      <c r="F25" s="406"/>
      <c r="G25" s="406"/>
      <c r="H25" s="406"/>
      <c r="I25" s="406"/>
      <c r="J25" s="406"/>
    </row>
    <row r="26" spans="2:10">
      <c r="B26" s="392" t="str">
        <f>+B$9</f>
        <v>Total</v>
      </c>
      <c r="F26" s="450">
        <f>SUM(F22:F24)</f>
        <v>10985870</v>
      </c>
      <c r="G26" s="394"/>
      <c r="H26" s="446">
        <v>228985</v>
      </c>
      <c r="J26" s="393">
        <f>SUM(J21:J24)</f>
        <v>10756885</v>
      </c>
    </row>
    <row r="28" spans="2:10">
      <c r="B28" s="99" t="s">
        <v>377</v>
      </c>
      <c r="C28" s="99"/>
    </row>
    <row r="29" spans="2:10">
      <c r="B29" s="392" t="str">
        <f>+B$5</f>
        <v xml:space="preserve">   Demand</v>
      </c>
      <c r="E29" s="394"/>
      <c r="F29" s="446">
        <v>932601</v>
      </c>
      <c r="G29" s="394"/>
      <c r="H29" s="393">
        <f>H33-H31-H30</f>
        <v>0</v>
      </c>
      <c r="J29" s="393">
        <f>F29-H29</f>
        <v>932601</v>
      </c>
    </row>
    <row r="30" spans="2:10">
      <c r="B30" s="392" t="str">
        <f>+B$6</f>
        <v xml:space="preserve">   Energy</v>
      </c>
      <c r="E30" s="394"/>
      <c r="F30" s="444">
        <v>1096841</v>
      </c>
      <c r="G30" s="394"/>
      <c r="H30" s="396">
        <f>H33</f>
        <v>68837</v>
      </c>
      <c r="J30" s="396">
        <f>F30-H30</f>
        <v>1028004</v>
      </c>
    </row>
    <row r="31" spans="2:10">
      <c r="B31" s="392" t="str">
        <f>+B$7</f>
        <v xml:space="preserve">   Customer</v>
      </c>
      <c r="E31" s="394"/>
      <c r="F31" s="444">
        <v>158790</v>
      </c>
      <c r="G31" s="394"/>
      <c r="H31" s="396">
        <v>0</v>
      </c>
      <c r="J31" s="396">
        <f>F31-H31</f>
        <v>158790</v>
      </c>
    </row>
    <row r="32" spans="2:10">
      <c r="E32" s="449"/>
      <c r="F32" s="449"/>
      <c r="G32" s="449"/>
      <c r="H32" s="448"/>
      <c r="I32" s="406"/>
      <c r="J32" s="406"/>
    </row>
    <row r="33" spans="2:10">
      <c r="B33" s="392" t="str">
        <f>+B$9</f>
        <v>Total</v>
      </c>
      <c r="E33" s="394"/>
      <c r="F33" s="447">
        <f>SUM(F29:F31)</f>
        <v>2188232</v>
      </c>
      <c r="G33" s="394"/>
      <c r="H33" s="446">
        <v>68837</v>
      </c>
      <c r="J33" s="393">
        <f>SUM(J29:J31)</f>
        <v>2119395</v>
      </c>
    </row>
    <row r="35" spans="2:10">
      <c r="B35" s="99" t="s">
        <v>507</v>
      </c>
      <c r="C35" s="99"/>
    </row>
    <row r="36" spans="2:10">
      <c r="B36" s="392" t="str">
        <f>+B$5</f>
        <v xml:space="preserve">   Demand</v>
      </c>
      <c r="F36" s="446">
        <v>16478</v>
      </c>
      <c r="H36" s="393">
        <v>0</v>
      </c>
      <c r="J36" s="393">
        <f>F36-H36</f>
        <v>16478</v>
      </c>
    </row>
    <row r="37" spans="2:10">
      <c r="B37" s="392" t="str">
        <f>+B$6</f>
        <v xml:space="preserve">   Energy</v>
      </c>
      <c r="F37" s="444">
        <v>22831</v>
      </c>
      <c r="H37" s="396">
        <f>H40</f>
        <v>1373</v>
      </c>
      <c r="J37" s="396">
        <f>F37-H37</f>
        <v>21458</v>
      </c>
    </row>
    <row r="38" spans="2:10">
      <c r="B38" s="392" t="str">
        <f>+B$7</f>
        <v xml:space="preserve">   Customer</v>
      </c>
      <c r="F38" s="444">
        <v>10656</v>
      </c>
      <c r="H38" s="396">
        <v>0</v>
      </c>
      <c r="J38" s="396">
        <f>F38-H38</f>
        <v>10656</v>
      </c>
    </row>
    <row r="39" spans="2:10">
      <c r="E39" s="406"/>
      <c r="F39" s="406"/>
      <c r="G39" s="406"/>
      <c r="H39" s="406"/>
      <c r="I39" s="406"/>
      <c r="J39" s="406"/>
    </row>
    <row r="40" spans="2:10">
      <c r="B40" s="392" t="str">
        <f>+B$9</f>
        <v>Total</v>
      </c>
      <c r="F40" s="393">
        <f>SUM(F36:F38)</f>
        <v>49965</v>
      </c>
      <c r="H40" s="446">
        <v>1373</v>
      </c>
      <c r="J40" s="393">
        <f>SUM(J36:J38)</f>
        <v>48592</v>
      </c>
    </row>
    <row r="41" spans="2:10">
      <c r="F41" s="396"/>
      <c r="H41" s="396"/>
      <c r="J41" s="396"/>
    </row>
    <row r="42" spans="2:10">
      <c r="B42" s="99" t="s">
        <v>508</v>
      </c>
      <c r="C42" s="99"/>
      <c r="F42" s="393"/>
      <c r="H42" s="393"/>
      <c r="J42" s="393"/>
    </row>
    <row r="43" spans="2:10">
      <c r="B43" s="392" t="str">
        <f>+B$5</f>
        <v xml:space="preserve">   Demand</v>
      </c>
      <c r="C43" s="392" t="s">
        <v>80</v>
      </c>
      <c r="F43" s="393">
        <f>((F14+F22)+F29)+F36</f>
        <v>41304757</v>
      </c>
      <c r="H43" s="393">
        <f>((H14+H22)+H29)+H36</f>
        <v>0</v>
      </c>
      <c r="J43" s="393">
        <f>F43-H43</f>
        <v>41304757</v>
      </c>
    </row>
    <row r="44" spans="2:10">
      <c r="B44" s="392" t="str">
        <f>+B$6</f>
        <v xml:space="preserve">   Energy</v>
      </c>
      <c r="F44" s="396">
        <f>((F15+F23)+F30)+F37</f>
        <v>26173379</v>
      </c>
      <c r="H44" s="396">
        <f>((H15+H23)+H30)+H37</f>
        <v>1439819</v>
      </c>
      <c r="J44" s="396">
        <f>F44-H44</f>
        <v>24733560</v>
      </c>
    </row>
    <row r="45" spans="2:10">
      <c r="B45" s="392" t="str">
        <f>+B$7</f>
        <v xml:space="preserve">   Customer</v>
      </c>
      <c r="F45" s="396">
        <f>((F16+F24)+F31)+F38</f>
        <v>567508</v>
      </c>
      <c r="H45" s="396">
        <f>((H16+H24)+H31)+H38</f>
        <v>0</v>
      </c>
      <c r="J45" s="396">
        <f>F45-H45</f>
        <v>567508</v>
      </c>
    </row>
    <row r="46" spans="2:10">
      <c r="E46" s="406"/>
      <c r="F46" s="406"/>
      <c r="G46" s="406"/>
      <c r="H46" s="445"/>
      <c r="I46" s="406"/>
      <c r="J46" s="406"/>
    </row>
    <row r="47" spans="2:10">
      <c r="B47" s="392" t="str">
        <f>+B$9</f>
        <v>Total</v>
      </c>
      <c r="F47" s="393">
        <f>SUM(F43:F45)</f>
        <v>68045644</v>
      </c>
      <c r="H47" s="393">
        <f>SUM(H43:H45)</f>
        <v>1439819</v>
      </c>
      <c r="J47" s="393">
        <f>SUM(J43:J45)</f>
        <v>66605825</v>
      </c>
    </row>
    <row r="49" spans="1:10">
      <c r="F49" s="405"/>
    </row>
    <row r="51" spans="1:10">
      <c r="A51" s="99" t="s">
        <v>12</v>
      </c>
      <c r="B51" s="99" t="s">
        <v>418</v>
      </c>
      <c r="C51" s="99"/>
    </row>
    <row r="52" spans="1:10">
      <c r="D52" s="108" t="s">
        <v>380</v>
      </c>
      <c r="F52" s="108" t="s">
        <v>379</v>
      </c>
      <c r="H52" s="108" t="s">
        <v>377</v>
      </c>
      <c r="J52" s="108" t="s">
        <v>507</v>
      </c>
    </row>
    <row r="54" spans="1:10">
      <c r="B54" s="99" t="s">
        <v>506</v>
      </c>
      <c r="C54" s="99"/>
      <c r="D54" s="444">
        <v>1666281</v>
      </c>
      <c r="F54" s="444">
        <v>386863</v>
      </c>
      <c r="H54" s="444">
        <v>110848</v>
      </c>
      <c r="J54" s="444">
        <v>5277</v>
      </c>
    </row>
    <row r="55" spans="1:10">
      <c r="B55" s="99" t="s">
        <v>505</v>
      </c>
      <c r="C55" s="99"/>
      <c r="D55" s="444">
        <v>49112</v>
      </c>
      <c r="F55" s="444">
        <v>62872</v>
      </c>
      <c r="H55" s="444">
        <v>6203</v>
      </c>
      <c r="J55" s="444">
        <v>2541</v>
      </c>
    </row>
    <row r="56" spans="1:10">
      <c r="B56" s="99" t="s">
        <v>504</v>
      </c>
      <c r="C56" s="99"/>
      <c r="D56" s="444">
        <v>558760756</v>
      </c>
      <c r="F56" s="444">
        <v>112193710</v>
      </c>
      <c r="H56" s="444">
        <v>33745670</v>
      </c>
      <c r="J56" s="444">
        <v>671609</v>
      </c>
    </row>
    <row r="57" spans="1:10">
      <c r="B57" s="99" t="s">
        <v>46</v>
      </c>
      <c r="C57" s="99"/>
      <c r="D57" s="444">
        <v>8973</v>
      </c>
      <c r="F57" s="444">
        <v>936</v>
      </c>
      <c r="H57" s="444">
        <v>240</v>
      </c>
      <c r="J57" s="444">
        <v>12</v>
      </c>
    </row>
    <row r="61" spans="1:10" ht="15.75">
      <c r="A61" s="99" t="s">
        <v>18</v>
      </c>
      <c r="B61" s="99" t="s">
        <v>503</v>
      </c>
      <c r="C61" s="99"/>
      <c r="G61" s="370"/>
      <c r="H61" s="370"/>
      <c r="I61" s="370"/>
      <c r="J61" s="370"/>
    </row>
    <row r="62" spans="1:10">
      <c r="A62" s="99"/>
      <c r="B62" s="99"/>
      <c r="C62" s="99"/>
    </row>
    <row r="63" spans="1:10">
      <c r="D63" s="416" t="s">
        <v>8</v>
      </c>
      <c r="H63" s="416" t="s">
        <v>411</v>
      </c>
      <c r="J63" s="416" t="s">
        <v>141</v>
      </c>
    </row>
    <row r="64" spans="1:10">
      <c r="B64" s="99" t="s">
        <v>16</v>
      </c>
      <c r="C64" s="99"/>
      <c r="D64" s="108" t="s">
        <v>1</v>
      </c>
      <c r="F64" s="108" t="s">
        <v>46</v>
      </c>
      <c r="H64" s="108" t="s">
        <v>188</v>
      </c>
      <c r="J64" s="108" t="s">
        <v>188</v>
      </c>
    </row>
    <row r="66" spans="1:254">
      <c r="B66" s="99" t="s">
        <v>502</v>
      </c>
      <c r="C66" s="99"/>
      <c r="D66" s="393">
        <f>+F16</f>
        <v>307820</v>
      </c>
      <c r="F66" s="396">
        <f>+D57</f>
        <v>8973</v>
      </c>
      <c r="H66" s="442">
        <f>ROUND((D66/F66),2)</f>
        <v>34.31</v>
      </c>
      <c r="J66" s="443">
        <v>85</v>
      </c>
      <c r="K66" s="392" t="s">
        <v>195</v>
      </c>
    </row>
    <row r="67" spans="1:254">
      <c r="B67" s="99" t="s">
        <v>501</v>
      </c>
      <c r="C67" s="99"/>
      <c r="D67" s="396">
        <f>+J24</f>
        <v>90242</v>
      </c>
      <c r="F67" s="396">
        <f>+F57</f>
        <v>936</v>
      </c>
      <c r="H67" s="442">
        <f>ROUND((D67/F67),2)</f>
        <v>96.41</v>
      </c>
      <c r="J67" s="443">
        <v>127.5</v>
      </c>
      <c r="K67" s="392" t="s">
        <v>195</v>
      </c>
    </row>
    <row r="68" spans="1:254">
      <c r="B68" s="99" t="s">
        <v>500</v>
      </c>
      <c r="C68" s="99"/>
      <c r="D68" s="396">
        <f>+J31</f>
        <v>158790</v>
      </c>
      <c r="F68" s="396">
        <f>+H57</f>
        <v>240</v>
      </c>
      <c r="H68" s="442">
        <f>ROUND((D68/F68),2)</f>
        <v>661.63</v>
      </c>
      <c r="J68" s="441">
        <f>ROUND(H68*20,0)/20</f>
        <v>661.65</v>
      </c>
      <c r="K68" s="392" t="s">
        <v>354</v>
      </c>
    </row>
    <row r="69" spans="1:254">
      <c r="B69" s="99" t="s">
        <v>499</v>
      </c>
      <c r="C69" s="99"/>
      <c r="D69" s="396">
        <f>J38</f>
        <v>10656</v>
      </c>
      <c r="F69" s="396">
        <f>+J57</f>
        <v>12</v>
      </c>
      <c r="H69" s="442">
        <f>ROUND((D69/F69),2)</f>
        <v>888</v>
      </c>
      <c r="J69" s="441">
        <f>J68</f>
        <v>661.65</v>
      </c>
      <c r="K69" s="392" t="s">
        <v>498</v>
      </c>
    </row>
    <row r="70" spans="1:254">
      <c r="D70" s="406"/>
      <c r="F70" s="406"/>
      <c r="I70" s="392" t="s">
        <v>497</v>
      </c>
    </row>
    <row r="71" spans="1:254">
      <c r="B71" s="99" t="s">
        <v>54</v>
      </c>
      <c r="C71" s="99"/>
      <c r="D71" s="393">
        <f>SUM(D66:D69)</f>
        <v>567508</v>
      </c>
      <c r="F71" s="396">
        <f>SUM(F66:F69)</f>
        <v>10161</v>
      </c>
      <c r="I71" s="392" t="s">
        <v>496</v>
      </c>
    </row>
    <row r="72" spans="1:254">
      <c r="A72" s="413"/>
      <c r="B72" s="99"/>
      <c r="C72" s="99"/>
      <c r="D72" s="393"/>
      <c r="E72" s="413"/>
      <c r="F72" s="396"/>
      <c r="G72" s="413"/>
      <c r="I72" s="392" t="s">
        <v>495</v>
      </c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  <c r="AD72" s="413"/>
      <c r="AE72" s="413"/>
      <c r="AF72" s="413"/>
      <c r="AG72" s="413"/>
      <c r="AH72" s="413"/>
      <c r="AI72" s="413"/>
      <c r="AJ72" s="413"/>
      <c r="AK72" s="413"/>
      <c r="AL72" s="413"/>
      <c r="AM72" s="413"/>
      <c r="AN72" s="413"/>
      <c r="AO72" s="413"/>
      <c r="AP72" s="413"/>
      <c r="AQ72" s="413"/>
      <c r="AR72" s="413"/>
      <c r="AS72" s="413"/>
      <c r="AT72" s="413"/>
      <c r="AU72" s="413"/>
      <c r="AV72" s="413"/>
      <c r="AW72" s="413"/>
      <c r="AX72" s="413"/>
      <c r="AY72" s="413"/>
      <c r="AZ72" s="413"/>
      <c r="BA72" s="413"/>
      <c r="BB72" s="413"/>
      <c r="BC72" s="413"/>
      <c r="BD72" s="413"/>
      <c r="BE72" s="413"/>
      <c r="BF72" s="413"/>
      <c r="BG72" s="413"/>
      <c r="BH72" s="413"/>
      <c r="BI72" s="413"/>
      <c r="BJ72" s="413"/>
      <c r="BK72" s="413"/>
      <c r="BL72" s="413"/>
      <c r="BM72" s="413"/>
      <c r="BN72" s="413"/>
      <c r="BO72" s="413"/>
      <c r="BP72" s="413"/>
      <c r="BQ72" s="413"/>
      <c r="BR72" s="413"/>
      <c r="BS72" s="413"/>
      <c r="BT72" s="413"/>
      <c r="BU72" s="413"/>
      <c r="BV72" s="413"/>
      <c r="BW72" s="413"/>
      <c r="BX72" s="413"/>
      <c r="BY72" s="413"/>
      <c r="BZ72" s="413"/>
      <c r="CA72" s="413"/>
      <c r="CB72" s="413"/>
      <c r="CC72" s="413"/>
      <c r="CD72" s="413"/>
      <c r="CE72" s="413"/>
      <c r="CF72" s="413"/>
      <c r="CG72" s="413"/>
      <c r="CH72" s="413"/>
      <c r="CI72" s="413"/>
      <c r="CJ72" s="413"/>
      <c r="CK72" s="413"/>
      <c r="CL72" s="413"/>
      <c r="CM72" s="413"/>
      <c r="CN72" s="413"/>
      <c r="CO72" s="413"/>
      <c r="CP72" s="413"/>
      <c r="CQ72" s="413"/>
      <c r="CR72" s="413"/>
      <c r="CS72" s="413"/>
      <c r="CT72" s="413"/>
      <c r="CU72" s="413"/>
      <c r="CV72" s="413"/>
      <c r="CW72" s="413"/>
      <c r="CX72" s="413"/>
      <c r="CY72" s="413"/>
      <c r="CZ72" s="413"/>
      <c r="DA72" s="413"/>
      <c r="DB72" s="413"/>
      <c r="DC72" s="413"/>
      <c r="DD72" s="413"/>
      <c r="DE72" s="413"/>
      <c r="DF72" s="413"/>
      <c r="DG72" s="413"/>
      <c r="DH72" s="413"/>
      <c r="DI72" s="413"/>
      <c r="DJ72" s="413"/>
      <c r="DK72" s="413"/>
      <c r="DL72" s="413"/>
      <c r="DM72" s="413"/>
      <c r="DN72" s="413"/>
      <c r="DO72" s="413"/>
      <c r="DP72" s="413"/>
      <c r="DQ72" s="413"/>
      <c r="DR72" s="413"/>
      <c r="DS72" s="413"/>
      <c r="DT72" s="413"/>
      <c r="DU72" s="413"/>
      <c r="DV72" s="413"/>
      <c r="DW72" s="413"/>
      <c r="DX72" s="413"/>
      <c r="DY72" s="413"/>
      <c r="DZ72" s="413"/>
      <c r="EA72" s="413"/>
      <c r="EB72" s="413"/>
      <c r="EC72" s="413"/>
      <c r="ED72" s="413"/>
      <c r="EE72" s="413"/>
      <c r="EF72" s="413"/>
      <c r="EG72" s="413"/>
      <c r="EH72" s="413"/>
      <c r="EI72" s="413"/>
      <c r="EJ72" s="413"/>
      <c r="EK72" s="413"/>
      <c r="EL72" s="413"/>
      <c r="EM72" s="413"/>
      <c r="EN72" s="413"/>
      <c r="EO72" s="413"/>
      <c r="EP72" s="413"/>
      <c r="EQ72" s="413"/>
      <c r="ER72" s="413"/>
      <c r="ES72" s="413"/>
      <c r="ET72" s="413"/>
      <c r="EU72" s="413"/>
      <c r="EV72" s="413"/>
      <c r="EW72" s="413"/>
      <c r="EX72" s="413"/>
      <c r="EY72" s="413"/>
      <c r="EZ72" s="413"/>
      <c r="FA72" s="413"/>
      <c r="FB72" s="413"/>
      <c r="FC72" s="413"/>
      <c r="FD72" s="413"/>
      <c r="FE72" s="413"/>
      <c r="FF72" s="413"/>
      <c r="FG72" s="413"/>
      <c r="FH72" s="413"/>
      <c r="FI72" s="413"/>
      <c r="FJ72" s="413"/>
      <c r="FK72" s="413"/>
      <c r="FL72" s="413"/>
      <c r="FM72" s="413"/>
      <c r="FN72" s="413"/>
      <c r="FO72" s="413"/>
      <c r="FP72" s="413"/>
      <c r="FQ72" s="413"/>
      <c r="FR72" s="413"/>
      <c r="FS72" s="413"/>
      <c r="FT72" s="413"/>
      <c r="FU72" s="413"/>
      <c r="FV72" s="413"/>
      <c r="FW72" s="413"/>
      <c r="FX72" s="413"/>
      <c r="FY72" s="413"/>
      <c r="FZ72" s="413"/>
      <c r="GA72" s="413"/>
      <c r="GB72" s="413"/>
      <c r="GC72" s="413"/>
      <c r="GD72" s="413"/>
      <c r="GE72" s="413"/>
      <c r="GF72" s="413"/>
      <c r="GG72" s="413"/>
      <c r="GH72" s="413"/>
      <c r="GI72" s="413"/>
      <c r="GJ72" s="413"/>
      <c r="GK72" s="413"/>
      <c r="GL72" s="413"/>
      <c r="GM72" s="413"/>
      <c r="GN72" s="413"/>
      <c r="GO72" s="413"/>
      <c r="GP72" s="413"/>
      <c r="GQ72" s="413"/>
      <c r="GR72" s="413"/>
      <c r="GS72" s="413"/>
      <c r="GT72" s="413"/>
      <c r="GU72" s="413"/>
      <c r="GV72" s="413"/>
      <c r="GW72" s="413"/>
      <c r="GX72" s="413"/>
      <c r="GY72" s="413"/>
      <c r="GZ72" s="413"/>
      <c r="HA72" s="413"/>
      <c r="HB72" s="413"/>
      <c r="HC72" s="413"/>
      <c r="HD72" s="413"/>
      <c r="HE72" s="413"/>
      <c r="HF72" s="413"/>
      <c r="HG72" s="413"/>
      <c r="HH72" s="413"/>
      <c r="HI72" s="413"/>
      <c r="HJ72" s="413"/>
      <c r="HK72" s="413"/>
      <c r="HL72" s="413"/>
      <c r="HM72" s="413"/>
      <c r="HN72" s="413"/>
      <c r="HO72" s="413"/>
      <c r="HP72" s="413"/>
      <c r="HQ72" s="413"/>
      <c r="HR72" s="413"/>
      <c r="HS72" s="413"/>
      <c r="HT72" s="413"/>
      <c r="HU72" s="413"/>
      <c r="HV72" s="413"/>
      <c r="HW72" s="413"/>
      <c r="HX72" s="413"/>
      <c r="HY72" s="413"/>
      <c r="HZ72" s="413"/>
      <c r="IA72" s="413"/>
      <c r="IB72" s="413"/>
      <c r="IC72" s="413"/>
      <c r="ID72" s="413"/>
      <c r="IE72" s="413"/>
      <c r="IF72" s="413"/>
      <c r="IG72" s="413"/>
      <c r="IH72" s="413"/>
      <c r="II72" s="413"/>
      <c r="IJ72" s="413"/>
      <c r="IK72" s="413"/>
      <c r="IL72" s="413"/>
      <c r="IM72" s="413"/>
      <c r="IN72" s="413"/>
      <c r="IO72" s="413"/>
      <c r="IP72" s="413"/>
      <c r="IQ72" s="413"/>
      <c r="IR72" s="413"/>
      <c r="IS72" s="413"/>
      <c r="IT72" s="413"/>
    </row>
    <row r="73" spans="1:254">
      <c r="D73" s="416" t="s">
        <v>141</v>
      </c>
      <c r="H73" s="416" t="s">
        <v>8</v>
      </c>
      <c r="J73" s="416"/>
    </row>
    <row r="74" spans="1:254">
      <c r="B74" s="99" t="s">
        <v>451</v>
      </c>
      <c r="C74" s="99"/>
      <c r="D74" s="108" t="s">
        <v>188</v>
      </c>
      <c r="F74" s="108" t="s">
        <v>46</v>
      </c>
      <c r="H74" s="108" t="s">
        <v>1</v>
      </c>
      <c r="J74" s="108"/>
    </row>
    <row r="76" spans="1:254">
      <c r="B76" s="392" t="str">
        <f>+B$66</f>
        <v xml:space="preserve">  Secondary</v>
      </c>
      <c r="D76" s="53">
        <f>J66</f>
        <v>85</v>
      </c>
      <c r="F76" s="396">
        <f>+F66</f>
        <v>8973</v>
      </c>
      <c r="G76" s="396"/>
      <c r="H76" s="393">
        <f>ROUND((D76*F76),0)</f>
        <v>762705</v>
      </c>
      <c r="J76" s="393"/>
    </row>
    <row r="77" spans="1:254">
      <c r="B77" s="392" t="str">
        <f>+B$67</f>
        <v xml:space="preserve">  Primary</v>
      </c>
      <c r="D77" s="53">
        <f>J67</f>
        <v>127.5</v>
      </c>
      <c r="F77" s="396">
        <f>+F67</f>
        <v>936</v>
      </c>
      <c r="H77" s="396">
        <f>ROUND((D77*F77),0)</f>
        <v>119340</v>
      </c>
    </row>
    <row r="78" spans="1:254">
      <c r="B78" s="392" t="str">
        <f>+B$68</f>
        <v xml:space="preserve">  Subtransmission</v>
      </c>
      <c r="D78" s="53">
        <f>J68</f>
        <v>661.65</v>
      </c>
      <c r="F78" s="396">
        <f>+F68</f>
        <v>240</v>
      </c>
      <c r="H78" s="396">
        <f>ROUND((D78*F78),0)</f>
        <v>158796</v>
      </c>
    </row>
    <row r="79" spans="1:254">
      <c r="B79" s="392" t="str">
        <f>+B$69</f>
        <v xml:space="preserve">  Transmission</v>
      </c>
      <c r="D79" s="53">
        <f>J69</f>
        <v>661.65</v>
      </c>
      <c r="F79" s="396">
        <f>+F69</f>
        <v>12</v>
      </c>
      <c r="H79" s="396">
        <f>ROUND((D79*F79),0)</f>
        <v>7940</v>
      </c>
    </row>
    <row r="80" spans="1:254">
      <c r="F80" s="406"/>
      <c r="H80" s="406"/>
    </row>
    <row r="81" spans="1:10">
      <c r="B81" s="392" t="str">
        <f>+B$71</f>
        <v xml:space="preserve">  Total</v>
      </c>
      <c r="F81" s="396">
        <f>SUM(F76:F79)</f>
        <v>10161</v>
      </c>
      <c r="H81" s="393">
        <f>SUM(H76:H79)</f>
        <v>1048781</v>
      </c>
      <c r="J81" s="393"/>
    </row>
    <row r="82" spans="1:10">
      <c r="B82" s="99"/>
      <c r="C82" s="99"/>
    </row>
    <row r="83" spans="1:10">
      <c r="B83" s="99"/>
      <c r="C83" s="99"/>
    </row>
    <row r="84" spans="1:10">
      <c r="A84" s="99" t="s">
        <v>29</v>
      </c>
      <c r="B84" s="99" t="s">
        <v>494</v>
      </c>
      <c r="C84" s="99"/>
    </row>
    <row r="85" spans="1:10">
      <c r="A85" s="99"/>
      <c r="B85" s="99"/>
      <c r="C85" s="99"/>
    </row>
    <row r="86" spans="1:10">
      <c r="A86" s="99"/>
      <c r="B86" s="99"/>
      <c r="C86" s="99"/>
    </row>
    <row r="87" spans="1:10">
      <c r="C87" s="440"/>
      <c r="D87" s="422" t="s">
        <v>493</v>
      </c>
      <c r="F87" s="416" t="s">
        <v>492</v>
      </c>
    </row>
    <row r="88" spans="1:10">
      <c r="B88" s="99" t="s">
        <v>491</v>
      </c>
      <c r="C88" s="99"/>
      <c r="D88" s="108" t="s">
        <v>188</v>
      </c>
      <c r="F88" s="108" t="s">
        <v>471</v>
      </c>
      <c r="H88" s="108" t="s">
        <v>1</v>
      </c>
    </row>
    <row r="90" spans="1:10">
      <c r="B90" s="392" t="str">
        <f>+B$66</f>
        <v xml:space="preserve">  Secondary</v>
      </c>
      <c r="D90" s="439">
        <v>3.46</v>
      </c>
      <c r="F90" s="396">
        <f>+D168</f>
        <v>49112</v>
      </c>
      <c r="H90" s="393">
        <f>ROUND((D90*F90),0)</f>
        <v>169928</v>
      </c>
    </row>
    <row r="91" spans="1:10">
      <c r="B91" s="392" t="str">
        <f>+B$67</f>
        <v xml:space="preserve">  Primary</v>
      </c>
      <c r="D91" s="438">
        <f>+D90</f>
        <v>3.46</v>
      </c>
      <c r="F91" s="396">
        <f>+D176</f>
        <v>62872</v>
      </c>
      <c r="G91" s="396"/>
      <c r="H91" s="396">
        <f>ROUND((D91*F91),0)</f>
        <v>217537</v>
      </c>
    </row>
    <row r="92" spans="1:10">
      <c r="B92" s="392" t="str">
        <f>+B$68</f>
        <v xml:space="preserve">  Subtransmission</v>
      </c>
      <c r="D92" s="438">
        <f>+D90</f>
        <v>3.46</v>
      </c>
      <c r="F92" s="396">
        <f>+D184</f>
        <v>6203</v>
      </c>
      <c r="H92" s="396">
        <f>ROUND((D92*F92),0)</f>
        <v>21462</v>
      </c>
    </row>
    <row r="93" spans="1:10">
      <c r="B93" s="392" t="str">
        <f>+B$69</f>
        <v xml:space="preserve">  Transmission</v>
      </c>
      <c r="D93" s="438">
        <f>+D90</f>
        <v>3.46</v>
      </c>
      <c r="F93" s="396">
        <f>+D192</f>
        <v>2541</v>
      </c>
      <c r="H93" s="396">
        <f>ROUND((D93*F93),0)</f>
        <v>8792</v>
      </c>
    </row>
    <row r="94" spans="1:10">
      <c r="F94" s="406"/>
      <c r="H94" s="406"/>
    </row>
    <row r="95" spans="1:10">
      <c r="B95" s="392" t="str">
        <f>+B$71</f>
        <v xml:space="preserve">  Total</v>
      </c>
      <c r="F95" s="396">
        <f>SUM(F90:F93)</f>
        <v>120728</v>
      </c>
      <c r="H95" s="393">
        <f>SUM(H90:H93)</f>
        <v>417719</v>
      </c>
    </row>
    <row r="98" spans="1:10">
      <c r="A98" s="99" t="s">
        <v>91</v>
      </c>
      <c r="B98" s="99" t="s">
        <v>406</v>
      </c>
      <c r="C98" s="99"/>
    </row>
    <row r="99" spans="1:10">
      <c r="A99" s="394"/>
      <c r="B99" s="435"/>
      <c r="C99" s="434"/>
      <c r="D99" s="433"/>
      <c r="J99" s="399"/>
    </row>
    <row r="100" spans="1:10">
      <c r="A100" s="394"/>
      <c r="B100" s="435" t="s">
        <v>490</v>
      </c>
      <c r="C100" s="434"/>
      <c r="D100" s="437">
        <v>4.0199999999999996</v>
      </c>
      <c r="E100" s="422" t="s">
        <v>103</v>
      </c>
      <c r="F100" s="392" t="s">
        <v>489</v>
      </c>
      <c r="H100" s="436">
        <v>0.25</v>
      </c>
      <c r="I100" s="422" t="s">
        <v>15</v>
      </c>
      <c r="J100" s="433">
        <f>ROUND(D100*(1+H100),2)</f>
        <v>5.03</v>
      </c>
    </row>
    <row r="101" spans="1:10">
      <c r="A101" s="394"/>
      <c r="B101" s="435"/>
      <c r="C101" s="434"/>
      <c r="D101" s="433"/>
      <c r="I101" s="422"/>
      <c r="J101" s="399"/>
    </row>
    <row r="102" spans="1:10">
      <c r="B102" s="408"/>
      <c r="C102" s="408"/>
      <c r="D102" s="432"/>
      <c r="H102" s="422" t="s">
        <v>141</v>
      </c>
    </row>
    <row r="103" spans="1:10">
      <c r="D103" s="416" t="s">
        <v>380</v>
      </c>
      <c r="F103" s="416" t="s">
        <v>401</v>
      </c>
      <c r="H103" s="416" t="s">
        <v>6</v>
      </c>
      <c r="J103" s="416"/>
    </row>
    <row r="104" spans="1:10">
      <c r="B104" s="99" t="s">
        <v>488</v>
      </c>
      <c r="C104" s="99"/>
      <c r="D104" s="108" t="s">
        <v>188</v>
      </c>
      <c r="F104" s="108" t="s">
        <v>400</v>
      </c>
      <c r="H104" s="108" t="s">
        <v>188</v>
      </c>
      <c r="J104" s="108"/>
    </row>
    <row r="106" spans="1:10">
      <c r="B106" s="392" t="str">
        <f>+B$66</f>
        <v xml:space="preserve">  Secondary</v>
      </c>
      <c r="D106" s="53">
        <f>J$100</f>
        <v>5.03</v>
      </c>
      <c r="F106" s="427">
        <v>1</v>
      </c>
      <c r="G106" s="410"/>
      <c r="H106" s="53">
        <f>ROUND((D106*F106),2)</f>
        <v>5.03</v>
      </c>
      <c r="I106" s="410"/>
      <c r="J106" s="431"/>
    </row>
    <row r="107" spans="1:10">
      <c r="B107" s="392" t="str">
        <f>+B$67</f>
        <v xml:space="preserve">  Primary</v>
      </c>
      <c r="D107" s="53">
        <f>J$100</f>
        <v>5.03</v>
      </c>
      <c r="F107" s="427">
        <v>0.97121999999999997</v>
      </c>
      <c r="G107" s="410"/>
      <c r="H107" s="53">
        <f>ROUND((D107*F107),2)</f>
        <v>4.8899999999999997</v>
      </c>
      <c r="I107" s="410"/>
      <c r="J107" s="430"/>
    </row>
    <row r="108" spans="1:10">
      <c r="B108" s="392" t="str">
        <f>+B$68</f>
        <v xml:space="preserve">  Subtransmission</v>
      </c>
      <c r="D108" s="53">
        <f>J$100</f>
        <v>5.03</v>
      </c>
      <c r="F108" s="427">
        <v>0.95842000000000005</v>
      </c>
      <c r="G108" s="410"/>
      <c r="H108" s="53">
        <f>ROUND((D108*F108),2)</f>
        <v>4.82</v>
      </c>
      <c r="I108" s="410"/>
      <c r="J108" s="430"/>
    </row>
    <row r="109" spans="1:10">
      <c r="B109" s="392" t="str">
        <f>+B$69</f>
        <v xml:space="preserve">  Transmission</v>
      </c>
      <c r="D109" s="53">
        <f>J$100</f>
        <v>5.03</v>
      </c>
      <c r="F109" s="427">
        <v>0.94415000000000004</v>
      </c>
      <c r="G109" s="410"/>
      <c r="H109" s="53">
        <f>ROUND((D109*F109),2)</f>
        <v>4.75</v>
      </c>
      <c r="I109" s="410"/>
      <c r="J109" s="430"/>
    </row>
    <row r="110" spans="1:10">
      <c r="D110" s="53"/>
      <c r="F110" s="417"/>
      <c r="G110" s="410"/>
      <c r="H110" s="53"/>
      <c r="I110" s="410"/>
      <c r="J110" s="429"/>
    </row>
    <row r="111" spans="1:10">
      <c r="D111" s="416" t="s">
        <v>244</v>
      </c>
      <c r="F111" s="416" t="s">
        <v>141</v>
      </c>
      <c r="H111" s="416" t="s">
        <v>6</v>
      </c>
    </row>
    <row r="112" spans="1:10">
      <c r="B112" s="99" t="s">
        <v>487</v>
      </c>
      <c r="C112" s="99"/>
      <c r="D112" s="108" t="s">
        <v>6</v>
      </c>
      <c r="F112" s="108" t="s">
        <v>188</v>
      </c>
      <c r="H112" s="108" t="s">
        <v>1</v>
      </c>
    </row>
    <row r="114" spans="1:8">
      <c r="B114" s="392" t="str">
        <f>+B$66</f>
        <v xml:space="preserve">  Secondary</v>
      </c>
      <c r="D114" s="396">
        <f>+D54</f>
        <v>1666281</v>
      </c>
      <c r="F114" s="53">
        <f>+H106</f>
        <v>5.03</v>
      </c>
      <c r="H114" s="393">
        <f>ROUND((D114*F114),0)</f>
        <v>8381393</v>
      </c>
    </row>
    <row r="115" spans="1:8">
      <c r="B115" s="392" t="str">
        <f>+B$67</f>
        <v xml:space="preserve">  Primary</v>
      </c>
      <c r="D115" s="396">
        <f>+F54</f>
        <v>386863</v>
      </c>
      <c r="F115" s="53">
        <f>+H107</f>
        <v>4.8899999999999997</v>
      </c>
      <c r="H115" s="396">
        <f>ROUND((D115*F115),0)</f>
        <v>1891760</v>
      </c>
    </row>
    <row r="116" spans="1:8">
      <c r="B116" s="392" t="str">
        <f>+B$68</f>
        <v xml:space="preserve">  Subtransmission</v>
      </c>
      <c r="D116" s="396">
        <f>+H54</f>
        <v>110848</v>
      </c>
      <c r="F116" s="53">
        <f>+H108</f>
        <v>4.82</v>
      </c>
      <c r="H116" s="396">
        <f>ROUND((D116*F116),0)</f>
        <v>534287</v>
      </c>
    </row>
    <row r="117" spans="1:8">
      <c r="B117" s="392" t="str">
        <f>+B$69</f>
        <v xml:space="preserve">  Transmission</v>
      </c>
      <c r="D117" s="396">
        <f>+J54</f>
        <v>5277</v>
      </c>
      <c r="F117" s="53">
        <f>+H109</f>
        <v>4.75</v>
      </c>
      <c r="H117" s="392">
        <f>ROUND((D117*F117),0)</f>
        <v>25066</v>
      </c>
    </row>
    <row r="118" spans="1:8">
      <c r="D118" s="428"/>
      <c r="F118" s="53"/>
      <c r="H118" s="428"/>
    </row>
    <row r="119" spans="1:8">
      <c r="B119" s="392" t="str">
        <f>+B$71</f>
        <v xml:space="preserve">  Total</v>
      </c>
      <c r="D119" s="396">
        <f>SUM(D114:D117)</f>
        <v>2169269</v>
      </c>
      <c r="H119" s="393">
        <f>SUM(H114:H117)</f>
        <v>10832506</v>
      </c>
    </row>
    <row r="121" spans="1:8">
      <c r="A121" s="99" t="s">
        <v>92</v>
      </c>
      <c r="B121" s="99" t="s">
        <v>391</v>
      </c>
      <c r="C121" s="99"/>
    </row>
    <row r="122" spans="1:8">
      <c r="D122" s="416" t="s">
        <v>244</v>
      </c>
      <c r="F122" s="416" t="s">
        <v>401</v>
      </c>
      <c r="H122" s="416" t="s">
        <v>486</v>
      </c>
    </row>
    <row r="123" spans="1:8">
      <c r="B123" s="99" t="s">
        <v>429</v>
      </c>
      <c r="C123" s="99"/>
      <c r="D123" s="108" t="s">
        <v>7</v>
      </c>
      <c r="F123" s="108" t="s">
        <v>400</v>
      </c>
      <c r="H123" s="108" t="s">
        <v>7</v>
      </c>
    </row>
    <row r="125" spans="1:8">
      <c r="B125" s="392" t="str">
        <f>+B$66</f>
        <v xml:space="preserve">  Secondary</v>
      </c>
      <c r="D125" s="396">
        <f>+D56</f>
        <v>558760756</v>
      </c>
      <c r="F125" s="427">
        <v>1</v>
      </c>
      <c r="H125" s="396">
        <f>ROUND((D125*F125),0)</f>
        <v>558760756</v>
      </c>
    </row>
    <row r="126" spans="1:8">
      <c r="B126" s="392" t="str">
        <f>+B$67</f>
        <v xml:space="preserve">  Primary</v>
      </c>
      <c r="D126" s="396">
        <f>+F56</f>
        <v>112193710</v>
      </c>
      <c r="F126" s="427">
        <v>0.96526000000000001</v>
      </c>
      <c r="H126" s="396">
        <f>ROUND((D126*F126),0)</f>
        <v>108296101</v>
      </c>
    </row>
    <row r="127" spans="1:8">
      <c r="B127" s="392" t="str">
        <f>+B$68</f>
        <v xml:space="preserve">  Subtransmission</v>
      </c>
      <c r="D127" s="396">
        <f>+H56</f>
        <v>33745670</v>
      </c>
      <c r="F127" s="427">
        <v>0.95477000000000001</v>
      </c>
      <c r="H127" s="396">
        <f>ROUND((D127*F127),0)</f>
        <v>32219353</v>
      </c>
    </row>
    <row r="128" spans="1:8">
      <c r="B128" s="392" t="str">
        <f>+B$69</f>
        <v xml:space="preserve">  Transmission</v>
      </c>
      <c r="D128" s="396">
        <f>+J56</f>
        <v>671609</v>
      </c>
      <c r="F128" s="427">
        <v>0.94350000000000001</v>
      </c>
      <c r="H128" s="396">
        <f>ROUND((D128*F128),0)</f>
        <v>633663</v>
      </c>
    </row>
    <row r="129" spans="2:8">
      <c r="D129" s="406"/>
      <c r="H129" s="406"/>
    </row>
    <row r="130" spans="2:8">
      <c r="B130" s="392" t="str">
        <f>+B$71</f>
        <v xml:space="preserve">  Total</v>
      </c>
      <c r="D130" s="396">
        <f>SUM(D125:D128)</f>
        <v>705371745</v>
      </c>
      <c r="H130" s="396">
        <f>SUM(H125:H128)</f>
        <v>699909873</v>
      </c>
    </row>
    <row r="131" spans="2:8">
      <c r="D131" s="396"/>
      <c r="H131" s="396"/>
    </row>
    <row r="132" spans="2:8">
      <c r="D132" s="396"/>
      <c r="H132" s="396"/>
    </row>
    <row r="133" spans="2:8">
      <c r="D133" s="416" t="s">
        <v>244</v>
      </c>
      <c r="F133" s="416" t="s">
        <v>485</v>
      </c>
      <c r="H133" s="416" t="s">
        <v>475</v>
      </c>
    </row>
    <row r="134" spans="2:8">
      <c r="B134" s="99" t="s">
        <v>484</v>
      </c>
      <c r="C134" s="99"/>
      <c r="D134" s="108" t="s">
        <v>7</v>
      </c>
      <c r="F134" s="108" t="s">
        <v>475</v>
      </c>
      <c r="H134" s="108" t="s">
        <v>1</v>
      </c>
    </row>
    <row r="135" spans="2:8">
      <c r="F135" s="426"/>
      <c r="G135" s="426"/>
      <c r="H135" s="426"/>
    </row>
    <row r="136" spans="2:8">
      <c r="B136" s="392" t="str">
        <f>+B$66</f>
        <v xml:space="preserve">  Secondary</v>
      </c>
      <c r="D136" s="396">
        <f>D125</f>
        <v>558760756</v>
      </c>
      <c r="F136" s="425" t="s">
        <v>483</v>
      </c>
      <c r="H136" s="423">
        <v>0</v>
      </c>
    </row>
    <row r="137" spans="2:8">
      <c r="B137" s="392" t="str">
        <f>+B$67</f>
        <v xml:space="preserve">  Primary</v>
      </c>
      <c r="D137" s="396">
        <f>D126</f>
        <v>112193710</v>
      </c>
      <c r="F137" s="424">
        <v>-9.2399999999999999E-3</v>
      </c>
      <c r="H137" s="423">
        <f>ROUND((D137*F137),0)</f>
        <v>-1036670</v>
      </c>
    </row>
    <row r="138" spans="2:8">
      <c r="B138" s="392" t="str">
        <f>+B$68</f>
        <v xml:space="preserve">  Subtransmission</v>
      </c>
      <c r="D138" s="396">
        <f>D127</f>
        <v>33745670</v>
      </c>
      <c r="F138" s="424">
        <v>-3.022E-2</v>
      </c>
      <c r="H138" s="423">
        <f>ROUND((D138*F138),0)</f>
        <v>-1019794</v>
      </c>
    </row>
    <row r="139" spans="2:8">
      <c r="B139" s="392" t="str">
        <f>+B$69</f>
        <v xml:space="preserve">  Transmission</v>
      </c>
      <c r="D139" s="396">
        <f>D128</f>
        <v>671609</v>
      </c>
      <c r="F139" s="424">
        <v>-3.022E-2</v>
      </c>
      <c r="H139" s="423">
        <f>ROUND((D139*F139),0)</f>
        <v>-20296</v>
      </c>
    </row>
    <row r="140" spans="2:8">
      <c r="D140" s="406"/>
      <c r="H140" s="406"/>
    </row>
    <row r="141" spans="2:8">
      <c r="B141" s="392" t="str">
        <f>+B$71</f>
        <v xml:space="preserve">  Total</v>
      </c>
      <c r="D141" s="396">
        <f>SUM(D136:D139)</f>
        <v>705371745</v>
      </c>
      <c r="H141" s="398">
        <f>SUM(H136:H139)</f>
        <v>-2076760</v>
      </c>
    </row>
    <row r="142" spans="2:8">
      <c r="D142" s="396"/>
      <c r="H142" s="398"/>
    </row>
    <row r="144" spans="2:8">
      <c r="B144" s="99" t="s">
        <v>482</v>
      </c>
      <c r="C144" s="99"/>
      <c r="D144" s="393">
        <f>+J47</f>
        <v>66605825</v>
      </c>
    </row>
    <row r="145" spans="2:10">
      <c r="B145" s="99" t="s">
        <v>389</v>
      </c>
      <c r="C145" s="99"/>
      <c r="D145" s="396">
        <f>+H81</f>
        <v>1048781</v>
      </c>
    </row>
    <row r="146" spans="2:10">
      <c r="B146" s="99" t="s">
        <v>481</v>
      </c>
      <c r="C146" s="99"/>
      <c r="D146" s="396">
        <f>+H95</f>
        <v>417719</v>
      </c>
    </row>
    <row r="147" spans="2:10">
      <c r="B147" s="99" t="s">
        <v>388</v>
      </c>
      <c r="C147" s="99"/>
      <c r="D147" s="396">
        <f>+H119</f>
        <v>10832506</v>
      </c>
    </row>
    <row r="148" spans="2:10">
      <c r="B148" s="99" t="s">
        <v>480</v>
      </c>
      <c r="C148" s="99"/>
      <c r="D148" s="423">
        <f>H141</f>
        <v>-2076760</v>
      </c>
    </row>
    <row r="149" spans="2:10">
      <c r="D149" s="406"/>
    </row>
    <row r="150" spans="2:10">
      <c r="B150" s="99" t="s">
        <v>479</v>
      </c>
      <c r="C150" s="99"/>
      <c r="D150" s="393">
        <f>D144-SUM(D145:D148)</f>
        <v>56383579</v>
      </c>
    </row>
    <row r="151" spans="2:10">
      <c r="B151" s="99" t="s">
        <v>478</v>
      </c>
      <c r="C151" s="99"/>
      <c r="D151" s="396">
        <f>+H130</f>
        <v>699909873</v>
      </c>
    </row>
    <row r="152" spans="2:10">
      <c r="D152" s="406"/>
    </row>
    <row r="153" spans="2:10">
      <c r="B153" s="99" t="s">
        <v>477</v>
      </c>
      <c r="C153" s="99"/>
      <c r="D153" s="400">
        <f>ROUND((D150/D151),5)</f>
        <v>8.0560000000000007E-2</v>
      </c>
    </row>
    <row r="156" spans="2:10">
      <c r="C156" s="416" t="s">
        <v>380</v>
      </c>
      <c r="D156" s="416" t="s">
        <v>401</v>
      </c>
      <c r="F156" s="422" t="s">
        <v>7</v>
      </c>
      <c r="G156" s="422"/>
      <c r="H156" s="422" t="s">
        <v>476</v>
      </c>
      <c r="J156" s="416" t="s">
        <v>141</v>
      </c>
    </row>
    <row r="157" spans="2:10">
      <c r="C157" s="108" t="s">
        <v>188</v>
      </c>
      <c r="D157" s="108" t="s">
        <v>400</v>
      </c>
      <c r="F157" s="421" t="s">
        <v>188</v>
      </c>
      <c r="G157" s="421"/>
      <c r="H157" s="421" t="s">
        <v>475</v>
      </c>
      <c r="J157" s="108" t="s">
        <v>188</v>
      </c>
    </row>
    <row r="159" spans="2:10">
      <c r="B159" s="392" t="str">
        <f>+B$66</f>
        <v xml:space="preserve">  Secondary</v>
      </c>
      <c r="C159" s="420">
        <f>+D153</f>
        <v>8.0560000000000007E-2</v>
      </c>
      <c r="D159" s="417">
        <f>+F125</f>
        <v>1</v>
      </c>
      <c r="E159" s="416"/>
      <c r="F159" s="415">
        <f>ROUND(C159*D159,5)</f>
        <v>8.0560000000000007E-2</v>
      </c>
      <c r="H159" s="419">
        <v>0</v>
      </c>
      <c r="J159" s="24">
        <f>F159+H159</f>
        <v>8.0560000000000007E-2</v>
      </c>
    </row>
    <row r="160" spans="2:10">
      <c r="B160" s="392" t="str">
        <f>+B$67</f>
        <v xml:space="preserve">  Primary</v>
      </c>
      <c r="C160" s="418">
        <f>+$C$159</f>
        <v>8.0560000000000007E-2</v>
      </c>
      <c r="D160" s="417">
        <f>+F126</f>
        <v>0.96526000000000001</v>
      </c>
      <c r="E160" s="416"/>
      <c r="F160" s="415">
        <f>ROUND(C160*D160,5)</f>
        <v>7.7759999999999996E-2</v>
      </c>
      <c r="H160" s="414">
        <f>F137</f>
        <v>-9.2399999999999999E-3</v>
      </c>
      <c r="J160" s="24">
        <f>F160+H160</f>
        <v>6.8519999999999998E-2</v>
      </c>
    </row>
    <row r="161" spans="1:254">
      <c r="B161" s="392" t="str">
        <f>+B$68</f>
        <v xml:space="preserve">  Subtransmission</v>
      </c>
      <c r="C161" s="418">
        <f>+$C$159</f>
        <v>8.0560000000000007E-2</v>
      </c>
      <c r="D161" s="417">
        <f>+F127</f>
        <v>0.95477000000000001</v>
      </c>
      <c r="E161" s="416"/>
      <c r="F161" s="415">
        <f>ROUND(C161*D161,5)</f>
        <v>7.6920000000000002E-2</v>
      </c>
      <c r="H161" s="414">
        <f>F138</f>
        <v>-3.022E-2</v>
      </c>
      <c r="J161" s="24">
        <f>F161+H161</f>
        <v>4.6700000000000005E-2</v>
      </c>
    </row>
    <row r="162" spans="1:254">
      <c r="B162" s="392" t="str">
        <f>+B$69</f>
        <v xml:space="preserve">  Transmission</v>
      </c>
      <c r="C162" s="418">
        <f>+$C$159</f>
        <v>8.0560000000000007E-2</v>
      </c>
      <c r="D162" s="417">
        <f>+F128</f>
        <v>0.94350000000000001</v>
      </c>
      <c r="E162" s="416"/>
      <c r="F162" s="415">
        <f>ROUND(C162*D162,5)</f>
        <v>7.6009999999999994E-2</v>
      </c>
      <c r="H162" s="414">
        <f>F139</f>
        <v>-3.022E-2</v>
      </c>
      <c r="J162" s="24">
        <f>F162+H162</f>
        <v>4.5789999999999997E-2</v>
      </c>
    </row>
    <row r="163" spans="1:254">
      <c r="A163" s="413"/>
      <c r="B163" s="413"/>
      <c r="C163" s="413"/>
      <c r="D163" s="413"/>
      <c r="E163" s="413"/>
      <c r="F163" s="413"/>
      <c r="G163" s="413"/>
      <c r="H163" s="413"/>
      <c r="I163" s="413"/>
      <c r="J163" s="413"/>
      <c r="K163" s="413"/>
      <c r="L163" s="413"/>
      <c r="M163" s="413"/>
      <c r="N163" s="413"/>
      <c r="O163" s="413"/>
      <c r="P163" s="413"/>
      <c r="Q163" s="413"/>
      <c r="R163" s="413"/>
      <c r="S163" s="413"/>
      <c r="T163" s="413"/>
      <c r="U163" s="413"/>
      <c r="V163" s="413"/>
      <c r="W163" s="413"/>
      <c r="X163" s="413"/>
      <c r="Y163" s="413"/>
      <c r="Z163" s="413"/>
      <c r="AA163" s="413"/>
      <c r="AB163" s="413"/>
      <c r="AC163" s="413"/>
      <c r="AD163" s="413"/>
      <c r="AE163" s="413"/>
      <c r="AF163" s="413"/>
      <c r="AG163" s="413"/>
      <c r="AH163" s="413"/>
      <c r="AI163" s="413"/>
      <c r="AJ163" s="413"/>
      <c r="AK163" s="413"/>
      <c r="AL163" s="413"/>
      <c r="AM163" s="413"/>
      <c r="AN163" s="413"/>
      <c r="AO163" s="413"/>
      <c r="AP163" s="413"/>
      <c r="AQ163" s="413"/>
      <c r="AR163" s="413"/>
      <c r="AS163" s="413"/>
      <c r="AT163" s="413"/>
      <c r="AU163" s="413"/>
      <c r="AV163" s="413"/>
      <c r="AW163" s="413"/>
      <c r="AX163" s="413"/>
      <c r="AY163" s="413"/>
      <c r="AZ163" s="413"/>
      <c r="BA163" s="413"/>
      <c r="BB163" s="413"/>
      <c r="BC163" s="413"/>
      <c r="BD163" s="413"/>
      <c r="BE163" s="413"/>
      <c r="BF163" s="413"/>
      <c r="BG163" s="413"/>
      <c r="BH163" s="413"/>
      <c r="BI163" s="413"/>
      <c r="BJ163" s="413"/>
      <c r="BK163" s="413"/>
      <c r="BL163" s="413"/>
      <c r="BM163" s="413"/>
      <c r="BN163" s="413"/>
      <c r="BO163" s="413"/>
      <c r="BP163" s="413"/>
      <c r="BQ163" s="413"/>
      <c r="BR163" s="413"/>
      <c r="BS163" s="413"/>
      <c r="BT163" s="413"/>
      <c r="BU163" s="413"/>
      <c r="BV163" s="413"/>
      <c r="BW163" s="413"/>
      <c r="BX163" s="413"/>
      <c r="BY163" s="413"/>
      <c r="BZ163" s="413"/>
      <c r="CA163" s="413"/>
      <c r="CB163" s="413"/>
      <c r="CC163" s="413"/>
      <c r="CD163" s="413"/>
      <c r="CE163" s="413"/>
      <c r="CF163" s="413"/>
      <c r="CG163" s="413"/>
      <c r="CH163" s="413"/>
      <c r="CI163" s="413"/>
      <c r="CJ163" s="413"/>
      <c r="CK163" s="413"/>
      <c r="CL163" s="413"/>
      <c r="CM163" s="413"/>
      <c r="CN163" s="413"/>
      <c r="CO163" s="413"/>
      <c r="CP163" s="413"/>
      <c r="CQ163" s="413"/>
      <c r="CR163" s="413"/>
      <c r="CS163" s="413"/>
      <c r="CT163" s="413"/>
      <c r="CU163" s="413"/>
      <c r="CV163" s="413"/>
      <c r="CW163" s="413"/>
      <c r="CX163" s="413"/>
      <c r="CY163" s="413"/>
      <c r="CZ163" s="413"/>
      <c r="DA163" s="413"/>
      <c r="DB163" s="413"/>
      <c r="DC163" s="413"/>
      <c r="DD163" s="413"/>
      <c r="DE163" s="413"/>
      <c r="DF163" s="413"/>
      <c r="DG163" s="413"/>
      <c r="DH163" s="413"/>
      <c r="DI163" s="413"/>
      <c r="DJ163" s="413"/>
      <c r="DK163" s="413"/>
      <c r="DL163" s="413"/>
      <c r="DM163" s="413"/>
      <c r="DN163" s="413"/>
      <c r="DO163" s="413"/>
      <c r="DP163" s="413"/>
      <c r="DQ163" s="413"/>
      <c r="DR163" s="413"/>
      <c r="DS163" s="413"/>
      <c r="DT163" s="413"/>
      <c r="DU163" s="413"/>
      <c r="DV163" s="413"/>
      <c r="DW163" s="413"/>
      <c r="DX163" s="413"/>
      <c r="DY163" s="413"/>
      <c r="DZ163" s="413"/>
      <c r="EA163" s="413"/>
      <c r="EB163" s="413"/>
      <c r="EC163" s="413"/>
      <c r="ED163" s="413"/>
      <c r="EE163" s="413"/>
      <c r="EF163" s="413"/>
      <c r="EG163" s="413"/>
      <c r="EH163" s="413"/>
      <c r="EI163" s="413"/>
      <c r="EJ163" s="413"/>
      <c r="EK163" s="413"/>
      <c r="EL163" s="413"/>
      <c r="EM163" s="413"/>
      <c r="EN163" s="413"/>
      <c r="EO163" s="413"/>
      <c r="EP163" s="413"/>
      <c r="EQ163" s="413"/>
      <c r="ER163" s="413"/>
      <c r="ES163" s="413"/>
      <c r="ET163" s="413"/>
      <c r="EU163" s="413"/>
      <c r="EV163" s="413"/>
      <c r="EW163" s="413"/>
      <c r="EX163" s="413"/>
      <c r="EY163" s="413"/>
      <c r="EZ163" s="413"/>
      <c r="FA163" s="413"/>
      <c r="FB163" s="413"/>
      <c r="FC163" s="413"/>
      <c r="FD163" s="413"/>
      <c r="FE163" s="413"/>
      <c r="FF163" s="413"/>
      <c r="FG163" s="413"/>
      <c r="FH163" s="413"/>
      <c r="FI163" s="413"/>
      <c r="FJ163" s="413"/>
      <c r="FK163" s="413"/>
      <c r="FL163" s="413"/>
      <c r="FM163" s="413"/>
      <c r="FN163" s="413"/>
      <c r="FO163" s="413"/>
      <c r="FP163" s="413"/>
      <c r="FQ163" s="413"/>
      <c r="FR163" s="413"/>
      <c r="FS163" s="413"/>
      <c r="FT163" s="413"/>
      <c r="FU163" s="413"/>
      <c r="FV163" s="413"/>
      <c r="FW163" s="413"/>
      <c r="FX163" s="413"/>
      <c r="FY163" s="413"/>
      <c r="FZ163" s="413"/>
      <c r="GA163" s="413"/>
      <c r="GB163" s="413"/>
      <c r="GC163" s="413"/>
      <c r="GD163" s="413"/>
      <c r="GE163" s="413"/>
      <c r="GF163" s="413"/>
      <c r="GG163" s="413"/>
      <c r="GH163" s="413"/>
      <c r="GI163" s="413"/>
      <c r="GJ163" s="413"/>
      <c r="GK163" s="413"/>
      <c r="GL163" s="413"/>
      <c r="GM163" s="413"/>
      <c r="GN163" s="413"/>
      <c r="GO163" s="413"/>
      <c r="GP163" s="413"/>
      <c r="GQ163" s="413"/>
      <c r="GR163" s="413"/>
      <c r="GS163" s="413"/>
      <c r="GT163" s="413"/>
      <c r="GU163" s="413"/>
      <c r="GV163" s="413"/>
      <c r="GW163" s="413"/>
      <c r="GX163" s="413"/>
      <c r="GY163" s="413"/>
      <c r="GZ163" s="413"/>
      <c r="HA163" s="413"/>
      <c r="HB163" s="413"/>
      <c r="HC163" s="413"/>
      <c r="HD163" s="413"/>
      <c r="HE163" s="413"/>
      <c r="HF163" s="413"/>
      <c r="HG163" s="413"/>
      <c r="HH163" s="413"/>
      <c r="HI163" s="413"/>
      <c r="HJ163" s="413"/>
      <c r="HK163" s="413"/>
      <c r="HL163" s="413"/>
      <c r="HM163" s="413"/>
      <c r="HN163" s="413"/>
      <c r="HO163" s="413"/>
      <c r="HP163" s="413"/>
      <c r="HQ163" s="413"/>
      <c r="HR163" s="413"/>
      <c r="HS163" s="413"/>
      <c r="HT163" s="413"/>
      <c r="HU163" s="413"/>
      <c r="HV163" s="413"/>
      <c r="HW163" s="413"/>
      <c r="HX163" s="413"/>
      <c r="HY163" s="413"/>
      <c r="HZ163" s="413"/>
      <c r="IA163" s="413"/>
      <c r="IB163" s="413"/>
      <c r="IC163" s="413"/>
      <c r="ID163" s="413"/>
      <c r="IE163" s="413"/>
      <c r="IF163" s="413"/>
      <c r="IG163" s="413"/>
      <c r="IH163" s="413"/>
      <c r="II163" s="413"/>
      <c r="IJ163" s="413"/>
      <c r="IK163" s="413"/>
      <c r="IL163" s="413"/>
      <c r="IM163" s="413"/>
      <c r="IN163" s="413"/>
      <c r="IO163" s="413"/>
      <c r="IP163" s="413"/>
      <c r="IQ163" s="413"/>
      <c r="IR163" s="413"/>
      <c r="IS163" s="413"/>
      <c r="IT163" s="413"/>
    </row>
    <row r="165" spans="1:254">
      <c r="A165" s="99" t="s">
        <v>93</v>
      </c>
      <c r="B165" s="99" t="s">
        <v>39</v>
      </c>
      <c r="C165" s="99"/>
      <c r="D165" s="108" t="s">
        <v>40</v>
      </c>
      <c r="F165" s="108" t="s">
        <v>188</v>
      </c>
      <c r="H165" s="108" t="s">
        <v>1</v>
      </c>
    </row>
    <row r="167" spans="1:254">
      <c r="B167" s="99" t="s">
        <v>380</v>
      </c>
      <c r="C167" s="99" t="s">
        <v>6</v>
      </c>
      <c r="D167" s="396">
        <f>+D54</f>
        <v>1666281</v>
      </c>
      <c r="E167" s="99" t="s">
        <v>234</v>
      </c>
      <c r="F167" s="399">
        <f>F114</f>
        <v>5.03</v>
      </c>
      <c r="G167" s="99" t="s">
        <v>374</v>
      </c>
      <c r="H167" s="393">
        <f>ROUND((D167*F167),0)</f>
        <v>8381393</v>
      </c>
    </row>
    <row r="168" spans="1:254">
      <c r="B168" s="99"/>
      <c r="C168" s="99" t="s">
        <v>472</v>
      </c>
      <c r="D168" s="396">
        <f>+D55</f>
        <v>49112</v>
      </c>
      <c r="E168" s="99" t="s">
        <v>471</v>
      </c>
      <c r="F168" s="409">
        <f>+D90</f>
        <v>3.46</v>
      </c>
      <c r="G168" s="99" t="s">
        <v>470</v>
      </c>
      <c r="H168" s="396">
        <f>ROUND((D168*F168),0)</f>
        <v>169928</v>
      </c>
    </row>
    <row r="169" spans="1:254">
      <c r="B169" s="99"/>
      <c r="C169" s="99" t="s">
        <v>7</v>
      </c>
      <c r="D169" s="396">
        <f>+D56</f>
        <v>558760756</v>
      </c>
      <c r="E169" s="99" t="s">
        <v>44</v>
      </c>
      <c r="F169" s="408">
        <f>J159</f>
        <v>8.0560000000000007E-2</v>
      </c>
      <c r="G169" s="99" t="s">
        <v>23</v>
      </c>
      <c r="H169" s="396">
        <f>ROUND((D169*F169),0)</f>
        <v>45013767</v>
      </c>
    </row>
    <row r="170" spans="1:254">
      <c r="C170" s="99" t="s">
        <v>8</v>
      </c>
      <c r="D170" s="396">
        <f>+D57</f>
        <v>8973</v>
      </c>
      <c r="E170" s="99" t="s">
        <v>46</v>
      </c>
      <c r="F170" s="407">
        <f>+D$76</f>
        <v>85</v>
      </c>
      <c r="G170" s="99" t="s">
        <v>459</v>
      </c>
      <c r="H170" s="396">
        <f>ROUND((D170*F170),0)</f>
        <v>762705</v>
      </c>
    </row>
    <row r="171" spans="1:254">
      <c r="B171" s="99"/>
      <c r="H171" s="406"/>
    </row>
    <row r="172" spans="1:254">
      <c r="B172" s="99"/>
      <c r="C172" s="99" t="s">
        <v>79</v>
      </c>
      <c r="F172" s="412"/>
      <c r="H172" s="393">
        <f>SUM(H167:H170)</f>
        <v>54327793</v>
      </c>
    </row>
    <row r="173" spans="1:254">
      <c r="B173" s="99"/>
      <c r="C173" s="99"/>
      <c r="F173" s="412"/>
      <c r="H173" s="393"/>
    </row>
    <row r="174" spans="1:254">
      <c r="F174" s="412"/>
    </row>
    <row r="175" spans="1:254">
      <c r="B175" s="99" t="s">
        <v>379</v>
      </c>
      <c r="C175" s="99" t="s">
        <v>6</v>
      </c>
      <c r="D175" s="396">
        <f>+F54</f>
        <v>386863</v>
      </c>
      <c r="E175" s="392" t="str">
        <f>+E167</f>
        <v>kW</v>
      </c>
      <c r="F175" s="399">
        <f>F115</f>
        <v>4.8899999999999997</v>
      </c>
      <c r="G175" s="99" t="s">
        <v>374</v>
      </c>
      <c r="H175" s="393">
        <f>ROUND((D175*F175),0)</f>
        <v>1891760</v>
      </c>
    </row>
    <row r="176" spans="1:254">
      <c r="B176" s="99"/>
      <c r="C176" s="99" t="s">
        <v>472</v>
      </c>
      <c r="D176" s="396">
        <f>+F55</f>
        <v>62872</v>
      </c>
      <c r="E176" s="99" t="s">
        <v>471</v>
      </c>
      <c r="F176" s="409">
        <f>+D91</f>
        <v>3.46</v>
      </c>
      <c r="G176" s="99" t="s">
        <v>470</v>
      </c>
      <c r="H176" s="396">
        <f>ROUND((D176*F176),0)</f>
        <v>217537</v>
      </c>
    </row>
    <row r="177" spans="2:8">
      <c r="B177" s="99"/>
      <c r="C177" s="99" t="s">
        <v>7</v>
      </c>
      <c r="D177" s="396">
        <f>+F56</f>
        <v>112193710</v>
      </c>
      <c r="E177" s="392" t="str">
        <f>+E169</f>
        <v>kWh</v>
      </c>
      <c r="F177" s="408">
        <f>J160-0.00001</f>
        <v>6.8510000000000001E-2</v>
      </c>
      <c r="G177" s="99" t="s">
        <v>474</v>
      </c>
      <c r="H177" s="396">
        <f>ROUND((D177*F177),0)</f>
        <v>7686391</v>
      </c>
    </row>
    <row r="178" spans="2:8">
      <c r="B178" s="99"/>
      <c r="C178" s="99" t="s">
        <v>8</v>
      </c>
      <c r="D178" s="396">
        <f>+F57</f>
        <v>936</v>
      </c>
      <c r="E178" s="392" t="str">
        <f>+E170</f>
        <v>Bills</v>
      </c>
      <c r="F178" s="407">
        <f>+D$77</f>
        <v>127.5</v>
      </c>
      <c r="G178" s="99" t="s">
        <v>459</v>
      </c>
      <c r="H178" s="396">
        <f>ROUND((D178*F178),0)</f>
        <v>119340</v>
      </c>
    </row>
    <row r="179" spans="2:8">
      <c r="F179" s="411"/>
      <c r="H179" s="406"/>
    </row>
    <row r="180" spans="2:8">
      <c r="B180" s="99"/>
      <c r="C180" s="99" t="s">
        <v>79</v>
      </c>
      <c r="F180" s="410"/>
      <c r="H180" s="393">
        <f>SUM(H175:H178)</f>
        <v>9915028</v>
      </c>
    </row>
    <row r="181" spans="2:8">
      <c r="B181" s="99"/>
      <c r="C181" s="99"/>
      <c r="F181" s="410"/>
      <c r="H181" s="393"/>
    </row>
    <row r="183" spans="2:8">
      <c r="B183" s="99" t="s">
        <v>435</v>
      </c>
      <c r="C183" s="99" t="s">
        <v>6</v>
      </c>
      <c r="D183" s="396">
        <f>+H54</f>
        <v>110848</v>
      </c>
      <c r="E183" s="392" t="str">
        <f>+E175</f>
        <v>kW</v>
      </c>
      <c r="F183" s="399">
        <f>F116</f>
        <v>4.82</v>
      </c>
      <c r="G183" s="99" t="s">
        <v>374</v>
      </c>
      <c r="H183" s="393">
        <f>ROUND((D183*F183),0)</f>
        <v>534287</v>
      </c>
    </row>
    <row r="184" spans="2:8">
      <c r="B184" s="99"/>
      <c r="C184" s="99" t="s">
        <v>472</v>
      </c>
      <c r="D184" s="396">
        <f>+H55</f>
        <v>6203</v>
      </c>
      <c r="E184" s="99" t="s">
        <v>471</v>
      </c>
      <c r="F184" s="409">
        <f>+D92</f>
        <v>3.46</v>
      </c>
      <c r="G184" s="99" t="s">
        <v>470</v>
      </c>
      <c r="H184" s="396">
        <f>ROUND((D184*F184),0)</f>
        <v>21462</v>
      </c>
    </row>
    <row r="185" spans="2:8">
      <c r="B185" s="99"/>
      <c r="C185" s="99" t="s">
        <v>7</v>
      </c>
      <c r="D185" s="396">
        <f>+H56</f>
        <v>33745670</v>
      </c>
      <c r="E185" s="392" t="str">
        <f>+E177</f>
        <v>kWh</v>
      </c>
      <c r="F185" s="408">
        <f>+J161</f>
        <v>4.6700000000000005E-2</v>
      </c>
      <c r="G185" s="99" t="s">
        <v>462</v>
      </c>
      <c r="H185" s="396">
        <f>ROUND((D185*F185),0)</f>
        <v>1575923</v>
      </c>
    </row>
    <row r="186" spans="2:8">
      <c r="B186" s="99"/>
      <c r="C186" s="99" t="s">
        <v>8</v>
      </c>
      <c r="D186" s="396">
        <f>+H57</f>
        <v>240</v>
      </c>
      <c r="E186" s="392" t="str">
        <f>+E178</f>
        <v>Bills</v>
      </c>
      <c r="F186" s="407">
        <f>+D$78</f>
        <v>661.65</v>
      </c>
      <c r="G186" s="99" t="s">
        <v>459</v>
      </c>
      <c r="H186" s="396">
        <f>ROUND((D186*F186),0)</f>
        <v>158796</v>
      </c>
    </row>
    <row r="187" spans="2:8">
      <c r="H187" s="406"/>
    </row>
    <row r="188" spans="2:8">
      <c r="B188" s="99"/>
      <c r="C188" s="99" t="s">
        <v>79</v>
      </c>
      <c r="H188" s="393">
        <f>SUM(H183:H186)</f>
        <v>2290468</v>
      </c>
    </row>
    <row r="189" spans="2:8">
      <c r="B189" s="99"/>
      <c r="C189" s="99"/>
      <c r="H189" s="393"/>
    </row>
    <row r="191" spans="2:8">
      <c r="B191" s="99" t="s">
        <v>473</v>
      </c>
      <c r="C191" s="99" t="s">
        <v>6</v>
      </c>
      <c r="D191" s="396">
        <f>+J54</f>
        <v>5277</v>
      </c>
      <c r="E191" s="392" t="str">
        <f>+E183</f>
        <v>kW</v>
      </c>
      <c r="F191" s="399">
        <f>+F117</f>
        <v>4.75</v>
      </c>
      <c r="G191" s="99" t="s">
        <v>374</v>
      </c>
      <c r="H191" s="393">
        <f>ROUND((D191*F191),0)</f>
        <v>25066</v>
      </c>
    </row>
    <row r="192" spans="2:8">
      <c r="B192" s="99"/>
      <c r="C192" s="99" t="s">
        <v>472</v>
      </c>
      <c r="D192" s="396">
        <f>+J55</f>
        <v>2541</v>
      </c>
      <c r="E192" s="99" t="s">
        <v>471</v>
      </c>
      <c r="F192" s="409">
        <f>+D93</f>
        <v>3.46</v>
      </c>
      <c r="G192" s="99" t="s">
        <v>470</v>
      </c>
      <c r="H192" s="396">
        <f>ROUND((D192*F192),0)</f>
        <v>8792</v>
      </c>
    </row>
    <row r="193" spans="1:10">
      <c r="B193" s="99"/>
      <c r="C193" s="99" t="s">
        <v>7</v>
      </c>
      <c r="D193" s="396">
        <f>+J56</f>
        <v>671609</v>
      </c>
      <c r="E193" s="392" t="str">
        <f>+E185</f>
        <v>kWh</v>
      </c>
      <c r="F193" s="408">
        <f>+J162</f>
        <v>4.5789999999999997E-2</v>
      </c>
      <c r="G193" s="99" t="s">
        <v>462</v>
      </c>
      <c r="H193" s="396">
        <f>ROUND((D193*F193),0)</f>
        <v>30753</v>
      </c>
    </row>
    <row r="194" spans="1:10">
      <c r="B194" s="99"/>
      <c r="C194" s="99" t="s">
        <v>8</v>
      </c>
      <c r="D194" s="396">
        <f>+J57</f>
        <v>12</v>
      </c>
      <c r="E194" s="392" t="str">
        <f>+E186</f>
        <v>Bills</v>
      </c>
      <c r="F194" s="407">
        <f>+D79</f>
        <v>661.65</v>
      </c>
      <c r="G194" s="99" t="s">
        <v>459</v>
      </c>
      <c r="H194" s="396">
        <f>ROUND((D194*F194),0)</f>
        <v>7940</v>
      </c>
    </row>
    <row r="195" spans="1:10">
      <c r="H195" s="406"/>
    </row>
    <row r="196" spans="1:10">
      <c r="B196" s="99"/>
      <c r="C196" s="99" t="s">
        <v>79</v>
      </c>
      <c r="H196" s="393">
        <f>SUM(H191:H194)</f>
        <v>72551</v>
      </c>
    </row>
    <row r="198" spans="1:10">
      <c r="B198" s="99" t="s">
        <v>469</v>
      </c>
      <c r="C198" s="99"/>
      <c r="H198" s="393">
        <f>H172+H180+H188+H196</f>
        <v>66605840</v>
      </c>
      <c r="I198" s="393"/>
    </row>
    <row r="199" spans="1:10">
      <c r="H199" s="405"/>
    </row>
    <row r="200" spans="1:10">
      <c r="B200" s="99" t="s">
        <v>381</v>
      </c>
      <c r="C200" s="99"/>
      <c r="H200" s="393">
        <f>+J47</f>
        <v>66605825</v>
      </c>
    </row>
    <row r="202" spans="1:10">
      <c r="B202" s="99" t="s">
        <v>42</v>
      </c>
      <c r="C202" s="99"/>
      <c r="H202" s="398">
        <f>H198-H200</f>
        <v>15</v>
      </c>
    </row>
    <row r="203" spans="1:10">
      <c r="B203" s="99"/>
      <c r="C203" s="99"/>
      <c r="H203" s="398"/>
    </row>
    <row r="204" spans="1:10">
      <c r="B204" s="394" t="s">
        <v>193</v>
      </c>
      <c r="C204" s="394"/>
    </row>
    <row r="208" spans="1:10">
      <c r="A208" s="3" t="s">
        <v>365</v>
      </c>
      <c r="B208" s="35" t="s">
        <v>468</v>
      </c>
      <c r="D208" s="3"/>
      <c r="E208" s="3"/>
      <c r="F208" s="3"/>
      <c r="G208" s="3"/>
      <c r="H208" s="3"/>
      <c r="I208" s="3"/>
      <c r="J208" s="3"/>
    </row>
    <row r="209" spans="1:10">
      <c r="A209" s="3"/>
      <c r="B209" s="3"/>
      <c r="D209" s="3"/>
      <c r="E209" s="3"/>
      <c r="F209" s="3"/>
      <c r="G209" s="3"/>
      <c r="H209" s="3"/>
      <c r="I209" s="3"/>
      <c r="J209" s="3"/>
    </row>
    <row r="210" spans="1:10">
      <c r="A210" s="397"/>
      <c r="B210" s="3" t="s">
        <v>467</v>
      </c>
      <c r="D210" s="393">
        <f>J6</f>
        <v>19462412</v>
      </c>
      <c r="E210" s="6" t="s">
        <v>249</v>
      </c>
      <c r="F210" s="396">
        <f>D56+D255+D256</f>
        <v>560720695</v>
      </c>
      <c r="G210" s="3" t="s">
        <v>281</v>
      </c>
      <c r="H210" s="400">
        <f>ROUND((D210/F210),5)</f>
        <v>3.4709999999999998E-2</v>
      </c>
      <c r="I210" s="3"/>
      <c r="J210" s="3"/>
    </row>
    <row r="211" spans="1:10">
      <c r="A211" s="397"/>
      <c r="B211" s="3"/>
      <c r="D211" s="3"/>
      <c r="E211" s="3"/>
      <c r="F211" s="3"/>
      <c r="G211" s="3"/>
      <c r="H211" s="3"/>
      <c r="I211" s="3"/>
      <c r="J211" s="3"/>
    </row>
    <row r="212" spans="1:10">
      <c r="A212" s="397"/>
      <c r="B212" s="3" t="s">
        <v>280</v>
      </c>
      <c r="D212" s="393"/>
      <c r="E212" s="397"/>
      <c r="F212" s="400"/>
      <c r="G212" s="397"/>
      <c r="H212" s="404">
        <v>0.02</v>
      </c>
      <c r="I212" s="3"/>
      <c r="J212" s="3"/>
    </row>
    <row r="213" spans="1:10">
      <c r="A213" s="397"/>
      <c r="B213" s="397"/>
      <c r="D213" s="397"/>
      <c r="E213" s="397"/>
      <c r="F213" s="400"/>
      <c r="G213" s="397"/>
      <c r="H213" s="397"/>
      <c r="I213" s="3"/>
      <c r="J213" s="3"/>
    </row>
    <row r="214" spans="1:10">
      <c r="A214" s="397"/>
      <c r="B214" s="3" t="s">
        <v>279</v>
      </c>
      <c r="D214" s="397"/>
      <c r="E214" s="397"/>
      <c r="F214" s="397"/>
      <c r="G214" s="397"/>
      <c r="H214" s="400">
        <f>H210+H212</f>
        <v>5.4709999999999995E-2</v>
      </c>
      <c r="I214" s="3"/>
      <c r="J214" s="3"/>
    </row>
    <row r="215" spans="1:10">
      <c r="A215" s="3"/>
      <c r="B215" s="3"/>
      <c r="D215" s="3"/>
      <c r="E215" s="3"/>
      <c r="F215" s="3"/>
      <c r="G215" s="3"/>
      <c r="H215" s="3"/>
      <c r="I215" s="3"/>
      <c r="J215" s="3"/>
    </row>
    <row r="216" spans="1:10">
      <c r="A216" s="397"/>
      <c r="B216" s="3" t="s">
        <v>466</v>
      </c>
      <c r="D216" s="397"/>
      <c r="E216" s="397"/>
      <c r="F216" s="397"/>
      <c r="G216" s="397"/>
      <c r="H216" s="403">
        <f>H214</f>
        <v>5.4709999999999995E-2</v>
      </c>
      <c r="I216" s="3"/>
      <c r="J216" s="3"/>
    </row>
    <row r="217" spans="1:10">
      <c r="A217" s="3"/>
      <c r="B217" s="3"/>
      <c r="D217" s="3"/>
      <c r="E217" s="3"/>
      <c r="F217" s="3"/>
      <c r="G217" s="3"/>
      <c r="H217" s="3"/>
      <c r="I217" s="3"/>
      <c r="J217" s="3"/>
    </row>
    <row r="218" spans="1:10">
      <c r="A218" s="397"/>
      <c r="B218" s="3" t="s">
        <v>366</v>
      </c>
      <c r="D218" s="397"/>
      <c r="E218" s="397"/>
      <c r="F218" s="397"/>
      <c r="G218" s="397"/>
      <c r="H218" s="402">
        <v>0.49711101060771717</v>
      </c>
      <c r="I218" s="3"/>
      <c r="J218" s="3"/>
    </row>
    <row r="219" spans="1:10">
      <c r="A219" s="397"/>
      <c r="B219" s="3" t="s">
        <v>276</v>
      </c>
      <c r="D219" s="397"/>
      <c r="E219" s="397"/>
      <c r="F219" s="397"/>
      <c r="G219" s="397"/>
      <c r="H219" s="395">
        <f>ROUND((F210*H218),0)</f>
        <v>278740431</v>
      </c>
      <c r="I219" s="3"/>
      <c r="J219" s="3"/>
    </row>
    <row r="220" spans="1:10">
      <c r="A220" s="3"/>
      <c r="B220" s="3"/>
      <c r="D220" s="3"/>
      <c r="E220" s="3"/>
      <c r="F220" s="3"/>
      <c r="G220" s="3"/>
      <c r="H220" s="3"/>
      <c r="I220" s="3"/>
      <c r="J220" s="3"/>
    </row>
    <row r="221" spans="1:10">
      <c r="A221" s="397"/>
      <c r="B221" s="3" t="s">
        <v>275</v>
      </c>
      <c r="D221" s="397"/>
      <c r="E221" s="397"/>
      <c r="F221" s="397"/>
      <c r="G221" s="397"/>
      <c r="H221" s="393">
        <f>ROUND((H219*H216),0)</f>
        <v>15249889</v>
      </c>
      <c r="I221" s="3"/>
      <c r="J221" s="3"/>
    </row>
    <row r="222" spans="1:10">
      <c r="A222" s="3"/>
      <c r="B222" s="3"/>
      <c r="D222" s="3"/>
      <c r="E222" s="3"/>
      <c r="F222" s="3"/>
      <c r="G222" s="3"/>
      <c r="H222" s="3"/>
      <c r="I222" s="3"/>
      <c r="J222" s="3"/>
    </row>
    <row r="223" spans="1:10">
      <c r="A223" s="397"/>
      <c r="B223" s="3"/>
      <c r="D223" s="3"/>
      <c r="E223" s="3"/>
      <c r="F223" s="3"/>
      <c r="G223" s="3"/>
      <c r="H223" s="3"/>
      <c r="I223" s="3"/>
      <c r="J223" s="3"/>
    </row>
    <row r="224" spans="1:10">
      <c r="A224" s="3" t="s">
        <v>360</v>
      </c>
      <c r="B224" s="35" t="s">
        <v>30</v>
      </c>
      <c r="D224" s="3"/>
      <c r="E224" s="3"/>
      <c r="F224" s="3"/>
      <c r="G224" s="3"/>
      <c r="H224" s="3"/>
      <c r="I224" s="3"/>
      <c r="J224" s="3"/>
    </row>
    <row r="225" spans="1:10">
      <c r="A225" s="3"/>
      <c r="B225" s="3"/>
      <c r="D225" s="3"/>
      <c r="E225" s="3"/>
      <c r="F225" s="3"/>
      <c r="G225" s="3"/>
      <c r="H225" s="3"/>
      <c r="I225" s="3"/>
      <c r="J225" s="3"/>
    </row>
    <row r="226" spans="1:10">
      <c r="A226" s="397"/>
      <c r="B226" s="3" t="s">
        <v>465</v>
      </c>
      <c r="D226" s="397"/>
      <c r="E226" s="397"/>
      <c r="F226" s="393">
        <f>J9</f>
        <v>53866000</v>
      </c>
      <c r="G226" s="3"/>
      <c r="H226" s="3"/>
      <c r="I226" s="3"/>
      <c r="J226" s="3"/>
    </row>
    <row r="227" spans="1:10">
      <c r="A227" s="397"/>
      <c r="B227" s="3" t="s">
        <v>32</v>
      </c>
      <c r="D227" s="397"/>
      <c r="E227" s="397"/>
      <c r="F227" s="396">
        <f>H76</f>
        <v>762705</v>
      </c>
      <c r="G227" s="3"/>
      <c r="H227" s="3"/>
      <c r="I227" s="3"/>
      <c r="J227" s="3"/>
    </row>
    <row r="228" spans="1:10">
      <c r="A228" s="397"/>
      <c r="B228" s="3" t="s">
        <v>464</v>
      </c>
      <c r="D228" s="397"/>
      <c r="E228" s="397"/>
      <c r="F228" s="396">
        <f>H257</f>
        <v>9265</v>
      </c>
      <c r="G228" s="3"/>
      <c r="H228" s="3"/>
      <c r="I228" s="3"/>
      <c r="J228" s="3"/>
    </row>
    <row r="229" spans="1:10">
      <c r="A229" s="397"/>
      <c r="B229" s="3" t="s">
        <v>463</v>
      </c>
      <c r="D229" s="397"/>
      <c r="E229" s="397"/>
      <c r="F229" s="395">
        <f>+H221</f>
        <v>15249889</v>
      </c>
      <c r="G229" s="3"/>
      <c r="H229" s="3"/>
      <c r="I229" s="3"/>
      <c r="J229" s="3"/>
    </row>
    <row r="230" spans="1:10">
      <c r="A230" s="397"/>
      <c r="B230" s="397"/>
      <c r="D230" s="397"/>
      <c r="E230" s="397"/>
      <c r="F230" s="397"/>
      <c r="G230" s="3"/>
      <c r="H230" s="3"/>
      <c r="I230" s="3"/>
      <c r="J230" s="3"/>
    </row>
    <row r="231" spans="1:10">
      <c r="A231" s="397"/>
      <c r="B231" s="3" t="s">
        <v>34</v>
      </c>
      <c r="D231" s="397"/>
      <c r="E231" s="397"/>
      <c r="F231" s="393">
        <f>(F226-SUM(F227:F229))</f>
        <v>37844141</v>
      </c>
      <c r="G231" s="3"/>
      <c r="H231" s="3"/>
      <c r="I231" s="3"/>
      <c r="J231" s="3"/>
    </row>
    <row r="232" spans="1:10">
      <c r="A232" s="397"/>
      <c r="B232" s="3" t="s">
        <v>37</v>
      </c>
      <c r="D232" s="397"/>
      <c r="E232" s="397"/>
      <c r="F232" s="395">
        <f>F210-H219</f>
        <v>281980264</v>
      </c>
      <c r="G232" s="3"/>
      <c r="H232" s="3"/>
      <c r="I232" s="3"/>
      <c r="J232" s="3"/>
    </row>
    <row r="233" spans="1:10">
      <c r="A233" s="397"/>
      <c r="B233" s="397"/>
      <c r="D233" s="397"/>
      <c r="E233" s="397"/>
      <c r="F233" s="397"/>
      <c r="G233" s="3"/>
      <c r="H233" s="3"/>
      <c r="I233" s="3"/>
      <c r="J233" s="3"/>
    </row>
    <row r="234" spans="1:10">
      <c r="A234" s="397"/>
      <c r="B234" s="3" t="s">
        <v>38</v>
      </c>
      <c r="D234" s="397"/>
      <c r="E234" s="397"/>
      <c r="F234" s="400">
        <f>ROUND((F231/F232),5)</f>
        <v>0.13421</v>
      </c>
      <c r="G234" s="3" t="s">
        <v>23</v>
      </c>
      <c r="H234" s="3"/>
      <c r="I234" s="3"/>
      <c r="J234" s="3"/>
    </row>
    <row r="235" spans="1:10">
      <c r="A235" s="3"/>
      <c r="B235" s="3"/>
      <c r="D235" s="3"/>
      <c r="E235" s="3"/>
      <c r="F235" s="3"/>
      <c r="G235" s="3"/>
      <c r="H235" s="3"/>
      <c r="I235" s="3"/>
      <c r="J235" s="3"/>
    </row>
    <row r="236" spans="1:10">
      <c r="A236" s="3"/>
      <c r="B236" s="3"/>
      <c r="D236" s="3"/>
      <c r="E236" s="3"/>
      <c r="F236" s="3"/>
      <c r="G236" s="3"/>
      <c r="H236" s="3"/>
      <c r="I236" s="3"/>
      <c r="J236" s="3"/>
    </row>
    <row r="237" spans="1:10">
      <c r="A237" s="93" t="s">
        <v>357</v>
      </c>
      <c r="B237" s="35" t="s">
        <v>39</v>
      </c>
      <c r="D237" s="3"/>
      <c r="E237" s="3"/>
      <c r="F237" s="3"/>
      <c r="G237" s="3"/>
      <c r="H237" s="3"/>
      <c r="I237" s="3"/>
      <c r="J237" s="3"/>
    </row>
    <row r="238" spans="1:10">
      <c r="A238" s="397"/>
      <c r="B238" s="397"/>
      <c r="D238" s="34" t="s">
        <v>40</v>
      </c>
      <c r="E238" s="397"/>
      <c r="F238" s="34" t="s">
        <v>188</v>
      </c>
      <c r="G238" s="397"/>
      <c r="H238" s="34" t="s">
        <v>1</v>
      </c>
      <c r="I238" s="397"/>
      <c r="J238" s="34" t="s">
        <v>42</v>
      </c>
    </row>
    <row r="239" spans="1:10">
      <c r="A239" s="397"/>
      <c r="B239" s="397"/>
      <c r="D239" s="3"/>
      <c r="E239" s="3"/>
      <c r="F239" s="3"/>
      <c r="G239" s="3"/>
      <c r="H239" s="3"/>
      <c r="I239" s="3"/>
      <c r="J239" s="3"/>
    </row>
    <row r="240" spans="1:10">
      <c r="A240" s="397"/>
      <c r="B240" s="3" t="s">
        <v>43</v>
      </c>
      <c r="D240" s="401">
        <f>+F232</f>
        <v>281980264</v>
      </c>
      <c r="E240" s="3" t="s">
        <v>44</v>
      </c>
      <c r="F240" s="400">
        <f>F234</f>
        <v>0.13421</v>
      </c>
      <c r="G240" s="99" t="s">
        <v>23</v>
      </c>
      <c r="H240" s="393">
        <f>ROUND((D240*F240),0)</f>
        <v>37844571</v>
      </c>
      <c r="I240" s="3"/>
      <c r="J240" s="3"/>
    </row>
    <row r="241" spans="1:10">
      <c r="A241" s="397"/>
      <c r="B241" s="3" t="s">
        <v>45</v>
      </c>
      <c r="D241" s="401">
        <f>+H219</f>
        <v>278740431</v>
      </c>
      <c r="E241" s="3" t="s">
        <v>44</v>
      </c>
      <c r="F241" s="400">
        <f>+H216-0.00001</f>
        <v>5.4699999999999992E-2</v>
      </c>
      <c r="G241" s="99" t="s">
        <v>474</v>
      </c>
      <c r="H241" s="396">
        <f>ROUND((D241*F241),0)</f>
        <v>15247102</v>
      </c>
      <c r="I241" s="3"/>
      <c r="J241" s="3"/>
    </row>
    <row r="242" spans="1:10">
      <c r="A242" s="397"/>
      <c r="B242" s="3" t="s">
        <v>461</v>
      </c>
      <c r="D242" s="396">
        <f>D57</f>
        <v>8973</v>
      </c>
      <c r="E242" s="3" t="s">
        <v>46</v>
      </c>
      <c r="F242" s="399">
        <f>D76</f>
        <v>85</v>
      </c>
      <c r="G242" s="99" t="s">
        <v>459</v>
      </c>
      <c r="H242" s="396">
        <f>ROUND((D242*F242),0)</f>
        <v>762705</v>
      </c>
      <c r="I242" s="3"/>
      <c r="J242" s="3"/>
    </row>
    <row r="243" spans="1:10">
      <c r="A243" s="397"/>
      <c r="B243" s="3" t="s">
        <v>460</v>
      </c>
      <c r="D243" s="396">
        <f>D257</f>
        <v>109</v>
      </c>
      <c r="E243" s="3" t="s">
        <v>46</v>
      </c>
      <c r="F243" s="399">
        <f>F257</f>
        <v>85</v>
      </c>
      <c r="G243" s="99" t="s">
        <v>459</v>
      </c>
      <c r="H243" s="396">
        <f>ROUND((D243*F243),0)</f>
        <v>9265</v>
      </c>
      <c r="I243" s="3"/>
      <c r="J243" s="3"/>
    </row>
    <row r="244" spans="1:10">
      <c r="A244" s="397"/>
      <c r="B244" s="397"/>
      <c r="D244" s="397"/>
      <c r="E244" s="397"/>
      <c r="F244" s="397"/>
      <c r="G244" s="397"/>
      <c r="H244" s="397"/>
      <c r="I244" s="3"/>
      <c r="J244" s="3"/>
    </row>
    <row r="245" spans="1:10">
      <c r="A245" s="397"/>
      <c r="B245" s="3" t="s">
        <v>265</v>
      </c>
      <c r="D245" s="397"/>
      <c r="E245" s="397"/>
      <c r="F245" s="397"/>
      <c r="G245" s="397"/>
      <c r="H245" s="393">
        <f>SUM(H240:H243)</f>
        <v>53863643</v>
      </c>
      <c r="I245" s="397"/>
      <c r="J245" s="398">
        <f>H245-J9</f>
        <v>-2357</v>
      </c>
    </row>
    <row r="246" spans="1:10">
      <c r="A246" s="3"/>
      <c r="B246" s="3"/>
      <c r="D246" s="3"/>
      <c r="E246" s="3"/>
      <c r="F246" s="3"/>
      <c r="G246" s="3"/>
      <c r="H246" s="3"/>
      <c r="I246" s="3"/>
      <c r="J246" s="3"/>
    </row>
    <row r="247" spans="1:10">
      <c r="A247" s="3"/>
      <c r="B247" s="74" t="s">
        <v>81</v>
      </c>
      <c r="C247" s="394"/>
      <c r="D247" s="3"/>
      <c r="E247" s="3"/>
      <c r="F247" s="3"/>
      <c r="G247" s="3"/>
      <c r="H247" s="3"/>
      <c r="I247" s="3"/>
      <c r="J247" s="3"/>
    </row>
    <row r="248" spans="1:10">
      <c r="A248" s="3"/>
      <c r="B248" s="3"/>
      <c r="D248" s="3"/>
      <c r="E248" s="3"/>
      <c r="F248" s="3"/>
      <c r="G248" s="3"/>
      <c r="H248" s="3"/>
      <c r="I248" s="3"/>
      <c r="J248" s="3"/>
    </row>
    <row r="249" spans="1:10">
      <c r="A249" s="3"/>
      <c r="B249" s="3"/>
      <c r="D249" s="3"/>
      <c r="E249" s="3"/>
      <c r="F249" s="3"/>
      <c r="G249" s="3"/>
      <c r="H249" s="3"/>
      <c r="I249" s="3"/>
      <c r="J249" s="3"/>
    </row>
    <row r="250" spans="1:10">
      <c r="A250" s="3" t="s">
        <v>352</v>
      </c>
      <c r="B250" s="35" t="s">
        <v>262</v>
      </c>
      <c r="D250" s="3"/>
      <c r="E250" s="3"/>
      <c r="F250" s="3"/>
      <c r="G250" s="3"/>
      <c r="H250" s="3"/>
      <c r="I250" s="3"/>
      <c r="J250" s="3"/>
    </row>
    <row r="251" spans="1:10">
      <c r="A251" s="3"/>
      <c r="B251" s="3"/>
      <c r="D251" s="3"/>
      <c r="E251" s="3"/>
      <c r="F251" s="3"/>
      <c r="G251" s="3"/>
      <c r="H251" s="3"/>
      <c r="I251" s="3"/>
      <c r="J251" s="3"/>
    </row>
    <row r="252" spans="1:10">
      <c r="A252" s="3"/>
      <c r="B252" s="3"/>
      <c r="D252" s="3"/>
      <c r="E252" s="3"/>
      <c r="F252" s="3"/>
      <c r="G252" s="3"/>
      <c r="H252" s="6" t="s">
        <v>141</v>
      </c>
      <c r="I252" s="3"/>
      <c r="J252" s="3"/>
    </row>
    <row r="253" spans="1:10">
      <c r="A253" s="3"/>
      <c r="B253" s="3"/>
      <c r="D253" s="34" t="s">
        <v>40</v>
      </c>
      <c r="E253" s="397"/>
      <c r="F253" s="34" t="s">
        <v>188</v>
      </c>
      <c r="G253" s="397"/>
      <c r="H253" s="34" t="s">
        <v>1</v>
      </c>
      <c r="I253" s="3"/>
      <c r="J253" s="3"/>
    </row>
    <row r="254" spans="1:10">
      <c r="A254" s="3"/>
      <c r="B254" s="3" t="s">
        <v>458</v>
      </c>
      <c r="D254" s="3"/>
      <c r="E254" s="3"/>
      <c r="F254" s="3"/>
      <c r="G254" s="3"/>
      <c r="H254" s="3"/>
      <c r="I254" s="3"/>
      <c r="J254" s="3"/>
    </row>
    <row r="255" spans="1:10">
      <c r="A255" s="3"/>
      <c r="B255" s="3" t="s">
        <v>349</v>
      </c>
      <c r="D255" s="55">
        <v>862445</v>
      </c>
      <c r="E255" s="3" t="s">
        <v>44</v>
      </c>
      <c r="F255" s="18">
        <f>F240</f>
        <v>0.13421</v>
      </c>
      <c r="G255" s="99" t="s">
        <v>23</v>
      </c>
      <c r="H255" s="393">
        <f>ROUND(D255*F255,0)</f>
        <v>115749</v>
      </c>
      <c r="I255" s="3"/>
      <c r="J255" s="3"/>
    </row>
    <row r="256" spans="1:10">
      <c r="A256" s="3"/>
      <c r="B256" s="3" t="s">
        <v>348</v>
      </c>
      <c r="D256" s="55">
        <v>1097494</v>
      </c>
      <c r="E256" s="3" t="s">
        <v>44</v>
      </c>
      <c r="F256" s="18">
        <f>F241</f>
        <v>5.4699999999999992E-2</v>
      </c>
      <c r="G256" s="99" t="s">
        <v>23</v>
      </c>
      <c r="H256" s="396">
        <f>ROUND((D256*F256),0)</f>
        <v>60033</v>
      </c>
      <c r="I256" s="3"/>
      <c r="J256" s="3"/>
    </row>
    <row r="257" spans="1:13">
      <c r="A257" s="3"/>
      <c r="B257" s="3" t="s">
        <v>347</v>
      </c>
      <c r="D257" s="55">
        <v>109</v>
      </c>
      <c r="E257" s="3" t="s">
        <v>46</v>
      </c>
      <c r="F257" s="57">
        <f>J66</f>
        <v>85</v>
      </c>
      <c r="G257" s="99" t="s">
        <v>457</v>
      </c>
      <c r="H257" s="395">
        <f>ROUND((D257*F257),0)</f>
        <v>9265</v>
      </c>
      <c r="I257" s="3"/>
      <c r="J257" s="74"/>
      <c r="K257" s="394"/>
      <c r="L257" s="394"/>
      <c r="M257" s="394"/>
    </row>
    <row r="258" spans="1:13">
      <c r="A258" s="3"/>
      <c r="B258" s="3"/>
      <c r="D258" s="3"/>
      <c r="E258" s="3"/>
      <c r="F258" s="3"/>
      <c r="G258" s="3"/>
      <c r="H258" s="3"/>
      <c r="I258" s="3"/>
      <c r="J258" s="3"/>
    </row>
    <row r="259" spans="1:13">
      <c r="A259" s="3"/>
      <c r="B259" s="3" t="s">
        <v>346</v>
      </c>
      <c r="D259" s="3"/>
      <c r="E259" s="3"/>
      <c r="F259" s="3"/>
      <c r="G259" s="3"/>
      <c r="H259" s="393">
        <f>SUM(H255:H257)</f>
        <v>185047</v>
      </c>
      <c r="I259" s="3"/>
      <c r="J259" s="3"/>
    </row>
    <row r="260" spans="1:13">
      <c r="A260" s="3"/>
      <c r="B260" s="3"/>
      <c r="D260" s="3"/>
      <c r="E260" s="3"/>
      <c r="F260" s="3"/>
      <c r="G260" s="3"/>
      <c r="H260" s="393"/>
      <c r="I260" s="3"/>
      <c r="J260" s="3"/>
    </row>
    <row r="261" spans="1:13">
      <c r="A261" s="3"/>
      <c r="B261" s="3"/>
      <c r="D261" s="3"/>
      <c r="E261" s="3"/>
      <c r="F261" s="3"/>
      <c r="G261" s="3"/>
      <c r="H261" s="393"/>
      <c r="I261" s="3"/>
      <c r="J261" s="3"/>
    </row>
    <row r="262" spans="1:13">
      <c r="A262" s="3"/>
      <c r="B262" s="3" t="s">
        <v>456</v>
      </c>
      <c r="D262" s="3"/>
      <c r="E262" s="3"/>
      <c r="F262" s="3"/>
      <c r="G262" s="3"/>
      <c r="H262" s="393"/>
      <c r="I262" s="3"/>
      <c r="J262" s="3"/>
    </row>
    <row r="263" spans="1:13">
      <c r="A263" s="3"/>
      <c r="C263" s="3"/>
      <c r="D263" s="3"/>
      <c r="E263" s="3"/>
      <c r="F263" s="3"/>
      <c r="G263" s="3"/>
      <c r="H263" s="3"/>
      <c r="I263" s="3"/>
      <c r="J263" s="3"/>
    </row>
  </sheetData>
  <printOptions horizontalCentered="1"/>
  <pageMargins left="0.5" right="0.5" top="1.25" bottom="0.5" header="0.5" footer="0.5"/>
  <pageSetup scale="74" fitToHeight="0" orientation="portrait" r:id="rId1"/>
  <headerFooter alignWithMargins="0">
    <oddHeader>&amp;L&amp;"Arial,Regular"&amp;F
Page &amp;P of &amp;N&amp;C&amp;"Arial,Regular"KENTUCKY POWER COMPANY
LGS Rate Design
Twelve Months Ended March 31, 2013</oddHeader>
  </headerFooter>
  <rowBreaks count="4" manualBreakCount="4">
    <brk id="60" max="9" man="1"/>
    <brk id="120" max="9" man="1"/>
    <brk id="164" max="9" man="1"/>
    <brk id="22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83"/>
  <sheetViews>
    <sheetView showOutlineSymbols="0" zoomScaleNormal="100" workbookViewId="0">
      <selection activeCell="F55" sqref="F55"/>
    </sheetView>
  </sheetViews>
  <sheetFormatPr defaultColWidth="9.75" defaultRowHeight="15"/>
  <cols>
    <col min="1" max="1" width="4.75" style="344" customWidth="1"/>
    <col min="2" max="2" width="4" style="342" customWidth="1"/>
    <col min="3" max="3" width="34.5" style="342" bestFit="1" customWidth="1"/>
    <col min="4" max="4" width="12.25" style="342" bestFit="1" customWidth="1"/>
    <col min="5" max="5" width="2.625" style="343" customWidth="1"/>
    <col min="6" max="6" width="14.375" style="342" bestFit="1" customWidth="1"/>
    <col min="7" max="7" width="2.375" style="342" customWidth="1"/>
    <col min="8" max="8" width="13.25" style="342" customWidth="1"/>
    <col min="9" max="9" width="2.75" style="342" customWidth="1"/>
    <col min="10" max="10" width="12.5" style="342" bestFit="1" customWidth="1"/>
    <col min="11" max="11" width="12.25" style="342" bestFit="1" customWidth="1"/>
    <col min="12" max="16384" width="9.75" style="342"/>
  </cols>
  <sheetData>
    <row r="1" spans="1:10">
      <c r="A1" s="359" t="s">
        <v>150</v>
      </c>
      <c r="B1" s="362" t="s">
        <v>101</v>
      </c>
      <c r="C1" s="362"/>
      <c r="D1" s="360"/>
      <c r="E1" s="361"/>
      <c r="F1" s="359"/>
      <c r="G1" s="360"/>
      <c r="H1" s="359"/>
    </row>
    <row r="2" spans="1:10">
      <c r="D2" s="357" t="s">
        <v>380</v>
      </c>
      <c r="E2" s="358"/>
      <c r="F2" s="357" t="s">
        <v>379</v>
      </c>
      <c r="G2" s="344"/>
      <c r="H2" s="357" t="s">
        <v>435</v>
      </c>
      <c r="J2" s="357" t="s">
        <v>434</v>
      </c>
    </row>
    <row r="3" spans="1:10">
      <c r="C3" s="391" t="s">
        <v>455</v>
      </c>
      <c r="D3" s="357"/>
      <c r="E3" s="358"/>
      <c r="F3" s="357"/>
      <c r="G3" s="344"/>
      <c r="H3" s="357"/>
      <c r="J3" s="357"/>
    </row>
    <row r="4" spans="1:10">
      <c r="C4" s="342" t="s">
        <v>6</v>
      </c>
      <c r="D4" s="376">
        <f>LGS!J5</f>
        <v>34094707</v>
      </c>
      <c r="E4" s="363"/>
      <c r="F4" s="376">
        <f>LGS!J22</f>
        <v>6378140</v>
      </c>
      <c r="H4" s="376">
        <f>LGS!J29</f>
        <v>932601</v>
      </c>
      <c r="J4" s="376">
        <f>LGS!J36</f>
        <v>16478</v>
      </c>
    </row>
    <row r="5" spans="1:10">
      <c r="C5" s="342" t="s">
        <v>7</v>
      </c>
      <c r="D5" s="353">
        <f>LGS!J6</f>
        <v>19462412</v>
      </c>
      <c r="E5" s="366"/>
      <c r="F5" s="353">
        <f>LGS!J23</f>
        <v>4288503</v>
      </c>
      <c r="H5" s="353">
        <f>LGS!J30</f>
        <v>1028004</v>
      </c>
      <c r="J5" s="353">
        <f>LGS!J37</f>
        <v>21458</v>
      </c>
    </row>
    <row r="6" spans="1:10">
      <c r="C6" s="342" t="s">
        <v>8</v>
      </c>
      <c r="D6" s="388">
        <f>LGS!J7</f>
        <v>308881</v>
      </c>
      <c r="E6" s="366"/>
      <c r="F6" s="388">
        <f>LGS!J24</f>
        <v>90242</v>
      </c>
      <c r="H6" s="388">
        <f>LGS!J31</f>
        <v>158790</v>
      </c>
      <c r="J6" s="388">
        <f>LGS!J38</f>
        <v>10656</v>
      </c>
    </row>
    <row r="7" spans="1:10">
      <c r="D7" s="347"/>
      <c r="E7" s="363"/>
      <c r="F7" s="347"/>
      <c r="H7" s="347"/>
      <c r="J7" s="347"/>
    </row>
    <row r="8" spans="1:10">
      <c r="C8" s="342" t="s">
        <v>265</v>
      </c>
      <c r="D8" s="347">
        <f>SUM(D4:D6)</f>
        <v>53866000</v>
      </c>
      <c r="E8" s="363"/>
      <c r="F8" s="347">
        <f>SUM(F4:F6)</f>
        <v>10756885</v>
      </c>
      <c r="H8" s="347">
        <f>SUM(H4:H6)</f>
        <v>2119395</v>
      </c>
      <c r="J8" s="347">
        <f>SUM(J4:J6)</f>
        <v>48592</v>
      </c>
    </row>
    <row r="11" spans="1:10">
      <c r="A11" s="359" t="s">
        <v>12</v>
      </c>
      <c r="B11" s="362" t="s">
        <v>17</v>
      </c>
      <c r="C11" s="362"/>
      <c r="D11" s="360"/>
      <c r="E11" s="361"/>
      <c r="F11" s="359"/>
      <c r="G11" s="360"/>
      <c r="H11" s="359"/>
      <c r="J11" s="359"/>
    </row>
    <row r="13" spans="1:10" s="378" customFormat="1">
      <c r="C13" s="381" t="s">
        <v>454</v>
      </c>
      <c r="D13" s="376">
        <f>+D6</f>
        <v>308881</v>
      </c>
      <c r="E13" s="381"/>
      <c r="F13" s="376">
        <f>+F6</f>
        <v>90242</v>
      </c>
      <c r="G13" s="390"/>
      <c r="H13" s="376">
        <f>+H6</f>
        <v>158790</v>
      </c>
      <c r="J13" s="376">
        <f>+J6</f>
        <v>10656</v>
      </c>
    </row>
    <row r="14" spans="1:10" s="378" customFormat="1">
      <c r="C14" s="378" t="s">
        <v>452</v>
      </c>
      <c r="D14" s="388">
        <f>LGS!D57+LGS!D257</f>
        <v>9082</v>
      </c>
      <c r="E14" s="389"/>
      <c r="F14" s="388">
        <f>LGS!F57</f>
        <v>936</v>
      </c>
      <c r="H14" s="388">
        <f>LGS!H57</f>
        <v>240</v>
      </c>
      <c r="J14" s="388">
        <f>LGS!J57</f>
        <v>12</v>
      </c>
    </row>
    <row r="15" spans="1:10" s="378" customFormat="1">
      <c r="E15" s="387"/>
    </row>
    <row r="16" spans="1:10" s="378" customFormat="1">
      <c r="C16" s="378" t="s">
        <v>453</v>
      </c>
      <c r="D16" s="384">
        <f>ROUND(+D13/D14,2)</f>
        <v>34.01</v>
      </c>
      <c r="E16" s="381"/>
      <c r="F16" s="384">
        <f>ROUND(+F13/F14,2)</f>
        <v>96.41</v>
      </c>
      <c r="H16" s="384">
        <f>ROUND(+H13/H14,2)</f>
        <v>661.63</v>
      </c>
      <c r="J16" s="384">
        <f>ROUND(+J13/J14,2)</f>
        <v>888</v>
      </c>
    </row>
    <row r="17" spans="1:15" s="378" customFormat="1">
      <c r="D17" s="380"/>
      <c r="E17" s="381"/>
      <c r="F17" s="380"/>
      <c r="H17" s="380"/>
      <c r="J17" s="380"/>
    </row>
    <row r="18" spans="1:15" s="378" customFormat="1">
      <c r="C18" s="378" t="s">
        <v>16</v>
      </c>
      <c r="D18" s="386">
        <f>LGS!J66</f>
        <v>85</v>
      </c>
      <c r="E18" s="385"/>
      <c r="F18" s="386">
        <f>LGS!J67</f>
        <v>127.5</v>
      </c>
      <c r="H18" s="386">
        <f>LGS!J68</f>
        <v>661.65</v>
      </c>
      <c r="J18" s="386">
        <f>LGS!J69</f>
        <v>661.65</v>
      </c>
      <c r="L18" s="379"/>
      <c r="M18" s="379"/>
      <c r="N18" s="379"/>
      <c r="O18" s="379"/>
    </row>
    <row r="19" spans="1:15" s="378" customFormat="1">
      <c r="D19" s="384"/>
      <c r="E19" s="385"/>
      <c r="F19" s="384"/>
      <c r="H19" s="384"/>
      <c r="J19" s="384"/>
      <c r="L19" s="379"/>
      <c r="M19" s="379"/>
      <c r="N19" s="379"/>
      <c r="O19" s="379"/>
    </row>
    <row r="20" spans="1:15" s="378" customFormat="1">
      <c r="C20" s="378" t="s">
        <v>452</v>
      </c>
      <c r="D20" s="382">
        <f>D14</f>
        <v>9082</v>
      </c>
      <c r="E20" s="383"/>
      <c r="F20" s="382">
        <f>F14</f>
        <v>936</v>
      </c>
      <c r="H20" s="382">
        <f>H14</f>
        <v>240</v>
      </c>
      <c r="J20" s="382">
        <f>J14</f>
        <v>12</v>
      </c>
    </row>
    <row r="21" spans="1:15" s="379" customFormat="1"/>
    <row r="22" spans="1:15" s="379" customFormat="1">
      <c r="C22" s="378" t="s">
        <v>451</v>
      </c>
      <c r="D22" s="380">
        <f>+ROUND(D18*D20,0)</f>
        <v>771970</v>
      </c>
      <c r="E22" s="381"/>
      <c r="F22" s="380">
        <f>+ROUND(F18*F20,0)</f>
        <v>119340</v>
      </c>
      <c r="H22" s="380">
        <f>+ROUND(H18*H20,0)</f>
        <v>158796</v>
      </c>
      <c r="J22" s="380">
        <f>+ROUND(J18*J20,0)</f>
        <v>7940</v>
      </c>
    </row>
    <row r="23" spans="1:15" s="378" customFormat="1"/>
    <row r="24" spans="1:15" s="378" customFormat="1"/>
    <row r="25" spans="1:15">
      <c r="A25" s="359" t="s">
        <v>18</v>
      </c>
      <c r="B25" s="362" t="s">
        <v>19</v>
      </c>
      <c r="C25" s="362"/>
      <c r="D25" s="360"/>
      <c r="E25" s="361"/>
      <c r="F25" s="359"/>
      <c r="G25" s="360"/>
      <c r="H25" s="359"/>
      <c r="J25" s="359"/>
    </row>
    <row r="26" spans="1:15">
      <c r="D26" s="357" t="s">
        <v>380</v>
      </c>
      <c r="E26" s="358"/>
      <c r="F26" s="357" t="s">
        <v>379</v>
      </c>
      <c r="G26" s="344"/>
      <c r="H26" s="357" t="s">
        <v>435</v>
      </c>
      <c r="J26" s="357" t="s">
        <v>434</v>
      </c>
      <c r="K26" s="377" t="s">
        <v>9</v>
      </c>
    </row>
    <row r="27" spans="1:15">
      <c r="D27" s="357"/>
      <c r="E27" s="358"/>
      <c r="F27" s="357"/>
      <c r="G27" s="344"/>
      <c r="H27" s="357"/>
      <c r="J27" s="357"/>
    </row>
    <row r="28" spans="1:15">
      <c r="C28" s="342" t="s">
        <v>20</v>
      </c>
      <c r="D28" s="376">
        <f>+D5</f>
        <v>19462412</v>
      </c>
      <c r="E28" s="363"/>
      <c r="F28" s="376">
        <f>+F5</f>
        <v>4288503</v>
      </c>
      <c r="H28" s="376">
        <f>+H5</f>
        <v>1028004</v>
      </c>
      <c r="J28" s="376">
        <f>+J5</f>
        <v>21458</v>
      </c>
      <c r="K28" s="347">
        <f>SUM(D28:J28)</f>
        <v>24800377</v>
      </c>
    </row>
    <row r="29" spans="1:15">
      <c r="C29" s="342" t="s">
        <v>450</v>
      </c>
      <c r="D29" s="353">
        <f>LGS!D56+LGS!D255+LGS!D256</f>
        <v>560720695</v>
      </c>
      <c r="E29" s="375"/>
      <c r="F29" s="353">
        <f>LGS!F56</f>
        <v>112193710</v>
      </c>
      <c r="H29" s="353">
        <f>LGS!H56</f>
        <v>33745670</v>
      </c>
      <c r="J29" s="353">
        <f>LGS!J56</f>
        <v>671609</v>
      </c>
    </row>
    <row r="30" spans="1:15">
      <c r="C30" s="342" t="s">
        <v>430</v>
      </c>
      <c r="D30" s="356">
        <f>LGS!$F125</f>
        <v>1</v>
      </c>
      <c r="E30" s="355"/>
      <c r="F30" s="356">
        <f>LGS!$F126</f>
        <v>0.96526000000000001</v>
      </c>
      <c r="G30" s="354"/>
      <c r="H30" s="356">
        <f>LGS!$F127</f>
        <v>0.95477000000000001</v>
      </c>
      <c r="I30" s="354"/>
      <c r="J30" s="356">
        <f>LGS!$F128</f>
        <v>0.94350000000000001</v>
      </c>
    </row>
    <row r="31" spans="1:15">
      <c r="C31" s="342" t="s">
        <v>429</v>
      </c>
      <c r="D31" s="353">
        <f>D29*D30</f>
        <v>560720695</v>
      </c>
      <c r="E31" s="355"/>
      <c r="F31" s="353">
        <f>F29*F30</f>
        <v>108296100.51459999</v>
      </c>
      <c r="G31" s="354"/>
      <c r="H31" s="353">
        <f>H29*H30</f>
        <v>32219353.345899999</v>
      </c>
      <c r="I31" s="354"/>
      <c r="J31" s="353">
        <f>J29*J30</f>
        <v>633663.09149999998</v>
      </c>
      <c r="K31" s="346">
        <f>SUM(D31:J31)</f>
        <v>701869811.95200014</v>
      </c>
    </row>
    <row r="33" spans="1:12">
      <c r="C33" s="342" t="s">
        <v>449</v>
      </c>
      <c r="D33" s="349">
        <f>ROUND(D30*$K33,5)</f>
        <v>3.533E-2</v>
      </c>
      <c r="F33" s="349">
        <f>ROUND(F30*$K33,5)</f>
        <v>3.4110000000000001E-2</v>
      </c>
      <c r="H33" s="349">
        <f>ROUND(H30*$K33,5)</f>
        <v>3.3739999999999999E-2</v>
      </c>
      <c r="J33" s="349">
        <f>ROUND(J30*$K33,5)</f>
        <v>3.3340000000000002E-2</v>
      </c>
      <c r="K33" s="352">
        <f>K28/K31</f>
        <v>3.5334725297597014E-2</v>
      </c>
    </row>
    <row r="34" spans="1:12">
      <c r="C34" s="342" t="s">
        <v>24</v>
      </c>
      <c r="D34" s="349">
        <v>0.01</v>
      </c>
      <c r="F34" s="349">
        <f>+D34</f>
        <v>0.01</v>
      </c>
      <c r="G34" s="350"/>
      <c r="H34" s="349">
        <f>+F34</f>
        <v>0.01</v>
      </c>
      <c r="J34" s="349">
        <f>+H34</f>
        <v>0.01</v>
      </c>
    </row>
    <row r="36" spans="1:12">
      <c r="C36" s="342" t="s">
        <v>448</v>
      </c>
      <c r="D36" s="349">
        <f>+D33+D34</f>
        <v>4.5330000000000002E-2</v>
      </c>
      <c r="F36" s="349">
        <f>+F34+F33</f>
        <v>4.4110000000000003E-2</v>
      </c>
      <c r="H36" s="349">
        <f>+H34+H33</f>
        <v>4.3740000000000001E-2</v>
      </c>
      <c r="J36" s="349">
        <f>+J34+J33</f>
        <v>4.3340000000000004E-2</v>
      </c>
    </row>
    <row r="38" spans="1:12">
      <c r="C38" s="342" t="s">
        <v>25</v>
      </c>
      <c r="D38" s="349">
        <f>D36</f>
        <v>4.5330000000000002E-2</v>
      </c>
      <c r="F38" s="349">
        <f>F36</f>
        <v>4.4110000000000003E-2</v>
      </c>
      <c r="G38" s="350"/>
      <c r="H38" s="349">
        <f>H36</f>
        <v>4.3740000000000001E-2</v>
      </c>
      <c r="I38" s="350"/>
      <c r="J38" s="349">
        <f>J36</f>
        <v>4.3340000000000004E-2</v>
      </c>
    </row>
    <row r="40" spans="1:12" ht="15.75">
      <c r="C40" s="342" t="s">
        <v>26</v>
      </c>
      <c r="D40" s="374">
        <f>LGS!H218</f>
        <v>0.49711101060771717</v>
      </c>
      <c r="E40" s="373"/>
      <c r="F40" s="372">
        <v>0.49782908909796547</v>
      </c>
      <c r="H40" s="372">
        <v>0.49893880960337117</v>
      </c>
      <c r="J40" s="372">
        <v>0.49826536347222389</v>
      </c>
      <c r="K40" s="370"/>
      <c r="L40" s="342" t="s">
        <v>447</v>
      </c>
    </row>
    <row r="41" spans="1:12" ht="15.75">
      <c r="C41" s="342" t="s">
        <v>87</v>
      </c>
      <c r="D41" s="346">
        <f>+ROUND(D40*D29,0)</f>
        <v>278740431</v>
      </c>
      <c r="F41" s="346">
        <f>+ROUND(F40*F29,0)</f>
        <v>55853292</v>
      </c>
      <c r="H41" s="346">
        <f>+ROUND(H40*H29,0)</f>
        <v>16837024</v>
      </c>
      <c r="J41" s="346">
        <f>+ROUND(J40*J29,0)</f>
        <v>334640</v>
      </c>
      <c r="K41" s="370"/>
    </row>
    <row r="42" spans="1:12" ht="15.75">
      <c r="C42" s="342" t="s">
        <v>446</v>
      </c>
      <c r="D42" s="371">
        <f>+D38</f>
        <v>4.5330000000000002E-2</v>
      </c>
      <c r="F42" s="371">
        <f>+F38</f>
        <v>4.4110000000000003E-2</v>
      </c>
      <c r="H42" s="371">
        <f>+H38</f>
        <v>4.3740000000000001E-2</v>
      </c>
      <c r="J42" s="371">
        <f>+J38</f>
        <v>4.3340000000000004E-2</v>
      </c>
      <c r="K42" s="370"/>
    </row>
    <row r="43" spans="1:12" ht="15.75">
      <c r="K43" s="370"/>
    </row>
    <row r="44" spans="1:12" ht="15.75">
      <c r="C44" s="342" t="s">
        <v>28</v>
      </c>
      <c r="D44" s="347">
        <f>+D41*D42</f>
        <v>12635303.737230001</v>
      </c>
      <c r="E44" s="363"/>
      <c r="F44" s="347">
        <f>+F41*F42</f>
        <v>2463688.7101200004</v>
      </c>
      <c r="H44" s="347">
        <f>+H41*H42</f>
        <v>736451.42975999997</v>
      </c>
      <c r="J44" s="347">
        <f>+J41*J42</f>
        <v>14503.297600000002</v>
      </c>
      <c r="K44" s="370"/>
    </row>
    <row r="45" spans="1:12">
      <c r="B45" s="345"/>
      <c r="D45" s="347"/>
      <c r="E45" s="363"/>
      <c r="F45" s="347"/>
    </row>
    <row r="46" spans="1:12">
      <c r="D46" s="347"/>
      <c r="E46" s="363"/>
      <c r="F46" s="347"/>
    </row>
    <row r="47" spans="1:12">
      <c r="A47" s="359" t="s">
        <v>29</v>
      </c>
      <c r="B47" s="362" t="s">
        <v>445</v>
      </c>
      <c r="C47" s="362"/>
      <c r="D47" s="360"/>
      <c r="E47" s="361"/>
      <c r="F47" s="359"/>
      <c r="G47" s="360"/>
      <c r="H47" s="359"/>
    </row>
    <row r="48" spans="1:12">
      <c r="D48" s="347"/>
      <c r="E48" s="363"/>
      <c r="F48" s="347"/>
    </row>
    <row r="49" spans="1:11">
      <c r="D49" s="344" t="s">
        <v>444</v>
      </c>
      <c r="E49" s="342"/>
      <c r="F49" s="344" t="s">
        <v>443</v>
      </c>
      <c r="H49" s="344" t="s">
        <v>442</v>
      </c>
    </row>
    <row r="50" spans="1:11">
      <c r="D50" s="369" t="s">
        <v>6</v>
      </c>
      <c r="E50" s="342"/>
      <c r="F50" s="369" t="s">
        <v>441</v>
      </c>
      <c r="H50" s="369" t="s">
        <v>1</v>
      </c>
    </row>
    <row r="51" spans="1:11">
      <c r="E51" s="342"/>
    </row>
    <row r="52" spans="1:11">
      <c r="C52" s="342" t="s">
        <v>440</v>
      </c>
      <c r="D52" s="353">
        <f>LGS!D54</f>
        <v>1666281</v>
      </c>
      <c r="E52" s="342"/>
      <c r="F52" s="368">
        <v>10.199999999999999</v>
      </c>
      <c r="H52" s="347">
        <f>+D52*F52</f>
        <v>16996066.199999999</v>
      </c>
    </row>
    <row r="53" spans="1:11">
      <c r="C53" s="342" t="s">
        <v>439</v>
      </c>
      <c r="D53" s="366">
        <f>LGS!F54</f>
        <v>386863</v>
      </c>
      <c r="E53" s="342"/>
      <c r="F53" s="365">
        <v>7.35</v>
      </c>
      <c r="H53" s="367">
        <f>+D53*F53</f>
        <v>2843443.05</v>
      </c>
    </row>
    <row r="54" spans="1:11">
      <c r="C54" s="342" t="s">
        <v>438</v>
      </c>
      <c r="D54" s="366">
        <f>LGS!H54</f>
        <v>110848</v>
      </c>
      <c r="E54" s="342"/>
      <c r="F54" s="365">
        <v>1.08</v>
      </c>
      <c r="H54" s="367">
        <f>+D54*F54</f>
        <v>119715.84000000001</v>
      </c>
    </row>
    <row r="55" spans="1:11">
      <c r="C55" s="342" t="s">
        <v>437</v>
      </c>
      <c r="D55" s="366">
        <f>LGS!J54</f>
        <v>5277</v>
      </c>
      <c r="E55" s="342"/>
      <c r="F55" s="365">
        <v>1.07</v>
      </c>
      <c r="H55" s="348">
        <f>+D55*F55</f>
        <v>5646.39</v>
      </c>
    </row>
    <row r="56" spans="1:11">
      <c r="E56" s="342"/>
      <c r="F56" s="364"/>
    </row>
    <row r="57" spans="1:11">
      <c r="C57" s="342" t="s">
        <v>9</v>
      </c>
      <c r="D57" s="346"/>
      <c r="E57" s="342"/>
      <c r="F57" s="364"/>
      <c r="H57" s="347">
        <f>SUM(H52:H55)</f>
        <v>19964871.48</v>
      </c>
    </row>
    <row r="58" spans="1:11">
      <c r="D58" s="346"/>
      <c r="E58" s="342"/>
      <c r="F58" s="364"/>
      <c r="H58" s="347"/>
    </row>
    <row r="59" spans="1:11">
      <c r="B59" s="345" t="s">
        <v>195</v>
      </c>
      <c r="C59" s="342" t="s">
        <v>436</v>
      </c>
      <c r="D59" s="346"/>
      <c r="E59" s="342"/>
      <c r="F59" s="364"/>
      <c r="H59" s="347"/>
    </row>
    <row r="60" spans="1:11">
      <c r="E60" s="342"/>
      <c r="F60" s="364"/>
    </row>
    <row r="61" spans="1:11">
      <c r="D61" s="347"/>
      <c r="E61" s="363"/>
      <c r="F61" s="347"/>
    </row>
    <row r="62" spans="1:11">
      <c r="A62" s="359" t="s">
        <v>91</v>
      </c>
      <c r="B62" s="362" t="s">
        <v>30</v>
      </c>
      <c r="C62" s="362"/>
      <c r="D62" s="360"/>
      <c r="E62" s="361"/>
      <c r="F62" s="359"/>
      <c r="G62" s="360"/>
      <c r="H62" s="359"/>
    </row>
    <row r="63" spans="1:11">
      <c r="D63" s="357" t="s">
        <v>380</v>
      </c>
      <c r="E63" s="358"/>
      <c r="F63" s="357" t="s">
        <v>379</v>
      </c>
      <c r="G63" s="344"/>
      <c r="H63" s="357" t="s">
        <v>435</v>
      </c>
      <c r="J63" s="357" t="s">
        <v>434</v>
      </c>
      <c r="K63" s="357" t="s">
        <v>9</v>
      </c>
    </row>
    <row r="65" spans="3:11">
      <c r="C65" s="342" t="s">
        <v>433</v>
      </c>
      <c r="D65" s="347">
        <f>+D8</f>
        <v>53866000</v>
      </c>
      <c r="F65" s="347">
        <f>+F8</f>
        <v>10756885</v>
      </c>
      <c r="H65" s="347">
        <f>+H8</f>
        <v>2119395</v>
      </c>
      <c r="J65" s="347">
        <f>+J8</f>
        <v>48592</v>
      </c>
    </row>
    <row r="66" spans="3:11">
      <c r="C66" s="342" t="s">
        <v>432</v>
      </c>
      <c r="D66" s="346">
        <f>+D22</f>
        <v>771970</v>
      </c>
      <c r="F66" s="346">
        <f>+F22</f>
        <v>119340</v>
      </c>
      <c r="H66" s="346">
        <f>+H22</f>
        <v>158796</v>
      </c>
      <c r="J66" s="346">
        <f>+J22</f>
        <v>7940</v>
      </c>
    </row>
    <row r="67" spans="3:11">
      <c r="C67" s="342" t="s">
        <v>431</v>
      </c>
      <c r="D67" s="346">
        <f>H52</f>
        <v>16996066.199999999</v>
      </c>
      <c r="F67" s="346">
        <f>H53</f>
        <v>2843443.05</v>
      </c>
      <c r="H67" s="346">
        <f>H54</f>
        <v>119715.84000000001</v>
      </c>
      <c r="J67" s="346">
        <f>J54</f>
        <v>0</v>
      </c>
    </row>
    <row r="68" spans="3:11">
      <c r="C68" s="342" t="s">
        <v>361</v>
      </c>
      <c r="D68" s="348">
        <f>+D44</f>
        <v>12635303.737230001</v>
      </c>
      <c r="F68" s="348">
        <f>+F44</f>
        <v>2463688.7101200004</v>
      </c>
      <c r="H68" s="348">
        <f>+H44</f>
        <v>736451.42975999997</v>
      </c>
      <c r="J68" s="348">
        <f>+J44</f>
        <v>14503.297600000002</v>
      </c>
    </row>
    <row r="70" spans="3:11">
      <c r="C70" s="342" t="s">
        <v>34</v>
      </c>
      <c r="D70" s="347">
        <f>+D65-D66-D67-D68</f>
        <v>23462660.062769994</v>
      </c>
      <c r="F70" s="347">
        <f>+F65-F66-F67-F68</f>
        <v>5330413.2398799993</v>
      </c>
      <c r="H70" s="347">
        <f>+H65-H66-H67-H68</f>
        <v>1104431.7302399999</v>
      </c>
      <c r="J70" s="347">
        <f>+J65-J66-J67-J68</f>
        <v>26148.702399999998</v>
      </c>
      <c r="K70" s="347">
        <f>SUM(D70:J70)</f>
        <v>29923653.735289991</v>
      </c>
    </row>
    <row r="71" spans="3:11">
      <c r="C71" s="342" t="s">
        <v>86</v>
      </c>
      <c r="D71" s="353">
        <f>+D29-D41</f>
        <v>281980264</v>
      </c>
      <c r="F71" s="353">
        <f>+F29-F41</f>
        <v>56340418</v>
      </c>
      <c r="H71" s="353">
        <f>+H29-H41</f>
        <v>16908646</v>
      </c>
      <c r="J71" s="353">
        <f>+J29-J41</f>
        <v>336969</v>
      </c>
    </row>
    <row r="72" spans="3:11">
      <c r="C72" s="342" t="s">
        <v>430</v>
      </c>
      <c r="D72" s="356">
        <f>D30</f>
        <v>1</v>
      </c>
      <c r="E72" s="355"/>
      <c r="F72" s="356">
        <f>F30</f>
        <v>0.96526000000000001</v>
      </c>
      <c r="G72" s="354"/>
      <c r="H72" s="356">
        <f>H30</f>
        <v>0.95477000000000001</v>
      </c>
      <c r="I72" s="354"/>
      <c r="J72" s="356">
        <f>J30</f>
        <v>0.94350000000000001</v>
      </c>
    </row>
    <row r="73" spans="3:11">
      <c r="C73" s="342" t="s">
        <v>429</v>
      </c>
      <c r="D73" s="353">
        <f>D71*D72</f>
        <v>281980264</v>
      </c>
      <c r="E73" s="355"/>
      <c r="F73" s="353">
        <f>F71*F72</f>
        <v>54383151.878679998</v>
      </c>
      <c r="G73" s="354"/>
      <c r="H73" s="353">
        <f>H71*H72</f>
        <v>16143867.94142</v>
      </c>
      <c r="I73" s="354"/>
      <c r="J73" s="353">
        <f>J71*J72</f>
        <v>317930.25150000001</v>
      </c>
      <c r="K73" s="346">
        <f>SUM(D73:J73)</f>
        <v>352825214.07160002</v>
      </c>
    </row>
    <row r="75" spans="3:11">
      <c r="C75" s="342" t="s">
        <v>428</v>
      </c>
      <c r="D75" s="349">
        <f>ROUND(D72*$K75,5)</f>
        <v>8.4809999999999997E-2</v>
      </c>
      <c r="E75" s="351"/>
      <c r="F75" s="349">
        <f>ROUND(F72*$K75,5)</f>
        <v>8.1869999999999998E-2</v>
      </c>
      <c r="H75" s="349">
        <f>ROUND(H72*$K75,5)</f>
        <v>8.0979999999999996E-2</v>
      </c>
      <c r="J75" s="349">
        <f>ROUND(J72*$K75,5)</f>
        <v>8.0019999999999994E-2</v>
      </c>
      <c r="K75" s="352">
        <f>K70/K73</f>
        <v>8.4811551277674507E-2</v>
      </c>
    </row>
    <row r="76" spans="3:11">
      <c r="D76" s="352"/>
      <c r="E76" s="351"/>
      <c r="F76" s="352"/>
      <c r="H76" s="352"/>
      <c r="J76" s="352"/>
    </row>
    <row r="77" spans="3:11">
      <c r="C77" s="342" t="s">
        <v>38</v>
      </c>
      <c r="D77" s="349">
        <f>D75</f>
        <v>8.4809999999999997E-2</v>
      </c>
      <c r="E77" s="351"/>
      <c r="F77" s="349">
        <f>F75</f>
        <v>8.1869999999999998E-2</v>
      </c>
      <c r="G77" s="350"/>
      <c r="H77" s="349">
        <f>H75</f>
        <v>8.0979999999999996E-2</v>
      </c>
      <c r="I77" s="350"/>
      <c r="J77" s="349">
        <f>ROUND(H77*LGS!D162/LGS!D161,5)</f>
        <v>8.0019999999999994E-2</v>
      </c>
    </row>
    <row r="78" spans="3:11">
      <c r="C78" s="342" t="s">
        <v>86</v>
      </c>
      <c r="D78" s="348">
        <f>+D71</f>
        <v>281980264</v>
      </c>
      <c r="F78" s="348">
        <f>+F71</f>
        <v>56340418</v>
      </c>
      <c r="H78" s="348">
        <f>+H71</f>
        <v>16908646</v>
      </c>
      <c r="J78" s="348">
        <f>+J71</f>
        <v>336969</v>
      </c>
    </row>
    <row r="80" spans="3:11">
      <c r="C80" s="342" t="s">
        <v>34</v>
      </c>
      <c r="D80" s="347">
        <f>ROUND(+D77*D78,0)</f>
        <v>23914746</v>
      </c>
      <c r="F80" s="347">
        <f>ROUND(+F77*F78,0)</f>
        <v>4612590</v>
      </c>
      <c r="H80" s="347">
        <f>ROUND(+H77*H78,0)</f>
        <v>1369262</v>
      </c>
      <c r="J80" s="347">
        <f>ROUND(+J77*J78,0)</f>
        <v>26964</v>
      </c>
      <c r="K80" s="347"/>
    </row>
    <row r="81" spans="2:6">
      <c r="D81" s="346"/>
      <c r="E81" s="346"/>
      <c r="F81" s="346"/>
    </row>
    <row r="83" spans="2:6">
      <c r="B83" s="345"/>
    </row>
  </sheetData>
  <printOptions horizontalCentered="1"/>
  <pageMargins left="0.9" right="0.9" top="1.5" bottom="0.5" header="0.5" footer="0.5"/>
  <pageSetup scale="58" fitToHeight="0" orientation="portrait" r:id="rId1"/>
  <headerFooter alignWithMargins="0">
    <oddHeader xml:space="preserve">&amp;L&amp;"Arial,Regular"&amp;F
Page &amp;P of &amp;N
&amp;C&amp;"Arial,Regular"KENTUCKY POWER COMPANY 
LGS Time-of-Day Rate Design
Twelve Months Ended March 31, 2013
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RS</vt:lpstr>
      <vt:lpstr>RS TOD2</vt:lpstr>
      <vt:lpstr>RS-TOD2 Capacity Charge</vt:lpstr>
      <vt:lpstr>SGS</vt:lpstr>
      <vt:lpstr>SGS TOD</vt:lpstr>
      <vt:lpstr>SGS-TOD Capacity Charge</vt:lpstr>
      <vt:lpstr>MGS</vt:lpstr>
      <vt:lpstr>LGS</vt:lpstr>
      <vt:lpstr>LGS-TOD</vt:lpstr>
      <vt:lpstr>IGS</vt:lpstr>
      <vt:lpstr>Equip Cr Demand Basis</vt:lpstr>
      <vt:lpstr>Equip Cr Energy Basis</vt:lpstr>
      <vt:lpstr>off peak</vt:lpstr>
      <vt:lpstr>Off Peak xcs</vt:lpstr>
      <vt:lpstr>AFS Rate</vt:lpstr>
      <vt:lpstr>MW</vt:lpstr>
      <vt:lpstr>OL 1</vt:lpstr>
      <vt:lpstr>OL 2</vt:lpstr>
      <vt:lpstr>OL Detail</vt:lpstr>
      <vt:lpstr>SL 1</vt:lpstr>
      <vt:lpstr>SL 2</vt:lpstr>
      <vt:lpstr>Cogen</vt:lpstr>
    </vt:vector>
  </TitlesOfParts>
  <Company>AEP-6-27-00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s753010</dc:creator>
  <cp:lastModifiedBy>Alex Vaughan</cp:lastModifiedBy>
  <cp:lastPrinted>2014-12-03T20:30:41Z</cp:lastPrinted>
  <dcterms:created xsi:type="dcterms:W3CDTF">2005-07-05T15:28:33Z</dcterms:created>
  <dcterms:modified xsi:type="dcterms:W3CDTF">2015-02-03T16:20:19Z</dcterms:modified>
</cp:coreProperties>
</file>